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3.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4.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5.xml" ContentType="application/vnd.openxmlformats-officedocument.drawing+xml"/>
  <Override PartName="/xl/embeddings/oleObject1.bin" ContentType="application/vnd.openxmlformats-officedocument.oleObject"/>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6.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8.xml" ContentType="application/vnd.openxmlformats-officedocument.drawing+xml"/>
  <Override PartName="/xl/embeddings/oleObject2.bin" ContentType="application/vnd.openxmlformats-officedocument.oleObject"/>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0.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drawings/drawing11.xml" ContentType="application/vnd.openxmlformats-officedocument.drawing+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1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drawings/drawing13.xml" ContentType="application/vnd.openxmlformats-officedocument.drawing+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DieseArbeitsmappe" defaultThemeVersion="124226"/>
  <xr:revisionPtr revIDLastSave="6123" documentId="8_{86C9D26C-F20E-452B-8BB3-9029BE6153D7}" xr6:coauthVersionLast="47" xr6:coauthVersionMax="47" xr10:uidLastSave="{5F17AC62-DA7E-41B8-9B91-650E5A9EBBB3}"/>
  <bookViews>
    <workbookView xWindow="-38520" yWindow="-5625" windowWidth="38640" windowHeight="15720" xr2:uid="{6A5E28BC-6E63-4912-86AA-BFE124FFCE17}"/>
  </bookViews>
  <sheets>
    <sheet name="Info" sheetId="4" r:id="rId1"/>
    <sheet name="DP" sheetId="13" r:id="rId2"/>
    <sheet name="DS" sheetId="15" r:id="rId3"/>
    <sheet name="DS.19" sheetId="21" r:id="rId4"/>
    <sheet name="R.16" sheetId="14" r:id="rId5"/>
    <sheet name="DR44" sheetId="16" r:id="rId6"/>
    <sheet name="DR29" sheetId="17" r:id="rId7"/>
    <sheet name="FX.12" sheetId="18" r:id="rId8"/>
    <sheet name="PR" sheetId="19" r:id="rId9"/>
    <sheet name="RI_P.10" sheetId="22" r:id="rId10"/>
    <sheet name="Formeln_RI_P.10" sheetId="23" state="hidden" r:id="rId11"/>
    <sheet name="QR_P.10" sheetId="24" r:id="rId12"/>
    <sheet name="RI" sheetId="1" r:id="rId13"/>
    <sheet name="QR" sheetId="20" r:id="rId14"/>
    <sheet name="Versionsverlauf" sheetId="25" state="hidden" r:id="rId15"/>
    <sheet name="Velux DE Artikelnummern" sheetId="26" state="hidden" r:id="rId16"/>
    <sheet name="Sprachindex" sheetId="3" state="hidden" r:id="rId17"/>
    <sheet name="Formeln" sheetId="2" state="hidden" r:id="rId18"/>
  </sheets>
  <definedNames>
    <definedName name="_xlnm._FilterDatabase" localSheetId="1" hidden="1">DP!$A$29:$A$109</definedName>
    <definedName name="_xlnm._FilterDatabase" localSheetId="6" hidden="1">'DR29'!$A$29:$A$107</definedName>
    <definedName name="_xlnm._FilterDatabase" localSheetId="5" hidden="1">'DR44'!$A$29:$A$106</definedName>
    <definedName name="_xlnm._FilterDatabase" localSheetId="2" hidden="1">DS!$A$29:$A$106</definedName>
    <definedName name="_xlnm._FilterDatabase" localSheetId="3" hidden="1">DS.19!$A$29:$A$107</definedName>
    <definedName name="_xlnm._FilterDatabase" localSheetId="7" hidden="1">FX.12!$A$29:$A$106</definedName>
    <definedName name="_xlnm._FilterDatabase" localSheetId="8" hidden="1">PR!$A$29:$A$87</definedName>
    <definedName name="_xlnm._FilterDatabase" localSheetId="13" hidden="1">QR!$A$29:$A$69</definedName>
    <definedName name="_xlnm._FilterDatabase" localSheetId="11" hidden="1">QR_P.10!$A$29:$A$68</definedName>
    <definedName name="_xlnm._FilterDatabase" localSheetId="4" hidden="1">'R.16'!$A$29:$A$104</definedName>
    <definedName name="_xlnm._FilterDatabase" localSheetId="12" hidden="1">RI!$A$34:$A$117</definedName>
    <definedName name="_xlnm._FilterDatabase" localSheetId="9" hidden="1">'RI_P.10'!$A$29:$A$109</definedName>
    <definedName name="_xlnm.Print_Area" localSheetId="1">DP!$A$1:$O$118</definedName>
    <definedName name="_xlnm.Print_Area" localSheetId="6">'DR29'!$A$1:$O$116</definedName>
    <definedName name="_xlnm.Print_Area" localSheetId="5">'DR44'!$A$1:$O$115</definedName>
    <definedName name="_xlnm.Print_Area" localSheetId="2">DS!$A$1:$O$115</definedName>
    <definedName name="_xlnm.Print_Area" localSheetId="3">DS.19!$A$1:$O$116</definedName>
    <definedName name="_xlnm.Print_Area" localSheetId="7">FX.12!$A$1:$O$115</definedName>
    <definedName name="_xlnm.Print_Area" localSheetId="0">Info!$A$1:$N$60</definedName>
    <definedName name="_xlnm.Print_Area" localSheetId="8">PR!$A$1:$O$96</definedName>
    <definedName name="_xlnm.Print_Area" localSheetId="13">QR!$A$1:$O$78</definedName>
    <definedName name="_xlnm.Print_Area" localSheetId="11">QR_P.10!$A$1:$O$77</definedName>
    <definedName name="_xlnm.Print_Area" localSheetId="4">'R.16'!$A$1:$O$114</definedName>
    <definedName name="_xlnm.Print_Area" localSheetId="12">RI!$A$1:$O$126</definedName>
    <definedName name="_xlnm.Print_Area" localSheetId="9">'RI_P.10'!$A$1:$O$118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7" i="14" l="1"/>
  <c r="L103" i="18"/>
  <c r="L104" i="17"/>
  <c r="L103" i="16"/>
  <c r="L32" i="21"/>
  <c r="X26" i="21"/>
  <c r="W26" i="21"/>
  <c r="BS56" i="21"/>
  <c r="BS57" i="21"/>
  <c r="D74" i="13"/>
  <c r="D73" i="13"/>
  <c r="D72" i="13"/>
  <c r="D60" i="24"/>
  <c r="D59" i="24"/>
  <c r="D57" i="24"/>
  <c r="D51" i="24"/>
  <c r="D49" i="24"/>
  <c r="D48" i="24"/>
  <c r="D47" i="24"/>
  <c r="D46" i="24"/>
  <c r="D36" i="24"/>
  <c r="D37" i="24"/>
  <c r="D38" i="24"/>
  <c r="D39" i="24"/>
  <c r="D40" i="24"/>
  <c r="D35" i="24"/>
  <c r="AO60" i="24"/>
  <c r="AO59" i="24"/>
  <c r="AO57" i="24"/>
  <c r="AW45" i="24"/>
  <c r="AW44" i="24"/>
  <c r="AO51" i="24"/>
  <c r="AO50" i="24"/>
  <c r="AO49" i="24"/>
  <c r="AO48" i="24"/>
  <c r="AO47" i="24"/>
  <c r="AO46" i="24"/>
  <c r="AO45" i="24"/>
  <c r="AO44" i="24"/>
  <c r="AX42" i="24"/>
  <c r="AX41" i="24"/>
  <c r="AO42" i="24"/>
  <c r="AO41" i="24"/>
  <c r="AO40" i="24"/>
  <c r="AO39" i="24"/>
  <c r="AO38" i="24"/>
  <c r="AO37" i="24"/>
  <c r="AO36" i="24"/>
  <c r="AO35" i="24"/>
  <c r="BE32" i="24"/>
  <c r="BE31" i="24"/>
  <c r="AW32" i="24"/>
  <c r="AW31" i="24"/>
  <c r="AO32" i="24"/>
  <c r="AO31" i="24"/>
  <c r="BU83" i="22"/>
  <c r="CY79" i="22"/>
  <c r="CO79" i="22"/>
  <c r="CE79" i="22"/>
  <c r="BU79" i="22"/>
  <c r="BU81" i="22"/>
  <c r="CY43" i="22"/>
  <c r="DS43" i="22"/>
  <c r="DI43" i="22"/>
  <c r="DI33" i="22"/>
  <c r="CY33" i="22"/>
  <c r="CO43" i="22"/>
  <c r="CO33" i="22"/>
  <c r="CE33" i="22"/>
  <c r="BU33" i="22"/>
  <c r="BK33" i="22"/>
  <c r="BK32" i="22"/>
  <c r="BK31" i="22"/>
  <c r="BA35" i="22"/>
  <c r="BA34" i="22"/>
  <c r="BA33" i="22"/>
  <c r="BA32" i="22"/>
  <c r="BA31" i="22"/>
  <c r="BK35" i="22"/>
  <c r="CE43" i="22"/>
  <c r="BU43" i="22"/>
  <c r="BK38" i="22"/>
  <c r="BA38" i="22"/>
  <c r="BA44" i="22"/>
  <c r="BA43" i="22"/>
  <c r="BA42" i="22"/>
  <c r="BA41" i="22"/>
  <c r="BK43" i="22"/>
  <c r="BK42" i="22"/>
  <c r="BK41" i="22"/>
  <c r="BK54" i="22"/>
  <c r="BA49" i="22"/>
  <c r="BA48" i="22"/>
  <c r="BA47" i="22"/>
  <c r="BA53" i="22"/>
  <c r="BA52" i="22"/>
  <c r="BA51" i="22"/>
  <c r="BU71" i="22"/>
  <c r="BU61" i="22"/>
  <c r="BU59" i="22"/>
  <c r="BK59" i="22"/>
  <c r="BK61" i="22"/>
  <c r="BA54" i="22"/>
  <c r="BA59" i="22"/>
  <c r="BA61" i="22"/>
  <c r="BK71" i="22"/>
  <c r="BK72" i="22"/>
  <c r="BK73" i="22"/>
  <c r="BK74" i="22"/>
  <c r="BK88" i="22"/>
  <c r="BK94" i="22"/>
  <c r="BA95" i="22"/>
  <c r="BA94" i="22"/>
  <c r="BK79" i="22"/>
  <c r="BK81" i="22"/>
  <c r="BK83" i="22"/>
  <c r="BA90" i="22"/>
  <c r="BA88" i="22"/>
  <c r="BA87" i="22"/>
  <c r="BA85" i="22"/>
  <c r="BA83" i="22"/>
  <c r="BA82" i="22"/>
  <c r="BA81" i="22"/>
  <c r="BA79" i="22"/>
  <c r="BA77" i="22"/>
  <c r="BA76" i="22"/>
  <c r="BA74" i="22"/>
  <c r="BA73" i="22"/>
  <c r="BA72" i="22"/>
  <c r="BA71" i="22"/>
  <c r="AG86" i="22"/>
  <c r="AG87" i="22"/>
  <c r="AG88" i="22"/>
  <c r="AG89" i="22"/>
  <c r="AG90" i="22"/>
  <c r="AG91" i="22"/>
  <c r="AG92" i="22"/>
  <c r="AG94" i="22"/>
  <c r="AG95" i="22"/>
  <c r="AG98" i="22"/>
  <c r="AG99" i="22"/>
  <c r="AG100" i="22"/>
  <c r="AQ95" i="22"/>
  <c r="AQ94" i="22"/>
  <c r="AQ90" i="22"/>
  <c r="AQ89" i="22"/>
  <c r="AQ88" i="22"/>
  <c r="AQ87" i="22"/>
  <c r="AQ86" i="22"/>
  <c r="AQ85" i="22"/>
  <c r="AQ83" i="22"/>
  <c r="AQ82" i="22"/>
  <c r="AQ81" i="22"/>
  <c r="AQ74" i="22"/>
  <c r="AQ73" i="22"/>
  <c r="AQ72" i="22"/>
  <c r="AQ71" i="22"/>
  <c r="AQ75" i="22"/>
  <c r="AQ76" i="22"/>
  <c r="AQ77" i="22"/>
  <c r="AQ79" i="22"/>
  <c r="AQ61" i="22"/>
  <c r="AQ59" i="22"/>
  <c r="AQ52" i="22"/>
  <c r="AQ53" i="22"/>
  <c r="AQ54" i="22"/>
  <c r="AQ51" i="22"/>
  <c r="AQ50" i="22"/>
  <c r="AQ49" i="22"/>
  <c r="AQ48" i="22"/>
  <c r="AQ47" i="22"/>
  <c r="AQ44" i="22"/>
  <c r="AQ43" i="22"/>
  <c r="AQ42" i="22"/>
  <c r="AQ41" i="22"/>
  <c r="AQ38" i="22"/>
  <c r="AQ35" i="22"/>
  <c r="AQ34" i="22"/>
  <c r="AQ33" i="22"/>
  <c r="AQ32" i="22"/>
  <c r="AQ31" i="22"/>
  <c r="AG85" i="22"/>
  <c r="AG80" i="22"/>
  <c r="AG81" i="22"/>
  <c r="AG82" i="22"/>
  <c r="AG83" i="22"/>
  <c r="AG79" i="22"/>
  <c r="AG71" i="22"/>
  <c r="AG72" i="22"/>
  <c r="AG73" i="22"/>
  <c r="AG74" i="22"/>
  <c r="AG76" i="22"/>
  <c r="AG77" i="22"/>
  <c r="AG70" i="22"/>
  <c r="AG67" i="22"/>
  <c r="AG46" i="22"/>
  <c r="AG47" i="22"/>
  <c r="AG48" i="22"/>
  <c r="AG49" i="22"/>
  <c r="AG50" i="22"/>
  <c r="AG51" i="22"/>
  <c r="AG52" i="22"/>
  <c r="AG53" i="22"/>
  <c r="AG54" i="22"/>
  <c r="AG55" i="22"/>
  <c r="AG56" i="22"/>
  <c r="AG57" i="22"/>
  <c r="AG58" i="22"/>
  <c r="AG59" i="22"/>
  <c r="AG60" i="22"/>
  <c r="AG61" i="22"/>
  <c r="AG39" i="22"/>
  <c r="AG41" i="22"/>
  <c r="AG42" i="22"/>
  <c r="AG43" i="22"/>
  <c r="AG44" i="22"/>
  <c r="AG38" i="22"/>
  <c r="AG32" i="22"/>
  <c r="AG33" i="22"/>
  <c r="AG34" i="22"/>
  <c r="AG35" i="22"/>
  <c r="AG36" i="22"/>
  <c r="AG31" i="22"/>
  <c r="L63" i="22"/>
  <c r="W43" i="22"/>
  <c r="L43" i="22" s="1"/>
  <c r="D43" i="22" l="1"/>
  <c r="L71" i="1"/>
  <c r="O71" i="1" s="1"/>
  <c r="W71" i="1"/>
  <c r="X71" i="1"/>
  <c r="V71" i="1" s="1"/>
  <c r="D56" i="18"/>
  <c r="D57" i="17"/>
  <c r="D56" i="16"/>
  <c r="D54" i="14"/>
  <c r="D57" i="21"/>
  <c r="D57" i="15"/>
  <c r="Q56" i="18" a="1"/>
  <c r="Q56" i="18" s="1"/>
  <c r="Q55" i="18" a="1"/>
  <c r="Q55" i="18" s="1"/>
  <c r="Q57" i="17" a="1"/>
  <c r="Q57" i="17" s="1"/>
  <c r="Q56" i="17" a="1"/>
  <c r="Q56" i="17" s="1"/>
  <c r="Q56" i="16" a="1"/>
  <c r="Q56" i="16" s="1"/>
  <c r="Q55" i="16" a="1"/>
  <c r="Q55" i="16" s="1"/>
  <c r="Q54" i="14" a="1"/>
  <c r="Q54" i="14" s="1"/>
  <c r="Q53" i="14" a="1"/>
  <c r="Q53" i="14" s="1"/>
  <c r="Q57" i="21" a="1"/>
  <c r="Q57" i="21" s="1"/>
  <c r="Q56" i="21" a="1"/>
  <c r="Q56" i="21" s="1"/>
  <c r="O55" i="14" a="1"/>
  <c r="O55" i="14" s="1"/>
  <c r="O57" i="21" a="1"/>
  <c r="O57" i="21" s="1"/>
  <c r="O56" i="21"/>
  <c r="D57" i="13"/>
  <c r="O39" i="21"/>
  <c r="O36" i="14"/>
  <c r="O38" i="16"/>
  <c r="O39" i="17"/>
  <c r="O37" i="18"/>
  <c r="O48" i="19"/>
  <c r="AE35" i="18"/>
  <c r="O35" i="18"/>
  <c r="AE37" i="17"/>
  <c r="O37" i="17"/>
  <c r="AE36" i="16"/>
  <c r="O36" i="16"/>
  <c r="AE34" i="14"/>
  <c r="O34" i="14"/>
  <c r="AE37" i="21"/>
  <c r="O37" i="21"/>
  <c r="AE37" i="15"/>
  <c r="O50" i="21"/>
  <c r="O49" i="21"/>
  <c r="O48" i="21"/>
  <c r="Q31" i="20" l="1"/>
  <c r="GT103" i="1"/>
  <c r="GS103" i="1"/>
  <c r="GR103" i="1"/>
  <c r="GQ103" i="1"/>
  <c r="GS104" i="1"/>
  <c r="GT104" i="1"/>
  <c r="GQ104" i="1"/>
  <c r="GV102" i="1"/>
  <c r="GV101" i="1" a="1"/>
  <c r="GV101" i="1" s="1"/>
  <c r="GS100" i="1"/>
  <c r="GR100" i="1" a="1"/>
  <c r="GR100" i="1" s="1"/>
  <c r="GT99" i="1" a="1"/>
  <c r="GT99" i="1" s="1"/>
  <c r="GS99" i="1" a="1"/>
  <c r="GS99" i="1" s="1"/>
  <c r="GR99" i="1" a="1"/>
  <c r="GR99" i="1" s="1"/>
  <c r="GT97" i="1" a="1"/>
  <c r="GT97" i="1" s="1"/>
  <c r="GS97" i="1" a="1"/>
  <c r="GS97" i="1" s="1"/>
  <c r="GR97" i="1" a="1"/>
  <c r="GR97" i="1" s="1"/>
  <c r="GS95" i="1"/>
  <c r="GV94" i="1"/>
  <c r="FM94" i="1" a="1"/>
  <c r="FM94" i="1" s="1"/>
  <c r="FD94" i="1" a="1"/>
  <c r="FD94" i="1" s="1"/>
  <c r="GR94" i="1" a="1"/>
  <c r="GR94" i="1" s="1"/>
  <c r="GT93" i="1" a="1"/>
  <c r="GT93" i="1" s="1"/>
  <c r="GS93" i="1" a="1"/>
  <c r="GS93" i="1" s="1"/>
  <c r="GR93" i="1" a="1"/>
  <c r="GR93" i="1" s="1"/>
  <c r="GS92" i="1" a="1"/>
  <c r="GS92" i="1" s="1"/>
  <c r="GU91" i="1" a="1"/>
  <c r="GU91" i="1" s="1"/>
  <c r="GT91" i="1" a="1"/>
  <c r="GT91" i="1" s="1"/>
  <c r="GS91" i="1" a="1"/>
  <c r="GS91" i="1" s="1"/>
  <c r="GR91" i="1" a="1"/>
  <c r="GR91" i="1" s="1"/>
  <c r="GT90" i="1" a="1"/>
  <c r="GT90" i="1" s="1"/>
  <c r="GS90" i="1" a="1"/>
  <c r="GS90" i="1" s="1"/>
  <c r="GR90" i="1" a="1"/>
  <c r="GR90" i="1" s="1"/>
  <c r="GT89" i="1" a="1"/>
  <c r="GT89" i="1" s="1"/>
  <c r="FY89" i="1" a="1"/>
  <c r="FY89" i="1" s="1"/>
  <c r="FS89" i="1" a="1"/>
  <c r="FS89" i="1" s="1"/>
  <c r="GR89" i="1" a="1"/>
  <c r="GR89" i="1" s="1"/>
  <c r="GQ88" i="1" a="1"/>
  <c r="GQ88" i="1" s="1"/>
  <c r="GP87" i="1" a="1"/>
  <c r="GP87" i="1" s="1"/>
  <c r="GK87" i="1" a="1"/>
  <c r="GK87" i="1" s="1"/>
  <c r="GE87" i="1" a="1"/>
  <c r="GE87" i="1" s="1"/>
  <c r="FY87" i="1" a="1"/>
  <c r="FY87" i="1" s="1"/>
  <c r="FS87" i="1" a="1"/>
  <c r="FS87" i="1" s="1"/>
  <c r="FM87" i="1"/>
  <c r="FG87" i="1" a="1"/>
  <c r="FG87" i="1" s="1"/>
  <c r="GS85" i="1" a="1"/>
  <c r="GS85" i="1" s="1"/>
  <c r="GT85" i="1" a="1"/>
  <c r="GT85" i="1" s="1"/>
  <c r="GR85" i="1" a="1"/>
  <c r="GR85" i="1" s="1"/>
  <c r="GT84" i="1" a="1"/>
  <c r="GT84" i="1" s="1"/>
  <c r="GS84" i="1" a="1"/>
  <c r="GS84" i="1" s="1"/>
  <c r="GR84" i="1" a="1"/>
  <c r="GR84" i="1" s="1"/>
  <c r="GS83" i="1" a="1"/>
  <c r="GS83" i="1" s="1"/>
  <c r="GT82" i="1" a="1"/>
  <c r="GT82" i="1" s="1"/>
  <c r="GR82" i="1" a="1"/>
  <c r="GR82" i="1" s="1"/>
  <c r="GS82" i="1" a="1"/>
  <c r="GS82" i="1" s="1"/>
  <c r="GT81" i="1" a="1"/>
  <c r="GT81" i="1" s="1"/>
  <c r="GS81" i="1" a="1"/>
  <c r="GS81" i="1" s="1"/>
  <c r="GR81" i="1" a="1"/>
  <c r="GR81" i="1" s="1"/>
  <c r="GS80" i="1" a="1"/>
  <c r="GS80" i="1" s="1"/>
  <c r="GT79" i="1" a="1"/>
  <c r="GT79" i="1" s="1"/>
  <c r="GS79" i="1" a="1"/>
  <c r="GS79" i="1" s="1"/>
  <c r="GR79" i="1" a="1"/>
  <c r="GR79" i="1" s="1"/>
  <c r="GV75" i="1" a="1"/>
  <c r="GV75" i="1" s="1"/>
  <c r="GT69" i="1" a="1"/>
  <c r="GT69" i="1" s="1"/>
  <c r="GR69" i="1" a="1"/>
  <c r="GR69" i="1" s="1"/>
  <c r="GQ69" i="1"/>
  <c r="GS69" i="1" a="1"/>
  <c r="GS69" i="1" s="1"/>
  <c r="GS68" i="1" a="1"/>
  <c r="GS68" i="1" s="1"/>
  <c r="GV68" i="1" s="1"/>
  <c r="GQ68" i="1" a="1"/>
  <c r="GQ68" i="1" s="1"/>
  <c r="GU67" i="1" a="1"/>
  <c r="GU67" i="1" s="1"/>
  <c r="GT67" i="1" a="1"/>
  <c r="GT67" i="1" s="1"/>
  <c r="GS67" i="1" a="1"/>
  <c r="GS67" i="1" s="1"/>
  <c r="GR67" i="1" a="1"/>
  <c r="GR67" i="1" s="1"/>
  <c r="GQ67" i="1"/>
  <c r="GQ66" i="1" a="1"/>
  <c r="GQ66" i="1" s="1"/>
  <c r="GQ65" i="1" a="1"/>
  <c r="GQ65" i="1" s="1"/>
  <c r="GQ64" i="1" a="1"/>
  <c r="GQ64" i="1" s="1"/>
  <c r="GQ63" i="1" a="1"/>
  <c r="GQ63" i="1" s="1"/>
  <c r="FW62" i="1" a="1"/>
  <c r="FW62" i="1" s="1"/>
  <c r="GS61" i="1" a="1"/>
  <c r="GS61" i="1" s="1"/>
  <c r="GS60" i="1" a="1"/>
  <c r="GS60" i="1" s="1"/>
  <c r="GT57" i="1" a="1"/>
  <c r="GT57" i="1" s="1"/>
  <c r="GS57" i="1" a="1"/>
  <c r="GS57" i="1" s="1"/>
  <c r="GQ57" i="1" a="1"/>
  <c r="GQ57" i="1" s="1"/>
  <c r="GS56" i="1"/>
  <c r="GQ56" i="1" a="1"/>
  <c r="GQ56" i="1" s="1"/>
  <c r="GU55" i="1" a="1"/>
  <c r="GU55" i="1" s="1"/>
  <c r="GT55" i="1" a="1"/>
  <c r="GT55" i="1" s="1"/>
  <c r="GS55" i="1"/>
  <c r="GQ55" i="1" a="1"/>
  <c r="GQ55" i="1" s="1"/>
  <c r="GS54" i="1" l="1" a="1"/>
  <c r="GS54" i="1" s="1"/>
  <c r="GV54" i="1" s="1"/>
  <c r="GQ54" i="1" a="1"/>
  <c r="GQ54" i="1" s="1"/>
  <c r="GU53" i="1" a="1"/>
  <c r="GU53" i="1" s="1"/>
  <c r="GT53" i="1" a="1"/>
  <c r="GT53" i="1" s="1"/>
  <c r="GS53" i="1" a="1"/>
  <c r="GS53" i="1" s="1"/>
  <c r="GU54" i="1" a="1"/>
  <c r="GU54" i="1" s="1"/>
  <c r="GT54" i="1" a="1"/>
  <c r="GT54" i="1" s="1"/>
  <c r="GQ53" i="1" a="1"/>
  <c r="GQ53" i="1" s="1"/>
  <c r="GQ52" i="1" a="1"/>
  <c r="GQ52" i="1" s="1"/>
  <c r="GQ49" i="1"/>
  <c r="GO49" i="1" a="1"/>
  <c r="GO49" i="1" s="1"/>
  <c r="GM49" i="1" a="1"/>
  <c r="GM49" i="1" s="1"/>
  <c r="GL49" i="1" a="1"/>
  <c r="GL49" i="1" s="1"/>
  <c r="GK49" i="1" a="1"/>
  <c r="GK49" i="1" s="1"/>
  <c r="GJ49" i="1" a="1"/>
  <c r="GJ49" i="1" s="1"/>
  <c r="GI49" i="1" a="1"/>
  <c r="GI49" i="1" s="1"/>
  <c r="GH49" i="1" a="1"/>
  <c r="GH49" i="1" s="1"/>
  <c r="GT48" i="1"/>
  <c r="GS48" i="1"/>
  <c r="GR48" i="1"/>
  <c r="GQ48" i="1"/>
  <c r="GM48" i="1" a="1"/>
  <c r="GM48" i="1" s="1"/>
  <c r="GL48" i="1" a="1"/>
  <c r="GL48" i="1" s="1"/>
  <c r="GK48" i="1" a="1"/>
  <c r="GK48" i="1" s="1"/>
  <c r="FN48" i="1" a="1"/>
  <c r="FN48" i="1" s="1"/>
  <c r="FM48" i="1" a="1"/>
  <c r="FM48" i="1" s="1"/>
  <c r="FE48" i="1" a="1"/>
  <c r="FE48" i="1" s="1"/>
  <c r="GT47" i="1"/>
  <c r="GS47" i="1" a="1"/>
  <c r="GS47" i="1" s="1"/>
  <c r="GR47" i="1" a="1"/>
  <c r="GR47" i="1" s="1"/>
  <c r="GQ47" i="1" a="1"/>
  <c r="GQ47" i="1" s="1"/>
  <c r="GS46" i="1" a="1"/>
  <c r="GS46" i="1" s="1"/>
  <c r="GV46" i="1" s="1"/>
  <c r="GR46" i="1" a="1"/>
  <c r="GR46" i="1" s="1"/>
  <c r="GQ46" i="1" a="1"/>
  <c r="GQ46" i="1" s="1"/>
  <c r="GS45" i="1"/>
  <c r="GT43" i="1"/>
  <c r="GS43" i="1" a="1"/>
  <c r="GS43" i="1" s="1"/>
  <c r="GV43" i="1" s="1"/>
  <c r="GR43" i="1" a="1"/>
  <c r="GR43" i="1" s="1"/>
  <c r="GQ43" i="1" a="1"/>
  <c r="GQ43" i="1" s="1"/>
  <c r="GT36" i="1" a="1"/>
  <c r="GT36" i="1" s="1"/>
  <c r="GS41" i="1"/>
  <c r="GV41" i="1" s="1"/>
  <c r="GS40" i="1" a="1"/>
  <c r="GS40" i="1" s="1"/>
  <c r="GV40" i="1" s="1"/>
  <c r="GS39" i="1" a="1"/>
  <c r="GS39" i="1" s="1"/>
  <c r="GV39" i="1" s="1"/>
  <c r="GS36" i="1" a="1"/>
  <c r="GS36" i="1" s="1"/>
  <c r="GV36" i="1" s="1"/>
  <c r="GR40" i="1" a="1"/>
  <c r="GR40" i="1" s="1"/>
  <c r="GR39" i="1" a="1"/>
  <c r="GR39" i="1" s="1"/>
  <c r="GQ36" i="1" a="1"/>
  <c r="GQ36" i="1" s="1"/>
  <c r="GT40" i="1" a="1"/>
  <c r="GT40" i="1" s="1"/>
  <c r="GQ39" i="1"/>
  <c r="GQ37" i="1" a="1"/>
  <c r="GQ37" i="1" s="1"/>
  <c r="GR37" i="1" a="1"/>
  <c r="GR37" i="1" s="1"/>
  <c r="GS37" i="1" a="1"/>
  <c r="GS37" i="1" s="1"/>
  <c r="GV37" i="1" s="1"/>
  <c r="GT37" i="1" a="1"/>
  <c r="GT37" i="1" s="1"/>
  <c r="GR36" i="1" a="1"/>
  <c r="GR36" i="1" s="1"/>
  <c r="GP38" i="1" a="1"/>
  <c r="GP38" i="1" s="1"/>
  <c r="GT38" i="1" s="1"/>
  <c r="GO38" i="1" a="1"/>
  <c r="GO38" i="1" s="1"/>
  <c r="GN38" i="1" a="1"/>
  <c r="GN38" i="1" s="1"/>
  <c r="GM38" i="1" a="1"/>
  <c r="GM38" i="1" s="1"/>
  <c r="GS38" i="1" s="1"/>
  <c r="GV38" i="1" s="1"/>
  <c r="GL38" i="1" a="1"/>
  <c r="GL38" i="1" s="1"/>
  <c r="GK38" i="1" a="1"/>
  <c r="GK38" i="1" s="1"/>
  <c r="GJ38" i="1" a="1"/>
  <c r="GJ38" i="1" s="1"/>
  <c r="GR38" i="1" s="1"/>
  <c r="GI38" i="1" a="1"/>
  <c r="GI38" i="1" s="1"/>
  <c r="GH38" i="1" a="1"/>
  <c r="GH38" i="1" s="1"/>
  <c r="GQ38" i="1" s="1"/>
  <c r="L52" i="24"/>
  <c r="AE53" i="24"/>
  <c r="AF53" i="24"/>
  <c r="AD53" i="24" s="1"/>
  <c r="V63" i="22"/>
  <c r="U63" i="22"/>
  <c r="FT63" i="22"/>
  <c r="FT65" i="22"/>
  <c r="O63" i="22"/>
  <c r="FT94" i="22"/>
  <c r="FT95" i="22"/>
  <c r="AF34" i="21"/>
  <c r="AE34" i="21"/>
  <c r="AD34" i="21"/>
  <c r="O34" i="21"/>
  <c r="L34" i="21"/>
  <c r="AF34" i="15"/>
  <c r="AE34" i="15"/>
  <c r="AD34" i="15"/>
  <c r="L34" i="15"/>
  <c r="O34" i="15" s="1"/>
  <c r="D52" i="19"/>
  <c r="BB52" i="19"/>
  <c r="AV40" i="1"/>
  <c r="AS77" i="14"/>
  <c r="AS35" i="14"/>
  <c r="D35" i="14" s="1"/>
  <c r="BS57" i="15"/>
  <c r="BS56" i="15"/>
  <c r="D73" i="15"/>
  <c r="D72" i="15"/>
  <c r="D71" i="13"/>
  <c r="AS71" i="13"/>
  <c r="AS75" i="13"/>
  <c r="D103" i="18"/>
  <c r="D78" i="18"/>
  <c r="D54" i="18"/>
  <c r="D51" i="18"/>
  <c r="D50" i="18"/>
  <c r="D45" i="18"/>
  <c r="D44" i="18"/>
  <c r="D43" i="18"/>
  <c r="D42" i="18"/>
  <c r="D41" i="18"/>
  <c r="D40" i="18"/>
  <c r="D39" i="18"/>
  <c r="D95" i="22"/>
  <c r="D94" i="22"/>
  <c r="BK89" i="22"/>
  <c r="BA89" i="22"/>
  <c r="D87" i="22"/>
  <c r="BA86" i="22"/>
  <c r="BK85" i="22"/>
  <c r="AL84" i="22"/>
  <c r="D82" i="22"/>
  <c r="D76" i="22"/>
  <c r="BA75" i="22"/>
  <c r="D75" i="22"/>
  <c r="D73" i="22"/>
  <c r="D71" i="22"/>
  <c r="D61" i="22"/>
  <c r="D51" i="22"/>
  <c r="D49" i="22"/>
  <c r="D41" i="22"/>
  <c r="D54" i="24"/>
  <c r="D45" i="24"/>
  <c r="D44" i="24"/>
  <c r="AO56" i="24"/>
  <c r="D50" i="24"/>
  <c r="D98" i="1"/>
  <c r="D92" i="1"/>
  <c r="D83" i="1"/>
  <c r="D80" i="1"/>
  <c r="D68" i="1"/>
  <c r="D61" i="20"/>
  <c r="D60" i="20"/>
  <c r="D58" i="20"/>
  <c r="D51" i="20"/>
  <c r="D48" i="20"/>
  <c r="D49" i="20"/>
  <c r="D50" i="20"/>
  <c r="D47" i="20"/>
  <c r="D36" i="20"/>
  <c r="D37" i="20"/>
  <c r="D38" i="20"/>
  <c r="D39" i="20"/>
  <c r="D40" i="20"/>
  <c r="D41" i="20"/>
  <c r="D42" i="20"/>
  <c r="D35" i="20"/>
  <c r="AJ45" i="1"/>
  <c r="BT105" i="1"/>
  <c r="BT103" i="1"/>
  <c r="BT97" i="1"/>
  <c r="CF91" i="1"/>
  <c r="BT91" i="1"/>
  <c r="CF89" i="1"/>
  <c r="BT89" i="1"/>
  <c r="DM87" i="1"/>
  <c r="DB87" i="1"/>
  <c r="CQ87" i="1"/>
  <c r="CF87" i="1"/>
  <c r="BT87" i="1"/>
  <c r="BT82" i="1"/>
  <c r="BT81" i="1"/>
  <c r="BT80" i="1"/>
  <c r="CF79" i="1"/>
  <c r="BT79" i="1"/>
  <c r="CF69" i="1"/>
  <c r="BT69" i="1"/>
  <c r="BT67" i="1"/>
  <c r="CF62" i="1"/>
  <c r="BT62" i="1"/>
  <c r="BT61" i="1"/>
  <c r="BT60" i="1"/>
  <c r="BT55" i="1"/>
  <c r="BT54" i="1"/>
  <c r="BT53" i="1"/>
  <c r="DY48" i="1"/>
  <c r="DN48" i="1"/>
  <c r="DC48" i="1"/>
  <c r="D48" i="1" s="1"/>
  <c r="CR48" i="1"/>
  <c r="CF48" i="1"/>
  <c r="BT48" i="1"/>
  <c r="BT47" i="1"/>
  <c r="BT46" i="1"/>
  <c r="BT43" i="1"/>
  <c r="BT40" i="1"/>
  <c r="EH38" i="1"/>
  <c r="DT38" i="1"/>
  <c r="CR38" i="1"/>
  <c r="CF38" i="1"/>
  <c r="BT38" i="1"/>
  <c r="BT37" i="1"/>
  <c r="BT36" i="1"/>
  <c r="BH106" i="1"/>
  <c r="BH105" i="1"/>
  <c r="BH104" i="1"/>
  <c r="BH103" i="1"/>
  <c r="BH99" i="1"/>
  <c r="BH97" i="1"/>
  <c r="BH95" i="1"/>
  <c r="BH93" i="1"/>
  <c r="BH91" i="1"/>
  <c r="BH90" i="1"/>
  <c r="BH89" i="1"/>
  <c r="BH87" i="1"/>
  <c r="BH85" i="1"/>
  <c r="BH84" i="1"/>
  <c r="BH83" i="1"/>
  <c r="BH82" i="1"/>
  <c r="BH81" i="1"/>
  <c r="BH80" i="1"/>
  <c r="BH79" i="1"/>
  <c r="BH69" i="1"/>
  <c r="BH67" i="1"/>
  <c r="BH62" i="1"/>
  <c r="BH61" i="1"/>
  <c r="BH60" i="1"/>
  <c r="BH57" i="1"/>
  <c r="BH55" i="1"/>
  <c r="BH54" i="1"/>
  <c r="BH53" i="1"/>
  <c r="BH49" i="1"/>
  <c r="BH48" i="1"/>
  <c r="BH47" i="1"/>
  <c r="BH46" i="1"/>
  <c r="D46" i="1" s="1"/>
  <c r="BH43" i="1"/>
  <c r="BH40" i="1"/>
  <c r="BH39" i="1"/>
  <c r="BH38" i="1"/>
  <c r="BH37" i="1"/>
  <c r="BH36" i="1"/>
  <c r="AV106" i="1"/>
  <c r="D106" i="1" s="1"/>
  <c r="AV105" i="1"/>
  <c r="AV104" i="1"/>
  <c r="D104" i="1" s="1"/>
  <c r="AV103" i="1"/>
  <c r="AV100" i="1"/>
  <c r="AV99" i="1"/>
  <c r="AV98" i="1"/>
  <c r="AV97" i="1"/>
  <c r="AV95" i="1"/>
  <c r="AV94" i="1"/>
  <c r="AV93" i="1"/>
  <c r="AV91" i="1"/>
  <c r="AV90" i="1"/>
  <c r="AV89" i="1"/>
  <c r="AV87" i="1"/>
  <c r="AV85" i="1"/>
  <c r="AV84" i="1"/>
  <c r="AV83" i="1"/>
  <c r="AV82" i="1"/>
  <c r="AV81" i="1"/>
  <c r="AV80" i="1"/>
  <c r="AV79" i="1"/>
  <c r="AV69" i="1"/>
  <c r="AV67" i="1"/>
  <c r="AV62" i="1"/>
  <c r="AV61" i="1"/>
  <c r="D61" i="1" s="1"/>
  <c r="AV60" i="1"/>
  <c r="D60" i="1" s="1"/>
  <c r="AV57" i="1"/>
  <c r="D57" i="1" s="1"/>
  <c r="AV56" i="1"/>
  <c r="D56" i="1" s="1"/>
  <c r="AV55" i="1"/>
  <c r="D55" i="1" s="1"/>
  <c r="AV54" i="1"/>
  <c r="AV53" i="1"/>
  <c r="AV48" i="1"/>
  <c r="AV47" i="1"/>
  <c r="AV46" i="1"/>
  <c r="AV43" i="1"/>
  <c r="AV39" i="1"/>
  <c r="AV38" i="1"/>
  <c r="AV37" i="1"/>
  <c r="AV36" i="1"/>
  <c r="AJ108" i="1"/>
  <c r="D108" i="1" s="1"/>
  <c r="AJ107" i="1"/>
  <c r="AJ106" i="1"/>
  <c r="AJ105" i="1"/>
  <c r="AJ104" i="1"/>
  <c r="AJ103" i="1"/>
  <c r="AJ101" i="1"/>
  <c r="AJ100" i="1"/>
  <c r="AJ99" i="1"/>
  <c r="AJ98" i="1"/>
  <c r="AJ97" i="1"/>
  <c r="AJ95" i="1"/>
  <c r="AJ94" i="1"/>
  <c r="AJ93" i="1"/>
  <c r="AJ92" i="1"/>
  <c r="AJ91" i="1"/>
  <c r="AJ90" i="1"/>
  <c r="AJ89" i="1"/>
  <c r="AJ88" i="1"/>
  <c r="AJ87" i="1"/>
  <c r="AJ85" i="1"/>
  <c r="AJ84" i="1"/>
  <c r="AJ83" i="1"/>
  <c r="AJ82" i="1"/>
  <c r="AJ81" i="1"/>
  <c r="AJ80" i="1"/>
  <c r="AJ79" i="1"/>
  <c r="AJ78" i="1"/>
  <c r="D78" i="1" s="1"/>
  <c r="AJ75" i="1"/>
  <c r="AJ69" i="1"/>
  <c r="AJ68" i="1"/>
  <c r="AJ67" i="1"/>
  <c r="AJ66" i="1"/>
  <c r="AJ65" i="1"/>
  <c r="AJ64" i="1"/>
  <c r="AJ63" i="1"/>
  <c r="AJ62" i="1"/>
  <c r="AJ61" i="1"/>
  <c r="AJ60" i="1"/>
  <c r="AJ59" i="1"/>
  <c r="AJ58" i="1"/>
  <c r="AJ57" i="1"/>
  <c r="AJ56" i="1"/>
  <c r="AJ55" i="1"/>
  <c r="AJ54" i="1"/>
  <c r="AJ53" i="1"/>
  <c r="AJ52" i="1"/>
  <c r="D52" i="1" s="1"/>
  <c r="AJ49" i="1"/>
  <c r="AJ46" i="1"/>
  <c r="AJ44" i="1"/>
  <c r="AJ43" i="1"/>
  <c r="AJ41" i="1"/>
  <c r="D41" i="1" s="1"/>
  <c r="AJ40" i="1"/>
  <c r="AJ39" i="1"/>
  <c r="AJ38" i="1"/>
  <c r="AJ37" i="1"/>
  <c r="AJ36" i="1"/>
  <c r="AJ47" i="1"/>
  <c r="AJ48" i="1"/>
  <c r="AJ50" i="1"/>
  <c r="D50" i="1" s="1"/>
  <c r="AM61" i="20"/>
  <c r="AM60" i="20"/>
  <c r="AM58" i="20"/>
  <c r="AT52" i="20"/>
  <c r="AT46" i="20"/>
  <c r="AT45" i="20"/>
  <c r="D45" i="20" s="1"/>
  <c r="AT43" i="20"/>
  <c r="AM46" i="20"/>
  <c r="AM47" i="20"/>
  <c r="AM48" i="20"/>
  <c r="AM49" i="20"/>
  <c r="AM50" i="20"/>
  <c r="AM51" i="20"/>
  <c r="AM52" i="20"/>
  <c r="AM45" i="20"/>
  <c r="AM36" i="20"/>
  <c r="AM37" i="20"/>
  <c r="AM38" i="20"/>
  <c r="AM39" i="20"/>
  <c r="AM40" i="20"/>
  <c r="AM41" i="20"/>
  <c r="AM42" i="20"/>
  <c r="AM43" i="20"/>
  <c r="AM35" i="20"/>
  <c r="BA32" i="20"/>
  <c r="BA31" i="20"/>
  <c r="AT32" i="20"/>
  <c r="AT31" i="20"/>
  <c r="AM31" i="20"/>
  <c r="AM32" i="20"/>
  <c r="D55" i="20"/>
  <c r="D46" i="20"/>
  <c r="AE66" i="20"/>
  <c r="AD66" i="20"/>
  <c r="L66" i="20"/>
  <c r="AE65" i="20"/>
  <c r="AD65" i="20"/>
  <c r="AE64" i="20"/>
  <c r="AD64" i="20"/>
  <c r="AE63" i="20"/>
  <c r="AD63" i="20"/>
  <c r="L63" i="20"/>
  <c r="AE62" i="20"/>
  <c r="AD62" i="20"/>
  <c r="L62" i="20"/>
  <c r="AE61" i="20"/>
  <c r="AD61" i="20"/>
  <c r="L61" i="20"/>
  <c r="AE60" i="20"/>
  <c r="AD60" i="20"/>
  <c r="L60" i="20"/>
  <c r="AE59" i="20"/>
  <c r="AD59" i="20"/>
  <c r="L59" i="20"/>
  <c r="AE58" i="20"/>
  <c r="AD58" i="20"/>
  <c r="L58" i="20"/>
  <c r="AE57" i="20"/>
  <c r="AE56" i="20"/>
  <c r="AD56" i="20"/>
  <c r="L56" i="20"/>
  <c r="AE55" i="20"/>
  <c r="AE54" i="20"/>
  <c r="AE52" i="20"/>
  <c r="AE51" i="20"/>
  <c r="AD51" i="20"/>
  <c r="L51" i="20"/>
  <c r="AE50" i="20"/>
  <c r="AD50" i="20"/>
  <c r="L50" i="20"/>
  <c r="AE49" i="20"/>
  <c r="AD49" i="20"/>
  <c r="L49" i="20"/>
  <c r="AE48" i="20"/>
  <c r="AD48" i="20"/>
  <c r="L48" i="20"/>
  <c r="AE47" i="20"/>
  <c r="AD47" i="20"/>
  <c r="L47" i="20"/>
  <c r="AE46" i="20"/>
  <c r="AE45" i="20"/>
  <c r="AD45" i="20"/>
  <c r="L45" i="20"/>
  <c r="AE44" i="20"/>
  <c r="AD44" i="20"/>
  <c r="L44" i="20"/>
  <c r="AE43" i="20"/>
  <c r="L42" i="20"/>
  <c r="AE41" i="20"/>
  <c r="AD41" i="20"/>
  <c r="L41" i="20"/>
  <c r="AE40" i="20"/>
  <c r="AD40" i="20"/>
  <c r="L40" i="20"/>
  <c r="AE39" i="20"/>
  <c r="AD39" i="20"/>
  <c r="L39" i="20"/>
  <c r="AE38" i="20"/>
  <c r="AD38" i="20"/>
  <c r="L38" i="20"/>
  <c r="AE37" i="20"/>
  <c r="AD37" i="20"/>
  <c r="L37" i="20"/>
  <c r="AE36" i="20"/>
  <c r="AD36" i="20"/>
  <c r="L36" i="20"/>
  <c r="AE35" i="20"/>
  <c r="AD35" i="20"/>
  <c r="L35" i="20"/>
  <c r="AE34" i="20"/>
  <c r="AD34" i="20"/>
  <c r="L34" i="20"/>
  <c r="AE33" i="20"/>
  <c r="AD33" i="20"/>
  <c r="L33" i="20"/>
  <c r="D72" i="1"/>
  <c r="D62" i="1"/>
  <c r="D59" i="1"/>
  <c r="D58" i="1"/>
  <c r="D49" i="1"/>
  <c r="D45" i="1"/>
  <c r="D97" i="22"/>
  <c r="D96" i="22"/>
  <c r="D34" i="22"/>
  <c r="D77" i="22"/>
  <c r="D72" i="22"/>
  <c r="D64" i="22"/>
  <c r="D60" i="22"/>
  <c r="D54" i="22"/>
  <c r="D53" i="22"/>
  <c r="D52" i="22"/>
  <c r="D50" i="22"/>
  <c r="D44" i="22"/>
  <c r="D42" i="22"/>
  <c r="D40" i="22"/>
  <c r="D36" i="22"/>
  <c r="D90" i="22"/>
  <c r="D39" i="22"/>
  <c r="DM33" i="19"/>
  <c r="DM32" i="19"/>
  <c r="DM31" i="19"/>
  <c r="D75" i="19"/>
  <c r="D74" i="19"/>
  <c r="D76" i="19"/>
  <c r="D77" i="19"/>
  <c r="BB76" i="19"/>
  <c r="D69" i="19"/>
  <c r="D70" i="19"/>
  <c r="D71" i="19"/>
  <c r="D72" i="19"/>
  <c r="D73" i="19"/>
  <c r="D68" i="19"/>
  <c r="BB77" i="19"/>
  <c r="BB75" i="19"/>
  <c r="BB74" i="19"/>
  <c r="BB69" i="19"/>
  <c r="BB70" i="19"/>
  <c r="BB71" i="19"/>
  <c r="BB72" i="19"/>
  <c r="BB73" i="19"/>
  <c r="BB68" i="19"/>
  <c r="D63" i="19"/>
  <c r="D64" i="19"/>
  <c r="D65" i="19"/>
  <c r="D61" i="19"/>
  <c r="D62" i="19"/>
  <c r="D60" i="19"/>
  <c r="D59" i="19"/>
  <c r="D58" i="19"/>
  <c r="D57" i="19"/>
  <c r="D56" i="19"/>
  <c r="D50" i="19"/>
  <c r="D49" i="19"/>
  <c r="BB50" i="19"/>
  <c r="BB49" i="19"/>
  <c r="D74" i="22" l="1"/>
  <c r="D88" i="22"/>
  <c r="D59" i="22" a="1"/>
  <c r="D59" i="22" s="1"/>
  <c r="D83" i="22"/>
  <c r="D105" i="1"/>
  <c r="D47" i="1"/>
  <c r="L53" i="24"/>
  <c r="O53" i="24" s="1"/>
  <c r="D39" i="1"/>
  <c r="D43" i="1"/>
  <c r="D103" i="1"/>
  <c r="D45" i="19"/>
  <c r="D46" i="19"/>
  <c r="BB46" i="19"/>
  <c r="BB45" i="19" l="1"/>
  <c r="BB56" i="19"/>
  <c r="BB57" i="19"/>
  <c r="BB58" i="19"/>
  <c r="BB59" i="19"/>
  <c r="BB60" i="19"/>
  <c r="BB61" i="19"/>
  <c r="BB62" i="19"/>
  <c r="BB63" i="19"/>
  <c r="BB64" i="19"/>
  <c r="BB65" i="19"/>
  <c r="D44" i="19" a="1"/>
  <c r="D44" i="19" s="1"/>
  <c r="AE44" i="19"/>
  <c r="L78" i="19"/>
  <c r="AD84" i="19"/>
  <c r="AC84" i="19"/>
  <c r="L84" i="19"/>
  <c r="O84" i="19" s="1"/>
  <c r="D82" i="19" a="1"/>
  <c r="D82" i="19" s="1"/>
  <c r="D80" i="19" a="1"/>
  <c r="D80" i="19" s="1"/>
  <c r="D54" i="19"/>
  <c r="CR33" i="19"/>
  <c r="CR32" i="19"/>
  <c r="CR31" i="19"/>
  <c r="BW33" i="19"/>
  <c r="BW32" i="19"/>
  <c r="BW31" i="19"/>
  <c r="BB33" i="19"/>
  <c r="BB32" i="19"/>
  <c r="BB31" i="19"/>
  <c r="L68" i="19"/>
  <c r="O68" i="19"/>
  <c r="AD68" i="19"/>
  <c r="AE68" i="19"/>
  <c r="L69" i="19"/>
  <c r="O69" i="19"/>
  <c r="AD69" i="19"/>
  <c r="AE69" i="19"/>
  <c r="L70" i="19"/>
  <c r="O70" i="19"/>
  <c r="AD70" i="19"/>
  <c r="AE70" i="19"/>
  <c r="L71" i="19"/>
  <c r="O71" i="19"/>
  <c r="AD71" i="19"/>
  <c r="AE71" i="19"/>
  <c r="L72" i="19"/>
  <c r="O72" i="19"/>
  <c r="AD72" i="19"/>
  <c r="AE72" i="19"/>
  <c r="L73" i="19"/>
  <c r="O73" i="19"/>
  <c r="AD73" i="19"/>
  <c r="AE73" i="19"/>
  <c r="AS79" i="18"/>
  <c r="AE79" i="18"/>
  <c r="AD79" i="18"/>
  <c r="L79" i="18"/>
  <c r="O79" i="18" s="1"/>
  <c r="D79" i="18"/>
  <c r="D71" i="18"/>
  <c r="AS71" i="18"/>
  <c r="AS50" i="18"/>
  <c r="AS51" i="18"/>
  <c r="D32" i="18"/>
  <c r="D31" i="18"/>
  <c r="AS32" i="18"/>
  <c r="AS31" i="18"/>
  <c r="BE78" i="18"/>
  <c r="AS78" i="18"/>
  <c r="AD78" i="18"/>
  <c r="AC78" i="18"/>
  <c r="L78" i="18"/>
  <c r="O78" i="18" s="1"/>
  <c r="AD77" i="18"/>
  <c r="L77" i="18" s="1"/>
  <c r="O77" i="18" s="1"/>
  <c r="AC77" i="18"/>
  <c r="AS76" i="18"/>
  <c r="AD76" i="18"/>
  <c r="AC76" i="18"/>
  <c r="L76" i="18"/>
  <c r="O76" i="18" s="1"/>
  <c r="D76" i="18"/>
  <c r="AS75" i="18"/>
  <c r="AD75" i="18"/>
  <c r="L75" i="18" s="1"/>
  <c r="O75" i="18" s="1"/>
  <c r="AC75" i="18"/>
  <c r="D75" i="18"/>
  <c r="AS74" i="18"/>
  <c r="AD74" i="18"/>
  <c r="L74" i="18" s="1"/>
  <c r="O74" i="18" s="1"/>
  <c r="AC74" i="18"/>
  <c r="D74" i="18"/>
  <c r="BE73" i="18"/>
  <c r="AD73" i="18"/>
  <c r="AC73" i="18"/>
  <c r="L73" i="18"/>
  <c r="O73" i="18" s="1"/>
  <c r="D73" i="18"/>
  <c r="BE72" i="18"/>
  <c r="AD72" i="18"/>
  <c r="L72" i="18" s="1"/>
  <c r="O72" i="18" s="1"/>
  <c r="AC72" i="18"/>
  <c r="D72" i="18"/>
  <c r="AS70" i="18"/>
  <c r="AD70" i="18"/>
  <c r="AC70" i="18"/>
  <c r="L70" i="18"/>
  <c r="O70" i="18" s="1"/>
  <c r="D70" i="18"/>
  <c r="AD69" i="18"/>
  <c r="L69" i="18" s="1"/>
  <c r="O69" i="18" s="1"/>
  <c r="AC69" i="18"/>
  <c r="AD68" i="18"/>
  <c r="AC68" i="18"/>
  <c r="L68" i="18"/>
  <c r="O68" i="18" s="1"/>
  <c r="AD67" i="18"/>
  <c r="L67" i="18" s="1"/>
  <c r="O67" i="18" s="1"/>
  <c r="AC67" i="18"/>
  <c r="AD66" i="18"/>
  <c r="L66" i="18" s="1"/>
  <c r="O66" i="18" s="1"/>
  <c r="AC66" i="18"/>
  <c r="AD65" i="18"/>
  <c r="AC65" i="18"/>
  <c r="L65" i="18"/>
  <c r="O65" i="18" s="1"/>
  <c r="AS64" i="18"/>
  <c r="AD64" i="18"/>
  <c r="L64" i="18" s="1"/>
  <c r="O64" i="18" s="1"/>
  <c r="AC64" i="18"/>
  <c r="D64" i="18"/>
  <c r="AS63" i="18"/>
  <c r="AD63" i="18"/>
  <c r="L63" i="18" s="1"/>
  <c r="O63" i="18" s="1"/>
  <c r="AC63" i="18"/>
  <c r="D63" i="18"/>
  <c r="AS62" i="18"/>
  <c r="AD62" i="18"/>
  <c r="AC62" i="18"/>
  <c r="L62" i="18"/>
  <c r="O62" i="18" s="1"/>
  <c r="D62" i="18"/>
  <c r="AS61" i="18"/>
  <c r="AD61" i="18"/>
  <c r="L61" i="18" s="1"/>
  <c r="O61" i="18" s="1"/>
  <c r="AC61" i="18"/>
  <c r="D61" i="18"/>
  <c r="AD60" i="18"/>
  <c r="AC60" i="18"/>
  <c r="L60" i="18"/>
  <c r="O60" i="18" s="1"/>
  <c r="AS59" i="18"/>
  <c r="AD59" i="18"/>
  <c r="L59" i="18" s="1"/>
  <c r="O59" i="18" s="1"/>
  <c r="AC59" i="18"/>
  <c r="D59" i="18"/>
  <c r="AS58" i="18"/>
  <c r="AD58" i="18"/>
  <c r="AC58" i="18"/>
  <c r="L58" i="18"/>
  <c r="O58" i="18" s="1"/>
  <c r="D58" i="18"/>
  <c r="AD57" i="18"/>
  <c r="AC57" i="18"/>
  <c r="L57" i="18"/>
  <c r="O57" i="18" s="1" a="1"/>
  <c r="O57" i="18" s="1"/>
  <c r="IE56" i="18"/>
  <c r="HS56" i="18"/>
  <c r="HG56" i="18" s="1"/>
  <c r="HE56" i="18"/>
  <c r="GS56" i="18"/>
  <c r="GG56" i="18" s="1"/>
  <c r="GE56" i="18"/>
  <c r="FS56" i="18"/>
  <c r="FG56" i="18" s="1"/>
  <c r="FE56" i="18"/>
  <c r="EG56" i="18" s="1"/>
  <c r="ES56" i="18"/>
  <c r="EE56" i="18"/>
  <c r="DS56" i="18"/>
  <c r="DG56" i="18" s="1"/>
  <c r="DE56" i="18"/>
  <c r="CS56" i="18"/>
  <c r="CG56" i="18" s="1"/>
  <c r="CE56" i="18"/>
  <c r="BS56" i="18"/>
  <c r="BG56" i="18" s="1"/>
  <c r="BE56" i="18"/>
  <c r="AS56" i="18"/>
  <c r="AG56" i="18" s="1"/>
  <c r="AD56" i="18"/>
  <c r="AC56" i="18"/>
  <c r="L56" i="18"/>
  <c r="O56" i="18" s="1" a="1"/>
  <c r="O56" i="18" s="1"/>
  <c r="KE55" i="18"/>
  <c r="JS55" i="18"/>
  <c r="JG55" i="18" s="1"/>
  <c r="JE55" i="18"/>
  <c r="IS55" i="18"/>
  <c r="IG55" i="18" s="1"/>
  <c r="IE55" i="18"/>
  <c r="HS55" i="18"/>
  <c r="HG55" i="18" s="1"/>
  <c r="HE55" i="18"/>
  <c r="GS55" i="18"/>
  <c r="GG55" i="18" s="1"/>
  <c r="GE55" i="18"/>
  <c r="FS55" i="18"/>
  <c r="FG55" i="18" s="1"/>
  <c r="FE55" i="18"/>
  <c r="ES55" i="18"/>
  <c r="EG55" i="18" s="1"/>
  <c r="EE55" i="18"/>
  <c r="DS55" i="18"/>
  <c r="DG55" i="18" s="1"/>
  <c r="DE55" i="18"/>
  <c r="CS55" i="18"/>
  <c r="CG55" i="18" s="1"/>
  <c r="CE55" i="18"/>
  <c r="BS55" i="18"/>
  <c r="BG55" i="18" s="1"/>
  <c r="BE55" i="18"/>
  <c r="AS55" i="18"/>
  <c r="AG55" i="18" s="1"/>
  <c r="AD55" i="18"/>
  <c r="AC55" i="18"/>
  <c r="D55" i="18"/>
  <c r="L55" i="18"/>
  <c r="O55" i="18" s="1"/>
  <c r="BE54" i="18"/>
  <c r="AS54" i="18"/>
  <c r="AD54" i="18"/>
  <c r="L54" i="18" s="1"/>
  <c r="O54" i="18" s="1"/>
  <c r="AC54" i="18"/>
  <c r="AD53" i="18"/>
  <c r="L53" i="18" s="1"/>
  <c r="O53" i="18" s="1"/>
  <c r="AC53" i="18"/>
  <c r="AD52" i="18"/>
  <c r="AC52" i="18"/>
  <c r="O52" i="18"/>
  <c r="L52" i="18"/>
  <c r="AS49" i="18"/>
  <c r="AD49" i="18"/>
  <c r="L49" i="18" s="1"/>
  <c r="O49" i="18" s="1"/>
  <c r="AC49" i="18"/>
  <c r="D49" i="18"/>
  <c r="AS48" i="18"/>
  <c r="AD48" i="18"/>
  <c r="AC48" i="18"/>
  <c r="L48" i="18"/>
  <c r="O48" i="18" s="1"/>
  <c r="AS47" i="18"/>
  <c r="AD47" i="18"/>
  <c r="AC47" i="18"/>
  <c r="L47" i="18"/>
  <c r="O47" i="18" s="1"/>
  <c r="AS46" i="18"/>
  <c r="AD46" i="18"/>
  <c r="AC46" i="18"/>
  <c r="L46" i="18"/>
  <c r="O46" i="18" s="1"/>
  <c r="BE45" i="18"/>
  <c r="AS45" i="18"/>
  <c r="AD45" i="18"/>
  <c r="L45" i="18" s="1"/>
  <c r="O45" i="18" s="1"/>
  <c r="AC45" i="18"/>
  <c r="BE44" i="18"/>
  <c r="AS44" i="18"/>
  <c r="AD44" i="18"/>
  <c r="AC44" i="18"/>
  <c r="L44" i="18"/>
  <c r="O44" i="18" s="1"/>
  <c r="BE43" i="18"/>
  <c r="AS43" i="18"/>
  <c r="AD43" i="18"/>
  <c r="L43" i="18" s="1"/>
  <c r="O43" i="18" s="1"/>
  <c r="AC43" i="18"/>
  <c r="BE42" i="18"/>
  <c r="AS42" i="18"/>
  <c r="AD42" i="18"/>
  <c r="AC42" i="18"/>
  <c r="L42" i="18"/>
  <c r="O42" i="18" s="1"/>
  <c r="BE41" i="18"/>
  <c r="AS41" i="18"/>
  <c r="AD41" i="18"/>
  <c r="L41" i="18" s="1"/>
  <c r="O41" i="18" s="1"/>
  <c r="AC41" i="18"/>
  <c r="BE40" i="18"/>
  <c r="AS40" i="18"/>
  <c r="AD40" i="18"/>
  <c r="AC40" i="18"/>
  <c r="L40" i="18"/>
  <c r="O40" i="18" s="1"/>
  <c r="BE39" i="18"/>
  <c r="AS39" i="18"/>
  <c r="AD39" i="18"/>
  <c r="L39" i="18" s="1"/>
  <c r="O39" i="18" s="1"/>
  <c r="AC39" i="18"/>
  <c r="AD38" i="18"/>
  <c r="AC38" i="18"/>
  <c r="L38" i="18"/>
  <c r="O38" i="18" s="1"/>
  <c r="AD37" i="18"/>
  <c r="AC37" i="18"/>
  <c r="L37" i="18"/>
  <c r="AS36" i="18"/>
  <c r="AD36" i="18"/>
  <c r="AC36" i="18"/>
  <c r="L36" i="18"/>
  <c r="O36" i="18" s="1"/>
  <c r="D36" i="18"/>
  <c r="AD34" i="18"/>
  <c r="L34" i="18"/>
  <c r="O34" i="18" s="1"/>
  <c r="AD33" i="18"/>
  <c r="AC33" i="18"/>
  <c r="L33" i="18"/>
  <c r="O33" i="18" s="1"/>
  <c r="BE103" i="18"/>
  <c r="AS103" i="18"/>
  <c r="AD103" i="18"/>
  <c r="AC103" i="18"/>
  <c r="O103" i="18"/>
  <c r="AD102" i="18"/>
  <c r="AC102" i="18"/>
  <c r="L102" i="18"/>
  <c r="O102" i="18" s="1"/>
  <c r="AD101" i="18"/>
  <c r="L101" i="18" s="1"/>
  <c r="O101" i="18" s="1"/>
  <c r="AC101" i="18"/>
  <c r="AD100" i="18"/>
  <c r="L100" i="18" s="1"/>
  <c r="O100" i="18" s="1"/>
  <c r="AC100" i="18"/>
  <c r="AD99" i="18"/>
  <c r="AC99" i="18"/>
  <c r="L99" i="18"/>
  <c r="O99" i="18" s="1"/>
  <c r="AD98" i="18"/>
  <c r="L98" i="18" s="1"/>
  <c r="O98" i="18" s="1"/>
  <c r="AC98" i="18"/>
  <c r="AD97" i="18"/>
  <c r="AC97" i="18"/>
  <c r="L97" i="18"/>
  <c r="O97" i="18" s="1"/>
  <c r="AD96" i="18"/>
  <c r="L96" i="18" s="1"/>
  <c r="O96" i="18" s="1"/>
  <c r="AC96" i="18"/>
  <c r="AD95" i="18"/>
  <c r="AC95" i="18"/>
  <c r="L95" i="18"/>
  <c r="O95" i="18" s="1"/>
  <c r="AS94" i="18"/>
  <c r="AD94" i="18"/>
  <c r="L94" i="18" s="1"/>
  <c r="O94" i="18" s="1"/>
  <c r="AC94" i="18"/>
  <c r="D94" i="18"/>
  <c r="AS93" i="18"/>
  <c r="AD93" i="18"/>
  <c r="AC93" i="18"/>
  <c r="L93" i="18"/>
  <c r="O93" i="18" s="1"/>
  <c r="D93" i="18"/>
  <c r="AS92" i="18"/>
  <c r="AD92" i="18"/>
  <c r="L92" i="18" s="1"/>
  <c r="O92" i="18" s="1"/>
  <c r="AC92" i="18"/>
  <c r="D92" i="18"/>
  <c r="AS91" i="18"/>
  <c r="AD91" i="18"/>
  <c r="AC91" i="18"/>
  <c r="L91" i="18"/>
  <c r="O91" i="18" s="1"/>
  <c r="D91" i="18"/>
  <c r="AS90" i="18"/>
  <c r="AD90" i="18"/>
  <c r="AC90" i="18"/>
  <c r="L90" i="18"/>
  <c r="O90" i="18" s="1"/>
  <c r="D90" i="18"/>
  <c r="AS89" i="18"/>
  <c r="AD89" i="18"/>
  <c r="AC89" i="18"/>
  <c r="L89" i="18"/>
  <c r="O89" i="18" s="1"/>
  <c r="D89" i="18"/>
  <c r="AS88" i="18"/>
  <c r="AD88" i="18"/>
  <c r="L88" i="18" s="1"/>
  <c r="O88" i="18" s="1"/>
  <c r="AC88" i="18"/>
  <c r="D88" i="18"/>
  <c r="AS87" i="18"/>
  <c r="AD87" i="18"/>
  <c r="AC87" i="18"/>
  <c r="L87" i="18"/>
  <c r="O87" i="18" s="1"/>
  <c r="D87" i="18"/>
  <c r="AS86" i="18"/>
  <c r="AD86" i="18"/>
  <c r="L86" i="18" s="1"/>
  <c r="O86" i="18" s="1"/>
  <c r="AC86" i="18"/>
  <c r="D86" i="18"/>
  <c r="AS85" i="18"/>
  <c r="AD85" i="18"/>
  <c r="L85" i="18" s="1"/>
  <c r="O85" i="18" s="1"/>
  <c r="AC85" i="18"/>
  <c r="D85" i="18"/>
  <c r="AS84" i="18"/>
  <c r="AD84" i="18"/>
  <c r="AC84" i="18"/>
  <c r="L84" i="18"/>
  <c r="O84" i="18" s="1"/>
  <c r="D84" i="18"/>
  <c r="AS83" i="18"/>
  <c r="AD83" i="18"/>
  <c r="L83" i="18" s="1"/>
  <c r="O83" i="18" s="1"/>
  <c r="AC83" i="18"/>
  <c r="D83" i="18"/>
  <c r="AS82" i="18"/>
  <c r="AD82" i="18"/>
  <c r="AC82" i="18"/>
  <c r="L82" i="18"/>
  <c r="O82" i="18" s="1"/>
  <c r="D82" i="18"/>
  <c r="AS81" i="18"/>
  <c r="AD81" i="18"/>
  <c r="L81" i="18" s="1"/>
  <c r="O81" i="18" s="1"/>
  <c r="AC81" i="18"/>
  <c r="D81" i="18"/>
  <c r="AS80" i="18"/>
  <c r="AD80" i="18"/>
  <c r="AC80" i="18"/>
  <c r="L80" i="18"/>
  <c r="O80" i="18" s="1"/>
  <c r="D80" i="18"/>
  <c r="AE105" i="13"/>
  <c r="AD105" i="13"/>
  <c r="L105" i="13"/>
  <c r="O105" i="13" s="1"/>
  <c r="AE102" i="15"/>
  <c r="AD102" i="15"/>
  <c r="L102" i="15"/>
  <c r="O102" i="15" s="1"/>
  <c r="AD103" i="21"/>
  <c r="AC103" i="21"/>
  <c r="L103" i="21"/>
  <c r="O103" i="21" s="1"/>
  <c r="AD100" i="14"/>
  <c r="AC100" i="14"/>
  <c r="L100" i="14"/>
  <c r="O100" i="14" s="1"/>
  <c r="AD102" i="16"/>
  <c r="AC102" i="16"/>
  <c r="O102" i="16"/>
  <c r="L102" i="16"/>
  <c r="D80" i="17"/>
  <c r="AS80" i="17"/>
  <c r="D72" i="17"/>
  <c r="AS72" i="17"/>
  <c r="AS71" i="17"/>
  <c r="AS52" i="17"/>
  <c r="BE52" i="17"/>
  <c r="D52" i="17" s="1" a="1"/>
  <c r="D52" i="17" s="1"/>
  <c r="BE79" i="17"/>
  <c r="D79" i="17" s="1"/>
  <c r="AS79" i="17"/>
  <c r="AE79" i="17"/>
  <c r="AD79" i="17"/>
  <c r="L79" i="17"/>
  <c r="O79" i="17" s="1"/>
  <c r="BE32" i="17"/>
  <c r="D32" i="17" s="1" a="1"/>
  <c r="D32" i="17" s="1"/>
  <c r="BE33" i="17"/>
  <c r="D33" i="17" s="1" a="1"/>
  <c r="D33" i="17" s="1"/>
  <c r="AS32" i="17"/>
  <c r="AS33" i="17"/>
  <c r="BE31" i="17"/>
  <c r="D31" i="17" s="1" a="1"/>
  <c r="D31" i="17" s="1"/>
  <c r="AS31" i="17"/>
  <c r="BE104" i="17"/>
  <c r="D104" i="17" s="1"/>
  <c r="AS104" i="17"/>
  <c r="AD104" i="17"/>
  <c r="AC104" i="17"/>
  <c r="AD103" i="17"/>
  <c r="AC103" i="17"/>
  <c r="L103" i="17"/>
  <c r="O103" i="17" s="1"/>
  <c r="AD102" i="17"/>
  <c r="AC102" i="17"/>
  <c r="L102" i="17"/>
  <c r="O102" i="17" s="1"/>
  <c r="AD101" i="17"/>
  <c r="AC101" i="17"/>
  <c r="L101" i="17" s="1"/>
  <c r="O101" i="17" s="1"/>
  <c r="AD100" i="17"/>
  <c r="AC100" i="17"/>
  <c r="L100" i="17" s="1"/>
  <c r="O100" i="17" s="1"/>
  <c r="AD99" i="17"/>
  <c r="AC99" i="17"/>
  <c r="L99" i="17" s="1"/>
  <c r="O99" i="17" s="1"/>
  <c r="AD98" i="17"/>
  <c r="AC98" i="17"/>
  <c r="L98" i="17" s="1"/>
  <c r="O98" i="17" s="1"/>
  <c r="AD97" i="17"/>
  <c r="AC97" i="17"/>
  <c r="L97" i="17"/>
  <c r="O97" i="17" s="1"/>
  <c r="AD96" i="17"/>
  <c r="AC96" i="17"/>
  <c r="L96" i="17"/>
  <c r="O96" i="17" s="1"/>
  <c r="AS95" i="17"/>
  <c r="AD95" i="17"/>
  <c r="AC95" i="17"/>
  <c r="L95" i="17"/>
  <c r="O95" i="17" s="1"/>
  <c r="D95" i="17"/>
  <c r="AS94" i="17"/>
  <c r="AD94" i="17"/>
  <c r="AC94" i="17"/>
  <c r="L94" i="17"/>
  <c r="O94" i="17" s="1"/>
  <c r="D94" i="17"/>
  <c r="AS93" i="17"/>
  <c r="AD93" i="17"/>
  <c r="AC93" i="17"/>
  <c r="L93" i="17"/>
  <c r="O93" i="17" s="1"/>
  <c r="D93" i="17"/>
  <c r="AS92" i="17"/>
  <c r="AD92" i="17"/>
  <c r="AC92" i="17"/>
  <c r="L92" i="17"/>
  <c r="O92" i="17" s="1"/>
  <c r="D92" i="17"/>
  <c r="AS91" i="17"/>
  <c r="AD91" i="17"/>
  <c r="AC91" i="17"/>
  <c r="L91" i="17"/>
  <c r="O91" i="17" s="1"/>
  <c r="D91" i="17"/>
  <c r="AS90" i="17"/>
  <c r="AD90" i="17"/>
  <c r="AC90" i="17"/>
  <c r="L90" i="17" s="1"/>
  <c r="O90" i="17" s="1"/>
  <c r="D90" i="17"/>
  <c r="AS89" i="17"/>
  <c r="AD89" i="17"/>
  <c r="AC89" i="17"/>
  <c r="L89" i="17" s="1"/>
  <c r="O89" i="17" s="1"/>
  <c r="D89" i="17"/>
  <c r="AS88" i="17"/>
  <c r="AD88" i="17"/>
  <c r="AC88" i="17"/>
  <c r="L88" i="17"/>
  <c r="O88" i="17" s="1"/>
  <c r="D88" i="17"/>
  <c r="AS87" i="17"/>
  <c r="AD87" i="17"/>
  <c r="AC87" i="17"/>
  <c r="L87" i="17"/>
  <c r="O87" i="17" s="1"/>
  <c r="D87" i="17"/>
  <c r="AS86" i="17"/>
  <c r="AD86" i="17"/>
  <c r="AC86" i="17"/>
  <c r="L86" i="17"/>
  <c r="O86" i="17" s="1"/>
  <c r="D86" i="17"/>
  <c r="AS85" i="17"/>
  <c r="AD85" i="17"/>
  <c r="AC85" i="17"/>
  <c r="L85" i="17"/>
  <c r="O85" i="17" s="1"/>
  <c r="D85" i="17"/>
  <c r="AS84" i="17"/>
  <c r="AD84" i="17"/>
  <c r="AC84" i="17"/>
  <c r="L84" i="17"/>
  <c r="O84" i="17" s="1"/>
  <c r="D84" i="17"/>
  <c r="AS83" i="17"/>
  <c r="AD83" i="17"/>
  <c r="AC83" i="17"/>
  <c r="L83" i="17"/>
  <c r="O83" i="17" s="1"/>
  <c r="D83" i="17"/>
  <c r="AS82" i="17"/>
  <c r="AD82" i="17"/>
  <c r="AC82" i="17"/>
  <c r="L82" i="17"/>
  <c r="O82" i="17" s="1"/>
  <c r="D82" i="17"/>
  <c r="AS81" i="17"/>
  <c r="AD81" i="17"/>
  <c r="AC81" i="17"/>
  <c r="L81" i="17" s="1"/>
  <c r="O81" i="17" s="1"/>
  <c r="D81" i="17"/>
  <c r="AD78" i="17"/>
  <c r="AC78" i="17"/>
  <c r="L78" i="17" s="1"/>
  <c r="O78" i="17" s="1"/>
  <c r="AS77" i="17"/>
  <c r="AD77" i="17"/>
  <c r="AC77" i="17"/>
  <c r="L77" i="17" s="1"/>
  <c r="O77" i="17" s="1"/>
  <c r="D77" i="17"/>
  <c r="AS76" i="17"/>
  <c r="AD76" i="17"/>
  <c r="AC76" i="17"/>
  <c r="L76" i="17" s="1"/>
  <c r="O76" i="17" s="1"/>
  <c r="D76" i="17"/>
  <c r="AS75" i="17"/>
  <c r="AD75" i="17"/>
  <c r="AC75" i="17"/>
  <c r="L75" i="17"/>
  <c r="O75" i="17" s="1"/>
  <c r="D75" i="17"/>
  <c r="BE74" i="17"/>
  <c r="AD74" i="17"/>
  <c r="L74" i="17" s="1"/>
  <c r="O74" i="17" s="1"/>
  <c r="AC74" i="17"/>
  <c r="D74" i="17"/>
  <c r="BE73" i="17"/>
  <c r="AD73" i="17"/>
  <c r="L73" i="17" s="1"/>
  <c r="O73" i="17" s="1"/>
  <c r="AC73" i="17"/>
  <c r="D73" i="17"/>
  <c r="AD71" i="17"/>
  <c r="AC71" i="17"/>
  <c r="L71" i="17"/>
  <c r="O71" i="17" s="1"/>
  <c r="D71" i="17"/>
  <c r="AD70" i="17"/>
  <c r="AC70" i="17"/>
  <c r="L70" i="17"/>
  <c r="O70" i="17" s="1"/>
  <c r="AD69" i="17"/>
  <c r="AC69" i="17"/>
  <c r="L69" i="17"/>
  <c r="O69" i="17" s="1"/>
  <c r="AD68" i="17"/>
  <c r="AC68" i="17"/>
  <c r="L68" i="17"/>
  <c r="O68" i="17" s="1"/>
  <c r="AD67" i="17"/>
  <c r="AC67" i="17"/>
  <c r="L67" i="17" s="1"/>
  <c r="O67" i="17" s="1"/>
  <c r="AD66" i="17"/>
  <c r="AC66" i="17"/>
  <c r="L66" i="17" s="1"/>
  <c r="O66" i="17" s="1"/>
  <c r="AS65" i="17"/>
  <c r="AD65" i="17"/>
  <c r="AC65" i="17"/>
  <c r="L65" i="17" s="1"/>
  <c r="O65" i="17" s="1"/>
  <c r="D65" i="17"/>
  <c r="AS64" i="17"/>
  <c r="AD64" i="17"/>
  <c r="AC64" i="17"/>
  <c r="L64" i="17" s="1"/>
  <c r="O64" i="17" s="1"/>
  <c r="D64" i="17"/>
  <c r="AS63" i="17"/>
  <c r="AD63" i="17"/>
  <c r="AC63" i="17"/>
  <c r="L63" i="17" s="1"/>
  <c r="O63" i="17" s="1"/>
  <c r="D63" i="17"/>
  <c r="AS62" i="17"/>
  <c r="AD62" i="17"/>
  <c r="AC62" i="17"/>
  <c r="L62" i="17"/>
  <c r="O62" i="17" s="1"/>
  <c r="D62" i="17"/>
  <c r="AD61" i="17"/>
  <c r="AC61" i="17"/>
  <c r="L61" i="17"/>
  <c r="O61" i="17" s="1"/>
  <c r="AS60" i="17"/>
  <c r="AD60" i="17"/>
  <c r="AC60" i="17"/>
  <c r="L60" i="17"/>
  <c r="O60" i="17" s="1"/>
  <c r="D60" i="17"/>
  <c r="AS59" i="17"/>
  <c r="AD59" i="17"/>
  <c r="AC59" i="17"/>
  <c r="L59" i="17"/>
  <c r="O59" i="17" s="1"/>
  <c r="D59" i="17"/>
  <c r="AD58" i="17"/>
  <c r="AC58" i="17"/>
  <c r="L58" i="17"/>
  <c r="O58" i="17" s="1" a="1"/>
  <c r="O58" i="17" s="1"/>
  <c r="IE57" i="17"/>
  <c r="HG57" i="17" s="1"/>
  <c r="HS57" i="17"/>
  <c r="HE57" i="17"/>
  <c r="GG57" i="17" s="1"/>
  <c r="GS57" i="17"/>
  <c r="GE57" i="17"/>
  <c r="FG57" i="17" s="1"/>
  <c r="FS57" i="17"/>
  <c r="FE57" i="17"/>
  <c r="EG57" i="17" s="1"/>
  <c r="ES57" i="17"/>
  <c r="EE57" i="17"/>
  <c r="DG57" i="17" s="1"/>
  <c r="DS57" i="17"/>
  <c r="DE57" i="17"/>
  <c r="CG57" i="17" s="1"/>
  <c r="CS57" i="17"/>
  <c r="CE57" i="17"/>
  <c r="BG57" i="17" s="1"/>
  <c r="BS57" i="17"/>
  <c r="BE57" i="17"/>
  <c r="AG57" i="17" s="1"/>
  <c r="AS57" i="17"/>
  <c r="AD57" i="17"/>
  <c r="AC57" i="17"/>
  <c r="L57" i="17"/>
  <c r="O57" i="17" s="1" a="1"/>
  <c r="O57" i="17" s="1"/>
  <c r="KE56" i="17"/>
  <c r="JG56" i="17" s="1"/>
  <c r="JS56" i="17"/>
  <c r="JE56" i="17"/>
  <c r="IG56" i="17" s="1"/>
  <c r="IS56" i="17"/>
  <c r="IE56" i="17"/>
  <c r="HG56" i="17" s="1"/>
  <c r="HS56" i="17"/>
  <c r="HE56" i="17"/>
  <c r="GG56" i="17" s="1"/>
  <c r="GS56" i="17"/>
  <c r="GE56" i="17"/>
  <c r="FG56" i="17" s="1"/>
  <c r="FS56" i="17"/>
  <c r="FE56" i="17"/>
  <c r="EG56" i="17" s="1"/>
  <c r="ES56" i="17"/>
  <c r="EE56" i="17"/>
  <c r="DG56" i="17" s="1"/>
  <c r="DS56" i="17"/>
  <c r="DE56" i="17"/>
  <c r="CG56" i="17" s="1"/>
  <c r="CS56" i="17"/>
  <c r="CE56" i="17"/>
  <c r="BG56" i="17" s="1"/>
  <c r="BS56" i="17"/>
  <c r="BE56" i="17"/>
  <c r="AG56" i="17" s="1"/>
  <c r="AS56" i="17"/>
  <c r="AD56" i="17"/>
  <c r="AC56" i="17"/>
  <c r="L56" i="17"/>
  <c r="O56" i="17" s="1"/>
  <c r="BE55" i="17"/>
  <c r="D55" i="17" s="1"/>
  <c r="AS55" i="17"/>
  <c r="AD55" i="17"/>
  <c r="AC55" i="17"/>
  <c r="L55" i="17" s="1"/>
  <c r="O55" i="17" s="1"/>
  <c r="AD54" i="17"/>
  <c r="AC54" i="17"/>
  <c r="L54" i="17"/>
  <c r="O54" i="17" s="1"/>
  <c r="AD53" i="17"/>
  <c r="AC53" i="17"/>
  <c r="L53" i="17"/>
  <c r="O53" i="17" s="1"/>
  <c r="BS57" i="13"/>
  <c r="BS56" i="13"/>
  <c r="AS51" i="17"/>
  <c r="AD51" i="17"/>
  <c r="AC51" i="17"/>
  <c r="L51" i="17"/>
  <c r="O51" i="17" s="1"/>
  <c r="D51" i="17"/>
  <c r="AS50" i="17"/>
  <c r="AD50" i="17"/>
  <c r="AC50" i="17"/>
  <c r="L50" i="17"/>
  <c r="O50" i="17" s="1"/>
  <c r="AS49" i="17"/>
  <c r="AD49" i="17"/>
  <c r="AC49" i="17"/>
  <c r="L49" i="17"/>
  <c r="O49" i="17" s="1"/>
  <c r="AS48" i="17"/>
  <c r="AD48" i="17"/>
  <c r="AC48" i="17"/>
  <c r="L48" i="17"/>
  <c r="O48" i="17" s="1"/>
  <c r="BE47" i="17"/>
  <c r="D47" i="17" s="1"/>
  <c r="AS47" i="17"/>
  <c r="AD47" i="17"/>
  <c r="AC47" i="17"/>
  <c r="L47" i="17"/>
  <c r="O47" i="17" s="1"/>
  <c r="BE46" i="17"/>
  <c r="D46" i="17" s="1"/>
  <c r="AS46" i="17"/>
  <c r="AD46" i="17"/>
  <c r="AC46" i="17"/>
  <c r="L46" i="17"/>
  <c r="O46" i="17" s="1"/>
  <c r="BE45" i="17"/>
  <c r="D45" i="17" s="1"/>
  <c r="AS45" i="17"/>
  <c r="AD45" i="17"/>
  <c r="AC45" i="17"/>
  <c r="L45" i="17"/>
  <c r="O45" i="17" s="1"/>
  <c r="BE44" i="17"/>
  <c r="D44" i="17" s="1"/>
  <c r="AS44" i="17"/>
  <c r="AD44" i="17"/>
  <c r="AC44" i="17"/>
  <c r="L44" i="17"/>
  <c r="O44" i="17" s="1"/>
  <c r="BE43" i="17"/>
  <c r="D43" i="17" s="1"/>
  <c r="AS43" i="17"/>
  <c r="AD43" i="17"/>
  <c r="AC43" i="17"/>
  <c r="L43" i="17"/>
  <c r="O43" i="17" s="1"/>
  <c r="BE42" i="17"/>
  <c r="D42" i="17" s="1"/>
  <c r="AS42" i="17"/>
  <c r="AD42" i="17"/>
  <c r="AC42" i="17"/>
  <c r="L42" i="17"/>
  <c r="O42" i="17" s="1"/>
  <c r="BE41" i="17"/>
  <c r="D41" i="17" s="1"/>
  <c r="AS41" i="17"/>
  <c r="AD41" i="17"/>
  <c r="AC41" i="17"/>
  <c r="L41" i="17"/>
  <c r="O41" i="17" s="1"/>
  <c r="AD40" i="17"/>
  <c r="AC40" i="17"/>
  <c r="L40" i="17"/>
  <c r="O40" i="17" s="1"/>
  <c r="AD39" i="17"/>
  <c r="AC39" i="17"/>
  <c r="L39" i="17"/>
  <c r="AS38" i="17"/>
  <c r="AD38" i="17"/>
  <c r="AC38" i="17"/>
  <c r="L38" i="17"/>
  <c r="O38" i="17" s="1"/>
  <c r="D38" i="17"/>
  <c r="AD36" i="17"/>
  <c r="L36" i="17"/>
  <c r="O36" i="17" s="1"/>
  <c r="AD35" i="17"/>
  <c r="AC35" i="17"/>
  <c r="L35" i="17" s="1"/>
  <c r="O35" i="17" s="1"/>
  <c r="L78" i="16"/>
  <c r="O78" i="16" s="1"/>
  <c r="L57" i="16"/>
  <c r="O57" i="16" s="1" a="1"/>
  <c r="O57" i="16" s="1"/>
  <c r="L53" i="16"/>
  <c r="L52" i="16"/>
  <c r="L50" i="16"/>
  <c r="L46" i="16"/>
  <c r="L45" i="16"/>
  <c r="O45" i="16" s="1"/>
  <c r="L44" i="16"/>
  <c r="L43" i="16"/>
  <c r="L42" i="16"/>
  <c r="L41" i="16"/>
  <c r="L40" i="16"/>
  <c r="L39" i="16"/>
  <c r="L38" i="16"/>
  <c r="L37" i="16"/>
  <c r="L35" i="16"/>
  <c r="O35" i="16" s="1"/>
  <c r="L34" i="16"/>
  <c r="D73" i="16"/>
  <c r="D79" i="16"/>
  <c r="BE78" i="16"/>
  <c r="D78" i="16" s="1"/>
  <c r="AS78" i="16"/>
  <c r="AS79" i="16"/>
  <c r="AS80" i="16"/>
  <c r="D72" i="16"/>
  <c r="D71" i="16"/>
  <c r="BE73" i="16"/>
  <c r="BE72" i="16"/>
  <c r="BE71" i="16"/>
  <c r="BE51" i="16"/>
  <c r="AS51" i="16"/>
  <c r="D51" i="16" s="1"/>
  <c r="BE32" i="16"/>
  <c r="BE33" i="16"/>
  <c r="AS32" i="16"/>
  <c r="AS33" i="16"/>
  <c r="AS31" i="16"/>
  <c r="BE31" i="16"/>
  <c r="D31" i="16" s="1"/>
  <c r="L56" i="16"/>
  <c r="O56" i="16" s="1" a="1"/>
  <c r="O56" i="16" s="1"/>
  <c r="BE103" i="16"/>
  <c r="AS103" i="16"/>
  <c r="AD103" i="16"/>
  <c r="AC103" i="16"/>
  <c r="AD101" i="16"/>
  <c r="AC101" i="16"/>
  <c r="L101" i="16"/>
  <c r="O101" i="16" s="1"/>
  <c r="AD100" i="16"/>
  <c r="L100" i="16" s="1"/>
  <c r="O100" i="16" s="1"/>
  <c r="AC100" i="16"/>
  <c r="AD99" i="16"/>
  <c r="L99" i="16" s="1"/>
  <c r="O99" i="16" s="1"/>
  <c r="AC99" i="16"/>
  <c r="AD98" i="16"/>
  <c r="AC98" i="16"/>
  <c r="L98" i="16"/>
  <c r="O98" i="16" s="1"/>
  <c r="AD97" i="16"/>
  <c r="AC97" i="16"/>
  <c r="L97" i="16"/>
  <c r="O97" i="16" s="1"/>
  <c r="AD96" i="16"/>
  <c r="AC96" i="16"/>
  <c r="AD95" i="16"/>
  <c r="AC95" i="16"/>
  <c r="AS94" i="16"/>
  <c r="AD94" i="16"/>
  <c r="AC94" i="16"/>
  <c r="D94" i="16"/>
  <c r="AS93" i="16"/>
  <c r="AD93" i="16"/>
  <c r="AC93" i="16"/>
  <c r="L93" i="16"/>
  <c r="O93" i="16" s="1"/>
  <c r="D93" i="16"/>
  <c r="AS92" i="16"/>
  <c r="AD92" i="16"/>
  <c r="AC92" i="16"/>
  <c r="D92" i="16"/>
  <c r="AS91" i="16"/>
  <c r="AD91" i="16"/>
  <c r="AC91" i="16"/>
  <c r="L91" i="16"/>
  <c r="O91" i="16" s="1"/>
  <c r="D91" i="16"/>
  <c r="AS90" i="16"/>
  <c r="AD90" i="16"/>
  <c r="L90" i="16" s="1"/>
  <c r="O90" i="16" s="1"/>
  <c r="AC90" i="16"/>
  <c r="D90" i="16"/>
  <c r="AS89" i="16"/>
  <c r="AD89" i="16"/>
  <c r="AC89" i="16"/>
  <c r="L89" i="16" s="1"/>
  <c r="O89" i="16" s="1"/>
  <c r="D89" i="16"/>
  <c r="AS88" i="16"/>
  <c r="AD88" i="16"/>
  <c r="AC88" i="16"/>
  <c r="D88" i="16"/>
  <c r="AS87" i="16"/>
  <c r="AD87" i="16"/>
  <c r="AC87" i="16"/>
  <c r="L87" i="16" s="1"/>
  <c r="O87" i="16" s="1"/>
  <c r="D87" i="16"/>
  <c r="AS86" i="16"/>
  <c r="AD86" i="16"/>
  <c r="AC86" i="16"/>
  <c r="D86" i="16"/>
  <c r="AS85" i="16"/>
  <c r="AD85" i="16"/>
  <c r="AC85" i="16"/>
  <c r="D85" i="16"/>
  <c r="AS84" i="16"/>
  <c r="AD84" i="16"/>
  <c r="AC84" i="16"/>
  <c r="D84" i="16"/>
  <c r="AS83" i="16"/>
  <c r="AD83" i="16"/>
  <c r="L83" i="16" s="1"/>
  <c r="O83" i="16" s="1"/>
  <c r="AC83" i="16"/>
  <c r="D83" i="16"/>
  <c r="AS82" i="16"/>
  <c r="AD82" i="16"/>
  <c r="AC82" i="16"/>
  <c r="L82" i="16"/>
  <c r="O82" i="16" s="1"/>
  <c r="D82" i="16"/>
  <c r="AS81" i="16"/>
  <c r="AD81" i="16"/>
  <c r="AC81" i="16"/>
  <c r="D81" i="16"/>
  <c r="AD80" i="16"/>
  <c r="AC80" i="16"/>
  <c r="L80" i="16"/>
  <c r="O80" i="16" s="1"/>
  <c r="D80" i="16"/>
  <c r="AD77" i="16"/>
  <c r="AC77" i="16"/>
  <c r="L77" i="16" s="1"/>
  <c r="O77" i="16" s="1"/>
  <c r="AS76" i="16"/>
  <c r="AD76" i="16"/>
  <c r="AC76" i="16"/>
  <c r="L76" i="16" s="1"/>
  <c r="O76" i="16" s="1"/>
  <c r="D76" i="16"/>
  <c r="AS75" i="16"/>
  <c r="AD75" i="16"/>
  <c r="AC75" i="16"/>
  <c r="D75" i="16"/>
  <c r="AS74" i="16"/>
  <c r="AD74" i="16"/>
  <c r="AC74" i="16"/>
  <c r="L74" i="16"/>
  <c r="O74" i="16" s="1"/>
  <c r="D74" i="16"/>
  <c r="AD73" i="16"/>
  <c r="AC73" i="16"/>
  <c r="AD72" i="16"/>
  <c r="AC72" i="16"/>
  <c r="L72" i="16" s="1"/>
  <c r="O72" i="16" s="1"/>
  <c r="AD78" i="16"/>
  <c r="AC78" i="16"/>
  <c r="AS70" i="16"/>
  <c r="AD70" i="16"/>
  <c r="AC70" i="16"/>
  <c r="L70" i="16"/>
  <c r="O70" i="16" s="1"/>
  <c r="D70" i="16"/>
  <c r="AD69" i="16"/>
  <c r="AC69" i="16"/>
  <c r="L69" i="16"/>
  <c r="O69" i="16" s="1"/>
  <c r="AD68" i="16"/>
  <c r="AC68" i="16"/>
  <c r="L68" i="16"/>
  <c r="O68" i="16" s="1"/>
  <c r="AD67" i="16"/>
  <c r="AC67" i="16"/>
  <c r="AD66" i="16"/>
  <c r="AC66" i="16"/>
  <c r="L66" i="16"/>
  <c r="O66" i="16" s="1"/>
  <c r="AD65" i="16"/>
  <c r="AC65" i="16"/>
  <c r="AS64" i="16"/>
  <c r="AD64" i="16"/>
  <c r="AC64" i="16"/>
  <c r="L64" i="16"/>
  <c r="O64" i="16" s="1"/>
  <c r="D64" i="16"/>
  <c r="AS63" i="16"/>
  <c r="AD63" i="16"/>
  <c r="L63" i="16" s="1"/>
  <c r="O63" i="16" s="1"/>
  <c r="AC63" i="16"/>
  <c r="D63" i="16"/>
  <c r="AS62" i="16"/>
  <c r="AD62" i="16"/>
  <c r="AC62" i="16"/>
  <c r="L62" i="16" s="1"/>
  <c r="O62" i="16" s="1"/>
  <c r="D62" i="16"/>
  <c r="AS61" i="16"/>
  <c r="AD61" i="16"/>
  <c r="AC61" i="16"/>
  <c r="D61" i="16"/>
  <c r="AD60" i="16"/>
  <c r="AC60" i="16"/>
  <c r="AS59" i="16"/>
  <c r="AD59" i="16"/>
  <c r="L59" i="16" s="1"/>
  <c r="O59" i="16" s="1"/>
  <c r="AC59" i="16"/>
  <c r="D59" i="16"/>
  <c r="AS58" i="16"/>
  <c r="AD58" i="16"/>
  <c r="AC58" i="16"/>
  <c r="L58" i="16"/>
  <c r="O58" i="16" s="1"/>
  <c r="D58" i="16"/>
  <c r="AD57" i="16"/>
  <c r="AC57" i="16"/>
  <c r="IE56" i="16"/>
  <c r="HS56" i="16"/>
  <c r="HE56" i="16"/>
  <c r="GS56" i="16"/>
  <c r="GE56" i="16"/>
  <c r="FS56" i="16"/>
  <c r="FE56" i="16"/>
  <c r="ES56" i="16"/>
  <c r="EE56" i="16"/>
  <c r="DS56" i="16"/>
  <c r="DG56" i="16" s="1"/>
  <c r="DE56" i="16"/>
  <c r="CS56" i="16"/>
  <c r="CE56" i="16"/>
  <c r="BS56" i="16"/>
  <c r="BE56" i="16"/>
  <c r="AS56" i="16"/>
  <c r="AD56" i="16"/>
  <c r="AC56" i="16"/>
  <c r="KE55" i="16"/>
  <c r="JS55" i="16"/>
  <c r="JE55" i="16"/>
  <c r="IS55" i="16"/>
  <c r="IE55" i="16"/>
  <c r="HS55" i="16"/>
  <c r="HE55" i="16"/>
  <c r="GS55" i="16"/>
  <c r="GE55" i="16"/>
  <c r="FS55" i="16"/>
  <c r="FE55" i="16"/>
  <c r="ES55" i="16"/>
  <c r="EE55" i="16"/>
  <c r="DG55" i="16" s="1"/>
  <c r="DS55" i="16"/>
  <c r="DE55" i="16"/>
  <c r="CS55" i="16"/>
  <c r="CE55" i="16"/>
  <c r="BS55" i="16"/>
  <c r="BE55" i="16"/>
  <c r="AS55" i="16"/>
  <c r="AD55" i="16"/>
  <c r="L55" i="16" s="1"/>
  <c r="O55" i="16" s="1"/>
  <c r="AC55" i="16"/>
  <c r="BE54" i="16"/>
  <c r="AS54" i="16"/>
  <c r="AD54" i="16"/>
  <c r="AC54" i="16"/>
  <c r="L54" i="16"/>
  <c r="O54" i="16" s="1"/>
  <c r="AD53" i="16"/>
  <c r="AC53" i="16"/>
  <c r="O53" i="16"/>
  <c r="AD52" i="16"/>
  <c r="O52" i="16" s="1"/>
  <c r="AC52" i="16"/>
  <c r="AS50" i="16"/>
  <c r="AD50" i="16"/>
  <c r="O50" i="16" s="1"/>
  <c r="AC50" i="16"/>
  <c r="D50" i="16"/>
  <c r="AS49" i="16"/>
  <c r="AD49" i="16"/>
  <c r="AC49" i="16"/>
  <c r="L49" i="16"/>
  <c r="O49" i="16" s="1"/>
  <c r="AS48" i="16"/>
  <c r="AD48" i="16"/>
  <c r="AC48" i="16"/>
  <c r="L48" i="16"/>
  <c r="O48" i="16" s="1"/>
  <c r="AS47" i="16"/>
  <c r="AD47" i="16"/>
  <c r="AC47" i="16"/>
  <c r="L47" i="16"/>
  <c r="O47" i="16" s="1"/>
  <c r="BE46" i="16"/>
  <c r="AS46" i="16"/>
  <c r="AD46" i="16"/>
  <c r="AC46" i="16"/>
  <c r="BE45" i="16"/>
  <c r="AS45" i="16"/>
  <c r="AD45" i="16"/>
  <c r="AC45" i="16"/>
  <c r="BE44" i="16"/>
  <c r="AS44" i="16"/>
  <c r="AD44" i="16"/>
  <c r="O44" i="16" s="1"/>
  <c r="AC44" i="16"/>
  <c r="BE43" i="16"/>
  <c r="AS43" i="16"/>
  <c r="AD43" i="16"/>
  <c r="AC43" i="16"/>
  <c r="BE42" i="16"/>
  <c r="AS42" i="16"/>
  <c r="AD42" i="16"/>
  <c r="AC42" i="16"/>
  <c r="BE41" i="16"/>
  <c r="AS41" i="16"/>
  <c r="AD41" i="16"/>
  <c r="O41" i="16" s="1"/>
  <c r="AC41" i="16"/>
  <c r="BE40" i="16"/>
  <c r="AS40" i="16"/>
  <c r="AD40" i="16"/>
  <c r="O40" i="16" s="1"/>
  <c r="AC40" i="16"/>
  <c r="AD39" i="16"/>
  <c r="AC39" i="16"/>
  <c r="AD38" i="16"/>
  <c r="AC38" i="16"/>
  <c r="AS37" i="16"/>
  <c r="AD37" i="16"/>
  <c r="AC37" i="16"/>
  <c r="O37" i="16"/>
  <c r="D37" i="16"/>
  <c r="AF35" i="16"/>
  <c r="AD35" i="16"/>
  <c r="AD34" i="16"/>
  <c r="AC34" i="16"/>
  <c r="O34" i="16"/>
  <c r="AE77" i="14"/>
  <c r="O77" i="14" s="1"/>
  <c r="AD77" i="14"/>
  <c r="D77" i="14"/>
  <c r="D56" i="17" l="1"/>
  <c r="O43" i="16"/>
  <c r="O46" i="16"/>
  <c r="O39" i="16"/>
  <c r="O42" i="16"/>
  <c r="L67" i="16"/>
  <c r="O67" i="16" s="1"/>
  <c r="L95" i="16"/>
  <c r="O95" i="16" s="1"/>
  <c r="L85" i="16"/>
  <c r="O85" i="16" s="1"/>
  <c r="L75" i="16"/>
  <c r="O75" i="16" s="1"/>
  <c r="L73" i="16"/>
  <c r="O73" i="16" s="1"/>
  <c r="L61" i="16"/>
  <c r="O61" i="16" s="1"/>
  <c r="L88" i="16"/>
  <c r="O88" i="16" s="1"/>
  <c r="L86" i="16"/>
  <c r="O86" i="16" s="1"/>
  <c r="L84" i="16"/>
  <c r="O84" i="16" s="1"/>
  <c r="L81" i="16"/>
  <c r="O81" i="16" s="1"/>
  <c r="L94" i="16"/>
  <c r="O94" i="16" s="1"/>
  <c r="L92" i="16"/>
  <c r="O92" i="16" s="1"/>
  <c r="L60" i="16"/>
  <c r="O60" i="16" s="1"/>
  <c r="L65" i="16"/>
  <c r="O65" i="16" s="1"/>
  <c r="L96" i="16"/>
  <c r="O96" i="16" s="1"/>
  <c r="GG56" i="16"/>
  <c r="D54" i="16"/>
  <c r="GG55" i="16"/>
  <c r="FG55" i="16"/>
  <c r="AG56" i="16"/>
  <c r="BG56" i="16"/>
  <c r="D43" i="16"/>
  <c r="HG56" i="16"/>
  <c r="D103" i="16"/>
  <c r="CG55" i="16"/>
  <c r="D42" i="16"/>
  <c r="D40" i="16"/>
  <c r="HG55" i="16"/>
  <c r="CG56" i="16"/>
  <c r="D41" i="16"/>
  <c r="D45" i="16"/>
  <c r="EG55" i="16"/>
  <c r="FG56" i="16"/>
  <c r="IG55" i="16"/>
  <c r="D46" i="16"/>
  <c r="BG55" i="16"/>
  <c r="D44" i="16"/>
  <c r="AG55" i="16"/>
  <c r="JG55" i="16"/>
  <c r="D33" i="16"/>
  <c r="EG56" i="16"/>
  <c r="D32" i="16"/>
  <c r="BE76" i="14"/>
  <c r="D76" i="14" s="1"/>
  <c r="CS54" i="14"/>
  <c r="CS53" i="14"/>
  <c r="CE54" i="14"/>
  <c r="CE53" i="14"/>
  <c r="BS53" i="14"/>
  <c r="BS54" i="14"/>
  <c r="AS76" i="14"/>
  <c r="BE69" i="14"/>
  <c r="D69" i="14" s="1"/>
  <c r="BE101" i="14"/>
  <c r="D101" i="14" s="1"/>
  <c r="AS101" i="14"/>
  <c r="AS92" i="14"/>
  <c r="D92" i="14" s="1"/>
  <c r="AS91" i="14"/>
  <c r="D91" i="14" s="1"/>
  <c r="AS90" i="14"/>
  <c r="D90" i="14" s="1"/>
  <c r="AS89" i="14"/>
  <c r="D89" i="14" s="1"/>
  <c r="AS88" i="14"/>
  <c r="D88" i="14" s="1"/>
  <c r="AS87" i="14"/>
  <c r="D87" i="14" s="1"/>
  <c r="AS86" i="14"/>
  <c r="D86" i="14" s="1"/>
  <c r="AS85" i="14"/>
  <c r="D85" i="14" s="1"/>
  <c r="AS84" i="14"/>
  <c r="D84" i="14" s="1"/>
  <c r="AS83" i="14"/>
  <c r="D83" i="14" s="1"/>
  <c r="AS82" i="14"/>
  <c r="D82" i="14" s="1"/>
  <c r="AS81" i="14"/>
  <c r="D81" i="14" s="1"/>
  <c r="AS80" i="14"/>
  <c r="D80" i="14" s="1"/>
  <c r="AS79" i="14"/>
  <c r="D79" i="14" s="1"/>
  <c r="AS78" i="14"/>
  <c r="D78" i="14" s="1"/>
  <c r="AS74" i="14"/>
  <c r="D74" i="14" s="1"/>
  <c r="AS73" i="14"/>
  <c r="D73" i="14" s="1"/>
  <c r="AS72" i="14"/>
  <c r="D72" i="14" s="1"/>
  <c r="BE71" i="14"/>
  <c r="D71" i="14" s="1"/>
  <c r="BE70" i="14"/>
  <c r="D70" i="14" s="1"/>
  <c r="AS68" i="14"/>
  <c r="D68" i="14" s="1"/>
  <c r="AS62" i="14"/>
  <c r="D62" i="14" s="1"/>
  <c r="AS61" i="14"/>
  <c r="D61" i="14" s="1"/>
  <c r="AS60" i="14"/>
  <c r="D60" i="14" s="1"/>
  <c r="AS59" i="14"/>
  <c r="D59" i="14" s="1"/>
  <c r="AS57" i="14"/>
  <c r="D57" i="14" s="1"/>
  <c r="AS56" i="14"/>
  <c r="D56" i="14" s="1"/>
  <c r="IE54" i="14"/>
  <c r="HG54" i="14" s="1"/>
  <c r="HS54" i="14"/>
  <c r="HE54" i="14"/>
  <c r="GG54" i="14" s="1"/>
  <c r="GS54" i="14"/>
  <c r="GE54" i="14"/>
  <c r="FG54" i="14" s="1"/>
  <c r="FS54" i="14"/>
  <c r="FE54" i="14"/>
  <c r="EG54" i="14" s="1"/>
  <c r="ES54" i="14"/>
  <c r="EE54" i="14"/>
  <c r="DG54" i="14" s="1"/>
  <c r="DS54" i="14"/>
  <c r="DE54" i="14"/>
  <c r="CG54" i="14" s="1"/>
  <c r="BE54" i="14"/>
  <c r="AG54" i="14" s="1"/>
  <c r="AS54" i="14"/>
  <c r="KE53" i="14"/>
  <c r="JG53" i="14" s="1"/>
  <c r="JS53" i="14"/>
  <c r="JE53" i="14"/>
  <c r="IG53" i="14" s="1"/>
  <c r="IS53" i="14"/>
  <c r="IE53" i="14"/>
  <c r="HG53" i="14" s="1"/>
  <c r="HS53" i="14"/>
  <c r="HE53" i="14"/>
  <c r="GG53" i="14" s="1"/>
  <c r="GS53" i="14"/>
  <c r="GE53" i="14"/>
  <c r="FG53" i="14" s="1"/>
  <c r="FS53" i="14"/>
  <c r="FE53" i="14"/>
  <c r="EG53" i="14" s="1"/>
  <c r="ES53" i="14"/>
  <c r="EE53" i="14"/>
  <c r="DG53" i="14" s="1"/>
  <c r="DS53" i="14"/>
  <c r="DE53" i="14"/>
  <c r="CG53" i="14" s="1"/>
  <c r="BE53" i="14"/>
  <c r="AG53" i="14" s="1"/>
  <c r="D53" i="14" s="1"/>
  <c r="AS53" i="14"/>
  <c r="BE52" i="14"/>
  <c r="D52" i="14" s="1"/>
  <c r="AS52" i="14"/>
  <c r="BE49" i="14"/>
  <c r="D49" i="14" s="1"/>
  <c r="AS49" i="14"/>
  <c r="AS48" i="14"/>
  <c r="D48" i="14" s="1"/>
  <c r="AS47" i="14"/>
  <c r="AS46" i="14"/>
  <c r="AS45" i="14"/>
  <c r="BE44" i="14"/>
  <c r="D44" i="14" s="1"/>
  <c r="AS44" i="14"/>
  <c r="BE43" i="14"/>
  <c r="D43" i="14" s="1"/>
  <c r="AS43" i="14"/>
  <c r="BE42" i="14"/>
  <c r="D42" i="14" s="1"/>
  <c r="AS42" i="14"/>
  <c r="BE41" i="14"/>
  <c r="D41" i="14" s="1"/>
  <c r="AS41" i="14"/>
  <c r="BE40" i="14"/>
  <c r="D40" i="14" s="1"/>
  <c r="AS40" i="14"/>
  <c r="BE39" i="14"/>
  <c r="D39" i="14" s="1"/>
  <c r="AS39" i="14"/>
  <c r="BE38" i="14"/>
  <c r="D38" i="14" s="1"/>
  <c r="AS38" i="14"/>
  <c r="BE31" i="14"/>
  <c r="D31" i="14" s="1"/>
  <c r="AS31" i="14"/>
  <c r="AE101" i="14"/>
  <c r="L101" i="14" s="1"/>
  <c r="O101" i="14" s="1"/>
  <c r="AD101" i="14"/>
  <c r="AE99" i="14"/>
  <c r="AD99" i="14"/>
  <c r="L99" i="14" s="1"/>
  <c r="O99" i="14" s="1"/>
  <c r="AE98" i="14"/>
  <c r="AD98" i="14"/>
  <c r="L98" i="14" s="1"/>
  <c r="O98" i="14" s="1"/>
  <c r="AE97" i="14"/>
  <c r="AD97" i="14"/>
  <c r="L97" i="14" s="1"/>
  <c r="O97" i="14" s="1"/>
  <c r="AE96" i="14"/>
  <c r="AD96" i="14"/>
  <c r="L96" i="14" s="1"/>
  <c r="O96" i="14" s="1"/>
  <c r="AE95" i="14"/>
  <c r="AD95" i="14"/>
  <c r="L95" i="14"/>
  <c r="O95" i="14" s="1"/>
  <c r="AE94" i="14"/>
  <c r="AD94" i="14"/>
  <c r="L94" i="14"/>
  <c r="O94" i="14" s="1"/>
  <c r="AE93" i="14"/>
  <c r="AD93" i="14"/>
  <c r="L93" i="14"/>
  <c r="O93" i="14" s="1"/>
  <c r="AE92" i="14"/>
  <c r="AD92" i="14"/>
  <c r="L92" i="14" s="1"/>
  <c r="O92" i="14" s="1"/>
  <c r="AE91" i="14"/>
  <c r="AD91" i="14"/>
  <c r="L91" i="14" s="1"/>
  <c r="O91" i="14" s="1"/>
  <c r="AE90" i="14"/>
  <c r="AD90" i="14"/>
  <c r="L90" i="14" s="1"/>
  <c r="O90" i="14" s="1"/>
  <c r="AE89" i="14"/>
  <c r="AD89" i="14"/>
  <c r="L89" i="14" s="1"/>
  <c r="O89" i="14" s="1"/>
  <c r="AE88" i="14"/>
  <c r="AD88" i="14"/>
  <c r="L88" i="14" s="1"/>
  <c r="O88" i="14" s="1"/>
  <c r="AE87" i="14"/>
  <c r="AD87" i="14"/>
  <c r="L87" i="14" s="1"/>
  <c r="O87" i="14" s="1"/>
  <c r="AE86" i="14"/>
  <c r="AD86" i="14"/>
  <c r="L86" i="14" s="1"/>
  <c r="O86" i="14" s="1"/>
  <c r="AE85" i="14"/>
  <c r="AD85" i="14"/>
  <c r="L85" i="14" s="1"/>
  <c r="O85" i="14" s="1"/>
  <c r="AE84" i="14"/>
  <c r="AD84" i="14"/>
  <c r="L84" i="14" s="1"/>
  <c r="O84" i="14" s="1"/>
  <c r="AE83" i="14"/>
  <c r="AD83" i="14"/>
  <c r="L83" i="14" s="1"/>
  <c r="O83" i="14" s="1"/>
  <c r="AE82" i="14"/>
  <c r="AD82" i="14"/>
  <c r="L82" i="14" s="1"/>
  <c r="O82" i="14" s="1"/>
  <c r="AE81" i="14"/>
  <c r="AD81" i="14"/>
  <c r="L81" i="14" s="1"/>
  <c r="O81" i="14" s="1"/>
  <c r="AE80" i="14"/>
  <c r="AD80" i="14"/>
  <c r="L80" i="14" s="1"/>
  <c r="O80" i="14" s="1"/>
  <c r="AE79" i="14"/>
  <c r="AD79" i="14"/>
  <c r="L79" i="14" s="1"/>
  <c r="O79" i="14" s="1"/>
  <c r="AE78" i="14"/>
  <c r="AD78" i="14"/>
  <c r="L78" i="14" s="1"/>
  <c r="O78" i="14" s="1"/>
  <c r="AE75" i="14"/>
  <c r="AD75" i="14"/>
  <c r="L75" i="14" s="1"/>
  <c r="O75" i="14" s="1"/>
  <c r="AE74" i="14"/>
  <c r="AD74" i="14"/>
  <c r="L74" i="14"/>
  <c r="O74" i="14" s="1"/>
  <c r="AE73" i="14"/>
  <c r="AD73" i="14"/>
  <c r="L73" i="14" s="1"/>
  <c r="O73" i="14" s="1"/>
  <c r="AE72" i="14"/>
  <c r="AD72" i="14"/>
  <c r="L72" i="14"/>
  <c r="O72" i="14" s="1"/>
  <c r="AE71" i="14"/>
  <c r="AD71" i="14"/>
  <c r="L71" i="14" s="1"/>
  <c r="O71" i="14" s="1"/>
  <c r="AE70" i="14"/>
  <c r="AD70" i="14"/>
  <c r="L70" i="14"/>
  <c r="O70" i="14" s="1"/>
  <c r="AE68" i="14"/>
  <c r="AD68" i="14"/>
  <c r="L68" i="14"/>
  <c r="O68" i="14" s="1"/>
  <c r="AE67" i="14"/>
  <c r="AD67" i="14"/>
  <c r="L67" i="14"/>
  <c r="O67" i="14" s="1"/>
  <c r="AE66" i="14"/>
  <c r="AD66" i="14"/>
  <c r="O66" i="14"/>
  <c r="L66" i="14"/>
  <c r="AE65" i="14"/>
  <c r="AD65" i="14"/>
  <c r="L65" i="14"/>
  <c r="O65" i="14" s="1"/>
  <c r="AE64" i="14"/>
  <c r="AD64" i="14"/>
  <c r="L64" i="14" s="1"/>
  <c r="O64" i="14" s="1"/>
  <c r="AE63" i="14"/>
  <c r="AD63" i="14"/>
  <c r="L63" i="14" s="1"/>
  <c r="O63" i="14" s="1"/>
  <c r="AE62" i="14"/>
  <c r="AD62" i="14"/>
  <c r="L62" i="14" s="1"/>
  <c r="O62" i="14" s="1"/>
  <c r="AE61" i="14"/>
  <c r="AD61" i="14"/>
  <c r="L61" i="14" s="1"/>
  <c r="O61" i="14" s="1"/>
  <c r="AE60" i="14"/>
  <c r="AD60" i="14"/>
  <c r="L60" i="14" s="1"/>
  <c r="O60" i="14" s="1"/>
  <c r="AE59" i="14"/>
  <c r="AD59" i="14"/>
  <c r="L59" i="14" s="1"/>
  <c r="O59" i="14" s="1"/>
  <c r="AE58" i="14"/>
  <c r="AD58" i="14"/>
  <c r="L58" i="14" s="1"/>
  <c r="O58" i="14" s="1"/>
  <c r="AE57" i="14"/>
  <c r="AD57" i="14"/>
  <c r="L57" i="14" s="1"/>
  <c r="O57" i="14" s="1"/>
  <c r="AE56" i="14"/>
  <c r="AD56" i="14"/>
  <c r="L56" i="14"/>
  <c r="O56" i="14" s="1"/>
  <c r="AE55" i="14"/>
  <c r="AD55" i="14"/>
  <c r="L55" i="14"/>
  <c r="AE54" i="14"/>
  <c r="AD54" i="14"/>
  <c r="L54" i="14"/>
  <c r="O54" i="14" s="1" a="1"/>
  <c r="O54" i="14" s="1"/>
  <c r="AE53" i="14"/>
  <c r="AD53" i="14"/>
  <c r="L53" i="14"/>
  <c r="O53" i="14" s="1"/>
  <c r="AE52" i="14"/>
  <c r="AD52" i="14"/>
  <c r="L52" i="14"/>
  <c r="O52" i="14" s="1"/>
  <c r="AE51" i="14"/>
  <c r="L51" i="14" s="1"/>
  <c r="O51" i="14" s="1"/>
  <c r="AD51" i="14"/>
  <c r="AE50" i="14"/>
  <c r="L50" i="14" s="1"/>
  <c r="O50" i="14" s="1"/>
  <c r="AD50" i="14"/>
  <c r="AE48" i="14"/>
  <c r="AD48" i="14"/>
  <c r="L48" i="14"/>
  <c r="O48" i="14" s="1"/>
  <c r="AE47" i="14"/>
  <c r="AD47" i="14"/>
  <c r="L47" i="14"/>
  <c r="O47" i="14" s="1"/>
  <c r="AE46" i="14"/>
  <c r="AD46" i="14"/>
  <c r="L46" i="14"/>
  <c r="O46" i="14" s="1"/>
  <c r="AE45" i="14"/>
  <c r="AD45" i="14"/>
  <c r="L45" i="14" s="1"/>
  <c r="O45" i="14" s="1"/>
  <c r="AE44" i="14"/>
  <c r="L44" i="14" s="1"/>
  <c r="O44" i="14" s="1"/>
  <c r="AD44" i="14"/>
  <c r="AE43" i="14"/>
  <c r="AD43" i="14"/>
  <c r="L43" i="14"/>
  <c r="O43" i="14" s="1"/>
  <c r="AE42" i="14"/>
  <c r="AD42" i="14"/>
  <c r="O42" i="14"/>
  <c r="L42" i="14"/>
  <c r="AE41" i="14"/>
  <c r="AD41" i="14"/>
  <c r="L41" i="14"/>
  <c r="O41" i="14" s="1"/>
  <c r="AE40" i="14"/>
  <c r="L40" i="14" s="1"/>
  <c r="O40" i="14" s="1"/>
  <c r="AD40" i="14"/>
  <c r="AE39" i="14"/>
  <c r="AD39" i="14"/>
  <c r="L39" i="14"/>
  <c r="O39" i="14" s="1"/>
  <c r="AE38" i="14"/>
  <c r="AD38" i="14"/>
  <c r="L38" i="14"/>
  <c r="O38" i="14" s="1"/>
  <c r="AE37" i="14"/>
  <c r="L37" i="14" s="1"/>
  <c r="O37" i="14" s="1"/>
  <c r="AD37" i="14"/>
  <c r="AE36" i="14"/>
  <c r="AD36" i="14"/>
  <c r="L36" i="14"/>
  <c r="AE35" i="14"/>
  <c r="AD35" i="14"/>
  <c r="L35" i="14"/>
  <c r="O35" i="14" s="1"/>
  <c r="AF33" i="14"/>
  <c r="AE33" i="14"/>
  <c r="L33" i="14"/>
  <c r="O33" i="14" s="1"/>
  <c r="AE32" i="14"/>
  <c r="L32" i="14" s="1"/>
  <c r="O32" i="14" s="1"/>
  <c r="AD32" i="14"/>
  <c r="BE79" i="21"/>
  <c r="D72" i="21"/>
  <c r="AS72" i="21"/>
  <c r="AS52" i="21"/>
  <c r="BE52" i="21"/>
  <c r="AS80" i="21"/>
  <c r="D80" i="21" s="1"/>
  <c r="AS79" i="21"/>
  <c r="BE104" i="21"/>
  <c r="AS104" i="21"/>
  <c r="AE104" i="21"/>
  <c r="L104" i="21" s="1"/>
  <c r="O104" i="21" s="1"/>
  <c r="AD104" i="21"/>
  <c r="AE102" i="21"/>
  <c r="L102" i="21" s="1"/>
  <c r="O102" i="21" s="1"/>
  <c r="AD102" i="21"/>
  <c r="AE101" i="21"/>
  <c r="AD101" i="21"/>
  <c r="L101" i="21"/>
  <c r="O101" i="21" s="1"/>
  <c r="AE100" i="21"/>
  <c r="L100" i="21" s="1"/>
  <c r="O100" i="21" s="1"/>
  <c r="AD100" i="21"/>
  <c r="AE99" i="21"/>
  <c r="L99" i="21" s="1"/>
  <c r="O99" i="21" s="1"/>
  <c r="AD99" i="21"/>
  <c r="AE98" i="21"/>
  <c r="AD98" i="21"/>
  <c r="L98" i="21"/>
  <c r="O98" i="21" s="1"/>
  <c r="AE97" i="21"/>
  <c r="L97" i="21" s="1"/>
  <c r="O97" i="21" s="1"/>
  <c r="AD97" i="21"/>
  <c r="AE96" i="21"/>
  <c r="L96" i="21" s="1"/>
  <c r="O96" i="21" s="1"/>
  <c r="AD96" i="21"/>
  <c r="AS95" i="21"/>
  <c r="AE95" i="21"/>
  <c r="L95" i="21" s="1"/>
  <c r="O95" i="21" s="1"/>
  <c r="AD95" i="21"/>
  <c r="D95" i="21"/>
  <c r="AS94" i="21"/>
  <c r="D94" i="21" s="1"/>
  <c r="AE94" i="21"/>
  <c r="L94" i="21" s="1"/>
  <c r="O94" i="21" s="1"/>
  <c r="AD94" i="21"/>
  <c r="AS93" i="21"/>
  <c r="D93" i="21" s="1"/>
  <c r="AE93" i="21"/>
  <c r="L93" i="21" s="1"/>
  <c r="O93" i="21" s="1"/>
  <c r="AD93" i="21"/>
  <c r="AS92" i="21"/>
  <c r="D92" i="21" s="1"/>
  <c r="AE92" i="21"/>
  <c r="L92" i="21" s="1"/>
  <c r="O92" i="21" s="1"/>
  <c r="AD92" i="21"/>
  <c r="AS91" i="21"/>
  <c r="AE91" i="21"/>
  <c r="L91" i="21" s="1"/>
  <c r="O91" i="21" s="1"/>
  <c r="AD91" i="21"/>
  <c r="D91" i="21"/>
  <c r="AS90" i="21"/>
  <c r="AE90" i="21"/>
  <c r="L90" i="21" s="1"/>
  <c r="O90" i="21" s="1"/>
  <c r="AD90" i="21"/>
  <c r="D90" i="21"/>
  <c r="AS89" i="21"/>
  <c r="AE89" i="21"/>
  <c r="L89" i="21" s="1"/>
  <c r="O89" i="21" s="1"/>
  <c r="AD89" i="21"/>
  <c r="D89" i="21"/>
  <c r="AS88" i="21"/>
  <c r="D88" i="21" s="1"/>
  <c r="AE88" i="21"/>
  <c r="AD88" i="21"/>
  <c r="L88" i="21"/>
  <c r="O88" i="21" s="1"/>
  <c r="AS87" i="21"/>
  <c r="D87" i="21" s="1"/>
  <c r="AE87" i="21"/>
  <c r="L87" i="21" s="1"/>
  <c r="O87" i="21" s="1"/>
  <c r="AD87" i="21"/>
  <c r="AS86" i="21"/>
  <c r="AE86" i="21"/>
  <c r="L86" i="21" s="1"/>
  <c r="O86" i="21" s="1"/>
  <c r="AD86" i="21"/>
  <c r="D86" i="21"/>
  <c r="AS85" i="21"/>
  <c r="AE85" i="21"/>
  <c r="L85" i="21" s="1"/>
  <c r="O85" i="21" s="1"/>
  <c r="AD85" i="21"/>
  <c r="D85" i="21"/>
  <c r="AS84" i="21"/>
  <c r="AE84" i="21"/>
  <c r="L84" i="21" s="1"/>
  <c r="O84" i="21" s="1"/>
  <c r="AD84" i="21"/>
  <c r="D84" i="21"/>
  <c r="AS83" i="21"/>
  <c r="D83" i="21" s="1"/>
  <c r="AE83" i="21"/>
  <c r="L83" i="21" s="1"/>
  <c r="O83" i="21" s="1"/>
  <c r="AD83" i="21"/>
  <c r="AS82" i="21"/>
  <c r="D82" i="21" s="1"/>
  <c r="AE82" i="21"/>
  <c r="L82" i="21" s="1"/>
  <c r="O82" i="21" s="1"/>
  <c r="AD82" i="21"/>
  <c r="AS81" i="21"/>
  <c r="D81" i="21" s="1"/>
  <c r="AE81" i="21"/>
  <c r="L81" i="21" s="1"/>
  <c r="O81" i="21" s="1"/>
  <c r="AD81" i="21"/>
  <c r="D80" i="15"/>
  <c r="AE78" i="21"/>
  <c r="L78" i="21" s="1"/>
  <c r="O78" i="21" s="1"/>
  <c r="AD78" i="21"/>
  <c r="AS77" i="21"/>
  <c r="D77" i="21" s="1"/>
  <c r="AE77" i="21"/>
  <c r="AD77" i="21"/>
  <c r="L77" i="21"/>
  <c r="O77" i="21" s="1"/>
  <c r="AS76" i="21"/>
  <c r="D76" i="21" s="1"/>
  <c r="AE76" i="21"/>
  <c r="L76" i="21" s="1"/>
  <c r="O76" i="21" s="1"/>
  <c r="AD76" i="21"/>
  <c r="AS75" i="21"/>
  <c r="D75" i="21" s="1"/>
  <c r="AE75" i="21"/>
  <c r="AD75" i="21"/>
  <c r="L75" i="21"/>
  <c r="O75" i="21" s="1"/>
  <c r="BE74" i="21"/>
  <c r="D74" i="21" s="1"/>
  <c r="AE74" i="21"/>
  <c r="L74" i="21" s="1"/>
  <c r="O74" i="21" s="1"/>
  <c r="AD74" i="21"/>
  <c r="BE73" i="21"/>
  <c r="D73" i="21" s="1"/>
  <c r="AE73" i="21"/>
  <c r="L73" i="21" s="1"/>
  <c r="O73" i="21" s="1"/>
  <c r="AD73" i="21"/>
  <c r="AS71" i="21"/>
  <c r="D71" i="21" s="1"/>
  <c r="AE71" i="21"/>
  <c r="L71" i="21" s="1"/>
  <c r="O71" i="21" s="1"/>
  <c r="AD71" i="21"/>
  <c r="AE70" i="21"/>
  <c r="L70" i="21" s="1"/>
  <c r="O70" i="21" s="1"/>
  <c r="AD70" i="21"/>
  <c r="AE69" i="21"/>
  <c r="L69" i="21" s="1"/>
  <c r="O69" i="21" s="1"/>
  <c r="AD69" i="21"/>
  <c r="AE68" i="21"/>
  <c r="L68" i="21" s="1"/>
  <c r="O68" i="21" s="1"/>
  <c r="AD68" i="21"/>
  <c r="AE67" i="21"/>
  <c r="L67" i="21" s="1"/>
  <c r="O67" i="21" s="1"/>
  <c r="AD67" i="21"/>
  <c r="AE66" i="21"/>
  <c r="AD66" i="21"/>
  <c r="L66" i="21"/>
  <c r="O66" i="21" s="1"/>
  <c r="AS65" i="21"/>
  <c r="D65" i="21" s="1"/>
  <c r="AE65" i="21"/>
  <c r="L65" i="21" s="1"/>
  <c r="O65" i="21" s="1"/>
  <c r="AD65" i="21"/>
  <c r="AS64" i="21"/>
  <c r="D64" i="21" s="1"/>
  <c r="AE64" i="21"/>
  <c r="AD64" i="21"/>
  <c r="L64" i="21"/>
  <c r="O64" i="21" s="1"/>
  <c r="AS63" i="21"/>
  <c r="D63" i="21" s="1"/>
  <c r="AE63" i="21"/>
  <c r="L63" i="21" s="1"/>
  <c r="O63" i="21" s="1"/>
  <c r="AD63" i="21"/>
  <c r="AS62" i="21"/>
  <c r="D62" i="21" s="1"/>
  <c r="AE62" i="21"/>
  <c r="L62" i="21" s="1"/>
  <c r="O62" i="21" s="1"/>
  <c r="AD62" i="21"/>
  <c r="AE61" i="21"/>
  <c r="L61" i="21" s="1"/>
  <c r="O61" i="21" s="1"/>
  <c r="AD61" i="21"/>
  <c r="AS60" i="21"/>
  <c r="D60" i="21" s="1"/>
  <c r="AE60" i="21"/>
  <c r="L60" i="21" s="1"/>
  <c r="O60" i="21" s="1"/>
  <c r="AD60" i="21"/>
  <c r="AS59" i="21"/>
  <c r="AE59" i="21"/>
  <c r="L59" i="21" s="1"/>
  <c r="O59" i="21" s="1"/>
  <c r="AD59" i="21"/>
  <c r="D59" i="21"/>
  <c r="AE58" i="21"/>
  <c r="AD58" i="21"/>
  <c r="L58" i="21"/>
  <c r="O58" i="21" s="1" a="1"/>
  <c r="O58" i="21" s="1"/>
  <c r="IE57" i="21"/>
  <c r="HS57" i="21"/>
  <c r="HE57" i="21"/>
  <c r="GS57" i="21"/>
  <c r="GE57" i="21"/>
  <c r="FS57" i="21"/>
  <c r="FE57" i="21"/>
  <c r="ES57" i="21"/>
  <c r="EE57" i="21"/>
  <c r="DS57" i="21"/>
  <c r="DE57" i="21"/>
  <c r="CS57" i="21"/>
  <c r="CE57" i="21"/>
  <c r="BE57" i="21"/>
  <c r="AS57" i="21"/>
  <c r="AE57" i="21"/>
  <c r="AD57" i="21"/>
  <c r="L57" i="21"/>
  <c r="KE56" i="21"/>
  <c r="JS56" i="21"/>
  <c r="JE56" i="21"/>
  <c r="IS56" i="21"/>
  <c r="IE56" i="21"/>
  <c r="HS56" i="21"/>
  <c r="HE56" i="21"/>
  <c r="GS56" i="21"/>
  <c r="GE56" i="21"/>
  <c r="FS56" i="21"/>
  <c r="FE56" i="21"/>
  <c r="ES56" i="21"/>
  <c r="EE56" i="21"/>
  <c r="DS56" i="21"/>
  <c r="DE56" i="21"/>
  <c r="CS56" i="21"/>
  <c r="CE56" i="21"/>
  <c r="BE56" i="21"/>
  <c r="AS56" i="21"/>
  <c r="AE56" i="21"/>
  <c r="AD56" i="21"/>
  <c r="L56" i="21"/>
  <c r="D56" i="21"/>
  <c r="BE55" i="21"/>
  <c r="AS55" i="21"/>
  <c r="AE55" i="21"/>
  <c r="L55" i="21" s="1"/>
  <c r="O55" i="21" s="1"/>
  <c r="AD55" i="21"/>
  <c r="AS51" i="21"/>
  <c r="D51" i="21" s="1"/>
  <c r="AE51" i="21"/>
  <c r="AD51" i="21"/>
  <c r="L51" i="21"/>
  <c r="O51" i="21" s="1"/>
  <c r="AS50" i="21"/>
  <c r="AE50" i="21"/>
  <c r="AD50" i="21"/>
  <c r="L50" i="21"/>
  <c r="AS49" i="21"/>
  <c r="AE49" i="21"/>
  <c r="AD49" i="21"/>
  <c r="L49" i="21"/>
  <c r="AS48" i="21"/>
  <c r="AE48" i="21"/>
  <c r="L48" i="21" s="1"/>
  <c r="AD48" i="21"/>
  <c r="BE47" i="21"/>
  <c r="AS47" i="21"/>
  <c r="AE47" i="21"/>
  <c r="AD47" i="21"/>
  <c r="L47" i="21" s="1"/>
  <c r="O47" i="21" s="1"/>
  <c r="BE46" i="21"/>
  <c r="AS46" i="21"/>
  <c r="AE46" i="21"/>
  <c r="AD46" i="21"/>
  <c r="L46" i="21" s="1"/>
  <c r="O46" i="21" s="1"/>
  <c r="BE45" i="21"/>
  <c r="AS45" i="21"/>
  <c r="AE45" i="21"/>
  <c r="AD45" i="21"/>
  <c r="L45" i="21" s="1"/>
  <c r="O45" i="21" s="1"/>
  <c r="BE44" i="21"/>
  <c r="AS44" i="21"/>
  <c r="AE44" i="21"/>
  <c r="AD44" i="21"/>
  <c r="L44" i="21" s="1"/>
  <c r="O44" i="21" s="1"/>
  <c r="BE43" i="21"/>
  <c r="AS43" i="21"/>
  <c r="AE43" i="21"/>
  <c r="AD43" i="21"/>
  <c r="L43" i="21" s="1"/>
  <c r="O43" i="21" s="1"/>
  <c r="BE42" i="21"/>
  <c r="AS42" i="21"/>
  <c r="AE42" i="21"/>
  <c r="AD42" i="21"/>
  <c r="L42" i="21" s="1"/>
  <c r="O42" i="21" s="1"/>
  <c r="BE41" i="21"/>
  <c r="AS41" i="21"/>
  <c r="AE41" i="21"/>
  <c r="AD41" i="21"/>
  <c r="L41" i="21" s="1"/>
  <c r="O41" i="21" s="1"/>
  <c r="AS38" i="21"/>
  <c r="D38" i="21"/>
  <c r="AE38" i="21"/>
  <c r="AD38" i="21"/>
  <c r="L38" i="21" s="1"/>
  <c r="O38" i="21" s="1"/>
  <c r="AS31" i="21"/>
  <c r="BE32" i="21"/>
  <c r="AS32" i="21"/>
  <c r="BE31" i="21"/>
  <c r="D71" i="15"/>
  <c r="D79" i="15"/>
  <c r="AS79" i="15"/>
  <c r="BE78" i="15"/>
  <c r="AS78" i="15"/>
  <c r="AE78" i="15"/>
  <c r="L78" i="15" s="1"/>
  <c r="O78" i="15" s="1"/>
  <c r="AD78" i="15"/>
  <c r="BE103" i="15"/>
  <c r="BE73" i="15"/>
  <c r="BE72" i="15"/>
  <c r="AS103" i="15"/>
  <c r="AS94" i="15"/>
  <c r="AS93" i="15"/>
  <c r="AS92" i="15"/>
  <c r="AS91" i="15"/>
  <c r="AS90" i="15"/>
  <c r="AS89" i="15"/>
  <c r="AS88" i="15"/>
  <c r="AS87" i="15"/>
  <c r="AS86" i="15"/>
  <c r="AS85" i="15"/>
  <c r="AS84" i="15"/>
  <c r="AS83" i="15"/>
  <c r="AS82" i="15"/>
  <c r="AS81" i="15"/>
  <c r="AS80" i="15"/>
  <c r="AS76" i="15"/>
  <c r="AS75" i="15"/>
  <c r="AS74" i="15"/>
  <c r="AS71" i="15"/>
  <c r="AS65" i="15"/>
  <c r="AS64" i="15"/>
  <c r="AS63" i="15"/>
  <c r="AS62" i="15"/>
  <c r="AS60" i="15"/>
  <c r="AS59" i="15"/>
  <c r="AE71" i="15"/>
  <c r="L71" i="15" s="1"/>
  <c r="O71" i="15" s="1"/>
  <c r="AD71" i="15"/>
  <c r="AE70" i="15"/>
  <c r="L70" i="15" s="1"/>
  <c r="O70" i="15" s="1"/>
  <c r="AD70" i="15"/>
  <c r="AE69" i="15"/>
  <c r="L69" i="15" s="1"/>
  <c r="O69" i="15" s="1"/>
  <c r="AD69" i="15"/>
  <c r="AE68" i="15"/>
  <c r="L68" i="15" s="1"/>
  <c r="O68" i="15" s="1"/>
  <c r="AD68" i="15"/>
  <c r="AE67" i="15"/>
  <c r="L67" i="15" s="1"/>
  <c r="O67" i="15" s="1"/>
  <c r="AD67" i="15"/>
  <c r="AE66" i="15"/>
  <c r="L66" i="15" s="1"/>
  <c r="O66" i="15" s="1"/>
  <c r="AD66" i="15"/>
  <c r="AE65" i="15"/>
  <c r="L65" i="15" s="1"/>
  <c r="O65" i="15" s="1"/>
  <c r="AD65" i="15"/>
  <c r="D65" i="15"/>
  <c r="AE64" i="15"/>
  <c r="L64" i="15" s="1"/>
  <c r="O64" i="15" s="1"/>
  <c r="AD64" i="15"/>
  <c r="D64" i="15"/>
  <c r="AE63" i="15"/>
  <c r="L63" i="15" s="1"/>
  <c r="O63" i="15" s="1"/>
  <c r="AD63" i="15"/>
  <c r="D63" i="15"/>
  <c r="AE62" i="15"/>
  <c r="L62" i="15" s="1"/>
  <c r="O62" i="15" s="1"/>
  <c r="AD62" i="15"/>
  <c r="D62" i="15"/>
  <c r="AE61" i="15"/>
  <c r="L61" i="15" s="1"/>
  <c r="O61" i="15" s="1"/>
  <c r="AD61" i="15"/>
  <c r="AE60" i="15"/>
  <c r="L60" i="15" s="1"/>
  <c r="O60" i="15" s="1"/>
  <c r="AD60" i="15"/>
  <c r="D60" i="15"/>
  <c r="AE59" i="15"/>
  <c r="L59" i="15" s="1"/>
  <c r="O59" i="15" s="1"/>
  <c r="AD59" i="15"/>
  <c r="D59" i="15"/>
  <c r="AE77" i="15"/>
  <c r="AD77" i="15"/>
  <c r="L77" i="15"/>
  <c r="O77" i="15" s="1"/>
  <c r="AE76" i="15"/>
  <c r="L76" i="15" s="1"/>
  <c r="O76" i="15" s="1"/>
  <c r="AD76" i="15"/>
  <c r="D76" i="15"/>
  <c r="AE75" i="15"/>
  <c r="AD75" i="15"/>
  <c r="L75" i="15"/>
  <c r="O75" i="15" s="1"/>
  <c r="D75" i="15"/>
  <c r="AE74" i="15"/>
  <c r="AD74" i="15"/>
  <c r="L74" i="15"/>
  <c r="O74" i="15" s="1"/>
  <c r="D74" i="15"/>
  <c r="AE73" i="15"/>
  <c r="L73" i="15" s="1"/>
  <c r="O73" i="15" s="1"/>
  <c r="AD73" i="15"/>
  <c r="AE72" i="15"/>
  <c r="L72" i="15" s="1"/>
  <c r="O72" i="15" s="1"/>
  <c r="AD72" i="15"/>
  <c r="AE97" i="15"/>
  <c r="L97" i="15" s="1"/>
  <c r="O97" i="15" s="1"/>
  <c r="AD97" i="15"/>
  <c r="AE96" i="15"/>
  <c r="L96" i="15" s="1"/>
  <c r="O96" i="15" s="1"/>
  <c r="AD96" i="15"/>
  <c r="AE95" i="15"/>
  <c r="L95" i="15" s="1"/>
  <c r="O95" i="15" s="1"/>
  <c r="AD95" i="15"/>
  <c r="AE94" i="15"/>
  <c r="L94" i="15" s="1"/>
  <c r="O94" i="15" s="1"/>
  <c r="AD94" i="15"/>
  <c r="D94" i="15"/>
  <c r="AE93" i="15"/>
  <c r="L93" i="15" s="1"/>
  <c r="O93" i="15" s="1"/>
  <c r="AD93" i="15"/>
  <c r="D93" i="15"/>
  <c r="AE92" i="15"/>
  <c r="L92" i="15" s="1"/>
  <c r="O92" i="15" s="1"/>
  <c r="AD92" i="15"/>
  <c r="D92" i="15"/>
  <c r="AE91" i="15"/>
  <c r="L91" i="15" s="1"/>
  <c r="O91" i="15" s="1"/>
  <c r="AD91" i="15"/>
  <c r="D91" i="15"/>
  <c r="AE90" i="15"/>
  <c r="AD90" i="15"/>
  <c r="L90" i="15"/>
  <c r="O90" i="15" s="1"/>
  <c r="D90" i="15"/>
  <c r="AE89" i="15"/>
  <c r="AD89" i="15"/>
  <c r="L89" i="15"/>
  <c r="O89" i="15" s="1"/>
  <c r="D89" i="15"/>
  <c r="AE88" i="15"/>
  <c r="AD88" i="15"/>
  <c r="L88" i="15"/>
  <c r="O88" i="15" s="1"/>
  <c r="D88" i="15"/>
  <c r="AE87" i="15"/>
  <c r="L87" i="15" s="1"/>
  <c r="O87" i="15" s="1"/>
  <c r="AD87" i="15"/>
  <c r="D87" i="15"/>
  <c r="AE86" i="15"/>
  <c r="L86" i="15" s="1"/>
  <c r="O86" i="15" s="1"/>
  <c r="AD86" i="15"/>
  <c r="D86" i="15"/>
  <c r="AE85" i="15"/>
  <c r="L85" i="15" s="1"/>
  <c r="O85" i="15" s="1"/>
  <c r="AD85" i="15"/>
  <c r="D85" i="15"/>
  <c r="AE84" i="15"/>
  <c r="L84" i="15" s="1"/>
  <c r="O84" i="15" s="1"/>
  <c r="AD84" i="15"/>
  <c r="D84" i="15"/>
  <c r="AE83" i="15"/>
  <c r="L83" i="15" s="1"/>
  <c r="O83" i="15" s="1"/>
  <c r="AD83" i="15"/>
  <c r="D83" i="15"/>
  <c r="AE82" i="15"/>
  <c r="L82" i="15" s="1"/>
  <c r="O82" i="15" s="1"/>
  <c r="AD82" i="15"/>
  <c r="D82" i="15"/>
  <c r="AE81" i="15"/>
  <c r="L81" i="15" s="1"/>
  <c r="O81" i="15" s="1"/>
  <c r="AD81" i="15"/>
  <c r="D81" i="15"/>
  <c r="AE80" i="15"/>
  <c r="L80" i="15" s="1"/>
  <c r="O80" i="15" s="1"/>
  <c r="AD80" i="15"/>
  <c r="AE103" i="15"/>
  <c r="L103" i="15" s="1"/>
  <c r="O103" i="15" s="1"/>
  <c r="AD103" i="15"/>
  <c r="AE101" i="15"/>
  <c r="AD101" i="15"/>
  <c r="L101" i="15"/>
  <c r="O101" i="15" s="1"/>
  <c r="AE100" i="15"/>
  <c r="L100" i="15" s="1"/>
  <c r="O100" i="15" s="1"/>
  <c r="AD100" i="15"/>
  <c r="AE99" i="15"/>
  <c r="L99" i="15" s="1"/>
  <c r="O99" i="15" s="1"/>
  <c r="AD99" i="15"/>
  <c r="AE98" i="15"/>
  <c r="L98" i="15" s="1"/>
  <c r="O98" i="15" s="1"/>
  <c r="AD98" i="15"/>
  <c r="IE57" i="15"/>
  <c r="HS57" i="15"/>
  <c r="HE57" i="15"/>
  <c r="GS57" i="15"/>
  <c r="GE57" i="15"/>
  <c r="FS57" i="15"/>
  <c r="FE57" i="15"/>
  <c r="ES57" i="15"/>
  <c r="EE57" i="15"/>
  <c r="DS57" i="15"/>
  <c r="DE57" i="15"/>
  <c r="CS57" i="15"/>
  <c r="CE57" i="15"/>
  <c r="BE57" i="15"/>
  <c r="AS57" i="15"/>
  <c r="KE56" i="15"/>
  <c r="JS56" i="15"/>
  <c r="JE56" i="15"/>
  <c r="IS56" i="15"/>
  <c r="IE56" i="15"/>
  <c r="HS56" i="15"/>
  <c r="HE56" i="15"/>
  <c r="GS56" i="15"/>
  <c r="GE56" i="15"/>
  <c r="FS56" i="15"/>
  <c r="FE56" i="15"/>
  <c r="ES56" i="15"/>
  <c r="EE56" i="15"/>
  <c r="DS56" i="15"/>
  <c r="DE56" i="15"/>
  <c r="CS56" i="15"/>
  <c r="CE56" i="15"/>
  <c r="BE56" i="15"/>
  <c r="AS56" i="15"/>
  <c r="BE55" i="15"/>
  <c r="AS55" i="15"/>
  <c r="AE57" i="15"/>
  <c r="AD57" i="15"/>
  <c r="L57" i="15"/>
  <c r="O57" i="15" s="1" a="1"/>
  <c r="O57" i="15" s="1"/>
  <c r="AE56" i="15"/>
  <c r="AD56" i="15"/>
  <c r="L56" i="15"/>
  <c r="O56" i="15" s="1"/>
  <c r="D56" i="15"/>
  <c r="AE55" i="15"/>
  <c r="L55" i="15" s="1"/>
  <c r="O55" i="15" s="1"/>
  <c r="AD55" i="15"/>
  <c r="D51" i="15"/>
  <c r="BE52" i="15"/>
  <c r="AS52" i="15"/>
  <c r="AS51" i="15"/>
  <c r="AS50" i="15"/>
  <c r="AS49" i="15"/>
  <c r="AS48" i="15"/>
  <c r="AE50" i="15"/>
  <c r="AD50" i="15"/>
  <c r="L50" i="15"/>
  <c r="O50" i="15" s="1"/>
  <c r="AE49" i="15"/>
  <c r="AD49" i="15"/>
  <c r="L49" i="15"/>
  <c r="O49" i="15" s="1"/>
  <c r="AE48" i="15"/>
  <c r="L48" i="15" s="1"/>
  <c r="O48" i="15" s="1"/>
  <c r="AD48" i="15"/>
  <c r="BE47" i="15"/>
  <c r="AS47" i="15"/>
  <c r="BE46" i="15"/>
  <c r="AS46" i="15"/>
  <c r="BE45" i="15"/>
  <c r="AS45" i="15"/>
  <c r="BE44" i="15"/>
  <c r="AS44" i="15"/>
  <c r="BE43" i="15"/>
  <c r="AS43" i="15"/>
  <c r="BE42" i="15"/>
  <c r="AS42" i="15"/>
  <c r="BE41" i="15"/>
  <c r="AS41" i="15"/>
  <c r="AS38" i="15"/>
  <c r="D38" i="15" s="1"/>
  <c r="AS32" i="15"/>
  <c r="AS31" i="15"/>
  <c r="BE32" i="15"/>
  <c r="BE31" i="15"/>
  <c r="D87" i="13"/>
  <c r="D88" i="13"/>
  <c r="D89" i="13"/>
  <c r="D90" i="13"/>
  <c r="D91" i="13"/>
  <c r="D92" i="13"/>
  <c r="D93" i="13"/>
  <c r="D94" i="13"/>
  <c r="D95" i="13"/>
  <c r="D86" i="13"/>
  <c r="D85" i="13"/>
  <c r="D84" i="13"/>
  <c r="D83" i="13"/>
  <c r="D82" i="13"/>
  <c r="D81" i="13"/>
  <c r="D80" i="13"/>
  <c r="D77" i="13"/>
  <c r="D76" i="13"/>
  <c r="D75" i="13"/>
  <c r="D38" i="13"/>
  <c r="D51" i="13"/>
  <c r="D65" i="13"/>
  <c r="D63" i="13"/>
  <c r="D64" i="13"/>
  <c r="D62" i="13"/>
  <c r="D60" i="13"/>
  <c r="D59" i="13"/>
  <c r="BE106" i="13"/>
  <c r="AS106" i="13"/>
  <c r="AS95" i="13"/>
  <c r="AS94" i="13"/>
  <c r="AS93" i="13"/>
  <c r="AS92" i="13"/>
  <c r="AS91" i="13"/>
  <c r="AS90" i="13"/>
  <c r="AS89" i="13"/>
  <c r="AS88" i="13"/>
  <c r="AS86" i="13"/>
  <c r="AS82" i="13"/>
  <c r="AS59" i="13"/>
  <c r="AS80" i="13"/>
  <c r="BE79" i="13"/>
  <c r="BE72" i="13"/>
  <c r="BE73" i="13"/>
  <c r="BE74" i="13"/>
  <c r="AS76" i="13"/>
  <c r="AS77" i="13"/>
  <c r="AS79" i="13"/>
  <c r="AS81" i="13"/>
  <c r="AS83" i="13"/>
  <c r="AS84" i="13"/>
  <c r="AS85" i="13"/>
  <c r="AS87" i="13"/>
  <c r="AS65" i="13"/>
  <c r="AS64" i="13"/>
  <c r="AS63" i="13"/>
  <c r="AS62" i="13"/>
  <c r="AS60" i="13"/>
  <c r="D52" i="21" l="1"/>
  <c r="D104" i="21"/>
  <c r="D31" i="21"/>
  <c r="D43" i="21"/>
  <c r="FG56" i="21"/>
  <c r="EG56" i="21"/>
  <c r="CG57" i="21"/>
  <c r="D47" i="21"/>
  <c r="D79" i="21"/>
  <c r="JG56" i="21"/>
  <c r="IG56" i="21"/>
  <c r="AG56" i="21"/>
  <c r="GG57" i="21"/>
  <c r="D42" i="21"/>
  <c r="HG57" i="21"/>
  <c r="DG56" i="21"/>
  <c r="FG57" i="21"/>
  <c r="D45" i="21"/>
  <c r="D55" i="21"/>
  <c r="D44" i="21"/>
  <c r="GG56" i="21"/>
  <c r="DG57" i="21"/>
  <c r="HG56" i="21"/>
  <c r="EG57" i="21"/>
  <c r="D41" i="21"/>
  <c r="D46" i="21"/>
  <c r="CG56" i="21"/>
  <c r="D32" i="21"/>
  <c r="AG57" i="21"/>
  <c r="EG57" i="15"/>
  <c r="FG57" i="15"/>
  <c r="AG56" i="15"/>
  <c r="D106" i="13"/>
  <c r="D79" i="13"/>
  <c r="D103" i="15"/>
  <c r="GG57" i="15"/>
  <c r="D46" i="15"/>
  <c r="FG56" i="15"/>
  <c r="D78" i="15"/>
  <c r="D31" i="15"/>
  <c r="IG56" i="15"/>
  <c r="JG56" i="15"/>
  <c r="D45" i="15"/>
  <c r="DG57" i="15"/>
  <c r="AG57" i="15"/>
  <c r="D32" i="15"/>
  <c r="D44" i="15"/>
  <c r="GG56" i="15"/>
  <c r="HG57" i="15"/>
  <c r="CG56" i="15"/>
  <c r="DG56" i="15"/>
  <c r="D43" i="15"/>
  <c r="D47" i="15"/>
  <c r="HG56" i="15"/>
  <c r="D52" i="15"/>
  <c r="CG57" i="15"/>
  <c r="D55" i="15"/>
  <c r="D41" i="15"/>
  <c r="EG56" i="15"/>
  <c r="D42" i="15"/>
  <c r="D55" i="16"/>
  <c r="AS57" i="13"/>
  <c r="BE57" i="13"/>
  <c r="AG57" i="13" s="1"/>
  <c r="Q57" i="13" s="1" a="1"/>
  <c r="Q57" i="13" s="1"/>
  <c r="CE57" i="13"/>
  <c r="CS57" i="13"/>
  <c r="DE57" i="13"/>
  <c r="CG57" i="13" s="1"/>
  <c r="DS57" i="13"/>
  <c r="EE57" i="13"/>
  <c r="ES57" i="13"/>
  <c r="FE57" i="13"/>
  <c r="FS57" i="13"/>
  <c r="GE57" i="13"/>
  <c r="GS57" i="13"/>
  <c r="HE57" i="13"/>
  <c r="HS57" i="13"/>
  <c r="IE57" i="13"/>
  <c r="HG57" i="13" s="1"/>
  <c r="KE56" i="13"/>
  <c r="JS56" i="13"/>
  <c r="JE56" i="13"/>
  <c r="IS56" i="13"/>
  <c r="IE56" i="13"/>
  <c r="HS56" i="13"/>
  <c r="HE56" i="13"/>
  <c r="GS56" i="13"/>
  <c r="GE56" i="13"/>
  <c r="FS56" i="13"/>
  <c r="FE56" i="13"/>
  <c r="ES56" i="13"/>
  <c r="EE56" i="13"/>
  <c r="DS56" i="13"/>
  <c r="DE56" i="13"/>
  <c r="CS56" i="13"/>
  <c r="CE56" i="13"/>
  <c r="BE56" i="13"/>
  <c r="AS56" i="13"/>
  <c r="AS55" i="13"/>
  <c r="BE55" i="13"/>
  <c r="BE52" i="13"/>
  <c r="D52" i="13" s="1"/>
  <c r="BE42" i="13"/>
  <c r="BE43" i="13"/>
  <c r="BE44" i="13"/>
  <c r="BE45" i="13"/>
  <c r="BE46" i="13"/>
  <c r="BE47" i="13"/>
  <c r="BE41" i="13"/>
  <c r="AS52" i="13"/>
  <c r="AS51" i="13"/>
  <c r="AS50" i="13"/>
  <c r="AS49" i="13"/>
  <c r="AS48" i="13"/>
  <c r="AS42" i="13"/>
  <c r="AS43" i="13"/>
  <c r="AS44" i="13"/>
  <c r="AS45" i="13"/>
  <c r="AS46" i="13"/>
  <c r="AS47" i="13"/>
  <c r="AS41" i="13"/>
  <c r="AS38" i="13"/>
  <c r="BE31" i="13"/>
  <c r="AS31" i="13"/>
  <c r="AE31" i="14"/>
  <c r="I26" i="20"/>
  <c r="C32" i="1"/>
  <c r="I26" i="24"/>
  <c r="L27" i="22"/>
  <c r="I27" i="19"/>
  <c r="I26" i="18"/>
  <c r="I26" i="17"/>
  <c r="I26" i="16"/>
  <c r="I26" i="14"/>
  <c r="I26" i="21"/>
  <c r="I26" i="15"/>
  <c r="I26" i="13"/>
  <c r="D85" i="1"/>
  <c r="D97" i="1"/>
  <c r="D82" i="1"/>
  <c r="D81" i="1"/>
  <c r="D79" i="1"/>
  <c r="D95" i="1"/>
  <c r="D90" i="1"/>
  <c r="D69" i="1"/>
  <c r="D67" i="1"/>
  <c r="AV49" i="1" a="1"/>
  <c r="AV49" i="1" s="1"/>
  <c r="DF38" i="1" a="1"/>
  <c r="DF38" i="1" s="1"/>
  <c r="O42" i="20"/>
  <c r="W67" i="1"/>
  <c r="X67" i="1"/>
  <c r="D43" i="24"/>
  <c r="D100" i="22"/>
  <c r="D99" i="22"/>
  <c r="D98" i="22"/>
  <c r="D89" i="22"/>
  <c r="D91" i="22"/>
  <c r="D92" i="22"/>
  <c r="D80" i="22"/>
  <c r="D70" i="22"/>
  <c r="D67" i="22"/>
  <c r="D58" i="22"/>
  <c r="D57" i="22"/>
  <c r="D56" i="22"/>
  <c r="D55" i="22"/>
  <c r="D46" i="22"/>
  <c r="D38" i="22"/>
  <c r="D78" i="22"/>
  <c r="D31" i="22" l="1"/>
  <c r="D48" i="22"/>
  <c r="D32" i="22"/>
  <c r="D47" i="22"/>
  <c r="DG57" i="13"/>
  <c r="GG57" i="13"/>
  <c r="D43" i="13"/>
  <c r="D42" i="13"/>
  <c r="D31" i="13"/>
  <c r="D41" i="13"/>
  <c r="DG56" i="13"/>
  <c r="D47" i="13"/>
  <c r="FG57" i="13"/>
  <c r="D46" i="13"/>
  <c r="EG57" i="13"/>
  <c r="JG56" i="13"/>
  <c r="CG56" i="13"/>
  <c r="EG56" i="13"/>
  <c r="GG56" i="13"/>
  <c r="D45" i="13"/>
  <c r="D44" i="13"/>
  <c r="FG56" i="13"/>
  <c r="D55" i="13"/>
  <c r="HG56" i="13"/>
  <c r="IG56" i="13"/>
  <c r="AG56" i="13"/>
  <c r="Q56" i="13" s="1" a="1"/>
  <c r="Q56" i="13" s="1"/>
  <c r="D56" i="13" s="1"/>
  <c r="GV67" i="1"/>
  <c r="V67" i="1"/>
  <c r="L67" i="1" s="1"/>
  <c r="O67" i="1" l="1"/>
  <c r="F34" i="26"/>
  <c r="F33" i="26"/>
  <c r="F32" i="26"/>
  <c r="F31" i="26"/>
  <c r="F30" i="26"/>
  <c r="E34" i="26"/>
  <c r="E33" i="26"/>
  <c r="E32" i="26"/>
  <c r="E31" i="26"/>
  <c r="E30" i="26"/>
  <c r="E29" i="26"/>
  <c r="F29" i="26"/>
  <c r="F28" i="26"/>
  <c r="E28" i="26"/>
  <c r="C26" i="26"/>
  <c r="L116" i="21"/>
  <c r="L96" i="19"/>
  <c r="L115" i="18"/>
  <c r="C33" i="26" l="1"/>
  <c r="C34" i="26"/>
  <c r="C31" i="26"/>
  <c r="C30" i="26"/>
  <c r="C28" i="26"/>
  <c r="C32" i="26"/>
  <c r="C29" i="26"/>
  <c r="L77" i="24"/>
  <c r="L126" i="1"/>
  <c r="L78" i="20"/>
  <c r="L118" i="22"/>
  <c r="L116" i="17"/>
  <c r="L115" i="16"/>
  <c r="L113" i="14"/>
  <c r="L115" i="15"/>
  <c r="L118" i="13"/>
  <c r="AD83" i="19"/>
  <c r="AD82" i="19"/>
  <c r="L81" i="19"/>
  <c r="L80" i="19"/>
  <c r="AE83" i="19"/>
  <c r="L83" i="19" s="1"/>
  <c r="AE82" i="19"/>
  <c r="AE81" i="19"/>
  <c r="AD81" i="19"/>
  <c r="O81" i="19"/>
  <c r="AE80" i="19"/>
  <c r="AD80" i="19"/>
  <c r="O80" i="19"/>
  <c r="AE104" i="13"/>
  <c r="AD104" i="13"/>
  <c r="L104" i="13"/>
  <c r="O104" i="13" s="1"/>
  <c r="AE103" i="13"/>
  <c r="AD103" i="13"/>
  <c r="X38" i="1"/>
  <c r="W74" i="22"/>
  <c r="W59" i="22"/>
  <c r="W61" i="22"/>
  <c r="W71" i="22"/>
  <c r="FT86" i="22"/>
  <c r="W88" i="22"/>
  <c r="U88" i="22" s="1"/>
  <c r="L88" i="22" s="1"/>
  <c r="FT85" i="22"/>
  <c r="L49" i="14"/>
  <c r="X92" i="1"/>
  <c r="X40" i="1"/>
  <c r="V40" i="1" s="1"/>
  <c r="V111" i="1"/>
  <c r="AF31" i="20"/>
  <c r="Q32" i="20"/>
  <c r="Q60" i="20"/>
  <c r="Q61" i="20"/>
  <c r="Q62" i="20"/>
  <c r="Q63" i="20"/>
  <c r="Q64" i="20"/>
  <c r="Q65" i="20"/>
  <c r="Q66" i="20"/>
  <c r="Q59" i="20"/>
  <c r="Q58" i="20"/>
  <c r="Q57" i="20"/>
  <c r="Q56" i="20"/>
  <c r="Q55" i="20"/>
  <c r="Q54" i="20"/>
  <c r="Q52" i="20"/>
  <c r="Q51" i="20"/>
  <c r="Q50" i="20"/>
  <c r="Q49" i="20"/>
  <c r="Q48" i="20"/>
  <c r="Q47" i="20"/>
  <c r="Q46" i="20"/>
  <c r="Q45" i="20"/>
  <c r="Q44" i="20"/>
  <c r="Q43" i="20"/>
  <c r="Q41" i="20"/>
  <c r="Q40" i="20"/>
  <c r="Q39" i="20"/>
  <c r="Q38" i="20"/>
  <c r="Q37" i="20"/>
  <c r="Q36" i="20"/>
  <c r="Q35" i="20"/>
  <c r="Q34" i="20"/>
  <c r="Q33" i="20"/>
  <c r="Z26" i="20"/>
  <c r="Z25" i="20"/>
  <c r="V114" i="1"/>
  <c r="V113" i="1"/>
  <c r="V112" i="1"/>
  <c r="V110" i="1"/>
  <c r="V109" i="1"/>
  <c r="V108" i="1"/>
  <c r="V107" i="1"/>
  <c r="V102" i="1"/>
  <c r="V101" i="1"/>
  <c r="V87" i="1"/>
  <c r="V78" i="1"/>
  <c r="V77" i="1"/>
  <c r="V76" i="1"/>
  <c r="V75" i="1"/>
  <c r="V73" i="1"/>
  <c r="V66" i="1"/>
  <c r="V65" i="1"/>
  <c r="V64" i="1"/>
  <c r="V63" i="1"/>
  <c r="V51" i="1"/>
  <c r="V50" i="1"/>
  <c r="X48" i="1"/>
  <c r="V42" i="1"/>
  <c r="V41" i="1"/>
  <c r="V39"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0" i="1"/>
  <c r="W69" i="1"/>
  <c r="W68" i="1"/>
  <c r="W66" i="1"/>
  <c r="W65" i="1"/>
  <c r="W64" i="1"/>
  <c r="W62" i="1"/>
  <c r="W53" i="1"/>
  <c r="W52" i="1"/>
  <c r="W51" i="1"/>
  <c r="W50" i="1"/>
  <c r="W49" i="1"/>
  <c r="W48" i="1"/>
  <c r="W47" i="1"/>
  <c r="W46" i="1"/>
  <c r="W45" i="1"/>
  <c r="W44" i="1"/>
  <c r="W43" i="1"/>
  <c r="W42" i="1"/>
  <c r="W41" i="1"/>
  <c r="W40" i="1"/>
  <c r="W39" i="1"/>
  <c r="W38" i="1"/>
  <c r="W36" i="1"/>
  <c r="GV106" i="1"/>
  <c r="GV105" i="1"/>
  <c r="GV100" i="1"/>
  <c r="GS98" i="1"/>
  <c r="GV98" i="1" s="1"/>
  <c r="GU97" i="1"/>
  <c r="GV95" i="1"/>
  <c r="GV92" i="1"/>
  <c r="GQ91" i="1"/>
  <c r="GS89" i="1"/>
  <c r="GQ89" i="1"/>
  <c r="GV88" i="1"/>
  <c r="GT87" i="1"/>
  <c r="FA87" i="1"/>
  <c r="GR87" i="1" s="1"/>
  <c r="GV86" i="1"/>
  <c r="GV83" i="1"/>
  <c r="GU82" i="1"/>
  <c r="GQ81" i="1"/>
  <c r="GT80" i="1"/>
  <c r="GR80" i="1"/>
  <c r="GQ80" i="1"/>
  <c r="GU79" i="1"/>
  <c r="GQ79" i="1"/>
  <c r="GQ78" i="1"/>
  <c r="GV78" i="1" s="1"/>
  <c r="GV77" i="1"/>
  <c r="GV76" i="1"/>
  <c r="GV74" i="1"/>
  <c r="GV73" i="1"/>
  <c r="GV72" i="1"/>
  <c r="GV70" i="1"/>
  <c r="GU69" i="1"/>
  <c r="GV64" i="1"/>
  <c r="GV65" i="1"/>
  <c r="GV66" i="1"/>
  <c r="GV63" i="1"/>
  <c r="GO62" i="1"/>
  <c r="GN62" i="1"/>
  <c r="GU62" i="1" s="1"/>
  <c r="GF62" i="1"/>
  <c r="GT62" i="1" s="1"/>
  <c r="GS62" i="1"/>
  <c r="FE62" i="1"/>
  <c r="GQ62" i="1" s="1"/>
  <c r="FD48" i="1"/>
  <c r="GU61" i="1"/>
  <c r="GU60" i="1"/>
  <c r="GT61" i="1"/>
  <c r="GT60" i="1"/>
  <c r="GQ61" i="1"/>
  <c r="GQ60" i="1"/>
  <c r="GQ59" i="1"/>
  <c r="GV59" i="1" s="1"/>
  <c r="GQ58" i="1"/>
  <c r="GV58" i="1" s="1"/>
  <c r="GV52" i="1"/>
  <c r="GV50" i="1"/>
  <c r="GV51" i="1"/>
  <c r="GT49" i="1"/>
  <c r="GO48" i="1"/>
  <c r="GP48" i="1"/>
  <c r="GN48" i="1"/>
  <c r="GT46" i="1"/>
  <c r="GV45" i="1"/>
  <c r="GV44" i="1"/>
  <c r="GV42" i="1"/>
  <c r="U103" i="22"/>
  <c r="AD63" i="24"/>
  <c r="AD58" i="24"/>
  <c r="L58" i="24" s="1"/>
  <c r="AD57" i="24"/>
  <c r="AD55" i="24"/>
  <c r="AD50" i="24"/>
  <c r="AD49" i="24"/>
  <c r="AD48" i="24"/>
  <c r="AD47" i="24"/>
  <c r="AD46" i="24"/>
  <c r="AD44" i="24"/>
  <c r="AD43" i="24"/>
  <c r="AD41" i="24"/>
  <c r="AD40" i="24"/>
  <c r="AD39" i="24"/>
  <c r="AD38" i="24"/>
  <c r="AD37" i="24"/>
  <c r="AD36" i="24"/>
  <c r="AD35" i="24"/>
  <c r="AD34" i="24"/>
  <c r="AE65" i="24"/>
  <c r="AD65" i="24"/>
  <c r="AE64" i="24"/>
  <c r="AD64" i="24"/>
  <c r="AE63" i="24"/>
  <c r="AE62" i="24"/>
  <c r="AD62" i="24"/>
  <c r="AE61" i="24"/>
  <c r="AD61" i="24"/>
  <c r="AE60" i="24"/>
  <c r="AD60" i="24"/>
  <c r="AE59" i="24"/>
  <c r="AD59" i="24"/>
  <c r="AE58" i="24"/>
  <c r="AE57" i="24"/>
  <c r="AE56" i="24"/>
  <c r="AE55" i="24"/>
  <c r="AE54" i="24"/>
  <c r="AE52" i="24"/>
  <c r="AE51" i="24"/>
  <c r="AE50" i="24"/>
  <c r="AE49" i="24"/>
  <c r="AE48" i="24"/>
  <c r="AE47" i="24"/>
  <c r="AE46" i="24"/>
  <c r="AE45" i="24"/>
  <c r="AE44" i="24"/>
  <c r="AE43" i="24"/>
  <c r="AE42" i="24"/>
  <c r="AE41" i="24"/>
  <c r="AE40" i="24"/>
  <c r="AE39" i="24"/>
  <c r="AE38" i="24"/>
  <c r="AE37" i="24"/>
  <c r="AE36" i="24"/>
  <c r="AE35" i="24"/>
  <c r="AE34" i="24"/>
  <c r="AE33" i="24"/>
  <c r="AD33" i="24"/>
  <c r="Q56" i="24"/>
  <c r="Q54" i="24"/>
  <c r="Q52" i="24"/>
  <c r="AD51" i="24"/>
  <c r="Q44" i="24"/>
  <c r="Q45" i="24"/>
  <c r="Q32" i="24"/>
  <c r="Q31" i="24"/>
  <c r="V104" i="22"/>
  <c r="U104" i="22"/>
  <c r="FT54" i="22"/>
  <c r="FV79" i="22"/>
  <c r="FX79" i="22"/>
  <c r="FW79" i="22"/>
  <c r="FT89" i="22"/>
  <c r="FT90" i="22"/>
  <c r="FT92" i="22"/>
  <c r="FT93" i="22"/>
  <c r="FT91" i="22"/>
  <c r="FT99" i="22"/>
  <c r="FT100" i="22"/>
  <c r="FT101" i="22"/>
  <c r="FT102" i="22"/>
  <c r="FT103" i="22"/>
  <c r="FT104" i="22"/>
  <c r="FT105" i="22"/>
  <c r="FT106" i="22"/>
  <c r="FT98" i="22"/>
  <c r="FT97" i="22"/>
  <c r="FT96" i="22"/>
  <c r="FT47" i="22"/>
  <c r="FT88" i="22"/>
  <c r="FT87" i="22"/>
  <c r="FT83" i="22"/>
  <c r="FT82" i="22"/>
  <c r="FT84" i="22"/>
  <c r="FT81" i="22"/>
  <c r="FT80" i="22"/>
  <c r="FT78" i="22"/>
  <c r="FT77" i="22"/>
  <c r="FT76" i="22"/>
  <c r="FT75" i="22"/>
  <c r="FT74" i="22"/>
  <c r="FT73" i="22"/>
  <c r="FT72" i="22"/>
  <c r="FT71" i="22"/>
  <c r="FT70" i="22"/>
  <c r="FT69" i="22"/>
  <c r="FT68" i="22"/>
  <c r="FT67" i="22"/>
  <c r="FT66" i="22"/>
  <c r="FT64" i="22"/>
  <c r="FT62" i="22"/>
  <c r="FT61" i="22"/>
  <c r="FT60" i="22"/>
  <c r="FT59" i="22"/>
  <c r="FT56" i="22"/>
  <c r="FT57" i="22"/>
  <c r="FT58" i="22"/>
  <c r="FT55" i="22"/>
  <c r="FT50" i="22"/>
  <c r="FT51" i="22"/>
  <c r="FT52" i="22"/>
  <c r="FT53" i="22"/>
  <c r="FT48" i="22"/>
  <c r="FT49" i="22"/>
  <c r="FT46" i="22"/>
  <c r="FT45" i="22"/>
  <c r="FX44" i="22"/>
  <c r="FX43" i="22"/>
  <c r="FW44" i="22"/>
  <c r="FW43" i="22"/>
  <c r="FV44" i="22"/>
  <c r="FV43" i="22"/>
  <c r="FU44" i="22"/>
  <c r="FU43" i="22"/>
  <c r="GC36" i="22"/>
  <c r="GC35" i="22"/>
  <c r="FT42" i="22"/>
  <c r="FT41" i="22"/>
  <c r="FT40" i="22"/>
  <c r="FT39" i="22"/>
  <c r="FT38" i="22"/>
  <c r="FT32" i="22"/>
  <c r="FT37" i="22"/>
  <c r="FT36" i="22"/>
  <c r="FT34" i="22"/>
  <c r="FT31" i="22"/>
  <c r="V106" i="22"/>
  <c r="V105" i="22"/>
  <c r="V103" i="22"/>
  <c r="V102" i="22"/>
  <c r="V101" i="22"/>
  <c r="V100" i="22"/>
  <c r="V99" i="22"/>
  <c r="V98" i="22"/>
  <c r="V97" i="22"/>
  <c r="V96" i="22"/>
  <c r="V95" i="22"/>
  <c r="V94" i="22"/>
  <c r="V93" i="22"/>
  <c r="V92" i="22"/>
  <c r="V91" i="22"/>
  <c r="V90" i="22"/>
  <c r="V89" i="22"/>
  <c r="V88" i="22"/>
  <c r="V87" i="22"/>
  <c r="V86" i="22"/>
  <c r="V85" i="22"/>
  <c r="V84" i="22"/>
  <c r="V83" i="22"/>
  <c r="V82" i="22"/>
  <c r="V81" i="22"/>
  <c r="V80" i="22"/>
  <c r="V79" i="22"/>
  <c r="V78" i="22"/>
  <c r="V77" i="22"/>
  <c r="V76" i="22"/>
  <c r="V75" i="22"/>
  <c r="V74" i="22"/>
  <c r="V73" i="22"/>
  <c r="V72" i="22"/>
  <c r="V71" i="22"/>
  <c r="V69" i="22"/>
  <c r="V68" i="22"/>
  <c r="V70" i="22"/>
  <c r="V67" i="22"/>
  <c r="V66" i="22"/>
  <c r="V65" i="22"/>
  <c r="V64" i="22"/>
  <c r="V62" i="22"/>
  <c r="V61" i="22"/>
  <c r="V60" i="22"/>
  <c r="V59" i="22"/>
  <c r="V58" i="22"/>
  <c r="V57" i="22"/>
  <c r="V56" i="22"/>
  <c r="V54" i="22"/>
  <c r="V47" i="22"/>
  <c r="V46" i="22"/>
  <c r="V45" i="22"/>
  <c r="V44" i="22"/>
  <c r="V43" i="22"/>
  <c r="V42" i="22"/>
  <c r="V41" i="22"/>
  <c r="V40" i="22"/>
  <c r="V39" i="22"/>
  <c r="V38" i="22"/>
  <c r="V37" i="22"/>
  <c r="V36" i="22"/>
  <c r="V35" i="22"/>
  <c r="V34" i="22"/>
  <c r="V33" i="22"/>
  <c r="V31" i="22"/>
  <c r="U106" i="22"/>
  <c r="U105" i="22"/>
  <c r="U102" i="22"/>
  <c r="U101" i="22"/>
  <c r="U100" i="22"/>
  <c r="U99" i="22"/>
  <c r="U98" i="22"/>
  <c r="U93" i="22"/>
  <c r="L93" i="22" s="1"/>
  <c r="U92" i="22"/>
  <c r="L92" i="22" s="1"/>
  <c r="U70" i="22"/>
  <c r="U69" i="22"/>
  <c r="U68" i="22"/>
  <c r="U67" i="22"/>
  <c r="U65" i="22"/>
  <c r="U58" i="22"/>
  <c r="U57" i="22"/>
  <c r="U56" i="22"/>
  <c r="U46" i="22"/>
  <c r="U45" i="22"/>
  <c r="U37" i="22"/>
  <c r="AD78" i="19"/>
  <c r="AE46" i="19"/>
  <c r="AD46" i="19"/>
  <c r="L46" i="19" s="1"/>
  <c r="O46" i="19" s="1"/>
  <c r="AD33" i="19"/>
  <c r="AD32" i="19"/>
  <c r="L32" i="19" s="1"/>
  <c r="AD31" i="19"/>
  <c r="L33" i="19"/>
  <c r="AE33" i="19"/>
  <c r="AE32" i="19"/>
  <c r="AE31" i="19"/>
  <c r="AE79" i="19"/>
  <c r="AE78" i="19"/>
  <c r="AE77" i="19"/>
  <c r="AE76" i="19"/>
  <c r="AE75" i="19"/>
  <c r="AE74" i="19"/>
  <c r="AE67" i="19"/>
  <c r="AE66" i="19"/>
  <c r="AE65" i="19"/>
  <c r="AE64" i="19"/>
  <c r="AE63" i="19"/>
  <c r="AE62" i="19"/>
  <c r="AE61" i="19"/>
  <c r="AE60" i="19"/>
  <c r="AE59" i="19"/>
  <c r="AE58" i="19"/>
  <c r="AE57" i="19"/>
  <c r="AE56" i="19"/>
  <c r="AE55" i="19"/>
  <c r="AE53" i="19"/>
  <c r="AE52" i="19"/>
  <c r="AE51" i="19"/>
  <c r="AE50" i="19"/>
  <c r="AE49" i="19"/>
  <c r="AE48" i="19"/>
  <c r="AE47" i="19"/>
  <c r="AE45" i="19"/>
  <c r="AE43" i="19"/>
  <c r="AE42" i="19"/>
  <c r="L42" i="19" s="1"/>
  <c r="O42" i="19" s="1"/>
  <c r="AE41" i="19"/>
  <c r="AE40" i="19"/>
  <c r="AE39" i="19"/>
  <c r="AE38" i="19"/>
  <c r="AE37" i="19"/>
  <c r="AE36" i="19"/>
  <c r="AE35" i="19"/>
  <c r="AE34" i="19"/>
  <c r="AD79" i="19"/>
  <c r="AD77" i="19"/>
  <c r="AD76" i="19"/>
  <c r="AD75" i="19"/>
  <c r="AD74" i="19"/>
  <c r="AD67" i="19"/>
  <c r="AD66" i="19"/>
  <c r="AD65" i="19"/>
  <c r="AD64" i="19"/>
  <c r="AD63" i="19"/>
  <c r="AD62" i="19"/>
  <c r="AD61" i="19"/>
  <c r="AD60" i="19"/>
  <c r="AD59" i="19"/>
  <c r="AD58" i="19"/>
  <c r="AD57" i="19"/>
  <c r="AD56" i="19"/>
  <c r="AD55" i="19"/>
  <c r="AD53" i="19"/>
  <c r="AD52" i="19"/>
  <c r="AD51" i="19"/>
  <c r="AD50" i="19"/>
  <c r="L50" i="19" s="1"/>
  <c r="O50" i="19" s="1"/>
  <c r="AD49" i="19"/>
  <c r="L49" i="19" s="1"/>
  <c r="O49" i="19" s="1"/>
  <c r="AD48" i="19"/>
  <c r="AD47" i="19"/>
  <c r="AD45" i="19"/>
  <c r="AD44" i="19"/>
  <c r="AD43" i="19"/>
  <c r="AD42" i="19"/>
  <c r="AD41" i="19"/>
  <c r="AD38" i="19"/>
  <c r="AD37" i="19"/>
  <c r="L37" i="19" s="1"/>
  <c r="O37" i="19" s="1"/>
  <c r="AD36" i="19"/>
  <c r="AD35" i="19"/>
  <c r="L35" i="19" s="1"/>
  <c r="O35" i="19" s="1"/>
  <c r="AD34" i="19"/>
  <c r="L34" i="19" s="1"/>
  <c r="O34" i="19" s="1"/>
  <c r="O85" i="19"/>
  <c r="AD40" i="21"/>
  <c r="AE38" i="13"/>
  <c r="AE38" i="15"/>
  <c r="AD35" i="21"/>
  <c r="L35" i="21" s="1"/>
  <c r="O35" i="21" s="1"/>
  <c r="AE35" i="21"/>
  <c r="AD54" i="15"/>
  <c r="L54" i="15" s="1"/>
  <c r="O54" i="15" s="1"/>
  <c r="AD53" i="15"/>
  <c r="L53" i="15" s="1"/>
  <c r="O53" i="15" s="1"/>
  <c r="AD101" i="13"/>
  <c r="AD97" i="13"/>
  <c r="AD87" i="13"/>
  <c r="AD86" i="13"/>
  <c r="AD81" i="13"/>
  <c r="AD82" i="13"/>
  <c r="AD106" i="13"/>
  <c r="L48" i="19"/>
  <c r="L36" i="19"/>
  <c r="O36" i="19" s="1"/>
  <c r="L47" i="19"/>
  <c r="O47" i="19" s="1"/>
  <c r="L38" i="19"/>
  <c r="O38" i="19" s="1"/>
  <c r="O106" i="16"/>
  <c r="O105" i="16"/>
  <c r="O104" i="16"/>
  <c r="AD38" i="13"/>
  <c r="AE37" i="13"/>
  <c r="AE31" i="13"/>
  <c r="AD102" i="13"/>
  <c r="AD100" i="13"/>
  <c r="O38" i="13"/>
  <c r="AD51" i="13"/>
  <c r="L58" i="15"/>
  <c r="O58" i="15" s="1" a="1"/>
  <c r="O58" i="15" s="1"/>
  <c r="L39" i="15"/>
  <c r="O39" i="15" s="1"/>
  <c r="L38" i="13"/>
  <c r="M54" i="1"/>
  <c r="M94" i="1"/>
  <c r="M48" i="22"/>
  <c r="M86" i="22"/>
  <c r="M32" i="22"/>
  <c r="O107" i="21"/>
  <c r="O105" i="21"/>
  <c r="O106" i="21"/>
  <c r="AE72" i="21"/>
  <c r="AE79" i="21"/>
  <c r="AE80" i="21"/>
  <c r="AE54" i="21"/>
  <c r="AE53" i="21"/>
  <c r="AE32" i="21"/>
  <c r="AD80" i="21"/>
  <c r="L80" i="21" s="1"/>
  <c r="O80" i="21" s="1"/>
  <c r="AD79" i="21"/>
  <c r="L79" i="21" s="1"/>
  <c r="O79" i="21" s="1"/>
  <c r="AD72" i="21"/>
  <c r="L72" i="21" s="1"/>
  <c r="O72" i="21" s="1"/>
  <c r="AD52" i="21"/>
  <c r="L52" i="21" s="1"/>
  <c r="O52" i="21" s="1"/>
  <c r="AD54" i="21"/>
  <c r="L54" i="21" s="1"/>
  <c r="O54" i="21" s="1"/>
  <c r="AD53" i="21"/>
  <c r="L53" i="21" s="1"/>
  <c r="O53" i="21" s="1"/>
  <c r="AE52" i="21"/>
  <c r="AE40" i="21"/>
  <c r="AD39" i="21"/>
  <c r="L39" i="21" s="1"/>
  <c r="AE39" i="21"/>
  <c r="AE36" i="21"/>
  <c r="AE33" i="21"/>
  <c r="AD33" i="21"/>
  <c r="L33" i="21" s="1"/>
  <c r="O33" i="21" s="1"/>
  <c r="AD32" i="21"/>
  <c r="AD31" i="21"/>
  <c r="AE31" i="21"/>
  <c r="AE54" i="19"/>
  <c r="AD54" i="19"/>
  <c r="L54" i="19" s="1"/>
  <c r="O69" i="20"/>
  <c r="O68" i="20"/>
  <c r="O67" i="20"/>
  <c r="O68" i="24"/>
  <c r="O67" i="24"/>
  <c r="O66" i="24"/>
  <c r="O86" i="19"/>
  <c r="AD71" i="18"/>
  <c r="AD51" i="18"/>
  <c r="AD50" i="18"/>
  <c r="AD32" i="18"/>
  <c r="AD31" i="18"/>
  <c r="AC71" i="18"/>
  <c r="AC51" i="18"/>
  <c r="AC50" i="18"/>
  <c r="AC32" i="18"/>
  <c r="AC31" i="18"/>
  <c r="AD80" i="17"/>
  <c r="AD72" i="17"/>
  <c r="AD52" i="17"/>
  <c r="AD34" i="17"/>
  <c r="AD33" i="17"/>
  <c r="L33" i="17" s="1"/>
  <c r="O33" i="17" s="1"/>
  <c r="AD32" i="17"/>
  <c r="L32" i="17" s="1"/>
  <c r="O32" i="17" s="1"/>
  <c r="AD31" i="17"/>
  <c r="AC80" i="17"/>
  <c r="AC72" i="17"/>
  <c r="AC52" i="17"/>
  <c r="AC34" i="17"/>
  <c r="AC33" i="17"/>
  <c r="AC32" i="17"/>
  <c r="O104" i="17" s="1"/>
  <c r="AC31" i="17"/>
  <c r="AD79" i="16"/>
  <c r="AD71" i="16"/>
  <c r="AD51" i="16"/>
  <c r="AD33" i="16"/>
  <c r="AD32" i="16"/>
  <c r="L32" i="16" s="1"/>
  <c r="O32" i="16" s="1"/>
  <c r="AD31" i="16"/>
  <c r="AC79" i="16"/>
  <c r="AC71" i="16"/>
  <c r="AC51" i="16"/>
  <c r="AC33" i="16"/>
  <c r="AC32" i="16"/>
  <c r="AC31" i="16"/>
  <c r="AE76" i="14"/>
  <c r="AE69" i="14"/>
  <c r="AE49" i="14"/>
  <c r="AD76" i="14"/>
  <c r="AD69" i="14"/>
  <c r="AD49" i="14"/>
  <c r="AD31" i="14"/>
  <c r="AD79" i="15"/>
  <c r="L79" i="15" s="1"/>
  <c r="O79" i="15" s="1"/>
  <c r="AD58" i="15"/>
  <c r="AD52" i="15"/>
  <c r="L52" i="15" s="1"/>
  <c r="O52" i="15" s="1"/>
  <c r="AD51" i="15"/>
  <c r="L51" i="15" s="1"/>
  <c r="O51" i="15" s="1"/>
  <c r="AD47" i="15"/>
  <c r="L47" i="15" s="1"/>
  <c r="O47" i="15" s="1"/>
  <c r="AD46" i="15"/>
  <c r="AD45" i="15"/>
  <c r="AD44" i="15"/>
  <c r="AD43" i="15"/>
  <c r="L43" i="15" s="1"/>
  <c r="O43" i="15" s="1"/>
  <c r="AD42" i="15"/>
  <c r="AD41" i="15"/>
  <c r="AD40" i="15"/>
  <c r="AD39" i="15"/>
  <c r="AD38" i="15"/>
  <c r="AD35" i="15"/>
  <c r="L35" i="15" s="1"/>
  <c r="O35" i="15" s="1"/>
  <c r="AD33" i="15"/>
  <c r="AE79" i="15"/>
  <c r="AE58" i="15"/>
  <c r="AE54" i="15"/>
  <c r="AE53" i="15"/>
  <c r="AE52" i="15"/>
  <c r="AE51" i="15"/>
  <c r="AE47" i="15"/>
  <c r="AE46" i="15"/>
  <c r="AE45" i="15"/>
  <c r="AE44" i="15"/>
  <c r="AE43" i="15"/>
  <c r="AE42" i="15"/>
  <c r="AE41" i="15"/>
  <c r="AE40" i="15"/>
  <c r="AE39" i="15"/>
  <c r="L38" i="15"/>
  <c r="O38" i="15" s="1"/>
  <c r="AE36" i="15"/>
  <c r="AE35" i="15"/>
  <c r="AE33" i="15"/>
  <c r="AE32" i="15"/>
  <c r="AD32" i="15"/>
  <c r="AE31" i="15"/>
  <c r="AD31" i="15"/>
  <c r="L31" i="15" s="1"/>
  <c r="O31" i="15" s="1"/>
  <c r="L106" i="13" l="1"/>
  <c r="L72" i="17"/>
  <c r="O72" i="17" s="1"/>
  <c r="L103" i="13"/>
  <c r="O103" i="13" s="1"/>
  <c r="L31" i="16"/>
  <c r="O31" i="16" s="1"/>
  <c r="O103" i="16"/>
  <c r="AD31" i="20"/>
  <c r="L76" i="14"/>
  <c r="O76" i="14" s="1"/>
  <c r="L40" i="15"/>
  <c r="O40" i="15" s="1"/>
  <c r="L33" i="15"/>
  <c r="O33" i="15" s="1"/>
  <c r="L45" i="15"/>
  <c r="O45" i="15" s="1"/>
  <c r="L46" i="15"/>
  <c r="O46" i="15" s="1"/>
  <c r="L44" i="15"/>
  <c r="O44" i="15" s="1"/>
  <c r="L41" i="15"/>
  <c r="O41" i="15" s="1"/>
  <c r="L42" i="15"/>
  <c r="O42" i="15" s="1"/>
  <c r="L32" i="15"/>
  <c r="O32" i="15" s="1"/>
  <c r="GV99" i="1"/>
  <c r="L50" i="18"/>
  <c r="O50" i="18" s="1"/>
  <c r="L51" i="18"/>
  <c r="O51" i="18" s="1"/>
  <c r="L34" i="17"/>
  <c r="O34" i="17" s="1"/>
  <c r="L52" i="17"/>
  <c r="O52" i="17" s="1"/>
  <c r="L33" i="16"/>
  <c r="O33" i="16" s="1"/>
  <c r="L31" i="21"/>
  <c r="O31" i="21" s="1"/>
  <c r="GV56" i="1"/>
  <c r="GS87" i="1"/>
  <c r="GV87" i="1" s="1"/>
  <c r="GV57" i="1"/>
  <c r="GV55" i="1"/>
  <c r="GV104" i="1"/>
  <c r="GV93" i="1"/>
  <c r="GV90" i="1"/>
  <c r="GV84" i="1"/>
  <c r="GV89" i="1"/>
  <c r="GV103" i="1"/>
  <c r="GV91" i="1"/>
  <c r="GV47" i="1"/>
  <c r="O83" i="19"/>
  <c r="L82" i="19"/>
  <c r="O82" i="19" s="1"/>
  <c r="L40" i="21"/>
  <c r="O40" i="21" s="1"/>
  <c r="O32" i="21"/>
  <c r="GV97" i="1"/>
  <c r="O88" i="22"/>
  <c r="FT44" i="22"/>
  <c r="FT43" i="22"/>
  <c r="L41" i="19"/>
  <c r="O41" i="19" s="1"/>
  <c r="L43" i="19"/>
  <c r="O43" i="19" s="1"/>
  <c r="L44" i="19"/>
  <c r="O44" i="19" s="1"/>
  <c r="L45" i="19"/>
  <c r="O45" i="19" s="1"/>
  <c r="L80" i="17"/>
  <c r="O80" i="17" s="1"/>
  <c r="L31" i="17"/>
  <c r="O31" i="17" s="1"/>
  <c r="L51" i="16"/>
  <c r="O51" i="16" s="1"/>
  <c r="L79" i="16"/>
  <c r="O79" i="16" s="1"/>
  <c r="L71" i="16"/>
  <c r="O71" i="16" s="1"/>
  <c r="O49" i="14"/>
  <c r="L69" i="14"/>
  <c r="O69" i="14" s="1"/>
  <c r="O54" i="19"/>
  <c r="GV80" i="1"/>
  <c r="GR49" i="1"/>
  <c r="GV53" i="1"/>
  <c r="GV81" i="1"/>
  <c r="GV85" i="1"/>
  <c r="GV60" i="1"/>
  <c r="GV61" i="1"/>
  <c r="GV62" i="1"/>
  <c r="GV79" i="1"/>
  <c r="GV82" i="1"/>
  <c r="GV69" i="1"/>
  <c r="GS49" i="1"/>
  <c r="L51" i="24"/>
  <c r="O51" i="24" s="1"/>
  <c r="FT79" i="22"/>
  <c r="L31" i="19"/>
  <c r="L31" i="14"/>
  <c r="O31" i="14" s="1"/>
  <c r="L71" i="18"/>
  <c r="O71" i="18" s="1"/>
  <c r="L31" i="18"/>
  <c r="L32" i="18"/>
  <c r="AE106" i="13"/>
  <c r="AE102" i="13"/>
  <c r="L102" i="13" s="1"/>
  <c r="O102" i="13" s="1"/>
  <c r="AE101" i="13"/>
  <c r="L101" i="13" s="1"/>
  <c r="O101" i="13" s="1"/>
  <c r="AE100" i="13"/>
  <c r="L100" i="13" s="1"/>
  <c r="O100" i="13" s="1"/>
  <c r="AE99" i="13"/>
  <c r="AE98" i="13"/>
  <c r="AE97" i="13"/>
  <c r="L97" i="13" s="1"/>
  <c r="O97" i="13" s="1"/>
  <c r="AE96" i="13"/>
  <c r="AE95" i="13"/>
  <c r="AD99" i="13"/>
  <c r="AD98" i="13"/>
  <c r="AE94" i="13"/>
  <c r="L94" i="13" s="1"/>
  <c r="O94" i="13" s="1"/>
  <c r="AD96" i="13"/>
  <c r="AD95" i="13"/>
  <c r="AD94" i="13"/>
  <c r="AD93" i="13"/>
  <c r="AE93" i="13"/>
  <c r="L93" i="13" s="1"/>
  <c r="O93" i="13" s="1"/>
  <c r="AE92" i="13"/>
  <c r="AE91" i="13"/>
  <c r="AE90" i="13"/>
  <c r="L90" i="13" s="1"/>
  <c r="O90" i="13" s="1"/>
  <c r="AE89" i="13"/>
  <c r="L89" i="13" s="1"/>
  <c r="O89" i="13" s="1"/>
  <c r="AE88" i="13"/>
  <c r="AE87" i="13"/>
  <c r="L87" i="13" s="1"/>
  <c r="O87" i="13" s="1"/>
  <c r="AE86" i="13"/>
  <c r="AE85" i="13"/>
  <c r="AE84" i="13"/>
  <c r="L84" i="13" s="1"/>
  <c r="O84" i="13" s="1"/>
  <c r="AE83" i="13"/>
  <c r="AE82" i="13"/>
  <c r="AD92" i="13"/>
  <c r="AD91" i="13"/>
  <c r="AD90" i="13"/>
  <c r="AD89" i="13"/>
  <c r="AD88" i="13"/>
  <c r="AD85" i="13"/>
  <c r="AD84" i="13"/>
  <c r="AD83" i="13"/>
  <c r="AD78" i="13"/>
  <c r="AE81" i="13"/>
  <c r="AE80" i="13"/>
  <c r="AE79" i="13"/>
  <c r="AE78" i="13"/>
  <c r="L78" i="13" s="1"/>
  <c r="O78" i="13" s="1"/>
  <c r="AE77" i="13"/>
  <c r="L77" i="13" s="1"/>
  <c r="O77" i="13" s="1"/>
  <c r="AE76" i="13"/>
  <c r="AE75" i="13"/>
  <c r="AE74" i="13"/>
  <c r="AE73" i="13"/>
  <c r="AE72" i="13"/>
  <c r="AE71" i="13"/>
  <c r="AE70" i="13"/>
  <c r="AE69" i="13"/>
  <c r="AE68" i="13"/>
  <c r="AE67" i="13"/>
  <c r="AE66" i="13"/>
  <c r="AE65" i="13"/>
  <c r="AE64" i="13"/>
  <c r="AD80" i="13"/>
  <c r="AD79" i="13"/>
  <c r="AD77" i="13"/>
  <c r="AD76" i="13"/>
  <c r="AD75" i="13"/>
  <c r="AD74" i="13"/>
  <c r="AD73" i="13"/>
  <c r="AD72" i="13"/>
  <c r="AD71" i="13"/>
  <c r="AD70" i="13"/>
  <c r="AD69" i="13"/>
  <c r="AD68" i="13"/>
  <c r="AD67" i="13"/>
  <c r="AD66" i="13"/>
  <c r="AD65" i="13"/>
  <c r="AD64" i="13"/>
  <c r="AD63" i="13"/>
  <c r="AD62" i="13"/>
  <c r="AD61" i="13"/>
  <c r="AD60" i="13"/>
  <c r="AD59" i="13"/>
  <c r="AD58" i="13"/>
  <c r="L58" i="13" s="1"/>
  <c r="O58" i="13" s="1" a="1"/>
  <c r="O58" i="13" s="1"/>
  <c r="AD57" i="13"/>
  <c r="L57" i="13" s="1"/>
  <c r="O57" i="13" s="1" a="1"/>
  <c r="O57" i="13" s="1"/>
  <c r="AD56" i="13"/>
  <c r="AD55" i="13"/>
  <c r="AD54" i="13"/>
  <c r="AD53" i="13"/>
  <c r="AD52" i="13"/>
  <c r="AD50" i="13"/>
  <c r="L50" i="13" s="1"/>
  <c r="O50" i="13" s="1"/>
  <c r="AD49" i="13"/>
  <c r="AE63" i="13"/>
  <c r="AE62" i="13"/>
  <c r="AE61" i="13"/>
  <c r="AE60" i="13"/>
  <c r="AE59" i="13"/>
  <c r="AE58" i="13"/>
  <c r="AE57" i="13"/>
  <c r="AE56" i="13"/>
  <c r="AE55" i="13"/>
  <c r="L55" i="13" s="1"/>
  <c r="O55" i="13" s="1"/>
  <c r="AE54" i="13"/>
  <c r="AE53" i="13"/>
  <c r="AE52" i="13"/>
  <c r="AE51" i="13"/>
  <c r="L51" i="13" s="1"/>
  <c r="O51" i="13" s="1"/>
  <c r="AE50" i="13"/>
  <c r="AE49" i="13"/>
  <c r="AE48" i="13"/>
  <c r="L48" i="13" s="1"/>
  <c r="O48" i="13" s="1"/>
  <c r="AD48" i="13"/>
  <c r="AE47" i="13"/>
  <c r="AD47" i="13"/>
  <c r="AE46" i="13"/>
  <c r="AD46" i="13"/>
  <c r="AE45" i="13"/>
  <c r="AD45" i="13"/>
  <c r="AE44" i="13"/>
  <c r="AD44" i="13"/>
  <c r="AD43" i="13"/>
  <c r="AE43" i="13"/>
  <c r="L43" i="13" s="1"/>
  <c r="O43" i="13" s="1"/>
  <c r="AE42" i="13"/>
  <c r="AE41" i="13"/>
  <c r="AD42" i="13"/>
  <c r="AD41" i="13"/>
  <c r="AD40" i="13"/>
  <c r="AE40" i="13"/>
  <c r="AE39" i="13"/>
  <c r="AD39" i="13"/>
  <c r="AD34" i="13"/>
  <c r="AE36" i="13"/>
  <c r="AE34" i="13"/>
  <c r="AE33" i="13"/>
  <c r="AE32" i="13"/>
  <c r="L32" i="13" s="1"/>
  <c r="O32" i="13" s="1"/>
  <c r="AD33" i="13"/>
  <c r="AD32" i="13"/>
  <c r="AD31" i="13"/>
  <c r="L31" i="13" s="1"/>
  <c r="O31" i="13" s="1"/>
  <c r="AE35" i="13"/>
  <c r="AD35" i="13"/>
  <c r="L83" i="13" l="1"/>
  <c r="O83" i="13" s="1"/>
  <c r="L76" i="13"/>
  <c r="O76" i="13" s="1"/>
  <c r="L75" i="13"/>
  <c r="O75" i="13" s="1"/>
  <c r="L53" i="13"/>
  <c r="O53" i="13" s="1"/>
  <c r="L52" i="13"/>
  <c r="O52" i="13" s="1"/>
  <c r="L42" i="13"/>
  <c r="O42" i="13" s="1"/>
  <c r="L35" i="13"/>
  <c r="O35" i="13" s="1"/>
  <c r="L56" i="13"/>
  <c r="O56" i="13" s="1"/>
  <c r="GV49" i="1"/>
  <c r="L33" i="13"/>
  <c r="O33" i="13" s="1"/>
  <c r="L45" i="13"/>
  <c r="O45" i="13" s="1"/>
  <c r="L79" i="13"/>
  <c r="O79" i="13" s="1"/>
  <c r="L96" i="13"/>
  <c r="O96" i="13" s="1"/>
  <c r="L39" i="13"/>
  <c r="O39" i="13" s="1"/>
  <c r="L47" i="13"/>
  <c r="O47" i="13" s="1"/>
  <c r="L62" i="13"/>
  <c r="O62" i="13" s="1"/>
  <c r="L64" i="13"/>
  <c r="O64" i="13" s="1"/>
  <c r="L80" i="13"/>
  <c r="O80" i="13" s="1"/>
  <c r="L40" i="13"/>
  <c r="O40" i="13" s="1"/>
  <c r="L63" i="13"/>
  <c r="O63" i="13" s="1"/>
  <c r="L65" i="13"/>
  <c r="O65" i="13" s="1"/>
  <c r="L88" i="13"/>
  <c r="O88" i="13" s="1"/>
  <c r="L98" i="13"/>
  <c r="O98" i="13" s="1"/>
  <c r="L73" i="13"/>
  <c r="O73" i="13" s="1"/>
  <c r="L67" i="13"/>
  <c r="O67" i="13" s="1"/>
  <c r="L68" i="13"/>
  <c r="O68" i="13" s="1"/>
  <c r="L91" i="13"/>
  <c r="O91" i="13" s="1"/>
  <c r="L41" i="13"/>
  <c r="O41" i="13" s="1"/>
  <c r="L69" i="13"/>
  <c r="O69" i="13" s="1"/>
  <c r="L92" i="13"/>
  <c r="O92" i="13" s="1"/>
  <c r="L74" i="13"/>
  <c r="O74" i="13" s="1"/>
  <c r="L59" i="13"/>
  <c r="O59" i="13" s="1"/>
  <c r="L46" i="13"/>
  <c r="O46" i="13" s="1"/>
  <c r="L95" i="13"/>
  <c r="O95" i="13" s="1"/>
  <c r="L61" i="13"/>
  <c r="O61" i="13" s="1"/>
  <c r="L99" i="13"/>
  <c r="O99" i="13" s="1"/>
  <c r="L44" i="13"/>
  <c r="O44" i="13" s="1"/>
  <c r="L60" i="13"/>
  <c r="O60" i="13" s="1"/>
  <c r="L66" i="13"/>
  <c r="O66" i="13" s="1"/>
  <c r="L49" i="13"/>
  <c r="O49" i="13" s="1"/>
  <c r="L70" i="13"/>
  <c r="O70" i="13" s="1"/>
  <c r="L71" i="13"/>
  <c r="O71" i="13" s="1"/>
  <c r="L54" i="13"/>
  <c r="O54" i="13" s="1"/>
  <c r="L72" i="13"/>
  <c r="O72" i="13" s="1"/>
  <c r="GV48" i="1"/>
  <c r="L85" i="13"/>
  <c r="O85" i="13" s="1"/>
  <c r="L86" i="13"/>
  <c r="O86" i="13" s="1"/>
  <c r="L82" i="13"/>
  <c r="O82" i="13" s="1"/>
  <c r="L81" i="13"/>
  <c r="O81" i="13" s="1"/>
  <c r="O7" i="4" l="1"/>
  <c r="B35" i="18" l="1"/>
  <c r="E37" i="15"/>
  <c r="M36" i="16"/>
  <c r="E37" i="21"/>
  <c r="E36" i="16"/>
  <c r="E37" i="17"/>
  <c r="B37" i="21"/>
  <c r="G65" i="2"/>
  <c r="B34" i="14"/>
  <c r="G64" i="2"/>
  <c r="B37" i="17"/>
  <c r="M34" i="14"/>
  <c r="M37" i="15"/>
  <c r="G63" i="2"/>
  <c r="B36" i="16"/>
  <c r="M35" i="18"/>
  <c r="E34" i="14"/>
  <c r="M37" i="17"/>
  <c r="E35" i="18"/>
  <c r="B37" i="15"/>
  <c r="M37" i="21"/>
  <c r="B37" i="13"/>
  <c r="B53" i="20"/>
  <c r="M37" i="13"/>
  <c r="E53" i="20"/>
  <c r="ES53" i="20" s="1"/>
  <c r="B53" i="24"/>
  <c r="M53" i="24" s="1"/>
  <c r="E53" i="24"/>
  <c r="E63" i="22"/>
  <c r="FE63" i="22" s="1"/>
  <c r="B63" i="22"/>
  <c r="M63" i="22" s="1"/>
  <c r="M34" i="15"/>
  <c r="E73" i="21"/>
  <c r="M34" i="21"/>
  <c r="B34" i="21"/>
  <c r="E34" i="15"/>
  <c r="E34" i="21"/>
  <c r="B34" i="15"/>
  <c r="E72" i="13"/>
  <c r="E52" i="19"/>
  <c r="E72" i="15"/>
  <c r="E73" i="13"/>
  <c r="B70" i="19"/>
  <c r="M70" i="19" s="1"/>
  <c r="M75" i="18"/>
  <c r="E73" i="18"/>
  <c r="E67" i="18"/>
  <c r="M64" i="18"/>
  <c r="E62" i="18"/>
  <c r="B54" i="18"/>
  <c r="B49" i="18"/>
  <c r="M49" i="18" s="1"/>
  <c r="B33" i="18"/>
  <c r="M33" i="18" s="1"/>
  <c r="B91" i="18"/>
  <c r="B89" i="18"/>
  <c r="M82" i="18"/>
  <c r="E103" i="21"/>
  <c r="E104" i="17"/>
  <c r="M101" i="17"/>
  <c r="E98" i="17"/>
  <c r="B83" i="17"/>
  <c r="E76" i="17"/>
  <c r="E74" i="17"/>
  <c r="M68" i="17"/>
  <c r="E63" i="17"/>
  <c r="B61" i="17"/>
  <c r="B59" i="17"/>
  <c r="B55" i="17"/>
  <c r="B47" i="17"/>
  <c r="M47" i="17" s="1"/>
  <c r="M94" i="16"/>
  <c r="E92" i="16"/>
  <c r="B81" i="16"/>
  <c r="M76" i="16"/>
  <c r="E74" i="16"/>
  <c r="M68" i="16"/>
  <c r="E63" i="16"/>
  <c r="B61" i="16"/>
  <c r="M58" i="16"/>
  <c r="B40" i="16"/>
  <c r="M40" i="16" s="1"/>
  <c r="B37" i="16"/>
  <c r="M37" i="16" s="1"/>
  <c r="E101" i="17"/>
  <c r="B98" i="17"/>
  <c r="E93" i="17"/>
  <c r="E91" i="17"/>
  <c r="B87" i="17"/>
  <c r="B71" i="17"/>
  <c r="M100" i="16"/>
  <c r="E94" i="16"/>
  <c r="M85" i="16"/>
  <c r="E76" i="16"/>
  <c r="M65" i="16"/>
  <c r="B50" i="16"/>
  <c r="M50" i="16" s="1"/>
  <c r="B74" i="17"/>
  <c r="E65" i="17"/>
  <c r="E51" i="17"/>
  <c r="E42" i="17"/>
  <c r="E36" i="17"/>
  <c r="B92" i="16"/>
  <c r="E85" i="16"/>
  <c r="E65" i="16"/>
  <c r="B54" i="16"/>
  <c r="B95" i="17"/>
  <c r="B91" i="17"/>
  <c r="E78" i="17"/>
  <c r="E39" i="17"/>
  <c r="B100" i="16"/>
  <c r="B94" i="16"/>
  <c r="M87" i="16"/>
  <c r="B76" i="16"/>
  <c r="B68" i="16"/>
  <c r="M60" i="16"/>
  <c r="E39" i="16"/>
  <c r="M100" i="14"/>
  <c r="E84" i="13"/>
  <c r="M82" i="17"/>
  <c r="M70" i="17"/>
  <c r="M60" i="17"/>
  <c r="E54" i="17"/>
  <c r="E44" i="17"/>
  <c r="B39" i="17"/>
  <c r="M39" i="17" s="1"/>
  <c r="B97" i="16"/>
  <c r="E87" i="16"/>
  <c r="B85" i="16"/>
  <c r="E60" i="16"/>
  <c r="B58" i="16"/>
  <c r="B42" i="16"/>
  <c r="M42" i="16" s="1"/>
  <c r="B39" i="16"/>
  <c r="M39" i="16" s="1"/>
  <c r="B77" i="14"/>
  <c r="M77" i="14" s="1"/>
  <c r="M84" i="19"/>
  <c r="E70" i="19"/>
  <c r="E75" i="18"/>
  <c r="B70" i="18"/>
  <c r="B67" i="18"/>
  <c r="E64" i="18"/>
  <c r="E44" i="18"/>
  <c r="E39" i="18"/>
  <c r="E36" i="18"/>
  <c r="M101" i="18"/>
  <c r="M98" i="18"/>
  <c r="B93" i="18"/>
  <c r="M84" i="18"/>
  <c r="E80" i="18"/>
  <c r="B103" i="21"/>
  <c r="B104" i="17"/>
  <c r="E95" i="17"/>
  <c r="B89" i="17"/>
  <c r="B85" i="17"/>
  <c r="M65" i="17"/>
  <c r="E49" i="17"/>
  <c r="M97" i="16"/>
  <c r="B90" i="16"/>
  <c r="B83" i="16"/>
  <c r="E54" i="16"/>
  <c r="E45" i="16"/>
  <c r="E68" i="17"/>
  <c r="B63" i="17"/>
  <c r="B49" i="17"/>
  <c r="E100" i="16"/>
  <c r="B74" i="16"/>
  <c r="E68" i="16"/>
  <c r="B63" i="16"/>
  <c r="E58" i="16"/>
  <c r="B45" i="16"/>
  <c r="M45" i="16" s="1"/>
  <c r="E77" i="14"/>
  <c r="B93" i="17"/>
  <c r="B68" i="17"/>
  <c r="B42" i="17"/>
  <c r="M42" i="17" s="1"/>
  <c r="B36" i="17"/>
  <c r="M36" i="17" s="1"/>
  <c r="E97" i="16"/>
  <c r="M80" i="16"/>
  <c r="M70" i="16"/>
  <c r="B65" i="16"/>
  <c r="M47" i="16"/>
  <c r="E42" i="16"/>
  <c r="M103" i="17"/>
  <c r="M97" i="17"/>
  <c r="B78" i="17"/>
  <c r="B65" i="17"/>
  <c r="I58" i="17"/>
  <c r="B51" i="17"/>
  <c r="M51" i="17" s="1"/>
  <c r="E71" i="16"/>
  <c r="B73" i="19"/>
  <c r="M73" i="19" s="1"/>
  <c r="M77" i="18"/>
  <c r="B73" i="18"/>
  <c r="B62" i="18"/>
  <c r="I57" i="18"/>
  <c r="M46" i="18"/>
  <c r="B44" i="18"/>
  <c r="M44" i="18" s="1"/>
  <c r="B39" i="18"/>
  <c r="M39" i="18" s="1"/>
  <c r="E101" i="18"/>
  <c r="E98" i="18"/>
  <c r="E95" i="18"/>
  <c r="E82" i="18"/>
  <c r="M105" i="13"/>
  <c r="B101" i="17"/>
  <c r="M78" i="17"/>
  <c r="B76" i="17"/>
  <c r="E84" i="19"/>
  <c r="K21" i="19"/>
  <c r="E73" i="19"/>
  <c r="E77" i="18"/>
  <c r="B75" i="18"/>
  <c r="B64" i="18"/>
  <c r="M59" i="18"/>
  <c r="E57" i="18"/>
  <c r="E53" i="18"/>
  <c r="B36" i="18"/>
  <c r="M36" i="18" s="1"/>
  <c r="B101" i="18"/>
  <c r="B98" i="18"/>
  <c r="M86" i="18"/>
  <c r="E84" i="18"/>
  <c r="B80" i="18"/>
  <c r="J20" i="17"/>
  <c r="B84" i="19"/>
  <c r="B68" i="19"/>
  <c r="M68" i="19" s="1"/>
  <c r="B77" i="18"/>
  <c r="M69" i="18"/>
  <c r="M66" i="18"/>
  <c r="E59" i="18"/>
  <c r="B57" i="18"/>
  <c r="M57" i="18" s="1"/>
  <c r="B53" i="18"/>
  <c r="M53" i="18" s="1"/>
  <c r="M48" i="18"/>
  <c r="E46" i="18"/>
  <c r="E41" i="18"/>
  <c r="M90" i="18"/>
  <c r="M88" i="18"/>
  <c r="E86" i="18"/>
  <c r="B82" i="18"/>
  <c r="E105" i="13"/>
  <c r="E68" i="19"/>
  <c r="E69" i="18"/>
  <c r="E66" i="18"/>
  <c r="M55" i="18"/>
  <c r="B46" i="18"/>
  <c r="B41" i="18"/>
  <c r="M41" i="18" s="1"/>
  <c r="M92" i="18"/>
  <c r="E88" i="18"/>
  <c r="B84" i="18"/>
  <c r="B105" i="13"/>
  <c r="E83" i="15"/>
  <c r="M100" i="17"/>
  <c r="M88" i="17"/>
  <c r="M86" i="17"/>
  <c r="M84" i="17"/>
  <c r="E58" i="17"/>
  <c r="M56" i="17"/>
  <c r="B44" i="17"/>
  <c r="M44" i="17" s="1"/>
  <c r="B71" i="19"/>
  <c r="M71" i="19" s="1"/>
  <c r="M72" i="18"/>
  <c r="B69" i="18"/>
  <c r="B66" i="18"/>
  <c r="M61" i="18"/>
  <c r="B59" i="18"/>
  <c r="E48" i="18"/>
  <c r="E38" i="18"/>
  <c r="M103" i="18"/>
  <c r="M100" i="18"/>
  <c r="M97" i="18"/>
  <c r="M94" i="18"/>
  <c r="E92" i="18"/>
  <c r="E90" i="18"/>
  <c r="B86" i="18"/>
  <c r="E100" i="14"/>
  <c r="E84" i="21"/>
  <c r="E103" i="17"/>
  <c r="E100" i="17"/>
  <c r="E97" i="17"/>
  <c r="E82" i="17"/>
  <c r="M75" i="17"/>
  <c r="M73" i="17"/>
  <c r="E70" i="17"/>
  <c r="M67" i="17"/>
  <c r="M62" i="17"/>
  <c r="E60" i="17"/>
  <c r="B58" i="17"/>
  <c r="M58" i="17" s="1"/>
  <c r="M48" i="17"/>
  <c r="E46" i="17"/>
  <c r="E35" i="17"/>
  <c r="M103" i="16"/>
  <c r="M99" i="16"/>
  <c r="M91" i="16"/>
  <c r="E89" i="16"/>
  <c r="B87" i="16"/>
  <c r="E73" i="16"/>
  <c r="M67" i="16"/>
  <c r="M62" i="16"/>
  <c r="E53" i="16"/>
  <c r="B47" i="16"/>
  <c r="E81" i="14"/>
  <c r="B103" i="17"/>
  <c r="B100" i="17"/>
  <c r="B97" i="17"/>
  <c r="M94" i="17"/>
  <c r="M92" i="17"/>
  <c r="M90" i="17"/>
  <c r="E88" i="17"/>
  <c r="E86" i="17"/>
  <c r="B70" i="17"/>
  <c r="E67" i="17"/>
  <c r="I56" i="17"/>
  <c r="B46" i="17"/>
  <c r="M46" i="17" s="1"/>
  <c r="B35" i="17"/>
  <c r="M35" i="17" s="1"/>
  <c r="E103" i="16"/>
  <c r="E99" i="16"/>
  <c r="M96" i="16"/>
  <c r="M93" i="16"/>
  <c r="E82" i="16"/>
  <c r="B80" i="16"/>
  <c r="M75" i="16"/>
  <c r="B73" i="16"/>
  <c r="B70" i="16"/>
  <c r="E67" i="16"/>
  <c r="M64" i="16"/>
  <c r="E62" i="16"/>
  <c r="I57" i="16"/>
  <c r="M55" i="16"/>
  <c r="B53" i="16"/>
  <c r="M53" i="16" s="1"/>
  <c r="E49" i="16"/>
  <c r="E44" i="16"/>
  <c r="E35" i="16"/>
  <c r="E83" i="16"/>
  <c r="E90" i="17"/>
  <c r="B84" i="17"/>
  <c r="B82" i="17"/>
  <c r="M77" i="17"/>
  <c r="E75" i="17"/>
  <c r="E73" i="17"/>
  <c r="E80" i="19"/>
  <c r="E71" i="19"/>
  <c r="M74" i="18"/>
  <c r="E72" i="18"/>
  <c r="M63" i="18"/>
  <c r="E61" i="18"/>
  <c r="I55" i="18"/>
  <c r="B48" i="18"/>
  <c r="E43" i="18"/>
  <c r="B38" i="18"/>
  <c r="M38" i="18" s="1"/>
  <c r="E103" i="18"/>
  <c r="E100" i="18"/>
  <c r="E94" i="18"/>
  <c r="B88" i="18"/>
  <c r="B100" i="14"/>
  <c r="E81" i="19"/>
  <c r="J20" i="18"/>
  <c r="M76" i="18"/>
  <c r="E74" i="18"/>
  <c r="E63" i="18"/>
  <c r="M56" i="18"/>
  <c r="E55" i="18"/>
  <c r="B43" i="18"/>
  <c r="M43" i="18" s="1"/>
  <c r="B103" i="18"/>
  <c r="B100" i="18"/>
  <c r="E97" i="18"/>
  <c r="B92" i="18"/>
  <c r="B90" i="18"/>
  <c r="M81" i="18"/>
  <c r="M102" i="15"/>
  <c r="B72" i="18"/>
  <c r="M68" i="18"/>
  <c r="M65" i="18"/>
  <c r="B61" i="18"/>
  <c r="B55" i="18"/>
  <c r="E52" i="18"/>
  <c r="B97" i="18"/>
  <c r="B94" i="18"/>
  <c r="M83" i="18"/>
  <c r="E81" i="18"/>
  <c r="E84" i="17"/>
  <c r="E94" i="17"/>
  <c r="E92" i="17"/>
  <c r="B88" i="17"/>
  <c r="B86" i="17"/>
  <c r="E77" i="17"/>
  <c r="B69" i="19"/>
  <c r="M69" i="19" s="1"/>
  <c r="E76" i="18"/>
  <c r="B74" i="18"/>
  <c r="B63" i="18"/>
  <c r="M58" i="18"/>
  <c r="I56" i="18"/>
  <c r="B52" i="18"/>
  <c r="M52" i="18" s="1"/>
  <c r="E45" i="18"/>
  <c r="E34" i="18"/>
  <c r="M85" i="18"/>
  <c r="E83" i="18"/>
  <c r="E102" i="15"/>
  <c r="M102" i="17"/>
  <c r="M99" i="17"/>
  <c r="B90" i="17"/>
  <c r="B75" i="17"/>
  <c r="B73" i="17"/>
  <c r="M69" i="17"/>
  <c r="B62" i="17"/>
  <c r="B53" i="17"/>
  <c r="M53" i="17" s="1"/>
  <c r="E50" i="17"/>
  <c r="E69" i="19"/>
  <c r="E68" i="18"/>
  <c r="E65" i="18"/>
  <c r="E56" i="18"/>
  <c r="M47" i="18"/>
  <c r="B45" i="18"/>
  <c r="M45" i="18" s="1"/>
  <c r="E40" i="18"/>
  <c r="E37" i="18"/>
  <c r="B34" i="18"/>
  <c r="M34" i="18" s="1"/>
  <c r="M102" i="18"/>
  <c r="M99" i="18"/>
  <c r="M87" i="18"/>
  <c r="E85" i="18"/>
  <c r="B81" i="18"/>
  <c r="B102" i="15"/>
  <c r="B72" i="19"/>
  <c r="M72" i="19" s="1"/>
  <c r="E79" i="18"/>
  <c r="B76" i="18"/>
  <c r="B68" i="18"/>
  <c r="B65" i="18"/>
  <c r="M60" i="18"/>
  <c r="E58" i="18"/>
  <c r="B40" i="18"/>
  <c r="M40" i="18" s="1"/>
  <c r="B37" i="18"/>
  <c r="M37" i="18" s="1"/>
  <c r="M96" i="18"/>
  <c r="M91" i="18"/>
  <c r="M89" i="18"/>
  <c r="B83" i="18"/>
  <c r="B79" i="17"/>
  <c r="M79" i="17" s="1"/>
  <c r="E102" i="17"/>
  <c r="B99" i="17"/>
  <c r="M83" i="17"/>
  <c r="M81" i="17"/>
  <c r="E69" i="17"/>
  <c r="E66" i="17"/>
  <c r="M59" i="17"/>
  <c r="E57" i="17"/>
  <c r="B43" i="17"/>
  <c r="M43" i="17" s="1"/>
  <c r="E72" i="19"/>
  <c r="M70" i="18"/>
  <c r="B56" i="18"/>
  <c r="E47" i="18"/>
  <c r="E102" i="18"/>
  <c r="E99" i="18"/>
  <c r="E96" i="18"/>
  <c r="M93" i="18"/>
  <c r="E87" i="18"/>
  <c r="B85" i="18"/>
  <c r="E102" i="16"/>
  <c r="B102" i="17"/>
  <c r="M87" i="17"/>
  <c r="M85" i="17"/>
  <c r="E81" i="17"/>
  <c r="M71" i="17"/>
  <c r="B69" i="17"/>
  <c r="B66" i="17"/>
  <c r="M61" i="17"/>
  <c r="E45" i="17"/>
  <c r="B79" i="18"/>
  <c r="M79" i="18" s="1"/>
  <c r="E78" i="18"/>
  <c r="M73" i="18"/>
  <c r="M62" i="18"/>
  <c r="E60" i="18"/>
  <c r="B58" i="18"/>
  <c r="M54" i="18"/>
  <c r="E49" i="18"/>
  <c r="B47" i="18"/>
  <c r="E42" i="18"/>
  <c r="B102" i="18"/>
  <c r="B99" i="18"/>
  <c r="B96" i="18"/>
  <c r="E91" i="18"/>
  <c r="E89" i="18"/>
  <c r="M103" i="21"/>
  <c r="B102" i="16"/>
  <c r="M89" i="17"/>
  <c r="E83" i="17"/>
  <c r="M74" i="17"/>
  <c r="E59" i="17"/>
  <c r="B57" i="17"/>
  <c r="M55" i="17"/>
  <c r="B45" i="17"/>
  <c r="M45" i="17" s="1"/>
  <c r="E40" i="17"/>
  <c r="B101" i="16"/>
  <c r="B98" i="16"/>
  <c r="M90" i="16"/>
  <c r="E81" i="16"/>
  <c r="M74" i="16"/>
  <c r="E78" i="16"/>
  <c r="B66" i="16"/>
  <c r="E61" i="16"/>
  <c r="E56" i="16"/>
  <c r="E48" i="16"/>
  <c r="B43" i="16"/>
  <c r="M43" i="16" s="1"/>
  <c r="E37" i="16"/>
  <c r="J20" i="16"/>
  <c r="B78" i="18"/>
  <c r="M78" i="18" s="1"/>
  <c r="E70" i="18"/>
  <c r="E93" i="18"/>
  <c r="E62" i="17"/>
  <c r="E91" i="16"/>
  <c r="B67" i="16"/>
  <c r="B60" i="16"/>
  <c r="B57" i="16"/>
  <c r="M57" i="16" s="1"/>
  <c r="E50" i="16"/>
  <c r="B41" i="16"/>
  <c r="M41" i="16" s="1"/>
  <c r="E99" i="17"/>
  <c r="E89" i="17"/>
  <c r="E56" i="17"/>
  <c r="M49" i="17"/>
  <c r="E72" i="16"/>
  <c r="E101" i="16"/>
  <c r="B56" i="17"/>
  <c r="B103" i="16"/>
  <c r="B91" i="16"/>
  <c r="E88" i="16"/>
  <c r="M63" i="16"/>
  <c r="E47" i="16"/>
  <c r="B92" i="17"/>
  <c r="B77" i="17"/>
  <c r="M64" i="17"/>
  <c r="E43" i="17"/>
  <c r="B40" i="17"/>
  <c r="M40" i="17" s="1"/>
  <c r="M82" i="16"/>
  <c r="M77" i="16"/>
  <c r="E70" i="16"/>
  <c r="M66" i="16"/>
  <c r="M56" i="16"/>
  <c r="M104" i="17"/>
  <c r="M98" i="17"/>
  <c r="E64" i="17"/>
  <c r="E93" i="16"/>
  <c r="M59" i="16"/>
  <c r="E61" i="17"/>
  <c r="B77" i="16"/>
  <c r="B56" i="16"/>
  <c r="B64" i="17"/>
  <c r="B82" i="16"/>
  <c r="B35" i="16"/>
  <c r="M35" i="16" s="1"/>
  <c r="E48" i="17"/>
  <c r="M84" i="16"/>
  <c r="B59" i="16"/>
  <c r="E79" i="17"/>
  <c r="B67" i="17"/>
  <c r="I57" i="17"/>
  <c r="B48" i="17"/>
  <c r="B96" i="16"/>
  <c r="E84" i="16"/>
  <c r="B62" i="16"/>
  <c r="B46" i="16"/>
  <c r="M46" i="16" s="1"/>
  <c r="E69" i="16"/>
  <c r="M102" i="16"/>
  <c r="M63" i="17"/>
  <c r="M92" i="16"/>
  <c r="B84" i="16"/>
  <c r="M81" i="16"/>
  <c r="M72" i="16"/>
  <c r="B69" i="16"/>
  <c r="E34" i="16"/>
  <c r="E96" i="17"/>
  <c r="M93" i="17"/>
  <c r="E71" i="17"/>
  <c r="M66" i="17"/>
  <c r="B60" i="17"/>
  <c r="B54" i="17"/>
  <c r="M54" i="17" s="1"/>
  <c r="M50" i="17"/>
  <c r="E38" i="17"/>
  <c r="E95" i="16"/>
  <c r="M89" i="16"/>
  <c r="B72" i="16"/>
  <c r="E52" i="16"/>
  <c r="M48" i="16"/>
  <c r="E38" i="16"/>
  <c r="B34" i="16"/>
  <c r="M34" i="16" s="1"/>
  <c r="M80" i="18"/>
  <c r="E87" i="17"/>
  <c r="B81" i="17"/>
  <c r="B99" i="16"/>
  <c r="M86" i="16"/>
  <c r="E64" i="16"/>
  <c r="M61" i="16"/>
  <c r="B52" i="16"/>
  <c r="M52" i="16" s="1"/>
  <c r="B38" i="16"/>
  <c r="M38" i="16" s="1"/>
  <c r="E80" i="16"/>
  <c r="E41" i="16"/>
  <c r="B44" i="16"/>
  <c r="M44" i="16" s="1"/>
  <c r="M54" i="16"/>
  <c r="E66" i="16"/>
  <c r="E40" i="16"/>
  <c r="E90" i="16"/>
  <c r="E43" i="16"/>
  <c r="M91" i="17"/>
  <c r="E96" i="16"/>
  <c r="E46" i="16"/>
  <c r="M67" i="18"/>
  <c r="B50" i="17"/>
  <c r="B38" i="17"/>
  <c r="M38" i="17" s="1"/>
  <c r="B89" i="16"/>
  <c r="E86" i="16"/>
  <c r="E75" i="16"/>
  <c r="I55" i="16"/>
  <c r="B48" i="16"/>
  <c r="M95" i="17"/>
  <c r="B41" i="17"/>
  <c r="M41" i="17" s="1"/>
  <c r="M98" i="16"/>
  <c r="B75" i="16"/>
  <c r="B55" i="16"/>
  <c r="E98" i="16"/>
  <c r="E77" i="16"/>
  <c r="E54" i="18"/>
  <c r="E59" i="16"/>
  <c r="M57" i="17"/>
  <c r="B94" i="17"/>
  <c r="E55" i="17"/>
  <c r="M69" i="16"/>
  <c r="B42" i="18"/>
  <c r="M42" i="18" s="1"/>
  <c r="E33" i="18"/>
  <c r="B87" i="18"/>
  <c r="E47" i="17"/>
  <c r="E41" i="17"/>
  <c r="M83" i="16"/>
  <c r="B78" i="16"/>
  <c r="M78" i="16" s="1"/>
  <c r="B64" i="16"/>
  <c r="E55" i="16"/>
  <c r="E53" i="17"/>
  <c r="B86" i="16"/>
  <c r="E57" i="16"/>
  <c r="M88" i="16"/>
  <c r="B88" i="16"/>
  <c r="I56" i="16"/>
  <c r="M101" i="16"/>
  <c r="M49" i="16"/>
  <c r="B93" i="16"/>
  <c r="B60" i="18"/>
  <c r="E85" i="17"/>
  <c r="M73" i="16"/>
  <c r="B49" i="16"/>
  <c r="M76" i="17"/>
  <c r="M101" i="14"/>
  <c r="M97" i="14"/>
  <c r="M94" i="14"/>
  <c r="E91" i="14"/>
  <c r="B88" i="14"/>
  <c r="E78" i="14"/>
  <c r="E73" i="14"/>
  <c r="M57" i="14"/>
  <c r="M52" i="14"/>
  <c r="B48" i="14"/>
  <c r="M48" i="14" s="1"/>
  <c r="E45" i="14"/>
  <c r="B42" i="14"/>
  <c r="M42" i="14" s="1"/>
  <c r="E35" i="14"/>
  <c r="E91" i="21"/>
  <c r="B89" i="21"/>
  <c r="B77" i="21"/>
  <c r="M67" i="21"/>
  <c r="E62" i="21"/>
  <c r="M59" i="21"/>
  <c r="B57" i="21"/>
  <c r="M55" i="21"/>
  <c r="B42" i="21"/>
  <c r="M42" i="21" s="1"/>
  <c r="M70" i="15"/>
  <c r="M64" i="15"/>
  <c r="B59" i="15"/>
  <c r="E95" i="15"/>
  <c r="B90" i="15"/>
  <c r="E82" i="15"/>
  <c r="E55" i="15"/>
  <c r="E97" i="14"/>
  <c r="B91" i="14"/>
  <c r="M81" i="14"/>
  <c r="B78" i="14"/>
  <c r="B73" i="14"/>
  <c r="B70" i="14"/>
  <c r="M66" i="14"/>
  <c r="M60" i="14"/>
  <c r="E57" i="14"/>
  <c r="M54" i="14"/>
  <c r="B45" i="14"/>
  <c r="B35" i="14"/>
  <c r="M35" i="14" s="1"/>
  <c r="M86" i="21"/>
  <c r="B84" i="21"/>
  <c r="M81" i="21"/>
  <c r="M74" i="21"/>
  <c r="M70" i="21"/>
  <c r="E67" i="21"/>
  <c r="B62" i="21"/>
  <c r="E59" i="21"/>
  <c r="E55" i="21"/>
  <c r="E47" i="21"/>
  <c r="J20" i="21"/>
  <c r="M87" i="15"/>
  <c r="M49" i="15"/>
  <c r="M68" i="14"/>
  <c r="B63" i="14"/>
  <c r="B99" i="21"/>
  <c r="M76" i="21"/>
  <c r="M84" i="15"/>
  <c r="B49" i="15"/>
  <c r="E75" i="14"/>
  <c r="B41" i="14"/>
  <c r="M41" i="14" s="1"/>
  <c r="M66" i="21"/>
  <c r="M69" i="15"/>
  <c r="M81" i="15"/>
  <c r="E83" i="21"/>
  <c r="M74" i="15"/>
  <c r="M78" i="21"/>
  <c r="I57" i="15"/>
  <c r="M88" i="21"/>
  <c r="B57" i="15"/>
  <c r="E61" i="21"/>
  <c r="E77" i="15"/>
  <c r="E89" i="15"/>
  <c r="M90" i="21"/>
  <c r="B49" i="21"/>
  <c r="E81" i="15"/>
  <c r="M48" i="15"/>
  <c r="E101" i="14"/>
  <c r="B97" i="14"/>
  <c r="E94" i="14"/>
  <c r="M84" i="14"/>
  <c r="B81" i="14"/>
  <c r="M63" i="14"/>
  <c r="E60" i="14"/>
  <c r="B57" i="14"/>
  <c r="E52" i="14"/>
  <c r="E38" i="14"/>
  <c r="M102" i="21"/>
  <c r="M99" i="21"/>
  <c r="E96" i="21"/>
  <c r="B91" i="21"/>
  <c r="E86" i="21"/>
  <c r="E81" i="21"/>
  <c r="E74" i="21"/>
  <c r="E70" i="21"/>
  <c r="B67" i="21"/>
  <c r="M64" i="21"/>
  <c r="B55" i="21"/>
  <c r="B47" i="21"/>
  <c r="M47" i="21" s="1"/>
  <c r="B70" i="15"/>
  <c r="B67" i="15"/>
  <c r="M61" i="15"/>
  <c r="M72" i="15"/>
  <c r="E87" i="15"/>
  <c r="B82" i="15"/>
  <c r="E103" i="15"/>
  <c r="E99" i="15"/>
  <c r="E57" i="15"/>
  <c r="B101" i="14"/>
  <c r="B94" i="14"/>
  <c r="M87" i="14"/>
  <c r="E84" i="14"/>
  <c r="E66" i="14"/>
  <c r="E63" i="14"/>
  <c r="B60" i="14"/>
  <c r="I54" i="14"/>
  <c r="B52" i="14"/>
  <c r="M47" i="14"/>
  <c r="B38" i="14"/>
  <c r="M38" i="14" s="1"/>
  <c r="E102" i="21"/>
  <c r="E99" i="21"/>
  <c r="M93" i="21"/>
  <c r="B81" i="21"/>
  <c r="B74" i="21"/>
  <c r="B70" i="21"/>
  <c r="B59" i="21"/>
  <c r="M49" i="21"/>
  <c r="E44" i="21"/>
  <c r="B64" i="15"/>
  <c r="E61" i="15"/>
  <c r="M77" i="15"/>
  <c r="B75" i="15"/>
  <c r="B72" i="15"/>
  <c r="M94" i="15"/>
  <c r="M89" i="15"/>
  <c r="B103" i="15"/>
  <c r="B84" i="14"/>
  <c r="E44" i="14"/>
  <c r="E93" i="21"/>
  <c r="M61" i="21"/>
  <c r="E94" i="15"/>
  <c r="E90" i="14"/>
  <c r="B44" i="14"/>
  <c r="M44" i="14" s="1"/>
  <c r="B93" i="21"/>
  <c r="M97" i="15"/>
  <c r="E95" i="21"/>
  <c r="B92" i="15"/>
  <c r="E41" i="21"/>
  <c r="B77" i="15"/>
  <c r="B88" i="21"/>
  <c r="B89" i="15"/>
  <c r="M90" i="14"/>
  <c r="B61" i="15"/>
  <c r="E49" i="21"/>
  <c r="B61" i="21"/>
  <c r="M98" i="21"/>
  <c r="E69" i="21"/>
  <c r="E78" i="15"/>
  <c r="M96" i="14"/>
  <c r="E88" i="21"/>
  <c r="E90" i="21"/>
  <c r="I58" i="21"/>
  <c r="B69" i="15"/>
  <c r="B84" i="15"/>
  <c r="E70" i="14"/>
  <c r="M99" i="14"/>
  <c r="E96" i="14"/>
  <c r="B90" i="14"/>
  <c r="E80" i="14"/>
  <c r="B75" i="14"/>
  <c r="E72" i="14"/>
  <c r="E68" i="14"/>
  <c r="M59" i="14"/>
  <c r="B54" i="14"/>
  <c r="E51" i="14"/>
  <c r="B47" i="14"/>
  <c r="E37" i="14"/>
  <c r="M95" i="21"/>
  <c r="B76" i="21"/>
  <c r="M91" i="15"/>
  <c r="M73" i="21"/>
  <c r="E99" i="14"/>
  <c r="B96" i="14"/>
  <c r="E93" i="14"/>
  <c r="M83" i="14"/>
  <c r="B80" i="14"/>
  <c r="B72" i="14"/>
  <c r="B68" i="14"/>
  <c r="M65" i="14"/>
  <c r="M62" i="14"/>
  <c r="E59" i="14"/>
  <c r="E56" i="14"/>
  <c r="B51" i="14"/>
  <c r="M51" i="14" s="1"/>
  <c r="B37" i="14"/>
  <c r="M37" i="14" s="1"/>
  <c r="B72" i="21"/>
  <c r="M72" i="21" s="1"/>
  <c r="B83" i="21"/>
  <c r="E66" i="21"/>
  <c r="E46" i="21"/>
  <c r="E63" i="15"/>
  <c r="E69" i="14"/>
  <c r="B99" i="14"/>
  <c r="M86" i="14"/>
  <c r="E83" i="14"/>
  <c r="E62" i="14"/>
  <c r="B59" i="14"/>
  <c r="B56" i="14"/>
  <c r="E40" i="14"/>
  <c r="B71" i="21"/>
  <c r="M85" i="21"/>
  <c r="E78" i="21"/>
  <c r="B69" i="21"/>
  <c r="B66" i="21"/>
  <c r="E58" i="21"/>
  <c r="I56" i="21"/>
  <c r="B51" i="21"/>
  <c r="M51" i="21" s="1"/>
  <c r="B46" i="21"/>
  <c r="M46" i="21" s="1"/>
  <c r="E60" i="15"/>
  <c r="E74" i="15"/>
  <c r="B97" i="15"/>
  <c r="E86" i="15"/>
  <c r="B81" i="15"/>
  <c r="E101" i="15"/>
  <c r="B98" i="15"/>
  <c r="E48" i="15"/>
  <c r="M89" i="14"/>
  <c r="E86" i="14"/>
  <c r="B83" i="14"/>
  <c r="M74" i="14"/>
  <c r="E65" i="14"/>
  <c r="B62" i="14"/>
  <c r="M53" i="14"/>
  <c r="M46" i="14"/>
  <c r="E43" i="14"/>
  <c r="B40" i="14"/>
  <c r="M40" i="14" s="1"/>
  <c r="E33" i="14"/>
  <c r="E101" i="21"/>
  <c r="E98" i="21"/>
  <c r="B95" i="21"/>
  <c r="M92" i="21"/>
  <c r="B90" i="21"/>
  <c r="E85" i="21"/>
  <c r="B78" i="21"/>
  <c r="B73" i="21"/>
  <c r="M63" i="21"/>
  <c r="B58" i="21"/>
  <c r="M58" i="21" s="1"/>
  <c r="E56" i="21"/>
  <c r="E43" i="21"/>
  <c r="B63" i="15"/>
  <c r="M76" i="15"/>
  <c r="M93" i="15"/>
  <c r="B91" i="15"/>
  <c r="B101" i="15"/>
  <c r="I56" i="15"/>
  <c r="B48" i="15"/>
  <c r="E89" i="14"/>
  <c r="B65" i="14"/>
  <c r="B43" i="14"/>
  <c r="M43" i="14" s="1"/>
  <c r="B33" i="14"/>
  <c r="M33" i="14" s="1"/>
  <c r="B101" i="21"/>
  <c r="B98" i="21"/>
  <c r="E92" i="21"/>
  <c r="M60" i="21"/>
  <c r="M48" i="21"/>
  <c r="B43" i="21"/>
  <c r="M43" i="21" s="1"/>
  <c r="M78" i="15"/>
  <c r="M68" i="15"/>
  <c r="M65" i="15"/>
  <c r="B60" i="15"/>
  <c r="E76" i="15"/>
  <c r="E93" i="15"/>
  <c r="M88" i="15"/>
  <c r="M83" i="15"/>
  <c r="E56" i="15"/>
  <c r="E60" i="21"/>
  <c r="E68" i="15"/>
  <c r="M75" i="21"/>
  <c r="M68" i="21"/>
  <c r="E38" i="21"/>
  <c r="M71" i="15"/>
  <c r="E103" i="13"/>
  <c r="M95" i="14"/>
  <c r="M92" i="14"/>
  <c r="B86" i="14"/>
  <c r="M79" i="14"/>
  <c r="M71" i="14"/>
  <c r="M67" i="14"/>
  <c r="E50" i="14"/>
  <c r="E63" i="21"/>
  <c r="B74" i="15"/>
  <c r="B86" i="15"/>
  <c r="E48" i="21"/>
  <c r="E65" i="15"/>
  <c r="M98" i="14"/>
  <c r="E92" i="14"/>
  <c r="B89" i="14"/>
  <c r="E79" i="14"/>
  <c r="E74" i="14"/>
  <c r="E71" i="14"/>
  <c r="M58" i="14"/>
  <c r="I53" i="14"/>
  <c r="B50" i="14"/>
  <c r="M50" i="14" s="1"/>
  <c r="E46" i="14"/>
  <c r="E36" i="14"/>
  <c r="B92" i="21"/>
  <c r="M87" i="21"/>
  <c r="B85" i="21"/>
  <c r="M82" i="21"/>
  <c r="B63" i="21"/>
  <c r="M57" i="21"/>
  <c r="B56" i="21"/>
  <c r="B78" i="15"/>
  <c r="M96" i="15"/>
  <c r="M80" i="15"/>
  <c r="M50" i="15"/>
  <c r="E98" i="14"/>
  <c r="E95" i="14"/>
  <c r="B92" i="14"/>
  <c r="M82" i="14"/>
  <c r="B79" i="14"/>
  <c r="B74" i="14"/>
  <c r="B71" i="14"/>
  <c r="E67" i="14"/>
  <c r="M61" i="14"/>
  <c r="E58" i="14"/>
  <c r="I55" i="14"/>
  <c r="E53" i="14"/>
  <c r="B46" i="14"/>
  <c r="B36" i="14"/>
  <c r="M36" i="14" s="1"/>
  <c r="E87" i="21"/>
  <c r="E82" i="21"/>
  <c r="E75" i="21"/>
  <c r="E68" i="21"/>
  <c r="M65" i="21"/>
  <c r="B60" i="21"/>
  <c r="M50" i="21"/>
  <c r="B48" i="21"/>
  <c r="B38" i="21"/>
  <c r="M38" i="21" s="1"/>
  <c r="E71" i="15"/>
  <c r="B68" i="15"/>
  <c r="M62" i="15"/>
  <c r="B76" i="15"/>
  <c r="E96" i="15"/>
  <c r="B93" i="15"/>
  <c r="M90" i="15"/>
  <c r="E88" i="15"/>
  <c r="B83" i="15"/>
  <c r="M100" i="15"/>
  <c r="B56" i="15"/>
  <c r="E50" i="15"/>
  <c r="M91" i="21"/>
  <c r="M62" i="21"/>
  <c r="E42" i="21"/>
  <c r="B62" i="15"/>
  <c r="M82" i="15"/>
  <c r="M57" i="15"/>
  <c r="E67" i="15"/>
  <c r="E75" i="15"/>
  <c r="M99" i="15"/>
  <c r="E49" i="15"/>
  <c r="M72" i="14"/>
  <c r="B66" i="14"/>
  <c r="E54" i="14"/>
  <c r="B102" i="21"/>
  <c r="B87" i="15"/>
  <c r="B87" i="14"/>
  <c r="B64" i="21"/>
  <c r="B41" i="21"/>
  <c r="M41" i="21" s="1"/>
  <c r="B94" i="15"/>
  <c r="B66" i="15"/>
  <c r="E91" i="15"/>
  <c r="E98" i="15"/>
  <c r="M56" i="15"/>
  <c r="B98" i="14"/>
  <c r="B95" i="14"/>
  <c r="M85" i="14"/>
  <c r="E82" i="14"/>
  <c r="B67" i="14"/>
  <c r="M64" i="14"/>
  <c r="E61" i="14"/>
  <c r="B58" i="14"/>
  <c r="E55" i="14"/>
  <c r="B53" i="14"/>
  <c r="E39" i="14"/>
  <c r="E32" i="14"/>
  <c r="M104" i="21"/>
  <c r="M100" i="21"/>
  <c r="M97" i="21"/>
  <c r="M94" i="21"/>
  <c r="M89" i="21"/>
  <c r="B87" i="21"/>
  <c r="B82" i="21"/>
  <c r="M77" i="21"/>
  <c r="B75" i="21"/>
  <c r="M71" i="21"/>
  <c r="B68" i="21"/>
  <c r="E65" i="21"/>
  <c r="I57" i="21"/>
  <c r="E45" i="21"/>
  <c r="B71" i="15"/>
  <c r="B65" i="15"/>
  <c r="E62" i="15"/>
  <c r="M59" i="15"/>
  <c r="M73" i="15"/>
  <c r="B96" i="15"/>
  <c r="M85" i="15"/>
  <c r="E80" i="15"/>
  <c r="E100" i="15"/>
  <c r="J20" i="15"/>
  <c r="B104" i="21"/>
  <c r="M67" i="15"/>
  <c r="M75" i="15"/>
  <c r="M92" i="15"/>
  <c r="M55" i="15"/>
  <c r="E64" i="15"/>
  <c r="B85" i="15"/>
  <c r="B55" i="15"/>
  <c r="M75" i="14"/>
  <c r="E41" i="14"/>
  <c r="E64" i="21"/>
  <c r="M80" i="14"/>
  <c r="E76" i="21"/>
  <c r="M56" i="21"/>
  <c r="E66" i="15"/>
  <c r="M98" i="15"/>
  <c r="M101" i="21"/>
  <c r="E97" i="15"/>
  <c r="M88" i="14"/>
  <c r="E85" i="14"/>
  <c r="B82" i="14"/>
  <c r="E64" i="14"/>
  <c r="B61" i="14"/>
  <c r="B55" i="14"/>
  <c r="M55" i="14" s="1"/>
  <c r="B39" i="14"/>
  <c r="M39" i="14" s="1"/>
  <c r="B32" i="14"/>
  <c r="M32" i="14" s="1"/>
  <c r="E104" i="21"/>
  <c r="E100" i="21"/>
  <c r="E97" i="21"/>
  <c r="E94" i="21"/>
  <c r="E89" i="21"/>
  <c r="E71" i="21"/>
  <c r="B65" i="21"/>
  <c r="E57" i="21"/>
  <c r="E50" i="21"/>
  <c r="B45" i="21"/>
  <c r="M45" i="21" s="1"/>
  <c r="E59" i="15"/>
  <c r="E73" i="15"/>
  <c r="E90" i="15"/>
  <c r="B88" i="15"/>
  <c r="B80" i="15"/>
  <c r="B100" i="15"/>
  <c r="B50" i="15"/>
  <c r="M91" i="14"/>
  <c r="E88" i="14"/>
  <c r="B85" i="14"/>
  <c r="M78" i="14"/>
  <c r="M73" i="14"/>
  <c r="M70" i="14"/>
  <c r="B64" i="14"/>
  <c r="E48" i="14"/>
  <c r="M45" i="14"/>
  <c r="E42" i="14"/>
  <c r="J20" i="14"/>
  <c r="B100" i="21"/>
  <c r="B97" i="21"/>
  <c r="B94" i="21"/>
  <c r="M84" i="21"/>
  <c r="E77" i="21"/>
  <c r="B50" i="21"/>
  <c r="B73" i="15"/>
  <c r="E85" i="15"/>
  <c r="E70" i="15"/>
  <c r="E92" i="15"/>
  <c r="M103" i="15"/>
  <c r="E87" i="14"/>
  <c r="B86" i="21"/>
  <c r="B44" i="21"/>
  <c r="M44" i="21" s="1"/>
  <c r="E47" i="14"/>
  <c r="M83" i="21"/>
  <c r="M66" i="15"/>
  <c r="E84" i="15"/>
  <c r="M69" i="21"/>
  <c r="E69" i="15"/>
  <c r="M101" i="15"/>
  <c r="E104" i="13"/>
  <c r="M60" i="15"/>
  <c r="B99" i="15"/>
  <c r="M56" i="14"/>
  <c r="M63" i="15"/>
  <c r="E51" i="21"/>
  <c r="M86" i="15"/>
  <c r="B18" i="2"/>
  <c r="J20" i="13"/>
  <c r="B19" i="2"/>
  <c r="E32" i="22"/>
  <c r="I69" i="22"/>
  <c r="I43" i="24"/>
  <c r="I77" i="1"/>
  <c r="I44" i="20"/>
  <c r="E44" i="20"/>
  <c r="E48" i="22"/>
  <c r="B42" i="20"/>
  <c r="M42" i="20" s="1"/>
  <c r="I94" i="1"/>
  <c r="P2951" i="19"/>
  <c r="E42" i="20"/>
  <c r="I93" i="1"/>
  <c r="B2951" i="19"/>
  <c r="B67" i="1"/>
  <c r="M67" i="1" s="1"/>
  <c r="E67" i="1"/>
  <c r="I20" i="1"/>
  <c r="E45" i="19"/>
  <c r="E71" i="1"/>
  <c r="ES71" i="1" s="1"/>
  <c r="B71" i="1"/>
  <c r="M71" i="1" s="1"/>
  <c r="ES67" i="1"/>
  <c r="I100" i="1"/>
  <c r="E82" i="19"/>
  <c r="E83" i="19"/>
  <c r="E76" i="14"/>
  <c r="E74" i="13"/>
  <c r="A14" i="2"/>
  <c r="E79" i="21"/>
  <c r="A132" i="2"/>
  <c r="A13" i="2"/>
  <c r="A15" i="2"/>
  <c r="A11" i="2"/>
  <c r="A12" i="2"/>
  <c r="E79" i="13"/>
  <c r="A10" i="2"/>
  <c r="H26" i="15"/>
  <c r="H25" i="15"/>
  <c r="H26" i="13"/>
  <c r="H25" i="13"/>
  <c r="H26" i="21"/>
  <c r="H25" i="21"/>
  <c r="H26" i="14"/>
  <c r="H27" i="19"/>
  <c r="N2" i="20"/>
  <c r="H26" i="19"/>
  <c r="H25" i="14"/>
  <c r="H26" i="20"/>
  <c r="H25" i="20"/>
  <c r="H26" i="16"/>
  <c r="K27" i="22"/>
  <c r="B31" i="1"/>
  <c r="H25" i="18"/>
  <c r="H25" i="16"/>
  <c r="K26" i="22"/>
  <c r="H26" i="17"/>
  <c r="H26" i="24"/>
  <c r="H26" i="18"/>
  <c r="N30" i="13"/>
  <c r="H25" i="17"/>
  <c r="H25" i="24"/>
  <c r="B32" i="1"/>
  <c r="N30" i="15"/>
  <c r="N30" i="21"/>
  <c r="N30" i="17"/>
  <c r="N30" i="18"/>
  <c r="N30" i="16"/>
  <c r="N30" i="20"/>
  <c r="N30" i="19"/>
  <c r="N30" i="22"/>
  <c r="N30" i="24"/>
  <c r="N35" i="1"/>
  <c r="N30" i="14"/>
  <c r="O30" i="14"/>
  <c r="M30" i="14"/>
  <c r="B83" i="19"/>
  <c r="M83" i="19"/>
  <c r="M80" i="19"/>
  <c r="B80" i="19"/>
  <c r="M82" i="19"/>
  <c r="E31" i="17"/>
  <c r="B81" i="19"/>
  <c r="B82" i="19"/>
  <c r="M81" i="19"/>
  <c r="M104" i="13"/>
  <c r="B104" i="13"/>
  <c r="M103" i="13"/>
  <c r="B103" i="13"/>
  <c r="FL30" i="22"/>
  <c r="FQ30" i="22"/>
  <c r="FN30" i="22"/>
  <c r="FJ30" i="22"/>
  <c r="FK30" i="22"/>
  <c r="FP30" i="22"/>
  <c r="FM30" i="22"/>
  <c r="FO30" i="22"/>
  <c r="FR30" i="22"/>
  <c r="ES106" i="1"/>
  <c r="ES91" i="1"/>
  <c r="ES75" i="1"/>
  <c r="ES62" i="1"/>
  <c r="ES46" i="1"/>
  <c r="ES85" i="1"/>
  <c r="ES55" i="1"/>
  <c r="ES99" i="1"/>
  <c r="ES113" i="1"/>
  <c r="EW38" i="1"/>
  <c r="ES52" i="1"/>
  <c r="ES111" i="1"/>
  <c r="ES110" i="1"/>
  <c r="ES36" i="1"/>
  <c r="ES105" i="1"/>
  <c r="ES90" i="1"/>
  <c r="EW74" i="1"/>
  <c r="ES61" i="1"/>
  <c r="ES45" i="1"/>
  <c r="ES57" i="1"/>
  <c r="ES101" i="1"/>
  <c r="ES56" i="1"/>
  <c r="ES40" i="1"/>
  <c r="ES114" i="1"/>
  <c r="ES54" i="1"/>
  <c r="ES112" i="1"/>
  <c r="ES38" i="1"/>
  <c r="ES51" i="1"/>
  <c r="ES95" i="1"/>
  <c r="ES50" i="1"/>
  <c r="V38" i="1"/>
  <c r="ES104" i="1"/>
  <c r="ES89" i="1"/>
  <c r="ES74" i="1"/>
  <c r="ES60" i="1"/>
  <c r="ES44" i="1"/>
  <c r="ES41" i="1"/>
  <c r="ES84" i="1"/>
  <c r="ES39" i="1"/>
  <c r="ES68" i="1"/>
  <c r="ES53" i="1"/>
  <c r="ES80" i="1"/>
  <c r="ES79" i="1"/>
  <c r="ES94" i="1"/>
  <c r="ES93" i="1"/>
  <c r="ES77" i="1"/>
  <c r="ES103" i="1"/>
  <c r="ES88" i="1"/>
  <c r="ES73" i="1"/>
  <c r="ES59" i="1"/>
  <c r="ES43" i="1"/>
  <c r="ES86" i="1"/>
  <c r="EW70" i="1"/>
  <c r="ES70" i="1"/>
  <c r="ES69" i="1"/>
  <c r="ES98" i="1"/>
  <c r="ES97" i="1"/>
  <c r="ES96" i="1"/>
  <c r="ES37" i="1"/>
  <c r="ES109" i="1"/>
  <c r="ES65" i="1"/>
  <c r="ES49" i="1"/>
  <c r="ES102" i="1"/>
  <c r="ES87" i="1"/>
  <c r="EW72" i="1"/>
  <c r="ES58" i="1"/>
  <c r="ES42" i="1"/>
  <c r="ES72" i="1"/>
  <c r="EW40" i="1"/>
  <c r="ES100" i="1"/>
  <c r="ES83" i="1"/>
  <c r="ES82" i="1"/>
  <c r="ES81" i="1"/>
  <c r="ES66" i="1"/>
  <c r="J73" i="1"/>
  <c r="ES78" i="1"/>
  <c r="ES108" i="1"/>
  <c r="ES64" i="1"/>
  <c r="ES48" i="1"/>
  <c r="ES107" i="1"/>
  <c r="ES92" i="1"/>
  <c r="ES76" i="1"/>
  <c r="ES63" i="1"/>
  <c r="ES47" i="1"/>
  <c r="FE100" i="22"/>
  <c r="FE71" i="22"/>
  <c r="FE58" i="22"/>
  <c r="FE42" i="22"/>
  <c r="FE49" i="22"/>
  <c r="FE106" i="22"/>
  <c r="FI62" i="22"/>
  <c r="FE76" i="22"/>
  <c r="FE33" i="22"/>
  <c r="FE89" i="22"/>
  <c r="FE46" i="22"/>
  <c r="FE74" i="22"/>
  <c r="FE45" i="22"/>
  <c r="FE102" i="22"/>
  <c r="FE99" i="22"/>
  <c r="FE70" i="22"/>
  <c r="FE57" i="22"/>
  <c r="FE41" i="22"/>
  <c r="FE78" i="22"/>
  <c r="FE91" i="22"/>
  <c r="FE48" i="22"/>
  <c r="FE98" i="22"/>
  <c r="FE69" i="22"/>
  <c r="FE56" i="22"/>
  <c r="FE40" i="22"/>
  <c r="FE90" i="22"/>
  <c r="FE61" i="22"/>
  <c r="FE60" i="22"/>
  <c r="FE97" i="22"/>
  <c r="FE68" i="22"/>
  <c r="FE55" i="22"/>
  <c r="FE39" i="22"/>
  <c r="FI64" i="22"/>
  <c r="FE50" i="22"/>
  <c r="FE96" i="22"/>
  <c r="FE88" i="22"/>
  <c r="FE67" i="22"/>
  <c r="FE54" i="22"/>
  <c r="FE38" i="22"/>
  <c r="FE82" i="22"/>
  <c r="FE105" i="22"/>
  <c r="FE47" i="22"/>
  <c r="FE75" i="22"/>
  <c r="FE103" i="22"/>
  <c r="FE31" i="22"/>
  <c r="FE73" i="22"/>
  <c r="FE95" i="22"/>
  <c r="FE87" i="22"/>
  <c r="FI66" i="22"/>
  <c r="FE53" i="22"/>
  <c r="FE37" i="22"/>
  <c r="FE79" i="22"/>
  <c r="FE83" i="22"/>
  <c r="FE94" i="22"/>
  <c r="FE86" i="22"/>
  <c r="FE81" i="22"/>
  <c r="FE66" i="22"/>
  <c r="FE52" i="22"/>
  <c r="FE36" i="22"/>
  <c r="FE84" i="22"/>
  <c r="FE35" i="22"/>
  <c r="FE92" i="22"/>
  <c r="FE64" i="22"/>
  <c r="FE34" i="22"/>
  <c r="FE77" i="22"/>
  <c r="FI33" i="22"/>
  <c r="FE62" i="22"/>
  <c r="FE104" i="22"/>
  <c r="FE32" i="22"/>
  <c r="FE93" i="22"/>
  <c r="FE85" i="22"/>
  <c r="FE80" i="22"/>
  <c r="FE65" i="22"/>
  <c r="FE51" i="22"/>
  <c r="FI35" i="22"/>
  <c r="FE44" i="22"/>
  <c r="FE101" i="22"/>
  <c r="FE72" i="22"/>
  <c r="FE59" i="22"/>
  <c r="FE43" i="22"/>
  <c r="O30" i="19"/>
  <c r="M36" i="13"/>
  <c r="B36" i="13"/>
  <c r="O30" i="24"/>
  <c r="O35" i="1"/>
  <c r="O30" i="22"/>
  <c r="O30" i="20"/>
  <c r="O30" i="17"/>
  <c r="S30" i="18"/>
  <c r="R30" i="18"/>
  <c r="O30" i="18"/>
  <c r="M30" i="20"/>
  <c r="M30" i="24"/>
  <c r="M30" i="16"/>
  <c r="M30" i="17"/>
  <c r="M35" i="1"/>
  <c r="M30" i="21"/>
  <c r="M30" i="22"/>
  <c r="M30" i="19"/>
  <c r="M30" i="15"/>
  <c r="M30" i="18"/>
  <c r="E52" i="15"/>
  <c r="O30" i="16"/>
  <c r="R30" i="21"/>
  <c r="O30" i="21"/>
  <c r="S30" i="14"/>
  <c r="R30" i="14"/>
  <c r="S30" i="21"/>
  <c r="O30" i="15"/>
  <c r="S30" i="15"/>
  <c r="R30" i="15"/>
  <c r="M92" i="13"/>
  <c r="M76" i="13"/>
  <c r="M60" i="13"/>
  <c r="M44" i="13"/>
  <c r="A295" i="23"/>
  <c r="F186" i="23"/>
  <c r="A225" i="23" s="1"/>
  <c r="B146" i="23"/>
  <c r="A125" i="23"/>
  <c r="A106" i="23"/>
  <c r="A15" i="23"/>
  <c r="A285" i="2"/>
  <c r="F196" i="2"/>
  <c r="A180" i="2"/>
  <c r="A161" i="2"/>
  <c r="A142" i="2"/>
  <c r="A124" i="2"/>
  <c r="A105" i="2"/>
  <c r="J63" i="20"/>
  <c r="E58" i="20"/>
  <c r="E51" i="20"/>
  <c r="B36" i="20"/>
  <c r="M36" i="20" s="1"/>
  <c r="D30" i="20"/>
  <c r="G18" i="20"/>
  <c r="B10" i="20"/>
  <c r="E113" i="1"/>
  <c r="E107" i="1"/>
  <c r="B101" i="1"/>
  <c r="M101" i="1" s="1"/>
  <c r="E92" i="1"/>
  <c r="B85" i="1"/>
  <c r="M85" i="1" s="1"/>
  <c r="B77" i="1"/>
  <c r="M77" i="1" s="1"/>
  <c r="B70" i="1"/>
  <c r="M70" i="1" s="1"/>
  <c r="B64" i="1"/>
  <c r="M64" i="1" s="1"/>
  <c r="E56" i="1"/>
  <c r="E48" i="1"/>
  <c r="E35" i="1"/>
  <c r="J26" i="1"/>
  <c r="B18" i="1"/>
  <c r="B11" i="1"/>
  <c r="B65" i="24"/>
  <c r="M65" i="24" s="1"/>
  <c r="B59" i="24"/>
  <c r="M59" i="24" s="1"/>
  <c r="I52" i="24"/>
  <c r="E45" i="24"/>
  <c r="E38" i="24"/>
  <c r="E31" i="24"/>
  <c r="B21" i="24"/>
  <c r="I13" i="24"/>
  <c r="N2" i="24"/>
  <c r="J101" i="22"/>
  <c r="B95" i="22"/>
  <c r="M95" i="22" s="1"/>
  <c r="E88" i="22"/>
  <c r="E80" i="22"/>
  <c r="E72" i="22"/>
  <c r="E65" i="22"/>
  <c r="J58" i="22"/>
  <c r="B52" i="22"/>
  <c r="M52" i="22" s="1"/>
  <c r="B44" i="22"/>
  <c r="M44" i="22" s="1"/>
  <c r="B36" i="22"/>
  <c r="M36" i="22" s="1"/>
  <c r="E30" i="22"/>
  <c r="L21" i="22"/>
  <c r="L16" i="22"/>
  <c r="G9" i="22"/>
  <c r="E78" i="19"/>
  <c r="E62" i="19"/>
  <c r="E55" i="19"/>
  <c r="E47" i="19"/>
  <c r="M91" i="13"/>
  <c r="M75" i="13"/>
  <c r="M59" i="13"/>
  <c r="M43" i="13"/>
  <c r="A294" i="23"/>
  <c r="E186" i="23"/>
  <c r="A162" i="23"/>
  <c r="A140" i="23"/>
  <c r="A124" i="23"/>
  <c r="A105" i="23"/>
  <c r="A13" i="23"/>
  <c r="A273" i="2"/>
  <c r="E196" i="2"/>
  <c r="A160" i="2"/>
  <c r="A141" i="2"/>
  <c r="A123" i="2"/>
  <c r="A8" i="2"/>
  <c r="E63" i="20"/>
  <c r="B58" i="20"/>
  <c r="M58" i="20" s="1"/>
  <c r="B51" i="20"/>
  <c r="M51" i="20" s="1"/>
  <c r="B44" i="20"/>
  <c r="M44" i="20" s="1"/>
  <c r="E35" i="20"/>
  <c r="C30" i="20"/>
  <c r="B18" i="20"/>
  <c r="L9" i="20"/>
  <c r="B113" i="1"/>
  <c r="M113" i="1" s="1"/>
  <c r="B107" i="1"/>
  <c r="M107" i="1" s="1"/>
  <c r="E100" i="1"/>
  <c r="B92" i="1"/>
  <c r="M92" i="1" s="1"/>
  <c r="E84" i="1"/>
  <c r="E76" i="1"/>
  <c r="E69" i="1"/>
  <c r="J63" i="1"/>
  <c r="B56" i="1"/>
  <c r="M56" i="1" s="1"/>
  <c r="B48" i="1"/>
  <c r="M48" i="1" s="1"/>
  <c r="I40" i="1"/>
  <c r="D35" i="1"/>
  <c r="G26" i="1"/>
  <c r="I17" i="1"/>
  <c r="B10" i="1"/>
  <c r="E64" i="24"/>
  <c r="E52" i="24"/>
  <c r="B45" i="24"/>
  <c r="M45" i="24" s="1"/>
  <c r="B38" i="24"/>
  <c r="M38" i="24" s="1"/>
  <c r="B31" i="24"/>
  <c r="M31" i="24" s="1"/>
  <c r="B20" i="24"/>
  <c r="G13" i="24"/>
  <c r="N1" i="24"/>
  <c r="E101" i="22"/>
  <c r="E94" i="22"/>
  <c r="B88" i="22"/>
  <c r="M88" i="22" s="1"/>
  <c r="B80" i="22"/>
  <c r="M80" i="22" s="1"/>
  <c r="B72" i="22"/>
  <c r="M72" i="22" s="1"/>
  <c r="B65" i="22"/>
  <c r="M65" i="22" s="1"/>
  <c r="E58" i="22"/>
  <c r="E51" i="22"/>
  <c r="E43" i="22"/>
  <c r="W35" i="22"/>
  <c r="D30" i="22"/>
  <c r="G21" i="22"/>
  <c r="G16" i="22"/>
  <c r="B9" i="22"/>
  <c r="B78" i="19"/>
  <c r="M78" i="19" s="1"/>
  <c r="B62" i="19"/>
  <c r="M62" i="19" s="1"/>
  <c r="B55" i="19"/>
  <c r="M55" i="19" s="1"/>
  <c r="B47" i="19"/>
  <c r="M47" i="19" s="1"/>
  <c r="B39" i="19"/>
  <c r="M39" i="19" s="1"/>
  <c r="B31" i="19"/>
  <c r="M31" i="19" s="1"/>
  <c r="G22" i="19"/>
  <c r="K17" i="19"/>
  <c r="G11" i="19"/>
  <c r="C108" i="18"/>
  <c r="M90" i="13"/>
  <c r="M74" i="13"/>
  <c r="M58" i="13"/>
  <c r="M42" i="13"/>
  <c r="A286" i="23"/>
  <c r="D211" i="23"/>
  <c r="G185" i="23"/>
  <c r="A139" i="23"/>
  <c r="A123" i="23"/>
  <c r="A104" i="23"/>
  <c r="A12" i="23"/>
  <c r="A272" i="2"/>
  <c r="G195" i="2"/>
  <c r="A179" i="2"/>
  <c r="E179" i="2" s="1"/>
  <c r="A158" i="2"/>
  <c r="A140" i="2"/>
  <c r="A122" i="2"/>
  <c r="A7" i="2"/>
  <c r="B63" i="20"/>
  <c r="M63" i="20" s="1"/>
  <c r="I57" i="20"/>
  <c r="E50" i="20"/>
  <c r="H43" i="20"/>
  <c r="B35" i="20"/>
  <c r="M35" i="20" s="1"/>
  <c r="B30" i="20"/>
  <c r="G17" i="20"/>
  <c r="G9" i="20"/>
  <c r="E112" i="1"/>
  <c r="E106" i="1"/>
  <c r="B100" i="1"/>
  <c r="M100" i="1" s="1"/>
  <c r="E91" i="1"/>
  <c r="B84" i="1"/>
  <c r="M84" i="1" s="1"/>
  <c r="B76" i="1"/>
  <c r="M76" i="1" s="1"/>
  <c r="B69" i="1"/>
  <c r="M69" i="1" s="1"/>
  <c r="E63" i="1"/>
  <c r="E55" i="1"/>
  <c r="E47" i="1"/>
  <c r="E40" i="1"/>
  <c r="C35" i="1"/>
  <c r="J25" i="1"/>
  <c r="G17" i="1"/>
  <c r="L9" i="1"/>
  <c r="B64" i="24"/>
  <c r="M64" i="24" s="1"/>
  <c r="B52" i="24"/>
  <c r="M52" i="24" s="1"/>
  <c r="H44" i="24"/>
  <c r="E37" i="24"/>
  <c r="G19" i="24"/>
  <c r="B13" i="24"/>
  <c r="K118" i="22"/>
  <c r="B101" i="22"/>
  <c r="M101" i="22" s="1"/>
  <c r="B94" i="22"/>
  <c r="M94" i="22" s="1"/>
  <c r="E87" i="22"/>
  <c r="E79" i="22"/>
  <c r="E71" i="22"/>
  <c r="I64" i="22"/>
  <c r="B58" i="22"/>
  <c r="M58" i="22" s="1"/>
  <c r="B51" i="22"/>
  <c r="M51" i="22" s="1"/>
  <c r="B43" i="22"/>
  <c r="M43" i="22" s="1"/>
  <c r="I35" i="22"/>
  <c r="C30" i="22"/>
  <c r="B21" i="22"/>
  <c r="L15" i="22"/>
  <c r="A8" i="22"/>
  <c r="E77" i="19"/>
  <c r="E61" i="19"/>
  <c r="E54" i="19"/>
  <c r="E46" i="19"/>
  <c r="E38" i="19"/>
  <c r="I21" i="19"/>
  <c r="I17" i="19"/>
  <c r="B11" i="19"/>
  <c r="E96" i="13"/>
  <c r="M89" i="13"/>
  <c r="M73" i="13"/>
  <c r="M57" i="13"/>
  <c r="M41" i="13"/>
  <c r="A285" i="23"/>
  <c r="D210" i="23"/>
  <c r="F185" i="23"/>
  <c r="A161" i="23"/>
  <c r="B137" i="23"/>
  <c r="A122" i="23"/>
  <c r="A102" i="23"/>
  <c r="A11" i="23"/>
  <c r="A268" i="2"/>
  <c r="F195" i="2"/>
  <c r="A177" i="2"/>
  <c r="A251" i="2" s="1"/>
  <c r="O30" i="13"/>
  <c r="M88" i="13"/>
  <c r="M72" i="13"/>
  <c r="M56" i="13"/>
  <c r="M40" i="13"/>
  <c r="A284" i="23"/>
  <c r="D205" i="23"/>
  <c r="E185" i="23"/>
  <c r="A137" i="23"/>
  <c r="A121" i="23"/>
  <c r="C80" i="23"/>
  <c r="A10" i="23"/>
  <c r="A267" i="2"/>
  <c r="E195" i="2"/>
  <c r="A175" i="2"/>
  <c r="B155" i="2"/>
  <c r="A136" i="2"/>
  <c r="A119" i="2"/>
  <c r="A4" i="2"/>
  <c r="E62" i="20"/>
  <c r="B57" i="20"/>
  <c r="M57" i="20" s="1"/>
  <c r="E49" i="20"/>
  <c r="B43" i="20"/>
  <c r="M43" i="20" s="1"/>
  <c r="B34" i="20"/>
  <c r="M34" i="20" s="1"/>
  <c r="A29" i="20"/>
  <c r="G16" i="20"/>
  <c r="A8" i="20"/>
  <c r="E111" i="1"/>
  <c r="E105" i="1"/>
  <c r="B99" i="1"/>
  <c r="M99" i="1" s="1"/>
  <c r="E90" i="1"/>
  <c r="B83" i="1"/>
  <c r="M83" i="1" s="1"/>
  <c r="B75" i="1"/>
  <c r="M75" i="1" s="1"/>
  <c r="B68" i="1"/>
  <c r="M68" i="1" s="1"/>
  <c r="E62" i="1"/>
  <c r="E46" i="1"/>
  <c r="E39" i="1"/>
  <c r="A35" i="1"/>
  <c r="J24" i="1"/>
  <c r="I16" i="1"/>
  <c r="B9" i="1"/>
  <c r="B63" i="24"/>
  <c r="M63" i="24" s="1"/>
  <c r="B58" i="24"/>
  <c r="M58" i="24" s="1"/>
  <c r="B51" i="24"/>
  <c r="M51" i="24" s="1"/>
  <c r="B44" i="24"/>
  <c r="M44" i="24" s="1"/>
  <c r="E36" i="24"/>
  <c r="E30" i="24"/>
  <c r="J18" i="24"/>
  <c r="J11" i="24"/>
  <c r="C111" i="22"/>
  <c r="E100" i="22"/>
  <c r="E93" i="22"/>
  <c r="E86" i="22"/>
  <c r="E78" i="22"/>
  <c r="E70" i="22"/>
  <c r="B64" i="22"/>
  <c r="M64" i="22" s="1"/>
  <c r="E57" i="22"/>
  <c r="B50" i="22"/>
  <c r="M50" i="22" s="1"/>
  <c r="B42" i="22"/>
  <c r="M42" i="22" s="1"/>
  <c r="B35" i="22"/>
  <c r="M35" i="22" s="1"/>
  <c r="A30" i="22"/>
  <c r="G20" i="22"/>
  <c r="B15" i="22"/>
  <c r="E76" i="19"/>
  <c r="M106" i="13"/>
  <c r="M87" i="13"/>
  <c r="M71" i="13"/>
  <c r="M55" i="13"/>
  <c r="M39" i="13"/>
  <c r="A283" i="23"/>
  <c r="D204" i="23"/>
  <c r="F184" i="23"/>
  <c r="A160" i="23"/>
  <c r="B136" i="23"/>
  <c r="A119" i="23"/>
  <c r="A76" i="23"/>
  <c r="A8" i="23"/>
  <c r="G194" i="2"/>
  <c r="A174" i="2"/>
  <c r="B154" i="2"/>
  <c r="A135" i="2"/>
  <c r="A118" i="2"/>
  <c r="AF84" i="19" s="1"/>
  <c r="A29" i="2"/>
  <c r="A3" i="2"/>
  <c r="B62" i="20"/>
  <c r="M62" i="20" s="1"/>
  <c r="J56" i="20"/>
  <c r="B49" i="20"/>
  <c r="M49" i="20" s="1"/>
  <c r="E41" i="20"/>
  <c r="E33" i="20"/>
  <c r="G15" i="20"/>
  <c r="B111" i="1"/>
  <c r="M111" i="1" s="1"/>
  <c r="B105" i="1"/>
  <c r="M105" i="1" s="1"/>
  <c r="E98" i="1"/>
  <c r="B90" i="1"/>
  <c r="M90" i="1" s="1"/>
  <c r="E82" i="1"/>
  <c r="I74" i="1"/>
  <c r="B62" i="1"/>
  <c r="M62" i="1" s="1"/>
  <c r="E53" i="1"/>
  <c r="B46" i="1"/>
  <c r="M46" i="1" s="1"/>
  <c r="B39" i="1"/>
  <c r="M39" i="1" s="1"/>
  <c r="A34" i="1"/>
  <c r="G24" i="1"/>
  <c r="G16" i="1"/>
  <c r="A8" i="1"/>
  <c r="J62" i="24"/>
  <c r="E57" i="24"/>
  <c r="E50" i="24"/>
  <c r="E43" i="24"/>
  <c r="B36" i="24"/>
  <c r="M36" i="24" s="1"/>
  <c r="D30" i="24"/>
  <c r="G18" i="24"/>
  <c r="G11" i="24"/>
  <c r="M86" i="13"/>
  <c r="M70" i="13"/>
  <c r="M54" i="13"/>
  <c r="M38" i="13"/>
  <c r="A282" i="23"/>
  <c r="D203" i="23"/>
  <c r="E184" i="23"/>
  <c r="A136" i="23"/>
  <c r="A118" i="23"/>
  <c r="C50" i="23"/>
  <c r="A7" i="23"/>
  <c r="F194" i="2"/>
  <c r="B153" i="2"/>
  <c r="A134" i="2"/>
  <c r="A117" i="2"/>
  <c r="A28" i="2"/>
  <c r="A2" i="2"/>
  <c r="J61" i="20"/>
  <c r="E56" i="20"/>
  <c r="E48" i="20"/>
  <c r="B41" i="20"/>
  <c r="M41" i="20" s="1"/>
  <c r="B33" i="20"/>
  <c r="M33" i="20" s="1"/>
  <c r="B15" i="20"/>
  <c r="J110" i="1"/>
  <c r="E104" i="1"/>
  <c r="B98" i="1"/>
  <c r="M98" i="1" s="1"/>
  <c r="E89" i="1"/>
  <c r="B82" i="1"/>
  <c r="M82" i="1" s="1"/>
  <c r="E74" i="1"/>
  <c r="E61" i="1"/>
  <c r="B53" i="1"/>
  <c r="M53" i="1" s="1"/>
  <c r="E45" i="1"/>
  <c r="B24" i="1"/>
  <c r="G15" i="1"/>
  <c r="E62" i="24"/>
  <c r="B57" i="24"/>
  <c r="M57" i="24" s="1"/>
  <c r="B50" i="24"/>
  <c r="M50" i="24" s="1"/>
  <c r="B43" i="24"/>
  <c r="M43" i="24" s="1"/>
  <c r="E35" i="24"/>
  <c r="C30" i="24"/>
  <c r="B18" i="24"/>
  <c r="B11" i="24"/>
  <c r="B106" i="22"/>
  <c r="M106" i="22" s="1"/>
  <c r="J99" i="22"/>
  <c r="B85" i="22"/>
  <c r="M85" i="22" s="1"/>
  <c r="E77" i="22"/>
  <c r="E69" i="22"/>
  <c r="E62" i="22"/>
  <c r="E56" i="22"/>
  <c r="B49" i="22"/>
  <c r="M49" i="22" s="1"/>
  <c r="B41" i="22"/>
  <c r="M41" i="22" s="1"/>
  <c r="B34" i="22"/>
  <c r="M34" i="22" s="1"/>
  <c r="G19" i="22"/>
  <c r="L13" i="22"/>
  <c r="E75" i="19"/>
  <c r="M102" i="13"/>
  <c r="M85" i="13"/>
  <c r="M69" i="13"/>
  <c r="M53" i="13"/>
  <c r="A281" i="23"/>
  <c r="D202" i="23"/>
  <c r="A156" i="23"/>
  <c r="B135" i="23"/>
  <c r="A116" i="23"/>
  <c r="A50" i="23"/>
  <c r="A6" i="23"/>
  <c r="E194" i="2"/>
  <c r="A170" i="2"/>
  <c r="E170" i="2" s="1"/>
  <c r="A151" i="2"/>
  <c r="A133" i="2"/>
  <c r="A116" i="2"/>
  <c r="A27" i="2"/>
  <c r="K78" i="20"/>
  <c r="E61" i="20"/>
  <c r="B56" i="20"/>
  <c r="M56" i="20" s="1"/>
  <c r="B48" i="20"/>
  <c r="M48" i="20" s="1"/>
  <c r="E40" i="20"/>
  <c r="H32" i="20"/>
  <c r="H24" i="20"/>
  <c r="B14" i="20"/>
  <c r="E110" i="1"/>
  <c r="B104" i="1"/>
  <c r="M104" i="1" s="1"/>
  <c r="E97" i="1"/>
  <c r="B89" i="1"/>
  <c r="M89" i="1" s="1"/>
  <c r="E81" i="1"/>
  <c r="B74" i="1"/>
  <c r="M74" i="1" s="1"/>
  <c r="B61" i="1"/>
  <c r="M61" i="1" s="1"/>
  <c r="J52" i="1"/>
  <c r="B45" i="1"/>
  <c r="M45" i="1" s="1"/>
  <c r="I38" i="1"/>
  <c r="A23" i="1"/>
  <c r="B15" i="1"/>
  <c r="B62" i="24"/>
  <c r="M62" i="24" s="1"/>
  <c r="I56" i="24"/>
  <c r="E49" i="24"/>
  <c r="H42" i="24"/>
  <c r="B35" i="24"/>
  <c r="M35" i="24" s="1"/>
  <c r="B30" i="24"/>
  <c r="J17" i="24"/>
  <c r="B10" i="24"/>
  <c r="E105" i="22"/>
  <c r="E99" i="22"/>
  <c r="E84" i="22"/>
  <c r="B77" i="22"/>
  <c r="M77" i="22" s="1"/>
  <c r="B69" i="22"/>
  <c r="M69" i="22" s="1"/>
  <c r="B62" i="22"/>
  <c r="M62" i="22" s="1"/>
  <c r="B56" i="22"/>
  <c r="M56" i="22" s="1"/>
  <c r="E40" i="22"/>
  <c r="W33" i="22"/>
  <c r="B19" i="22"/>
  <c r="I13" i="22"/>
  <c r="N2" i="22"/>
  <c r="B75" i="19"/>
  <c r="M75" i="19" s="1"/>
  <c r="B67" i="19"/>
  <c r="M67" i="19" s="1"/>
  <c r="B59" i="19"/>
  <c r="M59" i="19" s="1"/>
  <c r="B52" i="19"/>
  <c r="M52" i="19" s="1"/>
  <c r="B44" i="19"/>
  <c r="M44" i="19" s="1"/>
  <c r="B36" i="19"/>
  <c r="M36" i="19" s="1"/>
  <c r="B30" i="19"/>
  <c r="G20" i="19"/>
  <c r="G16" i="19"/>
  <c r="B9" i="19"/>
  <c r="M101" i="13"/>
  <c r="M84" i="13"/>
  <c r="M68" i="13"/>
  <c r="M52" i="13"/>
  <c r="M35" i="13"/>
  <c r="A280" i="23"/>
  <c r="A199" i="23"/>
  <c r="A134" i="23"/>
  <c r="A115" i="23"/>
  <c r="A26" i="23"/>
  <c r="A4" i="23"/>
  <c r="D219" i="2"/>
  <c r="G193" i="2"/>
  <c r="A150" i="2"/>
  <c r="A115" i="2"/>
  <c r="A25" i="2"/>
  <c r="A78" i="20"/>
  <c r="B61" i="20"/>
  <c r="M61" i="20" s="1"/>
  <c r="I55" i="20"/>
  <c r="E47" i="20"/>
  <c r="B40" i="20"/>
  <c r="M40" i="20" s="1"/>
  <c r="E32" i="20"/>
  <c r="B24" i="20"/>
  <c r="L13" i="20"/>
  <c r="B110" i="1"/>
  <c r="M110" i="1" s="1"/>
  <c r="E103" i="1"/>
  <c r="B97" i="1"/>
  <c r="M97" i="1" s="1"/>
  <c r="B81" i="1"/>
  <c r="M81" i="1" s="1"/>
  <c r="E60" i="1"/>
  <c r="E52" i="1"/>
  <c r="E44" i="1"/>
  <c r="E38" i="1"/>
  <c r="B30" i="1"/>
  <c r="B21" i="1"/>
  <c r="B14" i="1"/>
  <c r="J61" i="24"/>
  <c r="E56" i="24"/>
  <c r="B49" i="24"/>
  <c r="M49" i="24" s="1"/>
  <c r="E42" i="24"/>
  <c r="E34" i="24"/>
  <c r="A30" i="24"/>
  <c r="G17" i="24"/>
  <c r="L9" i="24"/>
  <c r="B105" i="22"/>
  <c r="M105" i="22" s="1"/>
  <c r="B99" i="22"/>
  <c r="M99" i="22" s="1"/>
  <c r="E92" i="22"/>
  <c r="B84" i="22"/>
  <c r="M84" i="22" s="1"/>
  <c r="E76" i="22"/>
  <c r="E68" i="22"/>
  <c r="E61" i="22"/>
  <c r="J55" i="22"/>
  <c r="E47" i="22"/>
  <c r="B40" i="22"/>
  <c r="M40" i="22" s="1"/>
  <c r="I33" i="22"/>
  <c r="K25" i="22"/>
  <c r="L18" i="22"/>
  <c r="G13" i="22"/>
  <c r="N1" i="22"/>
  <c r="E74" i="19"/>
  <c r="E66" i="19"/>
  <c r="E58" i="19"/>
  <c r="E51" i="19"/>
  <c r="E43" i="19"/>
  <c r="M100" i="13"/>
  <c r="M83" i="13"/>
  <c r="M67" i="13"/>
  <c r="M51" i="13"/>
  <c r="M34" i="13"/>
  <c r="A278" i="23"/>
  <c r="A198" i="23"/>
  <c r="A155" i="23"/>
  <c r="A133" i="23"/>
  <c r="A114" i="23"/>
  <c r="A25" i="23"/>
  <c r="A3" i="23"/>
  <c r="D218" i="2"/>
  <c r="F193" i="2"/>
  <c r="A169" i="2"/>
  <c r="E169" i="2" s="1"/>
  <c r="A148" i="2"/>
  <c r="A131" i="2"/>
  <c r="A114" i="2"/>
  <c r="A24" i="2"/>
  <c r="C71" i="20"/>
  <c r="J60" i="20"/>
  <c r="E55" i="20"/>
  <c r="B47" i="20"/>
  <c r="M47" i="20" s="1"/>
  <c r="E39" i="20"/>
  <c r="B32" i="20"/>
  <c r="M32" i="20" s="1"/>
  <c r="G23" i="20"/>
  <c r="I13" i="20"/>
  <c r="J109" i="1"/>
  <c r="B103" i="1"/>
  <c r="M103" i="1" s="1"/>
  <c r="E96" i="1"/>
  <c r="E88" i="1"/>
  <c r="E80" i="1"/>
  <c r="E73" i="1"/>
  <c r="J66" i="1"/>
  <c r="B60" i="1"/>
  <c r="M60" i="1" s="1"/>
  <c r="B52" i="1"/>
  <c r="M52" i="1" s="1"/>
  <c r="B44" i="1"/>
  <c r="M44" i="1" s="1"/>
  <c r="B38" i="1"/>
  <c r="M38" i="1" s="1"/>
  <c r="M99" i="13"/>
  <c r="M82" i="13"/>
  <c r="M66" i="13"/>
  <c r="M50" i="13"/>
  <c r="M33" i="13"/>
  <c r="A277" i="23"/>
  <c r="F188" i="23"/>
  <c r="A172" i="23"/>
  <c r="A153" i="23"/>
  <c r="A132" i="23"/>
  <c r="A113" i="23"/>
  <c r="A24" i="23"/>
  <c r="A2" i="23"/>
  <c r="D213" i="2"/>
  <c r="E193" i="2"/>
  <c r="A147" i="2"/>
  <c r="A130" i="2"/>
  <c r="A113" i="2"/>
  <c r="A22" i="2"/>
  <c r="E66" i="20"/>
  <c r="E60" i="20"/>
  <c r="B55" i="20"/>
  <c r="M55" i="20" s="1"/>
  <c r="H46" i="20"/>
  <c r="B39" i="20"/>
  <c r="M39" i="20" s="1"/>
  <c r="H31" i="20"/>
  <c r="A23" i="20"/>
  <c r="G13" i="20"/>
  <c r="N1" i="20"/>
  <c r="E109" i="1"/>
  <c r="J102" i="1"/>
  <c r="B96" i="1"/>
  <c r="M96" i="1" s="1"/>
  <c r="B88" i="1"/>
  <c r="M88" i="1" s="1"/>
  <c r="B80" i="1"/>
  <c r="M80" i="1" s="1"/>
  <c r="B73" i="1"/>
  <c r="M73" i="1" s="1"/>
  <c r="E66" i="1"/>
  <c r="E59" i="1"/>
  <c r="E51" i="1"/>
  <c r="E43" i="1"/>
  <c r="G29" i="1"/>
  <c r="B20" i="1"/>
  <c r="I13" i="1"/>
  <c r="N2" i="1"/>
  <c r="B61" i="24"/>
  <c r="M61" i="24" s="1"/>
  <c r="J55" i="24"/>
  <c r="B48" i="24"/>
  <c r="M48" i="24" s="1"/>
  <c r="E41" i="24"/>
  <c r="E33" i="24"/>
  <c r="J16" i="24"/>
  <c r="B9" i="24"/>
  <c r="B104" i="22"/>
  <c r="M104" i="22" s="1"/>
  <c r="B98" i="22"/>
  <c r="M98" i="22" s="1"/>
  <c r="E91" i="22"/>
  <c r="B83" i="22"/>
  <c r="M83" i="22" s="1"/>
  <c r="E75" i="22"/>
  <c r="E67" i="22"/>
  <c r="E60" i="22"/>
  <c r="B55" i="22"/>
  <c r="M55" i="22" s="1"/>
  <c r="J46" i="22"/>
  <c r="B39" i="22"/>
  <c r="M39" i="22" s="1"/>
  <c r="B33" i="22"/>
  <c r="M33" i="22" s="1"/>
  <c r="K24" i="22"/>
  <c r="B18" i="22"/>
  <c r="L11" i="22"/>
  <c r="A96" i="19"/>
  <c r="E65" i="19"/>
  <c r="E57" i="19"/>
  <c r="E50" i="19"/>
  <c r="E42" i="19"/>
  <c r="E34" i="19"/>
  <c r="I19" i="19"/>
  <c r="B14" i="19"/>
  <c r="E51" i="18"/>
  <c r="M98" i="13"/>
  <c r="M81" i="13"/>
  <c r="M65" i="13"/>
  <c r="M49" i="13"/>
  <c r="M32" i="13"/>
  <c r="A265" i="23"/>
  <c r="E188" i="23"/>
  <c r="A152" i="23"/>
  <c r="A130" i="23"/>
  <c r="A112" i="23"/>
  <c r="A22" i="23"/>
  <c r="A294" i="2"/>
  <c r="D212" i="2"/>
  <c r="F192" i="2"/>
  <c r="A168" i="2"/>
  <c r="E168" i="2" s="1"/>
  <c r="B145" i="2"/>
  <c r="A129" i="2"/>
  <c r="A110" i="2"/>
  <c r="A21" i="2"/>
  <c r="B66" i="20"/>
  <c r="M66" i="20" s="1"/>
  <c r="B60" i="20"/>
  <c r="M60" i="20" s="1"/>
  <c r="I54" i="20"/>
  <c r="E46" i="20"/>
  <c r="E38" i="20"/>
  <c r="E31" i="20"/>
  <c r="B21" i="20"/>
  <c r="B13" i="20"/>
  <c r="K126" i="1"/>
  <c r="B109" i="1"/>
  <c r="M109" i="1" s="1"/>
  <c r="E102" i="1"/>
  <c r="E95" i="1"/>
  <c r="E87" i="1"/>
  <c r="E79" i="1"/>
  <c r="I72" i="1"/>
  <c r="B66" i="1"/>
  <c r="M66" i="1" s="1"/>
  <c r="B59" i="1"/>
  <c r="M59" i="1" s="1"/>
  <c r="B51" i="1"/>
  <c r="M51" i="1" s="1"/>
  <c r="B43" i="1"/>
  <c r="M43" i="1" s="1"/>
  <c r="B37" i="1"/>
  <c r="M37" i="1" s="1"/>
  <c r="A29" i="1"/>
  <c r="I19" i="1"/>
  <c r="G13" i="1"/>
  <c r="N1" i="1"/>
  <c r="J60" i="24"/>
  <c r="E55" i="24"/>
  <c r="M97" i="13"/>
  <c r="M80" i="13"/>
  <c r="M64" i="13"/>
  <c r="M48" i="13"/>
  <c r="M31" i="13"/>
  <c r="A264" i="23"/>
  <c r="G187" i="23"/>
  <c r="A171" i="23"/>
  <c r="A150" i="23"/>
  <c r="A129" i="23"/>
  <c r="A111" i="23"/>
  <c r="A21" i="23"/>
  <c r="A293" i="2"/>
  <c r="D211" i="2"/>
  <c r="E192" i="2"/>
  <c r="A145" i="2"/>
  <c r="A128" i="2"/>
  <c r="A19" i="2"/>
  <c r="E65" i="20"/>
  <c r="E54" i="20"/>
  <c r="B46" i="20"/>
  <c r="M46" i="20" s="1"/>
  <c r="B38" i="20"/>
  <c r="M38" i="20" s="1"/>
  <c r="B31" i="20"/>
  <c r="M31" i="20" s="1"/>
  <c r="G20" i="20"/>
  <c r="L11" i="20"/>
  <c r="A126" i="1"/>
  <c r="J108" i="1"/>
  <c r="B102" i="1"/>
  <c r="M102" i="1" s="1"/>
  <c r="B95" i="1"/>
  <c r="M95" i="1" s="1"/>
  <c r="B87" i="1"/>
  <c r="M87" i="1" s="1"/>
  <c r="B79" i="1"/>
  <c r="M79" i="1" s="1"/>
  <c r="E72" i="1"/>
  <c r="J65" i="1"/>
  <c r="E58" i="1"/>
  <c r="E50" i="1"/>
  <c r="E42" i="1"/>
  <c r="E36" i="1"/>
  <c r="J28" i="1"/>
  <c r="G19" i="1"/>
  <c r="B13" i="1"/>
  <c r="K77" i="24"/>
  <c r="E60" i="24"/>
  <c r="B55" i="24"/>
  <c r="M55" i="24" s="1"/>
  <c r="B47" i="24"/>
  <c r="M47" i="24" s="1"/>
  <c r="E40" i="24"/>
  <c r="H32" i="24"/>
  <c r="H24" i="24"/>
  <c r="G15" i="24"/>
  <c r="B103" i="22"/>
  <c r="M103" i="22" s="1"/>
  <c r="B97" i="22"/>
  <c r="M97" i="22" s="1"/>
  <c r="E90" i="22"/>
  <c r="B82" i="22"/>
  <c r="M82" i="22" s="1"/>
  <c r="E74" i="22"/>
  <c r="I66" i="22"/>
  <c r="B54" i="22"/>
  <c r="M54" i="22" s="1"/>
  <c r="B46" i="22"/>
  <c r="M46" i="22" s="1"/>
  <c r="B38" i="22"/>
  <c r="M38" i="22" s="1"/>
  <c r="E31" i="22"/>
  <c r="M22" i="22"/>
  <c r="L17" i="22"/>
  <c r="G11" i="22"/>
  <c r="E64" i="19"/>
  <c r="E56" i="19"/>
  <c r="E49" i="19"/>
  <c r="E41" i="19"/>
  <c r="E33" i="19"/>
  <c r="H25" i="19"/>
  <c r="B19" i="19"/>
  <c r="I13" i="19"/>
  <c r="E50" i="18"/>
  <c r="M95" i="13"/>
  <c r="M79" i="13"/>
  <c r="M63" i="13"/>
  <c r="M47" i="13"/>
  <c r="M30" i="13"/>
  <c r="A260" i="23"/>
  <c r="F187" i="23"/>
  <c r="A169" i="23"/>
  <c r="A240" i="23" s="1"/>
  <c r="A149" i="23"/>
  <c r="A128" i="23"/>
  <c r="A110" i="23"/>
  <c r="A19" i="23"/>
  <c r="A289" i="2"/>
  <c r="D210" i="2"/>
  <c r="A164" i="2"/>
  <c r="M61" i="13"/>
  <c r="A126" i="2"/>
  <c r="E59" i="20"/>
  <c r="L30" i="20"/>
  <c r="B108" i="1"/>
  <c r="M108" i="1" s="1"/>
  <c r="E78" i="1"/>
  <c r="B50" i="1"/>
  <c r="M50" i="1" s="1"/>
  <c r="G25" i="1"/>
  <c r="E61" i="24"/>
  <c r="B42" i="24"/>
  <c r="M42" i="24" s="1"/>
  <c r="A23" i="24"/>
  <c r="E103" i="22"/>
  <c r="E89" i="22"/>
  <c r="B71" i="22"/>
  <c r="M71" i="22" s="1"/>
  <c r="E55" i="22"/>
  <c r="E37" i="22"/>
  <c r="M21" i="22"/>
  <c r="E67" i="19"/>
  <c r="E53" i="19"/>
  <c r="B40" i="19"/>
  <c r="M40" i="19" s="1"/>
  <c r="C30" i="19"/>
  <c r="I18" i="19"/>
  <c r="J9" i="19"/>
  <c r="E30" i="18"/>
  <c r="J19" i="18"/>
  <c r="G13" i="18"/>
  <c r="N1" i="18"/>
  <c r="E34" i="17"/>
  <c r="A29" i="17"/>
  <c r="B18" i="17"/>
  <c r="B11" i="17"/>
  <c r="E31" i="16"/>
  <c r="G21" i="16"/>
  <c r="B15" i="16"/>
  <c r="G17" i="14"/>
  <c r="L9" i="14"/>
  <c r="M46" i="13"/>
  <c r="A125" i="2"/>
  <c r="B59" i="20"/>
  <c r="M59" i="20" s="1"/>
  <c r="E30" i="20"/>
  <c r="J107" i="1"/>
  <c r="B78" i="1"/>
  <c r="M78" i="1" s="1"/>
  <c r="E49" i="1"/>
  <c r="G20" i="1"/>
  <c r="B60" i="24"/>
  <c r="M60" i="24" s="1"/>
  <c r="B41" i="24"/>
  <c r="M41" i="24" s="1"/>
  <c r="B19" i="24"/>
  <c r="J102" i="22"/>
  <c r="B89" i="22"/>
  <c r="M89" i="22" s="1"/>
  <c r="B70" i="22"/>
  <c r="M70" i="22" s="1"/>
  <c r="E54" i="22"/>
  <c r="B37" i="22"/>
  <c r="M37" i="22" s="1"/>
  <c r="L20" i="22"/>
  <c r="K96" i="19"/>
  <c r="B66" i="19"/>
  <c r="M66" i="19" s="1"/>
  <c r="B53" i="19"/>
  <c r="M53" i="19" s="1"/>
  <c r="E39" i="19"/>
  <c r="A30" i="19"/>
  <c r="G18" i="19"/>
  <c r="G9" i="19"/>
  <c r="D30" i="18"/>
  <c r="G19" i="18"/>
  <c r="B13" i="18"/>
  <c r="K116" i="17"/>
  <c r="E80" i="17"/>
  <c r="E72" i="17"/>
  <c r="B34" i="17"/>
  <c r="M34" i="17" s="1"/>
  <c r="J17" i="17"/>
  <c r="B10" i="17"/>
  <c r="B31" i="16"/>
  <c r="M31" i="16" s="1"/>
  <c r="B21" i="16"/>
  <c r="B14" i="16"/>
  <c r="E49" i="14"/>
  <c r="H24" i="14"/>
  <c r="A17" i="14"/>
  <c r="J9" i="14"/>
  <c r="B39" i="21"/>
  <c r="M39" i="21" s="1"/>
  <c r="M45" i="13"/>
  <c r="A121" i="2"/>
  <c r="E57" i="20"/>
  <c r="A30" i="20"/>
  <c r="B106" i="1"/>
  <c r="M106" i="1" s="1"/>
  <c r="E77" i="1"/>
  <c r="B49" i="1"/>
  <c r="M49" i="1" s="1"/>
  <c r="B19" i="1"/>
  <c r="J59" i="24"/>
  <c r="B40" i="24"/>
  <c r="M40" i="24" s="1"/>
  <c r="A17" i="24"/>
  <c r="E102" i="22"/>
  <c r="B87" i="22"/>
  <c r="M87" i="22" s="1"/>
  <c r="B68" i="22"/>
  <c r="M68" i="22" s="1"/>
  <c r="E53" i="22"/>
  <c r="E36" i="22"/>
  <c r="B20" i="22"/>
  <c r="C89" i="19"/>
  <c r="B65" i="19"/>
  <c r="M65" i="19" s="1"/>
  <c r="B38" i="19"/>
  <c r="M38" i="19" s="1"/>
  <c r="A29" i="19"/>
  <c r="B18" i="19"/>
  <c r="A8" i="19"/>
  <c r="C30" i="18"/>
  <c r="B19" i="18"/>
  <c r="L11" i="18"/>
  <c r="A116" i="17"/>
  <c r="B80" i="17"/>
  <c r="M80" i="17" s="1"/>
  <c r="B72" i="17"/>
  <c r="M72" i="17" s="1"/>
  <c r="E33" i="17"/>
  <c r="G17" i="17"/>
  <c r="L9" i="17"/>
  <c r="G20" i="16"/>
  <c r="L13" i="16"/>
  <c r="B49" i="14"/>
  <c r="M49" i="14" s="1"/>
  <c r="B24" i="14"/>
  <c r="J16" i="14"/>
  <c r="G9" i="14"/>
  <c r="A259" i="23"/>
  <c r="B147" i="23"/>
  <c r="A107" i="2"/>
  <c r="B52" i="20"/>
  <c r="M52" i="20" s="1"/>
  <c r="B19" i="20"/>
  <c r="E101" i="1"/>
  <c r="I70" i="1"/>
  <c r="E41" i="1"/>
  <c r="A17" i="1"/>
  <c r="B56" i="24"/>
  <c r="M56" i="24" s="1"/>
  <c r="B37" i="24"/>
  <c r="M37" i="24" s="1"/>
  <c r="B14" i="24"/>
  <c r="B100" i="22"/>
  <c r="M100" i="22" s="1"/>
  <c r="E82" i="22"/>
  <c r="B66" i="22"/>
  <c r="M66" i="22" s="1"/>
  <c r="E50" i="22"/>
  <c r="E33" i="22"/>
  <c r="G17" i="22"/>
  <c r="B79" i="19"/>
  <c r="M79" i="19" s="1"/>
  <c r="B63" i="19"/>
  <c r="M63" i="19" s="1"/>
  <c r="B49" i="19"/>
  <c r="M49" i="19" s="1"/>
  <c r="E36" i="19"/>
  <c r="G24" i="19"/>
  <c r="K16" i="19"/>
  <c r="N2" i="19"/>
  <c r="A29" i="18"/>
  <c r="B18" i="18"/>
  <c r="B11" i="18"/>
  <c r="B32" i="17"/>
  <c r="M32" i="17" s="1"/>
  <c r="G23" i="17"/>
  <c r="G16" i="17"/>
  <c r="B9" i="17"/>
  <c r="D30" i="16"/>
  <c r="G19" i="16"/>
  <c r="B13" i="16"/>
  <c r="N1" i="16"/>
  <c r="A127" i="23"/>
  <c r="B50" i="20"/>
  <c r="M50" i="20" s="1"/>
  <c r="A17" i="20"/>
  <c r="E99" i="1"/>
  <c r="E70" i="1"/>
  <c r="B41" i="1"/>
  <c r="M41" i="1" s="1"/>
  <c r="L13" i="1"/>
  <c r="I54" i="24"/>
  <c r="B34" i="24"/>
  <c r="M34" i="24" s="1"/>
  <c r="L13" i="24"/>
  <c r="E98" i="22"/>
  <c r="E81" i="22"/>
  <c r="J65" i="22"/>
  <c r="E49" i="22"/>
  <c r="A17" i="22"/>
  <c r="B77" i="19"/>
  <c r="M77" i="19" s="1"/>
  <c r="B61" i="19"/>
  <c r="M61" i="19" s="1"/>
  <c r="E48" i="19"/>
  <c r="E35" i="19"/>
  <c r="A24" i="19"/>
  <c r="I16" i="19"/>
  <c r="N1" i="19"/>
  <c r="J17" i="18"/>
  <c r="B10" i="18"/>
  <c r="A23" i="17"/>
  <c r="G15" i="17"/>
  <c r="A8" i="17"/>
  <c r="C30" i="16"/>
  <c r="B19" i="16"/>
  <c r="L11" i="16"/>
  <c r="K113" i="14"/>
  <c r="E187" i="23"/>
  <c r="A191" i="23" s="1"/>
  <c r="J43" i="22" s="1"/>
  <c r="A126" i="23"/>
  <c r="A18" i="2"/>
  <c r="H45" i="20"/>
  <c r="J11" i="20"/>
  <c r="E94" i="1"/>
  <c r="E68" i="1"/>
  <c r="B40" i="1"/>
  <c r="M40" i="1" s="1"/>
  <c r="L11" i="1"/>
  <c r="E54" i="24"/>
  <c r="B33" i="24"/>
  <c r="M33" i="24" s="1"/>
  <c r="L11" i="24"/>
  <c r="E97" i="22"/>
  <c r="B81" i="22"/>
  <c r="M81" i="22" s="1"/>
  <c r="E64" i="22"/>
  <c r="B47" i="22"/>
  <c r="M47" i="22" s="1"/>
  <c r="B31" i="22"/>
  <c r="M31" i="22" s="1"/>
  <c r="M16" i="22"/>
  <c r="B76" i="19"/>
  <c r="M76" i="19" s="1"/>
  <c r="E60" i="19"/>
  <c r="B48" i="19"/>
  <c r="M48" i="19" s="1"/>
  <c r="B35" i="19"/>
  <c r="M35" i="19" s="1"/>
  <c r="I22" i="19"/>
  <c r="G15" i="19"/>
  <c r="K115" i="18"/>
  <c r="E71" i="18"/>
  <c r="G17" i="18"/>
  <c r="L9" i="18"/>
  <c r="G21" i="17"/>
  <c r="B15" i="17"/>
  <c r="B30" i="16"/>
  <c r="J18" i="16"/>
  <c r="J11" i="16"/>
  <c r="A113" i="14"/>
  <c r="B69" i="14"/>
  <c r="M69" i="14" s="1"/>
  <c r="G186" i="23"/>
  <c r="A108" i="23"/>
  <c r="E45" i="20"/>
  <c r="G11" i="20"/>
  <c r="E93" i="1"/>
  <c r="E65" i="1"/>
  <c r="B36" i="1"/>
  <c r="M36" i="1" s="1"/>
  <c r="J11" i="1"/>
  <c r="B54" i="24"/>
  <c r="M54" i="24" s="1"/>
  <c r="E32" i="24"/>
  <c r="G9" i="24"/>
  <c r="E96" i="22"/>
  <c r="I62" i="22"/>
  <c r="E46" i="22"/>
  <c r="G15" i="22"/>
  <c r="B74" i="19"/>
  <c r="M74" i="19" s="1"/>
  <c r="B60" i="19"/>
  <c r="M60" i="19" s="1"/>
  <c r="B46" i="19"/>
  <c r="M46" i="19" s="1"/>
  <c r="B34" i="19"/>
  <c r="M34" i="19" s="1"/>
  <c r="G21" i="19"/>
  <c r="B15" i="19"/>
  <c r="A115" i="18"/>
  <c r="B71" i="18"/>
  <c r="M71" i="18" s="1"/>
  <c r="B51" i="18"/>
  <c r="M51" i="18" s="1"/>
  <c r="H24" i="18"/>
  <c r="A17" i="18"/>
  <c r="G9" i="18"/>
  <c r="B31" i="17"/>
  <c r="M31" i="17" s="1"/>
  <c r="B21" i="17"/>
  <c r="B14" i="17"/>
  <c r="E51" i="16"/>
  <c r="A30" i="16"/>
  <c r="G18" i="16"/>
  <c r="G11" i="16"/>
  <c r="C106" i="14"/>
  <c r="L30" i="14"/>
  <c r="B20" i="14"/>
  <c r="I13" i="14"/>
  <c r="A107" i="23"/>
  <c r="A163" i="2"/>
  <c r="B45" i="20"/>
  <c r="M45" i="20" s="1"/>
  <c r="B11" i="20"/>
  <c r="B93" i="1"/>
  <c r="M93" i="1" s="1"/>
  <c r="B65" i="1"/>
  <c r="M65" i="1" s="1"/>
  <c r="G11" i="1"/>
  <c r="E51" i="24"/>
  <c r="B32" i="24"/>
  <c r="M32" i="24" s="1"/>
  <c r="A8" i="24"/>
  <c r="B96" i="22"/>
  <c r="M96" i="22" s="1"/>
  <c r="B79" i="22"/>
  <c r="M79" i="22" s="1"/>
  <c r="B61" i="22"/>
  <c r="M61" i="22" s="1"/>
  <c r="E45" i="22"/>
  <c r="L30" i="22"/>
  <c r="B14" i="22"/>
  <c r="E59" i="19"/>
  <c r="B33" i="19"/>
  <c r="M33" i="19" s="1"/>
  <c r="B21" i="19"/>
  <c r="L13" i="19"/>
  <c r="B50" i="18"/>
  <c r="M50" i="18" s="1"/>
  <c r="B24" i="18"/>
  <c r="J16" i="18"/>
  <c r="B9" i="18"/>
  <c r="G20" i="17"/>
  <c r="L13" i="17"/>
  <c r="B51" i="16"/>
  <c r="M51" i="16" s="1"/>
  <c r="A29" i="16"/>
  <c r="B18" i="16"/>
  <c r="B11" i="16"/>
  <c r="B76" i="14"/>
  <c r="M76" i="14" s="1"/>
  <c r="E30" i="14"/>
  <c r="J19" i="14"/>
  <c r="G13" i="14"/>
  <c r="N2" i="14"/>
  <c r="B35" i="21"/>
  <c r="M35" i="21" s="1"/>
  <c r="G17" i="21"/>
  <c r="A18" i="23"/>
  <c r="A157" i="2"/>
  <c r="A6" i="2"/>
  <c r="E43" i="20"/>
  <c r="B9" i="20"/>
  <c r="B91" i="1"/>
  <c r="M91" i="1" s="1"/>
  <c r="E64" i="1"/>
  <c r="L35" i="1"/>
  <c r="G9" i="1"/>
  <c r="E48" i="24"/>
  <c r="H31" i="24"/>
  <c r="E95" i="22"/>
  <c r="B78" i="22"/>
  <c r="M78" i="22" s="1"/>
  <c r="B60" i="22"/>
  <c r="M60" i="22" s="1"/>
  <c r="B45" i="22"/>
  <c r="M45" i="22" s="1"/>
  <c r="B30" i="22"/>
  <c r="B13" i="22"/>
  <c r="B58" i="19"/>
  <c r="M58" i="19" s="1"/>
  <c r="B45" i="19"/>
  <c r="M45" i="19" s="1"/>
  <c r="E32" i="19"/>
  <c r="K20" i="19"/>
  <c r="G13" i="19"/>
  <c r="E32" i="18"/>
  <c r="G23" i="18"/>
  <c r="G16" i="18"/>
  <c r="A8" i="18"/>
  <c r="L30" i="17"/>
  <c r="B20" i="17"/>
  <c r="I13" i="17"/>
  <c r="J17" i="16"/>
  <c r="B10" i="16"/>
  <c r="D30" i="14"/>
  <c r="G19" i="14"/>
  <c r="B13" i="14"/>
  <c r="N1" i="14"/>
  <c r="M94" i="13"/>
  <c r="A16" i="23"/>
  <c r="B144" i="2"/>
  <c r="B65" i="20"/>
  <c r="M65" i="20" s="1"/>
  <c r="E37" i="20"/>
  <c r="C119" i="1"/>
  <c r="B63" i="1"/>
  <c r="M63" i="1" s="1"/>
  <c r="B35" i="1"/>
  <c r="E47" i="24"/>
  <c r="L30" i="24"/>
  <c r="J93" i="22"/>
  <c r="B76" i="22"/>
  <c r="M76" i="22" s="1"/>
  <c r="E44" i="22"/>
  <c r="A29" i="22"/>
  <c r="J11" i="22"/>
  <c r="B57" i="19"/>
  <c r="M57" i="19" s="1"/>
  <c r="E44" i="19"/>
  <c r="B32" i="19"/>
  <c r="M32" i="19" s="1"/>
  <c r="I20" i="19"/>
  <c r="B13" i="19"/>
  <c r="B32" i="18"/>
  <c r="M32" i="18" s="1"/>
  <c r="A23" i="18"/>
  <c r="G15" i="18"/>
  <c r="E30" i="17"/>
  <c r="J19" i="17"/>
  <c r="G13" i="17"/>
  <c r="N2" i="17"/>
  <c r="G17" i="16"/>
  <c r="L9" i="16"/>
  <c r="C30" i="14"/>
  <c r="B19" i="14"/>
  <c r="L11" i="14"/>
  <c r="K116" i="21"/>
  <c r="M93" i="13"/>
  <c r="A288" i="2"/>
  <c r="A144" i="2"/>
  <c r="E64" i="20"/>
  <c r="B37" i="20"/>
  <c r="M37" i="20" s="1"/>
  <c r="E114" i="1"/>
  <c r="E86" i="1"/>
  <c r="B58" i="1"/>
  <c r="M58" i="1" s="1"/>
  <c r="J29" i="1"/>
  <c r="A77" i="24"/>
  <c r="E46" i="24"/>
  <c r="A29" i="24"/>
  <c r="B93" i="22"/>
  <c r="M93" i="22" s="1"/>
  <c r="B75" i="22"/>
  <c r="M75" i="22" s="1"/>
  <c r="E59" i="22"/>
  <c r="E42" i="22"/>
  <c r="B24" i="22"/>
  <c r="B11" i="22"/>
  <c r="B56" i="19"/>
  <c r="M56" i="19" s="1"/>
  <c r="B43" i="19"/>
  <c r="M43" i="19" s="1"/>
  <c r="E31" i="19"/>
  <c r="B20" i="19"/>
  <c r="L11" i="19"/>
  <c r="E31" i="18"/>
  <c r="G21" i="18"/>
  <c r="B15" i="18"/>
  <c r="E52" i="17"/>
  <c r="D30" i="17"/>
  <c r="G19" i="17"/>
  <c r="B13" i="17"/>
  <c r="N1" i="17"/>
  <c r="E33" i="16"/>
  <c r="H24" i="16"/>
  <c r="A17" i="16"/>
  <c r="J9" i="16"/>
  <c r="B30" i="14"/>
  <c r="J18" i="14"/>
  <c r="J11" i="14"/>
  <c r="A116" i="21"/>
  <c r="B80" i="21"/>
  <c r="M80" i="21" s="1"/>
  <c r="E32" i="21"/>
  <c r="G23" i="21"/>
  <c r="G16" i="21"/>
  <c r="M78" i="13"/>
  <c r="A167" i="23"/>
  <c r="A286" i="2"/>
  <c r="B143" i="2"/>
  <c r="B64" i="20"/>
  <c r="M64" i="20" s="1"/>
  <c r="E36" i="20"/>
  <c r="B114" i="1"/>
  <c r="M114" i="1" s="1"/>
  <c r="B86" i="1"/>
  <c r="M86" i="1" s="1"/>
  <c r="E57" i="1"/>
  <c r="G28" i="1"/>
  <c r="C70" i="24"/>
  <c r="B46" i="24"/>
  <c r="M46" i="24" s="1"/>
  <c r="A118" i="22"/>
  <c r="B92" i="22"/>
  <c r="M92" i="22" s="1"/>
  <c r="B74" i="22"/>
  <c r="M74" i="22" s="1"/>
  <c r="B59" i="22"/>
  <c r="M59" i="22" s="1"/>
  <c r="E41" i="22"/>
  <c r="A23" i="22"/>
  <c r="B10" i="22"/>
  <c r="B42" i="19"/>
  <c r="M42" i="19" s="1"/>
  <c r="L30" i="19"/>
  <c r="K19" i="19"/>
  <c r="J11" i="19"/>
  <c r="B31" i="18"/>
  <c r="M31" i="18" s="1"/>
  <c r="B21" i="18"/>
  <c r="B14" i="18"/>
  <c r="B52" i="17"/>
  <c r="M52" i="17" s="1"/>
  <c r="C30" i="17"/>
  <c r="B19" i="17"/>
  <c r="L11" i="17"/>
  <c r="K115" i="16"/>
  <c r="E79" i="16"/>
  <c r="B33" i="16"/>
  <c r="M33" i="16" s="1"/>
  <c r="B24" i="16"/>
  <c r="J16" i="16"/>
  <c r="G9" i="16"/>
  <c r="A30" i="14"/>
  <c r="G18" i="14"/>
  <c r="M77" i="13"/>
  <c r="A166" i="23"/>
  <c r="A207" i="2"/>
  <c r="A137" i="2"/>
  <c r="J62" i="20"/>
  <c r="E34" i="20"/>
  <c r="B112" i="1"/>
  <c r="M112" i="1" s="1"/>
  <c r="E85" i="1"/>
  <c r="B57" i="1"/>
  <c r="M57" i="1" s="1"/>
  <c r="M62" i="13"/>
  <c r="A206" i="2"/>
  <c r="A127" i="2"/>
  <c r="E108" i="1"/>
  <c r="E83" i="1"/>
  <c r="B55" i="1"/>
  <c r="M55" i="1" s="1"/>
  <c r="G27" i="1"/>
  <c r="E63" i="24"/>
  <c r="E44" i="24"/>
  <c r="B54" i="20"/>
  <c r="M54" i="20" s="1"/>
  <c r="E58" i="24"/>
  <c r="M17" i="22"/>
  <c r="B37" i="19"/>
  <c r="M37" i="19" s="1"/>
  <c r="G18" i="18"/>
  <c r="B24" i="17"/>
  <c r="E30" i="16"/>
  <c r="B21" i="14"/>
  <c r="B36" i="21"/>
  <c r="M36" i="21" s="1"/>
  <c r="H24" i="21"/>
  <c r="G15" i="21"/>
  <c r="A8" i="21"/>
  <c r="E44" i="15"/>
  <c r="E36" i="15"/>
  <c r="A30" i="15"/>
  <c r="G18" i="15"/>
  <c r="G11" i="15"/>
  <c r="C111" i="13"/>
  <c r="B98" i="13"/>
  <c r="B89" i="13"/>
  <c r="B81" i="13"/>
  <c r="B73" i="13"/>
  <c r="B65" i="13"/>
  <c r="I57" i="13"/>
  <c r="E50" i="13"/>
  <c r="E42" i="13"/>
  <c r="B34" i="13"/>
  <c r="H24" i="13"/>
  <c r="A17" i="13"/>
  <c r="J9" i="13"/>
  <c r="B26" i="4"/>
  <c r="B42" i="13"/>
  <c r="B24" i="13"/>
  <c r="G9" i="13"/>
  <c r="B17" i="4"/>
  <c r="C30" i="15"/>
  <c r="B53" i="15"/>
  <c r="M53" i="15" s="1"/>
  <c r="E34" i="13"/>
  <c r="E52" i="20"/>
  <c r="H45" i="24"/>
  <c r="E73" i="22"/>
  <c r="L9" i="22"/>
  <c r="E30" i="19"/>
  <c r="L13" i="18"/>
  <c r="J18" i="17"/>
  <c r="G23" i="16"/>
  <c r="G20" i="14"/>
  <c r="C109" i="21"/>
  <c r="E35" i="21"/>
  <c r="B24" i="21"/>
  <c r="B15" i="21"/>
  <c r="I58" i="15"/>
  <c r="B52" i="15"/>
  <c r="M52" i="15" s="1"/>
  <c r="B44" i="15"/>
  <c r="M44" i="15" s="1"/>
  <c r="B36" i="15"/>
  <c r="M36" i="15" s="1"/>
  <c r="A29" i="15"/>
  <c r="B18" i="15"/>
  <c r="B11" i="15"/>
  <c r="E97" i="13"/>
  <c r="E88" i="13"/>
  <c r="E80" i="13"/>
  <c r="E64" i="13"/>
  <c r="E57" i="13"/>
  <c r="B50" i="13"/>
  <c r="E33" i="13"/>
  <c r="J16" i="13"/>
  <c r="B21" i="4"/>
  <c r="K11" i="4"/>
  <c r="K118" i="13"/>
  <c r="B58" i="13"/>
  <c r="B20" i="20"/>
  <c r="E39" i="24"/>
  <c r="B73" i="22"/>
  <c r="M73" i="22" s="1"/>
  <c r="D30" i="19"/>
  <c r="I13" i="18"/>
  <c r="G18" i="17"/>
  <c r="A23" i="16"/>
  <c r="B18" i="14"/>
  <c r="E54" i="21"/>
  <c r="E33" i="21"/>
  <c r="A23" i="21"/>
  <c r="B14" i="21"/>
  <c r="E58" i="15"/>
  <c r="E51" i="15"/>
  <c r="E43" i="15"/>
  <c r="E35" i="15"/>
  <c r="J17" i="15"/>
  <c r="B10" i="15"/>
  <c r="B97" i="13"/>
  <c r="B88" i="13"/>
  <c r="B80" i="13"/>
  <c r="B72" i="13"/>
  <c r="B64" i="13"/>
  <c r="B57" i="13"/>
  <c r="E49" i="13"/>
  <c r="E41" i="13"/>
  <c r="B33" i="13"/>
  <c r="G23" i="13"/>
  <c r="G16" i="13"/>
  <c r="B9" i="13"/>
  <c r="B35" i="13"/>
  <c r="B9" i="21"/>
  <c r="J18" i="15"/>
  <c r="G19" i="20"/>
  <c r="B39" i="24"/>
  <c r="M39" i="24" s="1"/>
  <c r="B67" i="22"/>
  <c r="M67" i="22" s="1"/>
  <c r="J11" i="18"/>
  <c r="A17" i="17"/>
  <c r="B20" i="16"/>
  <c r="J17" i="14"/>
  <c r="B54" i="21"/>
  <c r="M54" i="21" s="1"/>
  <c r="B33" i="21"/>
  <c r="M33" i="21" s="1"/>
  <c r="G21" i="21"/>
  <c r="L13" i="21"/>
  <c r="B58" i="15"/>
  <c r="M58" i="15" s="1"/>
  <c r="B51" i="15"/>
  <c r="M51" i="15" s="1"/>
  <c r="B43" i="15"/>
  <c r="M43" i="15" s="1"/>
  <c r="B35" i="15"/>
  <c r="M35" i="15" s="1"/>
  <c r="G17" i="15"/>
  <c r="L9" i="15"/>
  <c r="E106" i="13"/>
  <c r="E95" i="13"/>
  <c r="E87" i="13"/>
  <c r="E71" i="13"/>
  <c r="E63" i="13"/>
  <c r="I56" i="13"/>
  <c r="B49" i="13"/>
  <c r="B41" i="13"/>
  <c r="E32" i="13"/>
  <c r="A23" i="13"/>
  <c r="G15" i="13"/>
  <c r="A8" i="13"/>
  <c r="J17" i="13"/>
  <c r="E65" i="13"/>
  <c r="B148" i="23"/>
  <c r="B24" i="24"/>
  <c r="E66" i="22"/>
  <c r="E79" i="19"/>
  <c r="B25" i="19"/>
  <c r="G11" i="18"/>
  <c r="J16" i="17"/>
  <c r="J19" i="16"/>
  <c r="G16" i="14"/>
  <c r="E53" i="21"/>
  <c r="B32" i="21"/>
  <c r="M32" i="21" s="1"/>
  <c r="B21" i="21"/>
  <c r="I13" i="21"/>
  <c r="E42" i="15"/>
  <c r="E33" i="15"/>
  <c r="H24" i="15"/>
  <c r="A17" i="15"/>
  <c r="J9" i="15"/>
  <c r="B106" i="13"/>
  <c r="B95" i="13"/>
  <c r="B87" i="13"/>
  <c r="B79" i="13"/>
  <c r="B71" i="13"/>
  <c r="B63" i="13"/>
  <c r="E56" i="13"/>
  <c r="E48" i="13"/>
  <c r="E40" i="13"/>
  <c r="B32" i="13"/>
  <c r="G21" i="13"/>
  <c r="B15" i="13"/>
  <c r="K10" i="4"/>
  <c r="E78" i="13"/>
  <c r="B56" i="13"/>
  <c r="B40" i="13"/>
  <c r="B21" i="13"/>
  <c r="E58" i="13"/>
  <c r="A118" i="13"/>
  <c r="G23" i="24"/>
  <c r="J57" i="22"/>
  <c r="G19" i="19"/>
  <c r="J11" i="17"/>
  <c r="B79" i="16"/>
  <c r="M79" i="16" s="1"/>
  <c r="G16" i="16"/>
  <c r="G15" i="14"/>
  <c r="B53" i="21"/>
  <c r="M53" i="21" s="1"/>
  <c r="E31" i="21"/>
  <c r="G20" i="21"/>
  <c r="G13" i="21"/>
  <c r="N2" i="21"/>
  <c r="B42" i="15"/>
  <c r="M42" i="15" s="1"/>
  <c r="B33" i="15"/>
  <c r="M33" i="15" s="1"/>
  <c r="B24" i="15"/>
  <c r="J16" i="15"/>
  <c r="G9" i="15"/>
  <c r="E94" i="13"/>
  <c r="E86" i="13"/>
  <c r="E70" i="13"/>
  <c r="E62" i="13"/>
  <c r="B48" i="13"/>
  <c r="E31" i="13"/>
  <c r="B14" i="13"/>
  <c r="K9" i="4"/>
  <c r="L11" i="15"/>
  <c r="E1" i="4"/>
  <c r="L30" i="16"/>
  <c r="J16" i="21"/>
  <c r="J11" i="15"/>
  <c r="L9" i="13"/>
  <c r="G16" i="24"/>
  <c r="B57" i="22"/>
  <c r="M57" i="22" s="1"/>
  <c r="K18" i="19"/>
  <c r="N2" i="18"/>
  <c r="G11" i="17"/>
  <c r="G15" i="16"/>
  <c r="B15" i="14"/>
  <c r="E52" i="21"/>
  <c r="B31" i="21"/>
  <c r="M31" i="21" s="1"/>
  <c r="B20" i="21"/>
  <c r="B13" i="21"/>
  <c r="N1" i="21"/>
  <c r="E41" i="15"/>
  <c r="E32" i="15"/>
  <c r="G23" i="15"/>
  <c r="G16" i="15"/>
  <c r="B9" i="15"/>
  <c r="B94" i="13"/>
  <c r="B86" i="13"/>
  <c r="B78" i="13"/>
  <c r="B70" i="13"/>
  <c r="B62" i="13"/>
  <c r="E55" i="13"/>
  <c r="E47" i="13"/>
  <c r="E39" i="13"/>
  <c r="B31" i="13"/>
  <c r="G20" i="13"/>
  <c r="L13" i="13"/>
  <c r="K8" i="4"/>
  <c r="L30" i="13"/>
  <c r="E65" i="24"/>
  <c r="B66" i="13"/>
  <c r="B30" i="15"/>
  <c r="G17" i="13"/>
  <c r="E75" i="1"/>
  <c r="B15" i="24"/>
  <c r="B53" i="22"/>
  <c r="M53" i="22" s="1"/>
  <c r="B64" i="19"/>
  <c r="M64" i="19" s="1"/>
  <c r="G17" i="19"/>
  <c r="C109" i="17"/>
  <c r="J9" i="17"/>
  <c r="I13" i="16"/>
  <c r="B14" i="14"/>
  <c r="E72" i="21"/>
  <c r="B52" i="21"/>
  <c r="M52" i="21" s="1"/>
  <c r="J19" i="21"/>
  <c r="L11" i="21"/>
  <c r="K115" i="15"/>
  <c r="E79" i="15"/>
  <c r="B41" i="15"/>
  <c r="M41" i="15" s="1"/>
  <c r="B32" i="15"/>
  <c r="M32" i="15" s="1"/>
  <c r="A23" i="15"/>
  <c r="G15" i="15"/>
  <c r="A8" i="15"/>
  <c r="E102" i="13"/>
  <c r="E93" i="13"/>
  <c r="E85" i="13"/>
  <c r="E77" i="13"/>
  <c r="E69" i="13"/>
  <c r="E61" i="13"/>
  <c r="B55" i="13"/>
  <c r="B47" i="13"/>
  <c r="B39" i="13"/>
  <c r="B20" i="13"/>
  <c r="I13" i="13"/>
  <c r="K7" i="4"/>
  <c r="G22" i="22"/>
  <c r="B19" i="15"/>
  <c r="B45" i="15"/>
  <c r="M45" i="15" s="1"/>
  <c r="B30" i="4"/>
  <c r="B72" i="1"/>
  <c r="M72" i="1" s="1"/>
  <c r="E106" i="22"/>
  <c r="E52" i="22"/>
  <c r="E63" i="19"/>
  <c r="A17" i="19"/>
  <c r="G9" i="17"/>
  <c r="G13" i="16"/>
  <c r="E31" i="14"/>
  <c r="L13" i="14"/>
  <c r="E40" i="21"/>
  <c r="L30" i="21"/>
  <c r="G19" i="21"/>
  <c r="J11" i="21"/>
  <c r="A115" i="15"/>
  <c r="B79" i="15"/>
  <c r="M79" i="15" s="1"/>
  <c r="E40" i="15"/>
  <c r="E31" i="15"/>
  <c r="G21" i="15"/>
  <c r="B15" i="15"/>
  <c r="B102" i="13"/>
  <c r="B93" i="13"/>
  <c r="B85" i="13"/>
  <c r="B77" i="13"/>
  <c r="B69" i="13"/>
  <c r="B61" i="13"/>
  <c r="E54" i="13"/>
  <c r="E46" i="13"/>
  <c r="E38" i="13"/>
  <c r="E30" i="13"/>
  <c r="J19" i="13"/>
  <c r="G13" i="13"/>
  <c r="N2" i="13"/>
  <c r="K6" i="4"/>
  <c r="K4" i="4"/>
  <c r="A109" i="2"/>
  <c r="B99" i="13"/>
  <c r="B10" i="13"/>
  <c r="E89" i="13"/>
  <c r="A300" i="23"/>
  <c r="B47" i="1"/>
  <c r="M47" i="1" s="1"/>
  <c r="E104" i="22"/>
  <c r="E39" i="22"/>
  <c r="B10" i="19"/>
  <c r="A115" i="16"/>
  <c r="B71" i="16"/>
  <c r="M71" i="16" s="1"/>
  <c r="B9" i="16"/>
  <c r="B31" i="14"/>
  <c r="M31" i="14" s="1"/>
  <c r="G11" i="14"/>
  <c r="B40" i="21"/>
  <c r="M40" i="21" s="1"/>
  <c r="E30" i="21"/>
  <c r="B19" i="21"/>
  <c r="G11" i="21"/>
  <c r="C108" i="15"/>
  <c r="B40" i="15"/>
  <c r="M40" i="15" s="1"/>
  <c r="B31" i="15"/>
  <c r="M31" i="15" s="1"/>
  <c r="B21" i="15"/>
  <c r="B14" i="15"/>
  <c r="E101" i="13"/>
  <c r="E92" i="13"/>
  <c r="E76" i="13"/>
  <c r="E68" i="13"/>
  <c r="E60" i="13"/>
  <c r="B54" i="13"/>
  <c r="B46" i="13"/>
  <c r="B38" i="13"/>
  <c r="D30" i="13"/>
  <c r="G19" i="13"/>
  <c r="B13" i="13"/>
  <c r="N1" i="13"/>
  <c r="K5" i="4"/>
  <c r="L59" i="4"/>
  <c r="A30" i="17"/>
  <c r="B90" i="13"/>
  <c r="B36" i="4"/>
  <c r="G21" i="14"/>
  <c r="E81" i="13"/>
  <c r="A299" i="23"/>
  <c r="B42" i="1"/>
  <c r="M42" i="1" s="1"/>
  <c r="B102" i="22"/>
  <c r="M102" i="22" s="1"/>
  <c r="E38" i="22"/>
  <c r="B54" i="19"/>
  <c r="M54" i="19" s="1"/>
  <c r="L9" i="19"/>
  <c r="L30" i="18"/>
  <c r="C108" i="16"/>
  <c r="A8" i="16"/>
  <c r="B11" i="14"/>
  <c r="E39" i="21"/>
  <c r="D30" i="21"/>
  <c r="J18" i="21"/>
  <c r="B11" i="21"/>
  <c r="E47" i="15"/>
  <c r="E39" i="15"/>
  <c r="G20" i="15"/>
  <c r="L13" i="15"/>
  <c r="B101" i="13"/>
  <c r="B92" i="13"/>
  <c r="B84" i="13"/>
  <c r="B76" i="13"/>
  <c r="B68" i="13"/>
  <c r="B60" i="13"/>
  <c r="E53" i="13"/>
  <c r="E45" i="13"/>
  <c r="E37" i="13"/>
  <c r="C30" i="13"/>
  <c r="B19" i="13"/>
  <c r="L11" i="13"/>
  <c r="E40" i="19"/>
  <c r="A17" i="21"/>
  <c r="B82" i="13"/>
  <c r="J27" i="1"/>
  <c r="J100" i="22"/>
  <c r="E35" i="22"/>
  <c r="B51" i="19"/>
  <c r="M51" i="19" s="1"/>
  <c r="B30" i="18"/>
  <c r="B33" i="17"/>
  <c r="M33" i="17" s="1"/>
  <c r="A29" i="14"/>
  <c r="B10" i="14"/>
  <c r="C30" i="21"/>
  <c r="G18" i="21"/>
  <c r="B10" i="21"/>
  <c r="B47" i="15"/>
  <c r="M47" i="15" s="1"/>
  <c r="B39" i="15"/>
  <c r="M39" i="15" s="1"/>
  <c r="L30" i="15"/>
  <c r="B20" i="15"/>
  <c r="I13" i="15"/>
  <c r="E100" i="13"/>
  <c r="E91" i="13"/>
  <c r="E83" i="13"/>
  <c r="E75" i="13"/>
  <c r="E67" i="13"/>
  <c r="E59" i="13"/>
  <c r="B53" i="13"/>
  <c r="B45" i="13"/>
  <c r="B30" i="13"/>
  <c r="J18" i="13"/>
  <c r="J11" i="13"/>
  <c r="B59" i="4"/>
  <c r="K3" i="4"/>
  <c r="B32" i="16"/>
  <c r="M32" i="16" s="1"/>
  <c r="A23" i="14"/>
  <c r="A29" i="21"/>
  <c r="E53" i="15"/>
  <c r="E51" i="13"/>
  <c r="H24" i="17"/>
  <c r="B43" i="13"/>
  <c r="I18" i="1"/>
  <c r="B91" i="22"/>
  <c r="M91" i="22" s="1"/>
  <c r="E34" i="22"/>
  <c r="B50" i="19"/>
  <c r="M50" i="19" s="1"/>
  <c r="A30" i="18"/>
  <c r="E32" i="17"/>
  <c r="N2" i="16"/>
  <c r="B9" i="14"/>
  <c r="E80" i="21"/>
  <c r="B30" i="21"/>
  <c r="B18" i="21"/>
  <c r="L9" i="21"/>
  <c r="E54" i="15"/>
  <c r="E46" i="15"/>
  <c r="E38" i="15"/>
  <c r="E30" i="15"/>
  <c r="J19" i="15"/>
  <c r="G13" i="15"/>
  <c r="N2" i="15"/>
  <c r="B100" i="13"/>
  <c r="B91" i="13"/>
  <c r="B83" i="13"/>
  <c r="B75" i="13"/>
  <c r="B67" i="13"/>
  <c r="B59" i="13"/>
  <c r="E52" i="13"/>
  <c r="E44" i="13"/>
  <c r="E36" i="13"/>
  <c r="A30" i="13"/>
  <c r="G18" i="13"/>
  <c r="G11" i="13"/>
  <c r="B46" i="4"/>
  <c r="K2" i="4"/>
  <c r="B74" i="13"/>
  <c r="B51" i="13"/>
  <c r="G18" i="1"/>
  <c r="B90" i="22"/>
  <c r="M90" i="22" s="1"/>
  <c r="L22" i="22"/>
  <c r="B41" i="19"/>
  <c r="M41" i="19" s="1"/>
  <c r="G20" i="18"/>
  <c r="B30" i="17"/>
  <c r="E32" i="16"/>
  <c r="G23" i="14"/>
  <c r="A8" i="14"/>
  <c r="A30" i="21"/>
  <c r="J17" i="21"/>
  <c r="J9" i="21"/>
  <c r="B54" i="15"/>
  <c r="M54" i="15" s="1"/>
  <c r="B46" i="15"/>
  <c r="M46" i="15" s="1"/>
  <c r="B38" i="15"/>
  <c r="M38" i="15" s="1"/>
  <c r="D30" i="15"/>
  <c r="G19" i="15"/>
  <c r="B13" i="15"/>
  <c r="N1" i="15"/>
  <c r="E99" i="13"/>
  <c r="E90" i="13"/>
  <c r="E82" i="13"/>
  <c r="E66" i="13"/>
  <c r="I58" i="13"/>
  <c r="B52" i="13"/>
  <c r="B44" i="13"/>
  <c r="E35" i="13"/>
  <c r="A29" i="13"/>
  <c r="B18" i="13"/>
  <c r="B11" i="13"/>
  <c r="B40" i="4"/>
  <c r="M1" i="4"/>
  <c r="E85" i="22"/>
  <c r="B20" i="18"/>
  <c r="B79" i="21"/>
  <c r="M79" i="21" s="1"/>
  <c r="G9" i="21"/>
  <c r="E45" i="15"/>
  <c r="E43" i="13"/>
  <c r="J18" i="18"/>
  <c r="E36" i="21"/>
  <c r="E98" i="13"/>
  <c r="A108" i="2"/>
  <c r="E59" i="24"/>
  <c r="E83" i="22"/>
  <c r="G18" i="22"/>
  <c r="E37" i="19"/>
  <c r="V7" i="4"/>
  <c r="W31" i="22" s="1"/>
  <c r="L31" i="22" s="1"/>
  <c r="AD52" i="24"/>
  <c r="E227" i="2"/>
  <c r="E180" i="2"/>
  <c r="AD36" i="13" l="1"/>
  <c r="L36" i="13" s="1"/>
  <c r="O36" i="13" s="1"/>
  <c r="AF37" i="21"/>
  <c r="AF37" i="17"/>
  <c r="AF35" i="18"/>
  <c r="AF37" i="15"/>
  <c r="AF36" i="16"/>
  <c r="AF34" i="14"/>
  <c r="AF37" i="13"/>
  <c r="D35" i="18"/>
  <c r="L37" i="15"/>
  <c r="AC37" i="13"/>
  <c r="O37" i="13" s="1"/>
  <c r="L37" i="13"/>
  <c r="L36" i="16"/>
  <c r="AD37" i="21"/>
  <c r="D37" i="15"/>
  <c r="AC37" i="21"/>
  <c r="AD37" i="17"/>
  <c r="D36" i="16"/>
  <c r="L37" i="21"/>
  <c r="D37" i="21"/>
  <c r="AD34" i="14"/>
  <c r="L37" i="17"/>
  <c r="AC34" i="14"/>
  <c r="AD35" i="18"/>
  <c r="D37" i="17"/>
  <c r="AD37" i="15"/>
  <c r="AC37" i="15"/>
  <c r="O37" i="15" s="1"/>
  <c r="AC35" i="18"/>
  <c r="L34" i="14"/>
  <c r="AC37" i="17"/>
  <c r="L35" i="18"/>
  <c r="AD36" i="16"/>
  <c r="D34" i="14"/>
  <c r="AC36" i="16"/>
  <c r="D37" i="13"/>
  <c r="AD37" i="13"/>
  <c r="D94" i="1"/>
  <c r="D42" i="24"/>
  <c r="D48" i="19"/>
  <c r="D48" i="21"/>
  <c r="D46" i="18" a="1"/>
  <c r="D46" i="18" s="1"/>
  <c r="D48" i="13"/>
  <c r="D48" i="17" a="1"/>
  <c r="D48" i="17" s="1"/>
  <c r="D47" i="16"/>
  <c r="D45" i="14"/>
  <c r="D48" i="15"/>
  <c r="D31" i="19" a="1"/>
  <c r="D31" i="19" s="1"/>
  <c r="D33" i="19" a="1"/>
  <c r="D33" i="19" s="1"/>
  <c r="D32" i="19" a="1"/>
  <c r="D32" i="19" s="1"/>
  <c r="D32" i="20"/>
  <c r="D31" i="20"/>
  <c r="D62" i="22"/>
  <c r="D52" i="24"/>
  <c r="D66" i="22"/>
  <c r="D56" i="24"/>
  <c r="D43" i="20"/>
  <c r="D32" i="24"/>
  <c r="D31" i="24"/>
  <c r="D70" i="1"/>
  <c r="D54" i="20"/>
  <c r="D44" i="20"/>
  <c r="D77" i="1"/>
  <c r="D57" i="20"/>
  <c r="D74" i="1"/>
  <c r="D52" i="20"/>
  <c r="AF52" i="20"/>
  <c r="D100" i="1"/>
  <c r="D38" i="1"/>
  <c r="U33" i="22"/>
  <c r="L33" i="22"/>
  <c r="U35" i="22"/>
  <c r="L35" i="22"/>
  <c r="D84" i="19" a="1"/>
  <c r="D84" i="19" s="1"/>
  <c r="AF34" i="18"/>
  <c r="AC36" i="17"/>
  <c r="AF36" i="17"/>
  <c r="AC35" i="16"/>
  <c r="D35" i="16"/>
  <c r="AC34" i="18"/>
  <c r="D34" i="18" a="1"/>
  <c r="D34" i="18" s="1"/>
  <c r="D36" i="17" a="1"/>
  <c r="D36" i="17" s="1"/>
  <c r="AF102" i="15"/>
  <c r="AF103" i="17"/>
  <c r="AF100" i="14"/>
  <c r="AF103" i="18"/>
  <c r="AF104" i="17"/>
  <c r="AF105" i="13"/>
  <c r="AF103" i="21"/>
  <c r="AF102" i="16"/>
  <c r="AF102" i="18"/>
  <c r="AF103" i="16"/>
  <c r="D50" i="17" a="1"/>
  <c r="D50" i="17" s="1"/>
  <c r="D48" i="18" a="1"/>
  <c r="D48" i="18" s="1"/>
  <c r="D49" i="16"/>
  <c r="D49" i="17" a="1"/>
  <c r="D49" i="17" s="1"/>
  <c r="D47" i="18" a="1"/>
  <c r="D47" i="18" s="1"/>
  <c r="D48" i="16"/>
  <c r="D37" i="18" a="1"/>
  <c r="D37" i="18" s="1"/>
  <c r="D38" i="16"/>
  <c r="D39" i="17" a="1"/>
  <c r="D39" i="17" s="1"/>
  <c r="D103" i="21" a="1"/>
  <c r="D103" i="21" s="1"/>
  <c r="D102" i="16" a="1"/>
  <c r="D102" i="16" s="1"/>
  <c r="D102" i="18" a="1"/>
  <c r="D102" i="18" s="1"/>
  <c r="D103" i="17" a="1"/>
  <c r="D103" i="17" s="1"/>
  <c r="D102" i="15" a="1"/>
  <c r="D102" i="15" s="1"/>
  <c r="D100" i="14" a="1"/>
  <c r="D100" i="14" s="1"/>
  <c r="D105" i="13" a="1"/>
  <c r="D105" i="13" s="1"/>
  <c r="D50" i="13"/>
  <c r="D50" i="15"/>
  <c r="D47" i="14"/>
  <c r="D50" i="21"/>
  <c r="D39" i="21"/>
  <c r="D36" i="14"/>
  <c r="D36" i="21"/>
  <c r="AD33" i="14"/>
  <c r="D33" i="14"/>
  <c r="AF101" i="14"/>
  <c r="AF103" i="15"/>
  <c r="AF104" i="21"/>
  <c r="D49" i="15"/>
  <c r="D46" i="14"/>
  <c r="D49" i="21"/>
  <c r="D49" i="13"/>
  <c r="E37" i="1"/>
  <c r="Y63" i="1"/>
  <c r="E54" i="1"/>
  <c r="Y54" i="1"/>
  <c r="X55" i="22"/>
  <c r="X48" i="22"/>
  <c r="X32" i="22"/>
  <c r="Y37" i="1"/>
  <c r="D69" i="22"/>
  <c r="U62" i="22"/>
  <c r="L62" i="22"/>
  <c r="D86" i="22"/>
  <c r="D39" i="19"/>
  <c r="D40" i="19"/>
  <c r="D36" i="15"/>
  <c r="D36" i="13"/>
  <c r="D39" i="15"/>
  <c r="D39" i="13"/>
  <c r="A26" i="26"/>
  <c r="A193" i="2"/>
  <c r="J91" i="1" s="1"/>
  <c r="A254" i="2"/>
  <c r="FV33" i="22"/>
  <c r="FW35" i="22"/>
  <c r="FT35" i="22" s="1"/>
  <c r="FW33" i="22"/>
  <c r="FU33" i="22"/>
  <c r="O106" i="13"/>
  <c r="E226" i="2"/>
  <c r="A210" i="2"/>
  <c r="A218" i="2"/>
  <c r="A189" i="2"/>
  <c r="A248" i="2"/>
  <c r="AG31" i="20"/>
  <c r="AF32" i="20"/>
  <c r="AG32" i="24"/>
  <c r="AE32" i="24" s="1"/>
  <c r="AF32" i="24"/>
  <c r="AD32" i="24" s="1"/>
  <c r="A199" i="2"/>
  <c r="A202" i="2"/>
  <c r="A222" i="2"/>
  <c r="AF31" i="24"/>
  <c r="AG31" i="24"/>
  <c r="AE31" i="24" s="1"/>
  <c r="A225" i="2"/>
  <c r="B175" i="2"/>
  <c r="E175" i="2" s="1"/>
  <c r="B174" i="2"/>
  <c r="E174" i="2" s="1"/>
  <c r="B179" i="2"/>
  <c r="B169" i="2"/>
  <c r="B170" i="2"/>
  <c r="B168" i="2"/>
  <c r="B164" i="2"/>
  <c r="E164" i="2" s="1"/>
  <c r="B163" i="2"/>
  <c r="E163" i="2" s="1"/>
  <c r="B180" i="2"/>
  <c r="A186" i="2"/>
  <c r="A183" i="2"/>
  <c r="J48" i="1" s="1"/>
  <c r="B206" i="2"/>
  <c r="B207" i="2"/>
  <c r="AD36" i="15"/>
  <c r="L36" i="15" s="1"/>
  <c r="O36" i="15" s="1"/>
  <c r="AD39" i="19"/>
  <c r="L39" i="19" s="1"/>
  <c r="AD36" i="21"/>
  <c r="L36" i="21" s="1"/>
  <c r="O36" i="21" s="1"/>
  <c r="B161" i="23"/>
  <c r="B162" i="23"/>
  <c r="A175" i="23"/>
  <c r="A178" i="23"/>
  <c r="B171" i="23"/>
  <c r="B160" i="23"/>
  <c r="B172" i="23"/>
  <c r="B156" i="23"/>
  <c r="E156" i="23" s="1"/>
  <c r="B155" i="23"/>
  <c r="E155" i="23" s="1"/>
  <c r="A243" i="23"/>
  <c r="A246" i="23"/>
  <c r="A187" i="23"/>
  <c r="J85" i="22" s="1"/>
  <c r="D85" i="22" s="1"/>
  <c r="A268" i="23"/>
  <c r="A217" i="23"/>
  <c r="AD31" i="24" l="1"/>
  <c r="L31" i="24"/>
  <c r="AD52" i="20"/>
  <c r="L52" i="20"/>
  <c r="AD32" i="20"/>
  <c r="AE31" i="20"/>
  <c r="L31" i="20"/>
  <c r="FT33" i="22"/>
  <c r="O31" i="18"/>
  <c r="O32" i="18"/>
  <c r="J83" i="22"/>
  <c r="J70" i="22"/>
  <c r="L51" i="19"/>
  <c r="O51" i="19" s="1"/>
  <c r="W48" i="22" l="1"/>
  <c r="U48" i="22" s="1"/>
  <c r="W47" i="22"/>
  <c r="U47" i="22" s="1"/>
  <c r="W32" i="22"/>
  <c r="O31" i="22"/>
  <c r="X54" i="1"/>
  <c r="V54" i="1" s="1"/>
  <c r="V48" i="22"/>
  <c r="U32" i="22" l="1"/>
  <c r="U31" i="22"/>
  <c r="W55" i="22"/>
  <c r="U55" i="22" s="1"/>
  <c r="W37" i="1"/>
  <c r="W63" i="1"/>
  <c r="V55" i="22"/>
  <c r="W54" i="1"/>
  <c r="V32" i="22"/>
  <c r="X36" i="1"/>
  <c r="V36" i="1" s="1"/>
  <c r="L32" i="22" l="1"/>
  <c r="L112" i="1"/>
  <c r="O112" i="1" s="1"/>
  <c r="L111" i="1"/>
  <c r="O111" i="1" s="1"/>
  <c r="D41" i="24" l="1"/>
  <c r="L65" i="24"/>
  <c r="O65" i="24" s="1"/>
  <c r="L64" i="24"/>
  <c r="O64" i="24" s="1"/>
  <c r="L63" i="24"/>
  <c r="O63" i="24" s="1"/>
  <c r="L62" i="24"/>
  <c r="O62" i="24" s="1"/>
  <c r="L61" i="24"/>
  <c r="O61" i="24" s="1"/>
  <c r="L60" i="24"/>
  <c r="O60" i="24" s="1"/>
  <c r="L59" i="24"/>
  <c r="O59" i="24" s="1"/>
  <c r="O66" i="20" l="1"/>
  <c r="L65" i="20"/>
  <c r="O65" i="20" s="1"/>
  <c r="L64" i="20"/>
  <c r="O64" i="20" s="1"/>
  <c r="O63" i="20"/>
  <c r="O62" i="20"/>
  <c r="O61" i="20"/>
  <c r="O60" i="20"/>
  <c r="U84" i="22" l="1"/>
  <c r="L84" i="22" s="1"/>
  <c r="W83" i="22"/>
  <c r="U83" i="22" s="1"/>
  <c r="D107" i="1"/>
  <c r="V92" i="1"/>
  <c r="L92" i="1" s="1"/>
  <c r="O84" i="22" l="1"/>
  <c r="W87" i="22" l="1"/>
  <c r="U87" i="22" s="1"/>
  <c r="W82" i="22"/>
  <c r="U82" i="22" s="1"/>
  <c r="W81" i="22"/>
  <c r="W80" i="22"/>
  <c r="U80" i="22" s="1"/>
  <c r="W79" i="22"/>
  <c r="W78" i="22"/>
  <c r="U78" i="22" s="1"/>
  <c r="W77" i="22"/>
  <c r="U77" i="22" s="1"/>
  <c r="W76" i="22"/>
  <c r="U76" i="22" s="1"/>
  <c r="W75" i="22"/>
  <c r="U75" i="22" s="1"/>
  <c r="U74" i="22"/>
  <c r="W73" i="22"/>
  <c r="U73" i="22" s="1"/>
  <c r="W72" i="22"/>
  <c r="U72" i="22" s="1"/>
  <c r="U71" i="22"/>
  <c r="L71" i="22" s="1"/>
  <c r="U61" i="22"/>
  <c r="W54" i="22"/>
  <c r="U54" i="22" s="1"/>
  <c r="W53" i="22"/>
  <c r="U53" i="22" s="1"/>
  <c r="W52" i="22"/>
  <c r="U52" i="22" s="1"/>
  <c r="W51" i="22"/>
  <c r="U51" i="22" s="1"/>
  <c r="W49" i="22"/>
  <c r="U49" i="22" s="1"/>
  <c r="W44" i="22"/>
  <c r="U44" i="22" s="1"/>
  <c r="U43" i="22"/>
  <c r="W42" i="22"/>
  <c r="U42" i="22" s="1"/>
  <c r="W41" i="22"/>
  <c r="U41" i="22" s="1"/>
  <c r="W39" i="22"/>
  <c r="U39" i="22" s="1"/>
  <c r="W38" i="22"/>
  <c r="U38" i="22" s="1"/>
  <c r="W36" i="22"/>
  <c r="U36" i="22" s="1"/>
  <c r="O35" i="22"/>
  <c r="X99" i="1"/>
  <c r="V99" i="1" s="1"/>
  <c r="X95" i="1"/>
  <c r="V95" i="1" s="1"/>
  <c r="W90" i="22"/>
  <c r="X94" i="1"/>
  <c r="D99" i="1"/>
  <c r="D91" i="1"/>
  <c r="D84" i="1"/>
  <c r="D101" i="1"/>
  <c r="D88" i="1"/>
  <c r="D75" i="1"/>
  <c r="D66" i="1"/>
  <c r="D65" i="1"/>
  <c r="D64" i="1"/>
  <c r="D63" i="1"/>
  <c r="D44" i="1"/>
  <c r="W94" i="22"/>
  <c r="U94" i="22" s="1"/>
  <c r="X53" i="1"/>
  <c r="V53" i="1" s="1"/>
  <c r="W96" i="22"/>
  <c r="U96" i="22" s="1"/>
  <c r="X91" i="1"/>
  <c r="V91" i="1" s="1"/>
  <c r="X69" i="1"/>
  <c r="V69" i="1" s="1"/>
  <c r="X96" i="1"/>
  <c r="V96" i="1" s="1"/>
  <c r="X105" i="1"/>
  <c r="V105" i="1" s="1"/>
  <c r="X103" i="1"/>
  <c r="V103" i="1" s="1"/>
  <c r="X43" i="1"/>
  <c r="V43" i="1" s="1"/>
  <c r="W97" i="22"/>
  <c r="U97" i="22" s="1"/>
  <c r="W95" i="22"/>
  <c r="U95" i="22" s="1"/>
  <c r="W60" i="22"/>
  <c r="U60" i="22" s="1"/>
  <c r="X62" i="1"/>
  <c r="V62" i="1" s="1"/>
  <c r="X37" i="1"/>
  <c r="V37" i="1" s="1"/>
  <c r="X104" i="1"/>
  <c r="V104" i="1" s="1"/>
  <c r="X106" i="1"/>
  <c r="V106" i="1" s="1"/>
  <c r="X89" i="1"/>
  <c r="X88" i="1"/>
  <c r="V88" i="1" s="1"/>
  <c r="X52" i="1"/>
  <c r="V52" i="1" s="1"/>
  <c r="X97" i="1"/>
  <c r="V97" i="1" s="1"/>
  <c r="X98" i="1"/>
  <c r="V98" i="1" s="1"/>
  <c r="X90" i="1"/>
  <c r="V90" i="1" s="1"/>
  <c r="L87" i="1"/>
  <c r="O87" i="1" s="1"/>
  <c r="X86" i="1"/>
  <c r="V86" i="1" s="1"/>
  <c r="X85" i="1"/>
  <c r="V85" i="1" s="1"/>
  <c r="X84" i="1"/>
  <c r="V84" i="1" s="1"/>
  <c r="X83" i="1"/>
  <c r="V83" i="1" s="1"/>
  <c r="X82" i="1"/>
  <c r="V82" i="1" s="1"/>
  <c r="X81" i="1"/>
  <c r="V81" i="1" s="1"/>
  <c r="X80" i="1"/>
  <c r="V80" i="1" s="1"/>
  <c r="X79" i="1"/>
  <c r="V79" i="1" s="1"/>
  <c r="X74" i="1"/>
  <c r="X72" i="1"/>
  <c r="X70" i="1"/>
  <c r="X68" i="1"/>
  <c r="V68" i="1" s="1"/>
  <c r="Y61" i="1"/>
  <c r="W61" i="1" s="1"/>
  <c r="X61" i="1"/>
  <c r="V61" i="1" s="1"/>
  <c r="Y60" i="1"/>
  <c r="W60" i="1" s="1"/>
  <c r="X60" i="1"/>
  <c r="V60" i="1" s="1"/>
  <c r="Y57" i="1"/>
  <c r="W57" i="1" s="1"/>
  <c r="X57" i="1"/>
  <c r="V57" i="1" s="1"/>
  <c r="Y56" i="1"/>
  <c r="W56" i="1" s="1"/>
  <c r="X56" i="1"/>
  <c r="V56" i="1" s="1"/>
  <c r="Y58" i="1"/>
  <c r="W58" i="1" s="1"/>
  <c r="Y59" i="1"/>
  <c r="W59" i="1" s="1"/>
  <c r="X59" i="1"/>
  <c r="V59" i="1" s="1"/>
  <c r="X58" i="1"/>
  <c r="V58" i="1" s="1"/>
  <c r="Y55" i="1"/>
  <c r="W55" i="1" s="1"/>
  <c r="X55" i="1"/>
  <c r="V55" i="1" s="1"/>
  <c r="X49" i="1"/>
  <c r="V49" i="1" s="1"/>
  <c r="V48" i="1"/>
  <c r="X47" i="1"/>
  <c r="V47" i="1" s="1"/>
  <c r="X46" i="1"/>
  <c r="V46" i="1" s="1"/>
  <c r="X45" i="1"/>
  <c r="V45" i="1" s="1"/>
  <c r="X44" i="1"/>
  <c r="V44" i="1" s="1"/>
  <c r="X41" i="1"/>
  <c r="X39" i="1"/>
  <c r="ET91" i="22"/>
  <c r="W89" i="22"/>
  <c r="U89" i="22" s="1"/>
  <c r="W66" i="22"/>
  <c r="U66" i="22" s="1"/>
  <c r="W64" i="22"/>
  <c r="U59" i="22"/>
  <c r="X53" i="22"/>
  <c r="V53" i="22" s="1"/>
  <c r="X52" i="22"/>
  <c r="V52" i="22" s="1"/>
  <c r="X51" i="22"/>
  <c r="V51" i="22" s="1"/>
  <c r="X50" i="22"/>
  <c r="V50" i="22" s="1"/>
  <c r="W50" i="22"/>
  <c r="U50" i="22" s="1"/>
  <c r="X49" i="22"/>
  <c r="V49" i="22" s="1"/>
  <c r="W34" i="22"/>
  <c r="W40" i="22"/>
  <c r="U40" i="22" s="1"/>
  <c r="AF57" i="20"/>
  <c r="AF55" i="20"/>
  <c r="AF54" i="20"/>
  <c r="AF46" i="20"/>
  <c r="AF43" i="20"/>
  <c r="AF56" i="24"/>
  <c r="AD56" i="24" s="1"/>
  <c r="AF54" i="24"/>
  <c r="AD54" i="24" s="1"/>
  <c r="AF45" i="24"/>
  <c r="AD45" i="24" s="1"/>
  <c r="AF42" i="24"/>
  <c r="AF35" i="13"/>
  <c r="A251" i="23"/>
  <c r="A250" i="23"/>
  <c r="D81" i="22" s="1"/>
  <c r="E219" i="23"/>
  <c r="E218" i="23"/>
  <c r="A214" i="23"/>
  <c r="A236" i="23"/>
  <c r="A235" i="23"/>
  <c r="E172" i="23"/>
  <c r="E171" i="23"/>
  <c r="E162" i="23"/>
  <c r="E161" i="23"/>
  <c r="E160" i="23"/>
  <c r="A254" i="23"/>
  <c r="O92" i="22"/>
  <c r="A244" i="2"/>
  <c r="X93" i="1"/>
  <c r="V93" i="1" s="1"/>
  <c r="AG32" i="20"/>
  <c r="A258" i="2"/>
  <c r="D86" i="1"/>
  <c r="FC58" i="13"/>
  <c r="EH58" i="13"/>
  <c r="DM58" i="13"/>
  <c r="CR58" i="13"/>
  <c r="BW58" i="13"/>
  <c r="A259" i="2"/>
  <c r="J84" i="22"/>
  <c r="A243" i="2"/>
  <c r="AF44" i="19"/>
  <c r="L45" i="22"/>
  <c r="O45" i="22" s="1"/>
  <c r="L51" i="1"/>
  <c r="O51" i="1" s="1"/>
  <c r="L76" i="1"/>
  <c r="O76" i="1" s="1"/>
  <c r="O39" i="19"/>
  <c r="D89" i="1" l="1"/>
  <c r="AD57" i="20"/>
  <c r="L57" i="20"/>
  <c r="L55" i="20"/>
  <c r="AD55" i="20"/>
  <c r="AD54" i="20"/>
  <c r="L54" i="20"/>
  <c r="AD46" i="20"/>
  <c r="L46" i="20"/>
  <c r="AD43" i="20"/>
  <c r="L43" i="20"/>
  <c r="AE32" i="20"/>
  <c r="L32" i="20"/>
  <c r="U34" i="22"/>
  <c r="L34" i="22"/>
  <c r="O34" i="22" s="1"/>
  <c r="D33" i="22"/>
  <c r="D35" i="22"/>
  <c r="L42" i="24"/>
  <c r="O42" i="24" s="1"/>
  <c r="AD42" i="24"/>
  <c r="U90" i="22"/>
  <c r="L90" i="22" s="1"/>
  <c r="O90" i="22" s="1"/>
  <c r="V74" i="1"/>
  <c r="L74" i="1" s="1"/>
  <c r="O74" i="1" s="1"/>
  <c r="V89" i="1"/>
  <c r="L89" i="1" s="1"/>
  <c r="O89" i="1" s="1"/>
  <c r="V70" i="1"/>
  <c r="L70" i="1" s="1"/>
  <c r="O70" i="1" s="1"/>
  <c r="V72" i="1"/>
  <c r="L72" i="1" s="1"/>
  <c r="O72" i="1" s="1"/>
  <c r="V94" i="1"/>
  <c r="L94" i="1" s="1"/>
  <c r="O94" i="1" s="1"/>
  <c r="U64" i="22"/>
  <c r="L64" i="22" s="1"/>
  <c r="O64" i="22" s="1"/>
  <c r="U79" i="22"/>
  <c r="L79" i="22" s="1"/>
  <c r="O79" i="22" s="1"/>
  <c r="U81" i="22"/>
  <c r="L81" i="22" s="1"/>
  <c r="O81" i="22" s="1"/>
  <c r="J82" i="22"/>
  <c r="J51" i="22"/>
  <c r="A192" i="2"/>
  <c r="L98" i="22"/>
  <c r="O98" i="22" s="1"/>
  <c r="O109" i="21"/>
  <c r="AF40" i="19"/>
  <c r="AD40" i="19" s="1"/>
  <c r="L40" i="19" s="1"/>
  <c r="O40" i="19" s="1"/>
  <c r="A210" i="23"/>
  <c r="A202" i="23"/>
  <c r="O31" i="24"/>
  <c r="L50" i="24"/>
  <c r="O50" i="24" s="1"/>
  <c r="L44" i="24"/>
  <c r="O44" i="24" s="1"/>
  <c r="L41" i="24"/>
  <c r="O41" i="24" s="1"/>
  <c r="L35" i="24"/>
  <c r="O35" i="24" s="1"/>
  <c r="L37" i="24"/>
  <c r="O37" i="24" s="1"/>
  <c r="L39" i="24"/>
  <c r="O39" i="24" s="1"/>
  <c r="L48" i="24"/>
  <c r="O48" i="24" s="1"/>
  <c r="L46" i="24"/>
  <c r="O46" i="24" s="1"/>
  <c r="O51" i="20"/>
  <c r="O49" i="20"/>
  <c r="A236" i="2"/>
  <c r="J79" i="1" s="1"/>
  <c r="A245" i="2"/>
  <c r="D87" i="1" s="1"/>
  <c r="J75" i="22"/>
  <c r="J89" i="22"/>
  <c r="J90" i="22"/>
  <c r="O41" i="20"/>
  <c r="A222" i="23"/>
  <c r="J59" i="22" s="1"/>
  <c r="O47" i="20"/>
  <c r="O45" i="20"/>
  <c r="O39" i="20"/>
  <c r="O35" i="20"/>
  <c r="O37" i="20"/>
  <c r="J44" i="1"/>
  <c r="J56" i="1"/>
  <c r="A194" i="23"/>
  <c r="A228" i="23"/>
  <c r="A237" i="23"/>
  <c r="D79" i="22" s="1"/>
  <c r="A231" i="23"/>
  <c r="J36" i="1"/>
  <c r="J105" i="1"/>
  <c r="J54" i="22"/>
  <c r="J61" i="1"/>
  <c r="L104" i="22"/>
  <c r="O104" i="22" s="1"/>
  <c r="L100" i="22"/>
  <c r="O100" i="22" s="1"/>
  <c r="L103" i="22"/>
  <c r="O103" i="22" s="1"/>
  <c r="L99" i="22"/>
  <c r="O99" i="22" s="1"/>
  <c r="L102" i="22"/>
  <c r="O102" i="22" s="1"/>
  <c r="O32" i="20"/>
  <c r="J37" i="1"/>
  <c r="J39" i="1"/>
  <c r="J53" i="1"/>
  <c r="L83" i="22"/>
  <c r="O83" i="22" s="1"/>
  <c r="J54" i="1"/>
  <c r="A239" i="2"/>
  <c r="J95" i="1" s="1"/>
  <c r="J55" i="1"/>
  <c r="J38" i="22"/>
  <c r="J60" i="22"/>
  <c r="J40" i="22"/>
  <c r="A181" i="23"/>
  <c r="J36" i="22"/>
  <c r="J39" i="22"/>
  <c r="B166" i="23"/>
  <c r="E166" i="23" s="1"/>
  <c r="J104" i="1"/>
  <c r="B199" i="23"/>
  <c r="B167" i="23"/>
  <c r="E167" i="23" s="1"/>
  <c r="J52" i="22"/>
  <c r="J34" i="22"/>
  <c r="A233" i="2"/>
  <c r="J67" i="1" s="1"/>
  <c r="A276" i="2"/>
  <c r="L108" i="1"/>
  <c r="O108" i="1" s="1"/>
  <c r="A230" i="2"/>
  <c r="J99" i="1"/>
  <c r="J41" i="1"/>
  <c r="A262" i="2"/>
  <c r="J90" i="1" s="1"/>
  <c r="J83" i="1"/>
  <c r="J98" i="1"/>
  <c r="J45" i="1"/>
  <c r="J49" i="1"/>
  <c r="J68" i="1"/>
  <c r="L107" i="1"/>
  <c r="O107" i="1" s="1"/>
  <c r="J57" i="1"/>
  <c r="D36" i="1"/>
  <c r="D37" i="1"/>
  <c r="D53" i="1"/>
  <c r="D54" i="1"/>
  <c r="J59" i="1"/>
  <c r="J58" i="1"/>
  <c r="O92" i="1"/>
  <c r="J62" i="1"/>
  <c r="J92" i="1"/>
  <c r="AF31" i="19"/>
  <c r="L70" i="22"/>
  <c r="O70" i="22" s="1"/>
  <c r="L50" i="22"/>
  <c r="O50" i="22" s="1"/>
  <c r="L42" i="22"/>
  <c r="O42" i="22" s="1"/>
  <c r="L46" i="22"/>
  <c r="O46" i="22" s="1"/>
  <c r="L56" i="22"/>
  <c r="O56" i="22" s="1"/>
  <c r="L53" i="22"/>
  <c r="O53" i="22" s="1"/>
  <c r="L56" i="24"/>
  <c r="O56" i="24" s="1"/>
  <c r="O71" i="22"/>
  <c r="L101" i="22"/>
  <c r="O101" i="22" s="1"/>
  <c r="L54" i="22"/>
  <c r="O54" i="22" s="1"/>
  <c r="L73" i="22"/>
  <c r="O73" i="22" s="1"/>
  <c r="L51" i="22"/>
  <c r="O51" i="22" s="1"/>
  <c r="L75" i="22"/>
  <c r="O75" i="22" s="1"/>
  <c r="L58" i="22"/>
  <c r="O58" i="22" s="1"/>
  <c r="L36" i="22"/>
  <c r="O36" i="22" s="1"/>
  <c r="L95" i="22"/>
  <c r="O95" i="22" s="1"/>
  <c r="L57" i="22"/>
  <c r="O57" i="22" s="1"/>
  <c r="L40" i="22"/>
  <c r="O40" i="22" s="1"/>
  <c r="L76" i="22"/>
  <c r="O76" i="22" s="1"/>
  <c r="L77" i="22"/>
  <c r="O77" i="22" s="1"/>
  <c r="L97" i="22"/>
  <c r="O97" i="22" s="1"/>
  <c r="L94" i="22"/>
  <c r="O94" i="22" s="1"/>
  <c r="L49" i="22"/>
  <c r="O49" i="22" s="1"/>
  <c r="L55" i="24"/>
  <c r="O55" i="24" s="1"/>
  <c r="L69" i="22"/>
  <c r="O69" i="22" s="1"/>
  <c r="L44" i="22"/>
  <c r="O44" i="22" s="1"/>
  <c r="O58" i="24"/>
  <c r="L40" i="24"/>
  <c r="O40" i="24" s="1"/>
  <c r="L68" i="22"/>
  <c r="O68" i="22" s="1"/>
  <c r="L87" i="22"/>
  <c r="O87" i="22" s="1"/>
  <c r="L49" i="24"/>
  <c r="O49" i="24" s="1"/>
  <c r="L54" i="24"/>
  <c r="O54" i="24" s="1"/>
  <c r="L34" i="24"/>
  <c r="O34" i="24" s="1"/>
  <c r="L105" i="22"/>
  <c r="O105" i="22" s="1"/>
  <c r="L82" i="22"/>
  <c r="O82" i="22" s="1"/>
  <c r="L36" i="24"/>
  <c r="O36" i="24" s="1"/>
  <c r="L89" i="22"/>
  <c r="O89" i="22" s="1"/>
  <c r="L41" i="22"/>
  <c r="O41" i="22" s="1"/>
  <c r="O62" i="22"/>
  <c r="L61" i="22"/>
  <c r="O61" i="22" s="1"/>
  <c r="L57" i="24"/>
  <c r="O57" i="24" s="1"/>
  <c r="O52" i="24"/>
  <c r="O43" i="22"/>
  <c r="L80" i="22"/>
  <c r="O80" i="22" s="1"/>
  <c r="L67" i="22"/>
  <c r="O67" i="22" s="1"/>
  <c r="L72" i="22"/>
  <c r="O72" i="22" s="1"/>
  <c r="L78" i="22"/>
  <c r="O78" i="22" s="1"/>
  <c r="L47" i="24"/>
  <c r="O47" i="24" s="1"/>
  <c r="O33" i="22"/>
  <c r="L52" i="22"/>
  <c r="O52" i="22" s="1"/>
  <c r="L38" i="22"/>
  <c r="O38" i="22" s="1"/>
  <c r="L43" i="24"/>
  <c r="O43" i="24" s="1"/>
  <c r="L106" i="22"/>
  <c r="O106" i="22" s="1"/>
  <c r="L74" i="22"/>
  <c r="O74" i="22" s="1"/>
  <c r="L96" i="22"/>
  <c r="O96" i="22" s="1"/>
  <c r="L39" i="22"/>
  <c r="O39" i="22" s="1"/>
  <c r="L33" i="24"/>
  <c r="O33" i="24" s="1"/>
  <c r="L38" i="24"/>
  <c r="O38" i="24" s="1"/>
  <c r="L60" i="22"/>
  <c r="O60" i="22" s="1"/>
  <c r="L37" i="22"/>
  <c r="O37" i="22" s="1"/>
  <c r="AF32" i="19"/>
  <c r="A184" i="23"/>
  <c r="L79" i="19"/>
  <c r="O79" i="19" s="1"/>
  <c r="O34" i="20"/>
  <c r="L103" i="1"/>
  <c r="O103" i="1" s="1"/>
  <c r="L32" i="24"/>
  <c r="O32" i="24" s="1"/>
  <c r="L59" i="19"/>
  <c r="O59" i="19" s="1"/>
  <c r="AF33" i="19"/>
  <c r="L77" i="19"/>
  <c r="O77" i="19" s="1"/>
  <c r="L79" i="1"/>
  <c r="O79" i="1" s="1"/>
  <c r="D40" i="1"/>
  <c r="L59" i="22"/>
  <c r="O59" i="22" s="1"/>
  <c r="L50" i="1"/>
  <c r="O50" i="1" s="1"/>
  <c r="L64" i="1"/>
  <c r="O64" i="1" s="1"/>
  <c r="L66" i="1"/>
  <c r="O66" i="1" s="1"/>
  <c r="L57" i="1"/>
  <c r="O57" i="1" s="1"/>
  <c r="L98" i="1"/>
  <c r="O98" i="1" s="1"/>
  <c r="L82" i="1"/>
  <c r="O82" i="1" s="1"/>
  <c r="L97" i="1"/>
  <c r="O97" i="1" s="1"/>
  <c r="L61" i="19"/>
  <c r="O61" i="19" s="1"/>
  <c r="L67" i="19"/>
  <c r="O67" i="19" s="1"/>
  <c r="L60" i="19"/>
  <c r="O60" i="19" s="1"/>
  <c r="L113" i="1"/>
  <c r="O113" i="1" s="1"/>
  <c r="L65" i="1"/>
  <c r="O65" i="1" s="1"/>
  <c r="L110" i="1"/>
  <c r="O110" i="1" s="1"/>
  <c r="L90" i="1"/>
  <c r="O90" i="1" s="1"/>
  <c r="L96" i="1"/>
  <c r="O96" i="1" s="1"/>
  <c r="L62" i="1"/>
  <c r="O62" i="1" s="1"/>
  <c r="L40" i="1"/>
  <c r="O40" i="1" s="1"/>
  <c r="L47" i="1"/>
  <c r="O47" i="1" s="1"/>
  <c r="O38" i="20"/>
  <c r="O36" i="20"/>
  <c r="O46" i="20"/>
  <c r="O54" i="20"/>
  <c r="L58" i="19"/>
  <c r="O58" i="19" s="1"/>
  <c r="L88" i="1"/>
  <c r="O88" i="1" s="1"/>
  <c r="L41" i="1"/>
  <c r="O41" i="1" s="1"/>
  <c r="O57" i="20"/>
  <c r="O58" i="20"/>
  <c r="L52" i="19"/>
  <c r="O52" i="19" s="1"/>
  <c r="L65" i="19"/>
  <c r="O65" i="19" s="1"/>
  <c r="L64" i="19"/>
  <c r="O64" i="19" s="1"/>
  <c r="L53" i="19"/>
  <c r="O53" i="19" s="1"/>
  <c r="L80" i="1"/>
  <c r="O80" i="1" s="1"/>
  <c r="L45" i="1"/>
  <c r="O45" i="1" s="1"/>
  <c r="L55" i="19"/>
  <c r="O55" i="19" s="1"/>
  <c r="L106" i="1"/>
  <c r="O106" i="1" s="1"/>
  <c r="L59" i="1"/>
  <c r="O59" i="1" s="1"/>
  <c r="L69" i="1"/>
  <c r="O69" i="1" s="1"/>
  <c r="L49" i="1"/>
  <c r="O49" i="1" s="1"/>
  <c r="O33" i="20"/>
  <c r="L56" i="19"/>
  <c r="O56" i="19" s="1"/>
  <c r="L61" i="1"/>
  <c r="O61" i="1" s="1"/>
  <c r="L86" i="1"/>
  <c r="O86" i="1" s="1"/>
  <c r="O56" i="20"/>
  <c r="O78" i="19"/>
  <c r="L76" i="19"/>
  <c r="O76" i="19" s="1"/>
  <c r="L74" i="19"/>
  <c r="O74" i="19" s="1"/>
  <c r="L73" i="1"/>
  <c r="O73" i="1" s="1"/>
  <c r="L83" i="1"/>
  <c r="O83" i="1" s="1"/>
  <c r="L43" i="1"/>
  <c r="O43" i="1" s="1"/>
  <c r="O55" i="20"/>
  <c r="L75" i="1"/>
  <c r="O75" i="1" s="1"/>
  <c r="L109" i="1"/>
  <c r="O109" i="1" s="1"/>
  <c r="L114" i="1"/>
  <c r="O114" i="1" s="1"/>
  <c r="L85" i="1"/>
  <c r="O85" i="1" s="1"/>
  <c r="L39" i="1"/>
  <c r="O39" i="1" s="1"/>
  <c r="L38" i="1"/>
  <c r="O38" i="1" s="1"/>
  <c r="O43" i="20"/>
  <c r="L75" i="19"/>
  <c r="O75" i="19" s="1"/>
  <c r="L95" i="1"/>
  <c r="O95" i="1" s="1"/>
  <c r="L66" i="19"/>
  <c r="O66" i="19" s="1"/>
  <c r="O50" i="20"/>
  <c r="O44" i="20"/>
  <c r="L81" i="1"/>
  <c r="O81" i="1" s="1"/>
  <c r="O40" i="20"/>
  <c r="L68" i="1"/>
  <c r="O68" i="1" s="1"/>
  <c r="L99" i="1"/>
  <c r="O99" i="1" s="1"/>
  <c r="L77" i="1"/>
  <c r="O77" i="1" s="1"/>
  <c r="L63" i="19"/>
  <c r="O63" i="19" s="1"/>
  <c r="L62" i="19"/>
  <c r="O62" i="19" s="1"/>
  <c r="O59" i="20"/>
  <c r="L104" i="1"/>
  <c r="O104" i="1" s="1"/>
  <c r="L78" i="1"/>
  <c r="O78" i="1" s="1"/>
  <c r="L46" i="1"/>
  <c r="O46" i="1" s="1"/>
  <c r="L57" i="19"/>
  <c r="O57" i="19" s="1"/>
  <c r="O48" i="20"/>
  <c r="L56" i="1"/>
  <c r="O56" i="1" s="1"/>
  <c r="L105" i="1"/>
  <c r="O105" i="1" s="1"/>
  <c r="AF36" i="13"/>
  <c r="L55" i="1"/>
  <c r="O55" i="1" s="1"/>
  <c r="L48" i="1"/>
  <c r="O48" i="1" s="1"/>
  <c r="AF36" i="15"/>
  <c r="L52" i="1"/>
  <c r="O52" i="1" s="1"/>
  <c r="L91" i="1"/>
  <c r="O91" i="1" s="1"/>
  <c r="B198" i="23"/>
  <c r="W85" i="22"/>
  <c r="AF38" i="19"/>
  <c r="AF106" i="13"/>
  <c r="D93" i="1"/>
  <c r="U86" i="22"/>
  <c r="ED92" i="22"/>
  <c r="L44" i="1"/>
  <c r="O44" i="1" s="1"/>
  <c r="L58" i="1"/>
  <c r="O58" i="1" s="1"/>
  <c r="L60" i="1"/>
  <c r="O60" i="1" s="1"/>
  <c r="L84" i="1"/>
  <c r="O84" i="1" s="1"/>
  <c r="U91" i="22"/>
  <c r="L91" i="22" s="1"/>
  <c r="AF39" i="19"/>
  <c r="L45" i="24"/>
  <c r="O45" i="24" s="1"/>
  <c r="X100" i="1"/>
  <c r="V100" i="1" s="1"/>
  <c r="L42" i="1"/>
  <c r="O42" i="1" s="1"/>
  <c r="L93" i="1"/>
  <c r="O93" i="1" s="1"/>
  <c r="ED91" i="22"/>
  <c r="L55" i="22"/>
  <c r="O55" i="22" s="1"/>
  <c r="O93" i="22"/>
  <c r="L63" i="1"/>
  <c r="O63" i="1" s="1"/>
  <c r="L66" i="22"/>
  <c r="O66" i="22" s="1"/>
  <c r="L101" i="1"/>
  <c r="O101" i="1" s="1"/>
  <c r="L102" i="1"/>
  <c r="O102" i="1" s="1"/>
  <c r="L47" i="22"/>
  <c r="O47" i="22" s="1"/>
  <c r="O108" i="18" l="1"/>
  <c r="O109" i="17"/>
  <c r="J69" i="1"/>
  <c r="U85" i="22"/>
  <c r="L85" i="22" s="1"/>
  <c r="O85" i="22" s="1"/>
  <c r="J61" i="22"/>
  <c r="J77" i="22"/>
  <c r="J71" i="22"/>
  <c r="J78" i="22"/>
  <c r="E199" i="23"/>
  <c r="J95" i="22"/>
  <c r="J49" i="22"/>
  <c r="J44" i="22"/>
  <c r="J50" i="22"/>
  <c r="O31" i="20"/>
  <c r="L65" i="22"/>
  <c r="O65" i="22" s="1"/>
  <c r="L34" i="13"/>
  <c r="O34" i="13" s="1"/>
  <c r="J74" i="22"/>
  <c r="J88" i="22"/>
  <c r="L48" i="22"/>
  <c r="O48" i="22" s="1"/>
  <c r="L53" i="1"/>
  <c r="O53" i="1" s="1"/>
  <c r="L36" i="1"/>
  <c r="O36" i="1" s="1"/>
  <c r="L54" i="1"/>
  <c r="O54" i="1" s="1"/>
  <c r="L37" i="1"/>
  <c r="O37" i="1" s="1"/>
  <c r="E207" i="2"/>
  <c r="O52" i="20"/>
  <c r="O70" i="24"/>
  <c r="J47" i="1"/>
  <c r="J46" i="1"/>
  <c r="J103" i="1"/>
  <c r="J43" i="1"/>
  <c r="J60" i="1"/>
  <c r="J106" i="1"/>
  <c r="J87" i="22"/>
  <c r="J76" i="22"/>
  <c r="J73" i="22"/>
  <c r="J84" i="1"/>
  <c r="J96" i="1"/>
  <c r="J86" i="1"/>
  <c r="J85" i="1"/>
  <c r="E206" i="2"/>
  <c r="J72" i="22"/>
  <c r="J42" i="22"/>
  <c r="J94" i="22"/>
  <c r="J53" i="22"/>
  <c r="J96" i="22"/>
  <c r="J41" i="22"/>
  <c r="J47" i="22"/>
  <c r="J80" i="1"/>
  <c r="J81" i="1"/>
  <c r="J97" i="22"/>
  <c r="E198" i="23"/>
  <c r="J48" i="22"/>
  <c r="J97" i="1"/>
  <c r="J82" i="1"/>
  <c r="L86" i="22"/>
  <c r="O86" i="22" s="1"/>
  <c r="O91" i="22"/>
  <c r="L100" i="1"/>
  <c r="O100" i="1" s="1"/>
  <c r="O71" i="20" l="1"/>
  <c r="O32" i="22"/>
  <c r="O111" i="22" s="1"/>
  <c r="O108" i="16"/>
  <c r="O119" i="1"/>
  <c r="O89" i="19"/>
  <c r="O108" i="15"/>
  <c r="O106" i="14"/>
  <c r="O111" i="13"/>
  <c r="BG54" i="14"/>
  <c r="BG53" i="14"/>
  <c r="BG56" i="13"/>
  <c r="BG57" i="13"/>
  <c r="BG56" i="15"/>
  <c r="Q56" i="15" s="1" a="1"/>
  <c r="Q56" i="15" s="1"/>
  <c r="BG57" i="15"/>
  <c r="Q57" i="15" s="1" a="1"/>
  <c r="Q57" i="15" s="1"/>
  <c r="BG57" i="21"/>
  <c r="BG5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095" authorId="0" shapeId="0" xr:uid="{51F456FC-99C9-41E5-9414-6D46D969CBAA}">
      <text>
        <r>
          <rPr>
            <b/>
            <sz val="9"/>
            <color indexed="81"/>
            <rFont val="Segoe UI"/>
            <family val="2"/>
          </rPr>
          <t>020203_AT_Details_Dach Dachplatte_PREFA_2021-Q1|#00010595|Text</t>
        </r>
      </text>
    </comment>
    <comment ref="P1095" authorId="0" shapeId="0" xr:uid="{6D326BF6-83F1-41EC-BA03-FE6116AAC5F9}">
      <text>
        <r>
          <rPr>
            <b/>
            <sz val="9"/>
            <color indexed="81"/>
            <rFont val="Segoe UI"/>
            <family val="2"/>
          </rPr>
          <t>020203_AT_Details_Dach Dachplatte_PREFA_2021-Q1|#00010595|Text</t>
        </r>
      </text>
    </comment>
    <comment ref="B1096" authorId="0" shapeId="0" xr:uid="{972621A4-B2AD-4F84-BCC8-04669D3CFDD7}">
      <text>
        <r>
          <rPr>
            <b/>
            <sz val="9"/>
            <color indexed="81"/>
            <rFont val="Segoe UI"/>
            <family val="2"/>
          </rPr>
          <t>020203_AT_Details_Dach Dachplatte_PREFA_2021-Q1|#000105AF|Text</t>
        </r>
      </text>
    </comment>
    <comment ref="P1096" authorId="0" shapeId="0" xr:uid="{56EFCB2A-2CA1-4435-9275-6EFC3E86E571}">
      <text>
        <r>
          <rPr>
            <b/>
            <sz val="9"/>
            <color indexed="81"/>
            <rFont val="Segoe UI"/>
            <family val="2"/>
          </rPr>
          <t>020203_AT_Details_Dach Dachplatte_PREFA_2021-Q1|#000105AF|Text</t>
        </r>
      </text>
    </comment>
    <comment ref="B1097" authorId="0" shapeId="0" xr:uid="{07A69DD1-28A8-4DA6-860B-FDC931228ADB}">
      <text>
        <r>
          <rPr>
            <b/>
            <sz val="9"/>
            <color indexed="81"/>
            <rFont val="Segoe UI"/>
            <family val="2"/>
          </rPr>
          <t>020203_AT_Details_Dach Dachplatte_PREFA_2021-Q1|#0001059D|Text</t>
        </r>
      </text>
    </comment>
    <comment ref="P1097" authorId="0" shapeId="0" xr:uid="{C0BAD58D-7C44-4362-9E17-AC059085A098}">
      <text>
        <r>
          <rPr>
            <b/>
            <sz val="9"/>
            <color indexed="81"/>
            <rFont val="Segoe UI"/>
            <family val="2"/>
          </rPr>
          <t>020203_AT_Details_Dach Dachplatte_PREFA_2021-Q1|#0001059D|Text</t>
        </r>
      </text>
    </comment>
    <comment ref="B1098" authorId="0" shapeId="0" xr:uid="{C923B1A4-87E7-4535-8760-BA21CF43FD25}">
      <text>
        <r>
          <rPr>
            <b/>
            <sz val="9"/>
            <color indexed="81"/>
            <rFont val="Segoe UI"/>
            <family val="2"/>
          </rPr>
          <t>020203_AT_Details_Dach Dachplatte_PREFA_2021-Q1|#0001059F|Text</t>
        </r>
      </text>
    </comment>
    <comment ref="P1098" authorId="0" shapeId="0" xr:uid="{5AC70959-3DE1-4CB2-B3E4-08F6EE8EBA88}">
      <text>
        <r>
          <rPr>
            <b/>
            <sz val="9"/>
            <color indexed="81"/>
            <rFont val="Segoe UI"/>
            <family val="2"/>
          </rPr>
          <t>020203_AT_Details_Dach Dachplatte_PREFA_2021-Q1|#0001059F|Text</t>
        </r>
      </text>
    </comment>
    <comment ref="B1099" authorId="0" shapeId="0" xr:uid="{D176EDFD-FE65-4BDA-A576-FD9B359D1B18}">
      <text>
        <r>
          <rPr>
            <b/>
            <sz val="9"/>
            <color indexed="81"/>
            <rFont val="Segoe UI"/>
            <family val="2"/>
          </rPr>
          <t>020203_AT_Details_Dach Dachplatte_PREFA_2021-Q1|#000103E4|Text</t>
        </r>
      </text>
    </comment>
    <comment ref="P1099" authorId="0" shapeId="0" xr:uid="{2D36FFE5-91B3-492E-BE37-0FE835433178}">
      <text>
        <r>
          <rPr>
            <b/>
            <sz val="9"/>
            <color indexed="81"/>
            <rFont val="Segoe UI"/>
            <family val="2"/>
          </rPr>
          <t>020203_AT_Details_Dach Dachplatte_PREFA_2021-Q1|#000103E4|Text</t>
        </r>
      </text>
    </comment>
    <comment ref="B1100" authorId="0" shapeId="0" xr:uid="{A59740AC-679C-4B7C-901B-6AC15171C9B0}">
      <text>
        <r>
          <rPr>
            <b/>
            <sz val="9"/>
            <color indexed="81"/>
            <rFont val="Segoe UI"/>
            <family val="2"/>
          </rPr>
          <t>020203_AT_Details_Dach Dachplatte_PREFA_2021-Q1|#000105A1|Text</t>
        </r>
      </text>
    </comment>
    <comment ref="P1100" authorId="0" shapeId="0" xr:uid="{46CA21FD-A64E-4B79-BBEB-A90450C82228}">
      <text>
        <r>
          <rPr>
            <b/>
            <sz val="9"/>
            <color indexed="81"/>
            <rFont val="Segoe UI"/>
            <family val="2"/>
          </rPr>
          <t>020203_AT_Details_Dach Dachplatte_PREFA_2021-Q1|#000105A1|Text</t>
        </r>
      </text>
    </comment>
    <comment ref="B1101" authorId="0" shapeId="0" xr:uid="{D64FA234-A015-420F-BDBC-D8C2AE418F3B}">
      <text>
        <r>
          <rPr>
            <b/>
            <sz val="9"/>
            <color indexed="81"/>
            <rFont val="Segoe UI"/>
            <family val="2"/>
          </rPr>
          <t>020203_AT_Details_Dach Dachplatte_PREFA_2021-Q1|#000103EA|Text</t>
        </r>
      </text>
    </comment>
    <comment ref="P1101" authorId="0" shapeId="0" xr:uid="{232CBEBF-78C1-4A96-A79B-054F2E4F4597}">
      <text>
        <r>
          <rPr>
            <b/>
            <sz val="9"/>
            <color indexed="81"/>
            <rFont val="Segoe UI"/>
            <family val="2"/>
          </rPr>
          <t>020203_AT_Details_Dach Dachplatte_PREFA_2021-Q1|#000103EA|Text</t>
        </r>
      </text>
    </comment>
    <comment ref="B1102" authorId="0" shapeId="0" xr:uid="{FECF8E0B-8556-4700-9124-6337EEE3F2F0}">
      <text>
        <r>
          <rPr>
            <b/>
            <sz val="9"/>
            <color indexed="81"/>
            <rFont val="Segoe UI"/>
            <family val="2"/>
          </rPr>
          <t>020203_AT_Details_Dach Dachplatte_PREFA_2021-Q1|#00010396|Text</t>
        </r>
      </text>
    </comment>
    <comment ref="P1102" authorId="0" shapeId="0" xr:uid="{E901D643-B3BF-4595-B641-266405ED99BC}">
      <text>
        <r>
          <rPr>
            <b/>
            <sz val="9"/>
            <color indexed="81"/>
            <rFont val="Segoe UI"/>
            <family val="2"/>
          </rPr>
          <t>020203_AT_Details_Dach Dachplatte_PREFA_2021-Q1|#00010396|Text</t>
        </r>
      </text>
    </comment>
    <comment ref="B1103" authorId="0" shapeId="0" xr:uid="{D067D634-1603-422B-AA47-10B6349C4C89}">
      <text>
        <r>
          <rPr>
            <b/>
            <sz val="9"/>
            <color indexed="81"/>
            <rFont val="Segoe UI"/>
            <family val="2"/>
          </rPr>
          <t>020203_AT_Details_Dach Dachplatte_PREFA_2021-Q1|#00010129|Text</t>
        </r>
      </text>
    </comment>
    <comment ref="P1103" authorId="0" shapeId="0" xr:uid="{1403CFD6-A723-4762-85F1-E61F40C11EC1}">
      <text>
        <r>
          <rPr>
            <b/>
            <sz val="9"/>
            <color indexed="81"/>
            <rFont val="Segoe UI"/>
            <family val="2"/>
          </rPr>
          <t>020203_AT_Details_Dach Dachplatte_PREFA_2021-Q1|#00010129|Text</t>
        </r>
      </text>
    </comment>
    <comment ref="B1104" authorId="0" shapeId="0" xr:uid="{10F226CA-53C9-47A1-BCF5-FF7FFD428374}">
      <text>
        <r>
          <rPr>
            <b/>
            <sz val="9"/>
            <color indexed="81"/>
            <rFont val="Segoe UI"/>
            <family val="2"/>
          </rPr>
          <t>020203_AT_Details_Dach Dachplatte_PREFA_2021-Q1|#0001039A|Text</t>
        </r>
      </text>
    </comment>
    <comment ref="P1104" authorId="0" shapeId="0" xr:uid="{971E2906-F5DD-4159-A1FF-604684A3E8E8}">
      <text>
        <r>
          <rPr>
            <b/>
            <sz val="9"/>
            <color indexed="81"/>
            <rFont val="Segoe UI"/>
            <family val="2"/>
          </rPr>
          <t>020203_AT_Details_Dach Dachplatte_PREFA_2021-Q1|#0001039A|Text</t>
        </r>
      </text>
    </comment>
    <comment ref="B1105" authorId="0" shapeId="0" xr:uid="{C35EBCE3-E668-48AF-8B29-280254A76966}">
      <text>
        <r>
          <rPr>
            <b/>
            <sz val="9"/>
            <color indexed="81"/>
            <rFont val="Segoe UI"/>
            <family val="2"/>
          </rPr>
          <t>020203_AT_Details_Dach Dachplatte_PREFA_2021-Q1|#0000F34D|Text</t>
        </r>
      </text>
    </comment>
    <comment ref="P1105" authorId="0" shapeId="0" xr:uid="{CD8ACE18-6D94-4C75-92D1-F8745ED6E625}">
      <text>
        <r>
          <rPr>
            <b/>
            <sz val="9"/>
            <color indexed="81"/>
            <rFont val="Segoe UI"/>
            <family val="2"/>
          </rPr>
          <t>020203_AT_Details_Dach Dachplatte_PREFA_2021-Q1|#0000F34D|Text</t>
        </r>
      </text>
    </comment>
    <comment ref="B1106" authorId="0" shapeId="0" xr:uid="{75C4B08D-08A1-482A-AE80-528EFA83567B}">
      <text>
        <r>
          <rPr>
            <b/>
            <sz val="9"/>
            <color indexed="81"/>
            <rFont val="Segoe UI"/>
            <family val="2"/>
          </rPr>
          <t>020203_AT_Details_Dach Dachplatte_PREFA_2021-Q1|#00009DC0|Text</t>
        </r>
      </text>
    </comment>
    <comment ref="P1106" authorId="0" shapeId="0" xr:uid="{9CF927A2-24D4-4DDA-AF76-106D185D5A5D}">
      <text>
        <r>
          <rPr>
            <b/>
            <sz val="9"/>
            <color indexed="81"/>
            <rFont val="Segoe UI"/>
            <family val="2"/>
          </rPr>
          <t>020203_AT_Details_Dach Dachplatte_PREFA_2021-Q1|#00009DC0|Text</t>
        </r>
      </text>
    </comment>
    <comment ref="B1107" authorId="0" shapeId="0" xr:uid="{A416C585-9609-4ECF-BAAC-63C09E3AC214}">
      <text>
        <r>
          <rPr>
            <b/>
            <sz val="9"/>
            <color indexed="81"/>
            <rFont val="Segoe UI"/>
            <family val="2"/>
          </rPr>
          <t>020203_AT_Details_Dach Dachplatte_PREFA_2021-Q1|#000102C8|Text</t>
        </r>
      </text>
    </comment>
    <comment ref="P1107" authorId="0" shapeId="0" xr:uid="{E4992E44-62A2-42DD-8126-1FBF5A5A0004}">
      <text>
        <r>
          <rPr>
            <b/>
            <sz val="9"/>
            <color indexed="81"/>
            <rFont val="Segoe UI"/>
            <family val="2"/>
          </rPr>
          <t>020203_AT_Details_Dach Dachplatte_PREFA_2021-Q1|#000102C8|Text</t>
        </r>
      </text>
    </comment>
    <comment ref="B1108" authorId="0" shapeId="0" xr:uid="{7C5A72A8-45A6-4B6D-AA07-B02556934155}">
      <text>
        <r>
          <rPr>
            <b/>
            <sz val="9"/>
            <color indexed="81"/>
            <rFont val="Segoe UI"/>
            <family val="2"/>
          </rPr>
          <t>020203_AT_Details_Dach Dachplatte_PREFA_2021-Q1|#00010354|Text</t>
        </r>
      </text>
    </comment>
    <comment ref="P1108" authorId="0" shapeId="0" xr:uid="{F4926262-9AAD-411B-A8C8-B31FED304745}">
      <text>
        <r>
          <rPr>
            <b/>
            <sz val="9"/>
            <color indexed="81"/>
            <rFont val="Segoe UI"/>
            <family val="2"/>
          </rPr>
          <t>020203_AT_Details_Dach Dachplatte_PREFA_2021-Q1|#00010354|Text</t>
        </r>
      </text>
    </comment>
    <comment ref="B1109" authorId="0" shapeId="0" xr:uid="{EE02464D-1A8A-4B1C-8554-45A789047E36}">
      <text>
        <r>
          <rPr>
            <b/>
            <sz val="9"/>
            <color indexed="81"/>
            <rFont val="Segoe UI"/>
            <family val="2"/>
          </rPr>
          <t>020203_AT_Details_Dach Dachplatte_PREFA_2021-Q1|#000103FA|Text</t>
        </r>
      </text>
    </comment>
    <comment ref="P1109" authorId="0" shapeId="0" xr:uid="{B180F23F-E3B5-4BBC-BC00-88982DA1E394}">
      <text>
        <r>
          <rPr>
            <b/>
            <sz val="9"/>
            <color indexed="81"/>
            <rFont val="Segoe UI"/>
            <family val="2"/>
          </rPr>
          <t>020203_AT_Details_Dach Dachplatte_PREFA_2021-Q1|#000103FA|Text</t>
        </r>
      </text>
    </comment>
    <comment ref="B1110" authorId="0" shapeId="0" xr:uid="{08AFDE00-B296-413A-9FF8-8DEC1FA095E2}">
      <text>
        <r>
          <rPr>
            <b/>
            <sz val="9"/>
            <color indexed="81"/>
            <rFont val="Segoe UI"/>
            <family val="2"/>
          </rPr>
          <t>020203_AT_Details_Dach Dachplatte_PREFA_2021-Q1|#00009C93|Text</t>
        </r>
      </text>
    </comment>
    <comment ref="P1110" authorId="0" shapeId="0" xr:uid="{EE4FF1CC-7725-4568-B7F3-D2719C8CBF00}">
      <text>
        <r>
          <rPr>
            <b/>
            <sz val="9"/>
            <color indexed="81"/>
            <rFont val="Segoe UI"/>
            <family val="2"/>
          </rPr>
          <t>020203_AT_Details_Dach Dachplatte_PREFA_2021-Q1|#00009C93|Text</t>
        </r>
      </text>
    </comment>
    <comment ref="B1111" authorId="0" shapeId="0" xr:uid="{0A9D7602-70E8-4C3C-A52B-EECEC79E6ABA}">
      <text>
        <r>
          <rPr>
            <b/>
            <sz val="9"/>
            <color indexed="81"/>
            <rFont val="Segoe UI"/>
            <family val="2"/>
          </rPr>
          <t>020203_AT_Details_Dach Dachplatte_PREFA_2021-Q1|#00010400|Text</t>
        </r>
      </text>
    </comment>
    <comment ref="P1111" authorId="0" shapeId="0" xr:uid="{6991A1A6-E6F8-4609-9442-B853FF4A0485}">
      <text>
        <r>
          <rPr>
            <b/>
            <sz val="9"/>
            <color indexed="81"/>
            <rFont val="Segoe UI"/>
            <family val="2"/>
          </rPr>
          <t>020203_AT_Details_Dach Dachplatte_PREFA_2021-Q1|#00010400|Text</t>
        </r>
      </text>
    </comment>
    <comment ref="B1112" authorId="0" shapeId="0" xr:uid="{57D25BF3-437A-49FE-8EF3-A0A1525CA745}">
      <text>
        <r>
          <rPr>
            <b/>
            <sz val="9"/>
            <color indexed="81"/>
            <rFont val="Segoe UI"/>
            <family val="2"/>
          </rPr>
          <t>020203_AT_Details_Dach Dachplatte_PREFA_2021-Q1|#00010401|Text</t>
        </r>
      </text>
    </comment>
    <comment ref="P1112" authorId="0" shapeId="0" xr:uid="{A6F856AC-667D-45A8-B6C2-E42807925259}">
      <text>
        <r>
          <rPr>
            <b/>
            <sz val="9"/>
            <color indexed="81"/>
            <rFont val="Segoe UI"/>
            <family val="2"/>
          </rPr>
          <t>020203_AT_Details_Dach Dachplatte_PREFA_2021-Q1|#00010401|Text</t>
        </r>
      </text>
    </comment>
    <comment ref="B1113" authorId="0" shapeId="0" xr:uid="{0B5A518E-5C31-445A-9F3B-340BFF324E4F}">
      <text>
        <r>
          <rPr>
            <b/>
            <sz val="9"/>
            <color indexed="81"/>
            <rFont val="Segoe UI"/>
            <family val="2"/>
          </rPr>
          <t>020203_AT_Details_Dach Dachplatte_PREFA_2021-Q1|#00010402|Text</t>
        </r>
      </text>
    </comment>
    <comment ref="P1113" authorId="0" shapeId="0" xr:uid="{C0615245-9BCF-43BE-B721-E6EE90BF8384}">
      <text>
        <r>
          <rPr>
            <b/>
            <sz val="9"/>
            <color indexed="81"/>
            <rFont val="Segoe UI"/>
            <family val="2"/>
          </rPr>
          <t>020203_AT_Details_Dach Dachplatte_PREFA_2021-Q1|#00010402|Text</t>
        </r>
      </text>
    </comment>
    <comment ref="B1114" authorId="0" shapeId="0" xr:uid="{3DF2CBB9-7D11-4501-879A-5C056F6BBCBE}">
      <text>
        <r>
          <rPr>
            <b/>
            <sz val="9"/>
            <color indexed="81"/>
            <rFont val="Segoe UI"/>
            <family val="2"/>
          </rPr>
          <t>020203_AT_Details_Dach Dachplatte_PREFA_2021-Q1|#00010403|Text</t>
        </r>
      </text>
    </comment>
    <comment ref="P1114" authorId="0" shapeId="0" xr:uid="{E9DBED19-77D6-4E74-8A80-14220FAFF4FE}">
      <text>
        <r>
          <rPr>
            <b/>
            <sz val="9"/>
            <color indexed="81"/>
            <rFont val="Segoe UI"/>
            <family val="2"/>
          </rPr>
          <t>020203_AT_Details_Dach Dachplatte_PREFA_2021-Q1|#00010403|Text</t>
        </r>
      </text>
    </comment>
    <comment ref="B1115" authorId="0" shapeId="0" xr:uid="{566739FB-8056-4473-9E35-240887A4F727}">
      <text>
        <r>
          <rPr>
            <b/>
            <sz val="9"/>
            <color indexed="81"/>
            <rFont val="Segoe UI"/>
            <family val="2"/>
          </rPr>
          <t>020203_AT_Details_Dach Dachplatte_PREFA_2021-Q1|#00010404|Text</t>
        </r>
      </text>
    </comment>
    <comment ref="P1115" authorId="0" shapeId="0" xr:uid="{61A8C772-368A-4436-96FE-C9E1FF074F4D}">
      <text>
        <r>
          <rPr>
            <b/>
            <sz val="9"/>
            <color indexed="81"/>
            <rFont val="Segoe UI"/>
            <family val="2"/>
          </rPr>
          <t>020203_AT_Details_Dach Dachplatte_PREFA_2021-Q1|#00010404|Text</t>
        </r>
      </text>
    </comment>
    <comment ref="B1116" authorId="0" shapeId="0" xr:uid="{B66115FD-3E45-4D08-BFFB-D1D6F45B83F1}">
      <text>
        <r>
          <rPr>
            <b/>
            <sz val="9"/>
            <color indexed="81"/>
            <rFont val="Segoe UI"/>
            <family val="2"/>
          </rPr>
          <t>020203_AT_Details_Dach Dachplatte_PREFA_2021-Q1|#00010405|Text</t>
        </r>
      </text>
    </comment>
    <comment ref="P1116" authorId="0" shapeId="0" xr:uid="{166D2269-2E9A-4E51-B10A-1344A8C84F40}">
      <text>
        <r>
          <rPr>
            <b/>
            <sz val="9"/>
            <color indexed="81"/>
            <rFont val="Segoe UI"/>
            <family val="2"/>
          </rPr>
          <t>020203_AT_Details_Dach Dachplatte_PREFA_2021-Q1|#00010405|Text</t>
        </r>
      </text>
    </comment>
    <comment ref="B1117" authorId="0" shapeId="0" xr:uid="{63D9CF81-70D6-48F8-8C7A-E21DA835328E}">
      <text>
        <r>
          <rPr>
            <b/>
            <sz val="9"/>
            <color indexed="81"/>
            <rFont val="Segoe UI"/>
            <family val="2"/>
          </rPr>
          <t>020203_AT_Details_Dach Dachplatte_PREFA_2021-Q1|#00010406|Text</t>
        </r>
      </text>
    </comment>
    <comment ref="P1117" authorId="0" shapeId="0" xr:uid="{0EA5A299-4923-418D-88F3-70810A955742}">
      <text>
        <r>
          <rPr>
            <b/>
            <sz val="9"/>
            <color indexed="81"/>
            <rFont val="Segoe UI"/>
            <family val="2"/>
          </rPr>
          <t>020203_AT_Details_Dach Dachplatte_PREFA_2021-Q1|#00010406|Text</t>
        </r>
      </text>
    </comment>
    <comment ref="B1118" authorId="0" shapeId="0" xr:uid="{772B0CA5-D612-4F1F-8D5C-3DAAF9263F41}">
      <text>
        <r>
          <rPr>
            <b/>
            <sz val="9"/>
            <color indexed="81"/>
            <rFont val="Segoe UI"/>
            <family val="2"/>
          </rPr>
          <t>020203_AT_Details_Dach Dachplatte_PREFA_2021-Q1|#00010407|Text</t>
        </r>
      </text>
    </comment>
    <comment ref="P1118" authorId="0" shapeId="0" xr:uid="{2AEEB585-C205-4E60-B982-933CC26ED924}">
      <text>
        <r>
          <rPr>
            <b/>
            <sz val="9"/>
            <color indexed="81"/>
            <rFont val="Segoe UI"/>
            <family val="2"/>
          </rPr>
          <t>020203_AT_Details_Dach Dachplatte_PREFA_2021-Q1|#00010407|Text</t>
        </r>
      </text>
    </comment>
    <comment ref="B1119" authorId="0" shapeId="0" xr:uid="{6A52CA38-64DC-4E3C-B0B5-C0096862C4F2}">
      <text>
        <r>
          <rPr>
            <b/>
            <sz val="9"/>
            <color indexed="81"/>
            <rFont val="Segoe UI"/>
            <family val="2"/>
          </rPr>
          <t>020203_AT_Details_Dach Dachplatte_PREFA_2021-Q1|#0000F367|Text</t>
        </r>
      </text>
    </comment>
    <comment ref="P1119" authorId="0" shapeId="0" xr:uid="{CA428162-89F0-4EB5-890A-DDD4ABC1B359}">
      <text>
        <r>
          <rPr>
            <b/>
            <sz val="9"/>
            <color indexed="81"/>
            <rFont val="Segoe UI"/>
            <family val="2"/>
          </rPr>
          <t>020203_AT_Details_Dach Dachplatte_PREFA_2021-Q1|#0000F367|Text</t>
        </r>
      </text>
    </comment>
    <comment ref="B1120" authorId="0" shapeId="0" xr:uid="{C7A8DFE3-153D-42F8-ABE8-68D9D8D2C5A6}">
      <text>
        <r>
          <rPr>
            <b/>
            <sz val="9"/>
            <color indexed="81"/>
            <rFont val="Segoe UI"/>
            <family val="2"/>
          </rPr>
          <t>020203_AT_Details_Dach Dachplatte_PREFA_2021-Q1|#0001040B|Text</t>
        </r>
      </text>
    </comment>
    <comment ref="P1120" authorId="0" shapeId="0" xr:uid="{BD3F712C-2728-42A5-A05C-272EF8651CA7}">
      <text>
        <r>
          <rPr>
            <b/>
            <sz val="9"/>
            <color indexed="81"/>
            <rFont val="Segoe UI"/>
            <family val="2"/>
          </rPr>
          <t>020203_AT_Details_Dach Dachplatte_PREFA_2021-Q1|#0001040B|Text</t>
        </r>
      </text>
    </comment>
    <comment ref="B1121" authorId="0" shapeId="0" xr:uid="{6DE4D8A5-E3A9-415E-9AD1-A505D384A0C0}">
      <text>
        <r>
          <rPr>
            <b/>
            <sz val="9"/>
            <color indexed="81"/>
            <rFont val="Segoe UI"/>
            <family val="2"/>
          </rPr>
          <t>020203_AT_Details_Dach Dachplatte_PREFA_2021-Q1|#0001040D|Text</t>
        </r>
      </text>
    </comment>
    <comment ref="P1121" authorId="0" shapeId="0" xr:uid="{4D56A2A9-70FD-42DE-89A2-E13446D09D33}">
      <text>
        <r>
          <rPr>
            <b/>
            <sz val="9"/>
            <color indexed="81"/>
            <rFont val="Segoe UI"/>
            <family val="2"/>
          </rPr>
          <t>020203_AT_Details_Dach Dachplatte_PREFA_2021-Q1|#0001040D|Text</t>
        </r>
      </text>
    </comment>
    <comment ref="B1122" authorId="0" shapeId="0" xr:uid="{01B95076-017E-4599-9C96-74FF8F49CEDD}">
      <text>
        <r>
          <rPr>
            <b/>
            <sz val="9"/>
            <color indexed="81"/>
            <rFont val="Segoe UI"/>
            <family val="2"/>
          </rPr>
          <t>020203_AT_Details_Dach Dachplatte_PREFA_2021-Q1|#0001040E|Text</t>
        </r>
      </text>
    </comment>
    <comment ref="P1122" authorId="0" shapeId="0" xr:uid="{F0E8BB76-D924-4EA9-97B0-D1CC38800907}">
      <text>
        <r>
          <rPr>
            <b/>
            <sz val="9"/>
            <color indexed="81"/>
            <rFont val="Segoe UI"/>
            <family val="2"/>
          </rPr>
          <t>020203_AT_Details_Dach Dachplatte_PREFA_2021-Q1|#0001040E|Text</t>
        </r>
      </text>
    </comment>
    <comment ref="B1123" authorId="0" shapeId="0" xr:uid="{2F924418-1694-4AB8-81AF-4A50F9D52CBE}">
      <text>
        <r>
          <rPr>
            <b/>
            <sz val="9"/>
            <color indexed="81"/>
            <rFont val="Segoe UI"/>
            <family val="2"/>
          </rPr>
          <t>020203_AT_Details_Dach Dachplatte_PREFA_2021-Q1|#0001040F|Text</t>
        </r>
      </text>
    </comment>
    <comment ref="P1123" authorId="0" shapeId="0" xr:uid="{DFB64055-A7CB-49FD-BC55-9FCE7CC98B43}">
      <text>
        <r>
          <rPr>
            <b/>
            <sz val="9"/>
            <color indexed="81"/>
            <rFont val="Segoe UI"/>
            <family val="2"/>
          </rPr>
          <t>020203_AT_Details_Dach Dachplatte_PREFA_2021-Q1|#0001040F|Text</t>
        </r>
      </text>
    </comment>
    <comment ref="B1124" authorId="0" shapeId="0" xr:uid="{1DE76771-AAB6-4960-A79F-707ECE1B9EF1}">
      <text>
        <r>
          <rPr>
            <b/>
            <sz val="9"/>
            <color indexed="81"/>
            <rFont val="Segoe UI"/>
            <family val="2"/>
          </rPr>
          <t>020203_AT_Details_Dach Dachplatte_PREFA_2021-Q1|#00010411|Text</t>
        </r>
      </text>
    </comment>
    <comment ref="P1124" authorId="0" shapeId="0" xr:uid="{A54F9436-BBC2-408D-90E2-2107FAD00276}">
      <text>
        <r>
          <rPr>
            <b/>
            <sz val="9"/>
            <color indexed="81"/>
            <rFont val="Segoe UI"/>
            <family val="2"/>
          </rPr>
          <t>020203_AT_Details_Dach Dachplatte_PREFA_2021-Q1|#00010411|Text</t>
        </r>
      </text>
    </comment>
    <comment ref="B1125" authorId="0" shapeId="0" xr:uid="{2B10FA4F-2976-4213-B720-9E19EEB58E55}">
      <text>
        <r>
          <rPr>
            <b/>
            <sz val="9"/>
            <color indexed="81"/>
            <rFont val="Segoe UI"/>
            <family val="2"/>
          </rPr>
          <t>020203_AT_Details_Dach Dachplatte_PREFA_2021-Q1|#00010413|Text</t>
        </r>
      </text>
    </comment>
    <comment ref="P1125" authorId="0" shapeId="0" xr:uid="{DCF83F6D-C3F1-4BF5-B199-CDBFD820D8E4}">
      <text>
        <r>
          <rPr>
            <b/>
            <sz val="9"/>
            <color indexed="81"/>
            <rFont val="Segoe UI"/>
            <family val="2"/>
          </rPr>
          <t>020203_AT_Details_Dach Dachplatte_PREFA_2021-Q1|#00010413|Text</t>
        </r>
      </text>
    </comment>
    <comment ref="B1126" authorId="0" shapeId="0" xr:uid="{6A450771-5CF2-4BC1-8AD0-06928CFCD164}">
      <text>
        <r>
          <rPr>
            <b/>
            <sz val="9"/>
            <color indexed="81"/>
            <rFont val="Segoe UI"/>
            <family val="2"/>
          </rPr>
          <t>020203_AT_Details_Dach Dachplatte_PREFA_2021-Q1|#00010417|Text</t>
        </r>
      </text>
    </comment>
    <comment ref="P1126" authorId="0" shapeId="0" xr:uid="{20822D11-EF32-458C-B47D-27A06E057F0C}">
      <text>
        <r>
          <rPr>
            <b/>
            <sz val="9"/>
            <color indexed="81"/>
            <rFont val="Segoe UI"/>
            <family val="2"/>
          </rPr>
          <t>020203_AT_Details_Dach Dachplatte_PREFA_2021-Q1|#00010417|Text</t>
        </r>
      </text>
    </comment>
    <comment ref="B1127" authorId="0" shapeId="0" xr:uid="{BA42B466-EB76-4F4F-972A-50FD4ED70652}">
      <text>
        <r>
          <rPr>
            <b/>
            <sz val="9"/>
            <color indexed="81"/>
            <rFont val="Segoe UI"/>
            <family val="2"/>
          </rPr>
          <t>020203_AT_Details_Dach Dachplatte_PREFA_2021-Q1|#00010419|Text</t>
        </r>
      </text>
    </comment>
    <comment ref="P1127" authorId="0" shapeId="0" xr:uid="{F9BB7487-2F30-4C6D-A211-770D67DDEFA0}">
      <text>
        <r>
          <rPr>
            <b/>
            <sz val="9"/>
            <color indexed="81"/>
            <rFont val="Segoe UI"/>
            <family val="2"/>
          </rPr>
          <t>020203_AT_Details_Dach Dachplatte_PREFA_2021-Q1|#00010419|Text</t>
        </r>
      </text>
    </comment>
    <comment ref="B1128" authorId="0" shapeId="0" xr:uid="{D79CB73B-52C2-41BA-A099-F4E5CA00535E}">
      <text>
        <r>
          <rPr>
            <b/>
            <sz val="9"/>
            <color indexed="81"/>
            <rFont val="Segoe UI"/>
            <family val="2"/>
          </rPr>
          <t>020203_AT_Details_Dach Dachplatte_PREFA_2021-Q1|#0001041B|Text</t>
        </r>
      </text>
    </comment>
    <comment ref="P1128" authorId="0" shapeId="0" xr:uid="{C367186F-62A2-4476-A086-BC449C3DA662}">
      <text>
        <r>
          <rPr>
            <b/>
            <sz val="9"/>
            <color indexed="81"/>
            <rFont val="Segoe UI"/>
            <family val="2"/>
          </rPr>
          <t>020203_AT_Details_Dach Dachplatte_PREFA_2021-Q1|#0001041B|Text</t>
        </r>
      </text>
    </comment>
    <comment ref="B1129" authorId="0" shapeId="0" xr:uid="{BE4B0F40-F6C3-49EB-B587-81C9E7B03303}">
      <text>
        <r>
          <rPr>
            <b/>
            <sz val="9"/>
            <color indexed="81"/>
            <rFont val="Segoe UI"/>
            <family val="2"/>
          </rPr>
          <t>020203_AT_Details_Dach Dachplatte_PREFA_2021-Q1|#0001041D|Text</t>
        </r>
      </text>
    </comment>
    <comment ref="P1129" authorId="0" shapeId="0" xr:uid="{F80B0ECD-8BD1-42D5-9656-AFFD506894FC}">
      <text>
        <r>
          <rPr>
            <b/>
            <sz val="9"/>
            <color indexed="81"/>
            <rFont val="Segoe UI"/>
            <family val="2"/>
          </rPr>
          <t>020203_AT_Details_Dach Dachplatte_PREFA_2021-Q1|#0001041D|Text</t>
        </r>
      </text>
    </comment>
    <comment ref="B1130" authorId="0" shapeId="0" xr:uid="{18A0CFB2-2A00-4167-8919-72D4D1375549}">
      <text>
        <r>
          <rPr>
            <b/>
            <sz val="9"/>
            <color indexed="81"/>
            <rFont val="Segoe UI"/>
            <family val="2"/>
          </rPr>
          <t>020203_AT_Details_Dach Dachplatte_PREFA_2021-Q1|#0001041F|Text</t>
        </r>
      </text>
    </comment>
    <comment ref="P1130" authorId="0" shapeId="0" xr:uid="{97D6AF74-E19C-408E-81C0-1069F7D62260}">
      <text>
        <r>
          <rPr>
            <b/>
            <sz val="9"/>
            <color indexed="81"/>
            <rFont val="Segoe UI"/>
            <family val="2"/>
          </rPr>
          <t>020203_AT_Details_Dach Dachplatte_PREFA_2021-Q1|#0001041F|Text</t>
        </r>
      </text>
    </comment>
    <comment ref="B1131" authorId="0" shapeId="0" xr:uid="{4DF1A588-A2C6-4124-94E5-BE9E7FCC657B}">
      <text>
        <r>
          <rPr>
            <b/>
            <sz val="9"/>
            <color indexed="81"/>
            <rFont val="Segoe UI"/>
            <family val="2"/>
          </rPr>
          <t>020203_AT_Details_Dach Dachplatte_PREFA_2021-Q1|#00010421|Text</t>
        </r>
      </text>
    </comment>
    <comment ref="P1131" authorId="0" shapeId="0" xr:uid="{F4EC0760-555B-4730-99B0-2D40340BE3BE}">
      <text>
        <r>
          <rPr>
            <b/>
            <sz val="9"/>
            <color indexed="81"/>
            <rFont val="Segoe UI"/>
            <family val="2"/>
          </rPr>
          <t>020203_AT_Details_Dach Dachplatte_PREFA_2021-Q1|#00010421|Text</t>
        </r>
      </text>
    </comment>
    <comment ref="B1132" authorId="0" shapeId="0" xr:uid="{17569574-53E0-4A4B-9000-7ABE3E41513C}">
      <text>
        <r>
          <rPr>
            <b/>
            <sz val="9"/>
            <color indexed="81"/>
            <rFont val="Segoe UI"/>
            <family val="2"/>
          </rPr>
          <t>020203_AT_Details_Dach Dachplatte_PREFA_2021-Q1|#00010423|Text</t>
        </r>
      </text>
    </comment>
    <comment ref="P1132" authorId="0" shapeId="0" xr:uid="{948F621F-7470-4122-B1E6-214BBF8213F6}">
      <text>
        <r>
          <rPr>
            <b/>
            <sz val="9"/>
            <color indexed="81"/>
            <rFont val="Segoe UI"/>
            <family val="2"/>
          </rPr>
          <t>020203_AT_Details_Dach Dachplatte_PREFA_2021-Q1|#00010423|Text</t>
        </r>
      </text>
    </comment>
    <comment ref="B1133" authorId="0" shapeId="0" xr:uid="{F166EB49-83F3-44F4-91E9-7F23A6EF8A9F}">
      <text>
        <r>
          <rPr>
            <b/>
            <sz val="9"/>
            <color indexed="81"/>
            <rFont val="Segoe UI"/>
            <family val="2"/>
          </rPr>
          <t>020203_AT_Details_Dach Dachplatte_PREFA_2021-Q1|#00010425|Text</t>
        </r>
      </text>
    </comment>
    <comment ref="P1133" authorId="0" shapeId="0" xr:uid="{447FDBAC-000B-42D9-AD2E-DEB5F830D217}">
      <text>
        <r>
          <rPr>
            <b/>
            <sz val="9"/>
            <color indexed="81"/>
            <rFont val="Segoe UI"/>
            <family val="2"/>
          </rPr>
          <t>020203_AT_Details_Dach Dachplatte_PREFA_2021-Q1|#00010425|Text</t>
        </r>
      </text>
    </comment>
    <comment ref="B1134" authorId="0" shapeId="0" xr:uid="{D27C6FF0-1DE6-44FD-BA45-16F2E7DBBA5F}">
      <text>
        <r>
          <rPr>
            <b/>
            <sz val="9"/>
            <color indexed="81"/>
            <rFont val="Segoe UI"/>
            <family val="2"/>
          </rPr>
          <t>020203_AT_Details_Dach Dachplatte_PREFA_2021-Q1|#00010427|Text</t>
        </r>
      </text>
    </comment>
    <comment ref="P1134" authorId="0" shapeId="0" xr:uid="{E38AF256-C3FE-4C1C-B804-0D5BE8E3F105}">
      <text>
        <r>
          <rPr>
            <b/>
            <sz val="9"/>
            <color indexed="81"/>
            <rFont val="Segoe UI"/>
            <family val="2"/>
          </rPr>
          <t>020203_AT_Details_Dach Dachplatte_PREFA_2021-Q1|#00010427|Text</t>
        </r>
      </text>
    </comment>
    <comment ref="B1193" authorId="0" shapeId="0" xr:uid="{8189A688-09C7-49AD-9AF9-800C4468A87A}">
      <text>
        <r>
          <rPr>
            <b/>
            <sz val="9"/>
            <color indexed="81"/>
            <rFont val="Segoe UI"/>
            <family val="2"/>
          </rPr>
          <t>020203_AT_Details_Dach Dachplatte_PREFA_2021-Q1|#00010429|Text</t>
        </r>
      </text>
    </comment>
    <comment ref="P1193" authorId="0" shapeId="0" xr:uid="{8A421839-1CBC-46E8-92B5-EFF96D344D0A}">
      <text>
        <r>
          <rPr>
            <b/>
            <sz val="9"/>
            <color indexed="81"/>
            <rFont val="Segoe UI"/>
            <family val="2"/>
          </rPr>
          <t>020203_AT_Details_Dach Dachplatte_PREFA_2021-Q1|#00010429|Text</t>
        </r>
      </text>
    </comment>
    <comment ref="B1194" authorId="0" shapeId="0" xr:uid="{4AA4F46C-6628-4FA9-8AD2-A2234F5E981A}">
      <text>
        <r>
          <rPr>
            <b/>
            <sz val="9"/>
            <color indexed="81"/>
            <rFont val="Segoe UI"/>
            <family val="2"/>
          </rPr>
          <t>020203_AT_Details_Dach Dachplatte_PREFA_2021-Q1|#0000900F|Text</t>
        </r>
      </text>
    </comment>
    <comment ref="P1194" authorId="0" shapeId="0" xr:uid="{846B1D85-89C1-43A4-ACAA-00CAC952ED59}">
      <text>
        <r>
          <rPr>
            <b/>
            <sz val="9"/>
            <color indexed="81"/>
            <rFont val="Segoe UI"/>
            <family val="2"/>
          </rPr>
          <t>020203_AT_Details_Dach Dachplatte_PREFA_2021-Q1|#0000900F|Text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9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futureMetadata>
  <cellMetadata count="1">
    <bk>
      <rc t="1" v="0"/>
    </bk>
  </cellMetadata>
  <valueMetadata count="99">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valueMetadata>
</metadata>
</file>

<file path=xl/sharedStrings.xml><?xml version="1.0" encoding="utf-8"?>
<sst xmlns="http://schemas.openxmlformats.org/spreadsheetml/2006/main" count="52512" uniqueCount="39316">
  <si>
    <t>Deutsch (AT)</t>
  </si>
  <si>
    <t>DP =</t>
  </si>
  <si>
    <t>Deutsch (DE)</t>
  </si>
  <si>
    <t>R.16 =</t>
  </si>
  <si>
    <t>English</t>
  </si>
  <si>
    <t>DS =</t>
  </si>
  <si>
    <t>français</t>
  </si>
  <si>
    <t>DR44 =</t>
  </si>
  <si>
    <t>Abfrage von Ländern mit verkürzen Rinnenlängen</t>
  </si>
  <si>
    <t>italiano</t>
  </si>
  <si>
    <t>DR29 =</t>
  </si>
  <si>
    <t>český</t>
  </si>
  <si>
    <t>FX.12 =</t>
  </si>
  <si>
    <t>polski</t>
  </si>
  <si>
    <t>PR =</t>
  </si>
  <si>
    <t>magyar</t>
  </si>
  <si>
    <t>QR =</t>
  </si>
  <si>
    <t>slovenský</t>
  </si>
  <si>
    <t>RI =</t>
  </si>
  <si>
    <t>Nederlands</t>
  </si>
  <si>
    <t>DS.19 =</t>
  </si>
  <si>
    <t>Slovenski</t>
  </si>
  <si>
    <t>svenska</t>
  </si>
  <si>
    <t>dansk</t>
  </si>
  <si>
    <t>norsk</t>
  </si>
  <si>
    <t>Ermittlung für Spalte 903 - "L"</t>
  </si>
  <si>
    <t>glatt</t>
  </si>
  <si>
    <t>stucco</t>
  </si>
  <si>
    <t>Stucco</t>
  </si>
  <si>
    <t>Preis</t>
  </si>
  <si>
    <t>VPE</t>
  </si>
  <si>
    <t>STK</t>
  </si>
  <si>
    <t xml:space="preserve">P.10 anthrazit </t>
  </si>
  <si>
    <t xml:space="preserve">P.10 oxydrot </t>
  </si>
  <si>
    <t>P.10 hellgrau</t>
  </si>
  <si>
    <t xml:space="preserve">P.10 braun </t>
  </si>
  <si>
    <t xml:space="preserve">P.10 steingrau </t>
  </si>
  <si>
    <t xml:space="preserve">P.10 ziegelrot </t>
  </si>
  <si>
    <t xml:space="preserve">P.10 nussbraun </t>
  </si>
  <si>
    <t>P.10 moosgrün</t>
  </si>
  <si>
    <t xml:space="preserve">P.10 schwarz </t>
  </si>
  <si>
    <t>P.10 dunkelgrau</t>
  </si>
  <si>
    <t xml:space="preserve">anthrazit </t>
  </si>
  <si>
    <t xml:space="preserve">oxydrot </t>
  </si>
  <si>
    <t>hellgrau</t>
  </si>
  <si>
    <t xml:space="preserve">braun </t>
  </si>
  <si>
    <t xml:space="preserve">steingrau </t>
  </si>
  <si>
    <t xml:space="preserve">ziegelrot </t>
  </si>
  <si>
    <t xml:space="preserve">nussbraun </t>
  </si>
  <si>
    <t>moosgrün</t>
  </si>
  <si>
    <t xml:space="preserve">schwarz </t>
  </si>
  <si>
    <t>CK02/04/06</t>
  </si>
  <si>
    <t>FK04/06/08</t>
  </si>
  <si>
    <t>MK04/06/08</t>
  </si>
  <si>
    <t>MK10/12</t>
  </si>
  <si>
    <t>PK04/06/08</t>
  </si>
  <si>
    <t>PK10</t>
  </si>
  <si>
    <t>SK06/08</t>
  </si>
  <si>
    <t>SK10</t>
  </si>
  <si>
    <t>UK04/08</t>
  </si>
  <si>
    <t>UK10</t>
  </si>
  <si>
    <t>5/7; 5/9; 5/11</t>
  </si>
  <si>
    <t>6/9; 6/11; 6/14</t>
  </si>
  <si>
    <t>110409</t>
  </si>
  <si>
    <t>02 P.10 Anthrazit</t>
  </si>
  <si>
    <t>040100</t>
  </si>
  <si>
    <t>040101</t>
  </si>
  <si>
    <t>040102</t>
  </si>
  <si>
    <t>040104</t>
  </si>
  <si>
    <t>040105</t>
  </si>
  <si>
    <t>040106</t>
  </si>
  <si>
    <t>040107</t>
  </si>
  <si>
    <t>040108</t>
  </si>
  <si>
    <t>040404</t>
  </si>
  <si>
    <t>040120</t>
  </si>
  <si>
    <t>040121</t>
  </si>
  <si>
    <t>040122</t>
  </si>
  <si>
    <t>040123</t>
  </si>
  <si>
    <t>040124</t>
  </si>
  <si>
    <t>040125</t>
  </si>
  <si>
    <t>040126</t>
  </si>
  <si>
    <t>040127</t>
  </si>
  <si>
    <t>040128</t>
  </si>
  <si>
    <t>040424</t>
  </si>
  <si>
    <t>blank</t>
  </si>
  <si>
    <t>040103</t>
  </si>
  <si>
    <t>(4,5 x 45 mm, 250 Stk/Pkt, blank)</t>
  </si>
  <si>
    <t>(4,5 x 60 mm, 100 Stk/Pkt)</t>
  </si>
  <si>
    <t>66 x 98 - FK04</t>
  </si>
  <si>
    <t>54 x 98 - 05/09_WD</t>
  </si>
  <si>
    <t>660 x 1.174 - Q66/118_WD</t>
  </si>
  <si>
    <t>&lt;- 60 kg</t>
  </si>
  <si>
    <t xml:space="preserve">500kg -&gt; </t>
  </si>
  <si>
    <t xml:space="preserve">STK </t>
  </si>
  <si>
    <t>01 braun</t>
  </si>
  <si>
    <t>anthrazit</t>
  </si>
  <si>
    <t>03 schwarz</t>
  </si>
  <si>
    <t>04 ziegelrot</t>
  </si>
  <si>
    <t>05 oxydrot</t>
  </si>
  <si>
    <t>07 hellgrau</t>
  </si>
  <si>
    <t>steingrau</t>
  </si>
  <si>
    <t>11 nussbraun</t>
  </si>
  <si>
    <t>06 moosgrün</t>
  </si>
  <si>
    <t>08 zinkgrau</t>
  </si>
  <si>
    <t>10 prefaweiß</t>
  </si>
  <si>
    <t>12 silbermetallic</t>
  </si>
  <si>
    <t>45 bronze</t>
  </si>
  <si>
    <t>46 patina grün</t>
  </si>
  <si>
    <t>23 schwarzgrau</t>
  </si>
  <si>
    <t>47 patina grau</t>
  </si>
  <si>
    <t>17 reinweiß P.10</t>
  </si>
  <si>
    <t>19 dunkelgrau P.10</t>
  </si>
  <si>
    <t>500 kg</t>
  </si>
  <si>
    <t>60 kg</t>
  </si>
  <si>
    <t xml:space="preserve">040303  </t>
  </si>
  <si>
    <t xml:space="preserve">040300  </t>
  </si>
  <si>
    <t xml:space="preserve">040308  </t>
  </si>
  <si>
    <t xml:space="preserve">040305  </t>
  </si>
  <si>
    <t xml:space="preserve">040301  </t>
  </si>
  <si>
    <t xml:space="preserve">040302  </t>
  </si>
  <si>
    <t xml:space="preserve">040304  </t>
  </si>
  <si>
    <t xml:space="preserve">040306  </t>
  </si>
  <si>
    <t xml:space="preserve">040307  </t>
  </si>
  <si>
    <t xml:space="preserve">040441  </t>
  </si>
  <si>
    <t xml:space="preserve">040442  </t>
  </si>
  <si>
    <t xml:space="preserve">030724  </t>
  </si>
  <si>
    <t xml:space="preserve">030722  </t>
  </si>
  <si>
    <t xml:space="preserve">040440  </t>
  </si>
  <si>
    <t>040443</t>
  </si>
  <si>
    <t xml:space="preserve">030804  </t>
  </si>
  <si>
    <t xml:space="preserve">030803  </t>
  </si>
  <si>
    <t>040445</t>
  </si>
  <si>
    <t>040444</t>
  </si>
  <si>
    <t>040446</t>
  </si>
  <si>
    <t xml:space="preserve">040323  </t>
  </si>
  <si>
    <t xml:space="preserve">040320  </t>
  </si>
  <si>
    <t xml:space="preserve">040328  </t>
  </si>
  <si>
    <t xml:space="preserve">040325  </t>
  </si>
  <si>
    <t xml:space="preserve">040321  </t>
  </si>
  <si>
    <t xml:space="preserve">040322  </t>
  </si>
  <si>
    <t xml:space="preserve">040324  </t>
  </si>
  <si>
    <t xml:space="preserve">040326  </t>
  </si>
  <si>
    <t xml:space="preserve">040327  </t>
  </si>
  <si>
    <t xml:space="preserve">040461  </t>
  </si>
  <si>
    <t xml:space="preserve">040462  </t>
  </si>
  <si>
    <t xml:space="preserve">030154  </t>
  </si>
  <si>
    <t xml:space="preserve">030152  </t>
  </si>
  <si>
    <t xml:space="preserve">040460  </t>
  </si>
  <si>
    <t>040465</t>
  </si>
  <si>
    <t>040464</t>
  </si>
  <si>
    <t>040466</t>
  </si>
  <si>
    <t>040313</t>
  </si>
  <si>
    <t>040310</t>
  </si>
  <si>
    <t>040318</t>
  </si>
  <si>
    <t>040315</t>
  </si>
  <si>
    <t>0040311</t>
  </si>
  <si>
    <t>040312</t>
  </si>
  <si>
    <t>040314</t>
  </si>
  <si>
    <t>040316</t>
  </si>
  <si>
    <t>040317</t>
  </si>
  <si>
    <t>040451</t>
  </si>
  <si>
    <t>040452</t>
  </si>
  <si>
    <t>030749</t>
  </si>
  <si>
    <t>030747</t>
  </si>
  <si>
    <t>040450</t>
  </si>
  <si>
    <t>040453</t>
  </si>
  <si>
    <t>030814</t>
  </si>
  <si>
    <t>030813</t>
  </si>
  <si>
    <t>040455</t>
  </si>
  <si>
    <t>040454</t>
  </si>
  <si>
    <t>040456</t>
  </si>
  <si>
    <t>040333</t>
  </si>
  <si>
    <t>040330</t>
  </si>
  <si>
    <t>040338</t>
  </si>
  <si>
    <t>040335</t>
  </si>
  <si>
    <t>040331</t>
  </si>
  <si>
    <t>040334</t>
  </si>
  <si>
    <t>040336</t>
  </si>
  <si>
    <t>040337</t>
  </si>
  <si>
    <t>040471</t>
  </si>
  <si>
    <t>040472</t>
  </si>
  <si>
    <t>030184</t>
  </si>
  <si>
    <t>030182</t>
  </si>
  <si>
    <t>040470</t>
  </si>
  <si>
    <t>040475</t>
  </si>
  <si>
    <t>040474</t>
  </si>
  <si>
    <t>040476</t>
  </si>
  <si>
    <t xml:space="preserve">040203  </t>
  </si>
  <si>
    <t xml:space="preserve">040200  </t>
  </si>
  <si>
    <t xml:space="preserve">040208  </t>
  </si>
  <si>
    <t xml:space="preserve">040205  </t>
  </si>
  <si>
    <t xml:space="preserve">040201  </t>
  </si>
  <si>
    <t xml:space="preserve">040202  </t>
  </si>
  <si>
    <t xml:space="preserve">040204  </t>
  </si>
  <si>
    <t xml:space="preserve">040206  </t>
  </si>
  <si>
    <t xml:space="preserve">040207  </t>
  </si>
  <si>
    <t xml:space="preserve">040481  </t>
  </si>
  <si>
    <t xml:space="preserve">040482  </t>
  </si>
  <si>
    <t xml:space="preserve">035101  </t>
  </si>
  <si>
    <t xml:space="preserve">030340  </t>
  </si>
  <si>
    <t xml:space="preserve">040480  </t>
  </si>
  <si>
    <t xml:space="preserve">030807  </t>
  </si>
  <si>
    <t xml:space="preserve">030806  </t>
  </si>
  <si>
    <t>040485</t>
  </si>
  <si>
    <t>040484</t>
  </si>
  <si>
    <t>040486</t>
  </si>
  <si>
    <t xml:space="preserve">040223  </t>
  </si>
  <si>
    <t xml:space="preserve">040220  </t>
  </si>
  <si>
    <t xml:space="preserve">040228  </t>
  </si>
  <si>
    <t xml:space="preserve">040225  </t>
  </si>
  <si>
    <t xml:space="preserve">040221  </t>
  </si>
  <si>
    <t xml:space="preserve">040222  </t>
  </si>
  <si>
    <t xml:space="preserve">040224  </t>
  </si>
  <si>
    <t xml:space="preserve">040226  </t>
  </si>
  <si>
    <t xml:space="preserve">040227  </t>
  </si>
  <si>
    <t xml:space="preserve">040501  </t>
  </si>
  <si>
    <t xml:space="preserve">040502  </t>
  </si>
  <si>
    <t xml:space="preserve">030514  </t>
  </si>
  <si>
    <t xml:space="preserve">030513  </t>
  </si>
  <si>
    <t xml:space="preserve">040500  </t>
  </si>
  <si>
    <t>040505</t>
  </si>
  <si>
    <t>040504</t>
  </si>
  <si>
    <t>040506</t>
  </si>
  <si>
    <t>040213</t>
  </si>
  <si>
    <t>040210</t>
  </si>
  <si>
    <t>040218</t>
  </si>
  <si>
    <t>040215</t>
  </si>
  <si>
    <t>040211</t>
  </si>
  <si>
    <t>040212</t>
  </si>
  <si>
    <t>040214</t>
  </si>
  <si>
    <t>040216</t>
  </si>
  <si>
    <t>040217</t>
  </si>
  <si>
    <t>040491</t>
  </si>
  <si>
    <t>040492</t>
  </si>
  <si>
    <t>035102</t>
  </si>
  <si>
    <t>030339</t>
  </si>
  <si>
    <t>040490</t>
  </si>
  <si>
    <t>030817</t>
  </si>
  <si>
    <t>030816</t>
  </si>
  <si>
    <t>040495</t>
  </si>
  <si>
    <t>040494</t>
  </si>
  <si>
    <t>040496</t>
  </si>
  <si>
    <t>040233</t>
  </si>
  <si>
    <t>040230</t>
  </si>
  <si>
    <t>040238</t>
  </si>
  <si>
    <t>040235</t>
  </si>
  <si>
    <t>040231</t>
  </si>
  <si>
    <t>040232</t>
  </si>
  <si>
    <t>040234</t>
  </si>
  <si>
    <t>040236</t>
  </si>
  <si>
    <t>040237</t>
  </si>
  <si>
    <t>040511</t>
  </si>
  <si>
    <t>040512</t>
  </si>
  <si>
    <t>030544</t>
  </si>
  <si>
    <t>030543</t>
  </si>
  <si>
    <t>040510</t>
  </si>
  <si>
    <t>040515</t>
  </si>
  <si>
    <t>040514</t>
  </si>
  <si>
    <t>040516</t>
  </si>
  <si>
    <t xml:space="preserve">040103  </t>
  </si>
  <si>
    <t xml:space="preserve">040100  </t>
  </si>
  <si>
    <t xml:space="preserve">040108  </t>
  </si>
  <si>
    <t xml:space="preserve">040105  </t>
  </si>
  <si>
    <t xml:space="preserve">040101  </t>
  </si>
  <si>
    <t xml:space="preserve">040102  </t>
  </si>
  <si>
    <t xml:space="preserve">040104  </t>
  </si>
  <si>
    <t xml:space="preserve">040106  </t>
  </si>
  <si>
    <t xml:space="preserve">040107  </t>
  </si>
  <si>
    <t xml:space="preserve">040401  </t>
  </si>
  <si>
    <t xml:space="preserve">040402  </t>
  </si>
  <si>
    <t xml:space="preserve">030110  </t>
  </si>
  <si>
    <t xml:space="preserve">030369  </t>
  </si>
  <si>
    <t xml:space="preserve">040400  </t>
  </si>
  <si>
    <t>040403</t>
  </si>
  <si>
    <t xml:space="preserve">030370  </t>
  </si>
  <si>
    <t xml:space="preserve">030361  </t>
  </si>
  <si>
    <t>040405</t>
  </si>
  <si>
    <t>040406</t>
  </si>
  <si>
    <t xml:space="preserve">040123  </t>
  </si>
  <si>
    <t xml:space="preserve">040120  </t>
  </si>
  <si>
    <t xml:space="preserve">040128  </t>
  </si>
  <si>
    <t xml:space="preserve">040125  </t>
  </si>
  <si>
    <t xml:space="preserve">040121  </t>
  </si>
  <si>
    <t xml:space="preserve">040122  </t>
  </si>
  <si>
    <t xml:space="preserve">040124  </t>
  </si>
  <si>
    <t xml:space="preserve">040126  </t>
  </si>
  <si>
    <t xml:space="preserve">040127  </t>
  </si>
  <si>
    <t xml:space="preserve">040421  </t>
  </si>
  <si>
    <t xml:space="preserve">040422  </t>
  </si>
  <si>
    <t xml:space="preserve">030124  </t>
  </si>
  <si>
    <t xml:space="preserve">030123  </t>
  </si>
  <si>
    <t xml:space="preserve">040420  </t>
  </si>
  <si>
    <t>040425</t>
  </si>
  <si>
    <t>040426</t>
  </si>
  <si>
    <t>040113</t>
  </si>
  <si>
    <t>040110</t>
  </si>
  <si>
    <t>040118</t>
  </si>
  <si>
    <t>040115</t>
  </si>
  <si>
    <t>040111</t>
  </si>
  <si>
    <t>040112</t>
  </si>
  <si>
    <t>040114</t>
  </si>
  <si>
    <t>040116</t>
  </si>
  <si>
    <t>040117</t>
  </si>
  <si>
    <t>040411</t>
  </si>
  <si>
    <t>040412</t>
  </si>
  <si>
    <t>030388</t>
  </si>
  <si>
    <t>030386</t>
  </si>
  <si>
    <t>040410</t>
  </si>
  <si>
    <t>040413</t>
  </si>
  <si>
    <t>030392</t>
  </si>
  <si>
    <t>030390</t>
  </si>
  <si>
    <t>040415</t>
  </si>
  <si>
    <t>040414</t>
  </si>
  <si>
    <t>040416</t>
  </si>
  <si>
    <t>040133</t>
  </si>
  <si>
    <t>040130</t>
  </si>
  <si>
    <t>040138</t>
  </si>
  <si>
    <t>040135</t>
  </si>
  <si>
    <t>040131</t>
  </si>
  <si>
    <t>040132</t>
  </si>
  <si>
    <t>040134</t>
  </si>
  <si>
    <t>040136</t>
  </si>
  <si>
    <t>040137</t>
  </si>
  <si>
    <t>040431</t>
  </si>
  <si>
    <t>040432</t>
  </si>
  <si>
    <t>030565</t>
  </si>
  <si>
    <t>040430</t>
  </si>
  <si>
    <t>040435</t>
  </si>
  <si>
    <t>040434</t>
  </si>
  <si>
    <t>040436</t>
  </si>
  <si>
    <t>121004</t>
  </si>
  <si>
    <t>121002</t>
  </si>
  <si>
    <t>121006</t>
  </si>
  <si>
    <t>121010</t>
  </si>
  <si>
    <t>121011</t>
  </si>
  <si>
    <t xml:space="preserve">513029  </t>
  </si>
  <si>
    <t>513111</t>
  </si>
  <si>
    <t>121014</t>
  </si>
  <si>
    <t>121012</t>
  </si>
  <si>
    <t>121016</t>
  </si>
  <si>
    <t>121015</t>
  </si>
  <si>
    <t>110217</t>
  </si>
  <si>
    <t>121020</t>
  </si>
  <si>
    <t xml:space="preserve">121021  </t>
  </si>
  <si>
    <t xml:space="preserve">513083  </t>
  </si>
  <si>
    <t>121024</t>
  </si>
  <si>
    <t>121022</t>
  </si>
  <si>
    <t>121026</t>
  </si>
  <si>
    <t>121025</t>
  </si>
  <si>
    <t>Deckle + Rahmen</t>
  </si>
  <si>
    <t>Fenster-deckel</t>
  </si>
  <si>
    <t>120243</t>
  </si>
  <si>
    <t>120240</t>
  </si>
  <si>
    <t>120248</t>
  </si>
  <si>
    <t>120245</t>
  </si>
  <si>
    <t>120241</t>
  </si>
  <si>
    <t>120242</t>
  </si>
  <si>
    <t>120244</t>
  </si>
  <si>
    <t>120246</t>
  </si>
  <si>
    <t>120247</t>
  </si>
  <si>
    <t>121050</t>
  </si>
  <si>
    <t>121051</t>
  </si>
  <si>
    <t>537730</t>
  </si>
  <si>
    <t>121054</t>
  </si>
  <si>
    <t>121052</t>
  </si>
  <si>
    <t>121056</t>
  </si>
  <si>
    <t>121055</t>
  </si>
  <si>
    <t>94 x 98-140 cm</t>
  </si>
  <si>
    <t>121104</t>
  </si>
  <si>
    <t>121102</t>
  </si>
  <si>
    <t>121106</t>
  </si>
  <si>
    <t>121105</t>
  </si>
  <si>
    <t>121122</t>
  </si>
  <si>
    <t>121116</t>
  </si>
  <si>
    <t>121115</t>
  </si>
  <si>
    <t>121134</t>
  </si>
  <si>
    <t>121132</t>
  </si>
  <si>
    <t>121136</t>
  </si>
  <si>
    <t>121135</t>
  </si>
  <si>
    <t>121154</t>
  </si>
  <si>
    <t>121152</t>
  </si>
  <si>
    <t>121156</t>
  </si>
  <si>
    <t>121155</t>
  </si>
  <si>
    <t>121164</t>
  </si>
  <si>
    <t>121162</t>
  </si>
  <si>
    <t>121166</t>
  </si>
  <si>
    <t>121165</t>
  </si>
  <si>
    <t>121094</t>
  </si>
  <si>
    <t>121092</t>
  </si>
  <si>
    <t>121096</t>
  </si>
  <si>
    <t>121095</t>
  </si>
  <si>
    <t>121082</t>
  </si>
  <si>
    <t>121074</t>
  </si>
  <si>
    <t>121072</t>
  </si>
  <si>
    <t>121076</t>
  </si>
  <si>
    <t>121075</t>
  </si>
  <si>
    <t>121062</t>
  </si>
  <si>
    <t>Verkaufsgrößen</t>
  </si>
  <si>
    <t>02 anthrazit</t>
  </si>
  <si>
    <t>19 dunkelgrau</t>
  </si>
  <si>
    <t>47 patinagrau</t>
  </si>
  <si>
    <t>210021</t>
  </si>
  <si>
    <t>210020</t>
  </si>
  <si>
    <t>210024</t>
  </si>
  <si>
    <t>210022</t>
  </si>
  <si>
    <t>210025</t>
  </si>
  <si>
    <t>210026</t>
  </si>
  <si>
    <t>210023</t>
  </si>
  <si>
    <t>25er3m</t>
  </si>
  <si>
    <t>210061</t>
  </si>
  <si>
    <t>210060</t>
  </si>
  <si>
    <t>210064</t>
  </si>
  <si>
    <t>210062</t>
  </si>
  <si>
    <t>210065</t>
  </si>
  <si>
    <t>210066</t>
  </si>
  <si>
    <t>210063</t>
  </si>
  <si>
    <t>28er3m</t>
  </si>
  <si>
    <t>210101</t>
  </si>
  <si>
    <t>210104</t>
  </si>
  <si>
    <t>210102</t>
  </si>
  <si>
    <t>210105</t>
  </si>
  <si>
    <t>210106</t>
  </si>
  <si>
    <t>210103</t>
  </si>
  <si>
    <t>33er3m</t>
  </si>
  <si>
    <t>210141</t>
  </si>
  <si>
    <t>210140</t>
  </si>
  <si>
    <t>210144</t>
  </si>
  <si>
    <t>210142</t>
  </si>
  <si>
    <t>210145</t>
  </si>
  <si>
    <t>210146</t>
  </si>
  <si>
    <t>210143</t>
  </si>
  <si>
    <t>40er3m</t>
  </si>
  <si>
    <t>lfm</t>
  </si>
  <si>
    <t>210001</t>
  </si>
  <si>
    <t>210000</t>
  </si>
  <si>
    <t>210004</t>
  </si>
  <si>
    <t>210002</t>
  </si>
  <si>
    <t>210005</t>
  </si>
  <si>
    <t>210006</t>
  </si>
  <si>
    <t>210003</t>
  </si>
  <si>
    <t>25er6m</t>
  </si>
  <si>
    <t>210041</t>
  </si>
  <si>
    <t>210040</t>
  </si>
  <si>
    <t>210044</t>
  </si>
  <si>
    <t>210042</t>
  </si>
  <si>
    <t>210045</t>
  </si>
  <si>
    <t>210046</t>
  </si>
  <si>
    <t>210043</t>
  </si>
  <si>
    <t>28er6m</t>
  </si>
  <si>
    <t>210081</t>
  </si>
  <si>
    <t>210080</t>
  </si>
  <si>
    <t>210084</t>
  </si>
  <si>
    <t>210082</t>
  </si>
  <si>
    <t>210085</t>
  </si>
  <si>
    <t>210086</t>
  </si>
  <si>
    <t>210083</t>
  </si>
  <si>
    <t>33er6m</t>
  </si>
  <si>
    <t>210121</t>
  </si>
  <si>
    <t>210120</t>
  </si>
  <si>
    <t>210124</t>
  </si>
  <si>
    <t>210122</t>
  </si>
  <si>
    <t>210125</t>
  </si>
  <si>
    <t>210126</t>
  </si>
  <si>
    <t>210123</t>
  </si>
  <si>
    <t>40er6m</t>
  </si>
  <si>
    <t>normal</t>
  </si>
  <si>
    <t>201501</t>
  </si>
  <si>
    <t>201500</t>
  </si>
  <si>
    <t>201504</t>
  </si>
  <si>
    <t>201502</t>
  </si>
  <si>
    <t>201505</t>
  </si>
  <si>
    <t>201506</t>
  </si>
  <si>
    <t>201503</t>
  </si>
  <si>
    <t>norm25er</t>
  </si>
  <si>
    <t>201521</t>
  </si>
  <si>
    <t>201520</t>
  </si>
  <si>
    <t>201524</t>
  </si>
  <si>
    <t>201522</t>
  </si>
  <si>
    <t>201525</t>
  </si>
  <si>
    <t>201526</t>
  </si>
  <si>
    <t>201523</t>
  </si>
  <si>
    <t>kurz25er</t>
  </si>
  <si>
    <t>201601</t>
  </si>
  <si>
    <t>201600</t>
  </si>
  <si>
    <t>201604</t>
  </si>
  <si>
    <t>201602</t>
  </si>
  <si>
    <t>201605</t>
  </si>
  <si>
    <t>201606</t>
  </si>
  <si>
    <t>201603</t>
  </si>
  <si>
    <t>norm28er</t>
  </si>
  <si>
    <t>201621</t>
  </si>
  <si>
    <t>201620</t>
  </si>
  <si>
    <t>201624</t>
  </si>
  <si>
    <t>201622</t>
  </si>
  <si>
    <t>201625</t>
  </si>
  <si>
    <t>201626</t>
  </si>
  <si>
    <t>201623</t>
  </si>
  <si>
    <t>kurz28er</t>
  </si>
  <si>
    <t>201641</t>
  </si>
  <si>
    <t>201640</t>
  </si>
  <si>
    <t>201644</t>
  </si>
  <si>
    <t>201642</t>
  </si>
  <si>
    <t>201645</t>
  </si>
  <si>
    <t>201646</t>
  </si>
  <si>
    <t>201643</t>
  </si>
  <si>
    <t>lang28er</t>
  </si>
  <si>
    <t>201701</t>
  </si>
  <si>
    <t>201700</t>
  </si>
  <si>
    <t>201704</t>
  </si>
  <si>
    <t>201702</t>
  </si>
  <si>
    <t>201705</t>
  </si>
  <si>
    <t>201706</t>
  </si>
  <si>
    <t>201703</t>
  </si>
  <si>
    <t>norm33er</t>
  </si>
  <si>
    <t>kurz33er</t>
  </si>
  <si>
    <t>201741</t>
  </si>
  <si>
    <t>201740</t>
  </si>
  <si>
    <t>201744</t>
  </si>
  <si>
    <t>201742</t>
  </si>
  <si>
    <t>201745</t>
  </si>
  <si>
    <t>201746</t>
  </si>
  <si>
    <t>201743</t>
  </si>
  <si>
    <t>lang33er</t>
  </si>
  <si>
    <t>201901</t>
  </si>
  <si>
    <t>201900</t>
  </si>
  <si>
    <t>201904</t>
  </si>
  <si>
    <t>201902</t>
  </si>
  <si>
    <t>201905</t>
  </si>
  <si>
    <t>201906</t>
  </si>
  <si>
    <t>201903</t>
  </si>
  <si>
    <t>norm40er</t>
  </si>
  <si>
    <t>201541</t>
  </si>
  <si>
    <t>201540</t>
  </si>
  <si>
    <t>201544</t>
  </si>
  <si>
    <t>201542</t>
  </si>
  <si>
    <t>201545</t>
  </si>
  <si>
    <t>201546</t>
  </si>
  <si>
    <t>201543</t>
  </si>
  <si>
    <t>250/28x7</t>
  </si>
  <si>
    <t>201661</t>
  </si>
  <si>
    <t>201660</t>
  </si>
  <si>
    <t>201664</t>
  </si>
  <si>
    <t>201662</t>
  </si>
  <si>
    <t>201665</t>
  </si>
  <si>
    <t>201666</t>
  </si>
  <si>
    <t>201663</t>
  </si>
  <si>
    <t>280/28x7</t>
  </si>
  <si>
    <t>201761</t>
  </si>
  <si>
    <t>201760</t>
  </si>
  <si>
    <t>201762</t>
  </si>
  <si>
    <t>201765</t>
  </si>
  <si>
    <t>201766</t>
  </si>
  <si>
    <t>201763</t>
  </si>
  <si>
    <t>333/28x7</t>
  </si>
  <si>
    <t>201781</t>
  </si>
  <si>
    <t>201780</t>
  </si>
  <si>
    <t>201784</t>
  </si>
  <si>
    <t>201782</t>
  </si>
  <si>
    <t>2017585</t>
  </si>
  <si>
    <t>201786</t>
  </si>
  <si>
    <t>201783</t>
  </si>
  <si>
    <t>333/23x7</t>
  </si>
  <si>
    <t>201801</t>
  </si>
  <si>
    <t>201800</t>
  </si>
  <si>
    <t>201804</t>
  </si>
  <si>
    <t>201802</t>
  </si>
  <si>
    <t>201805</t>
  </si>
  <si>
    <t>201806</t>
  </si>
  <si>
    <t>201803</t>
  </si>
  <si>
    <t>333k/23x7</t>
  </si>
  <si>
    <t>201921</t>
  </si>
  <si>
    <t>201920</t>
  </si>
  <si>
    <t>201924</t>
  </si>
  <si>
    <t>201922</t>
  </si>
  <si>
    <t>201925</t>
  </si>
  <si>
    <t>201926</t>
  </si>
  <si>
    <t>201923</t>
  </si>
  <si>
    <t>400/23x7</t>
  </si>
  <si>
    <t>280/23x7</t>
  </si>
  <si>
    <t>N17</t>
  </si>
  <si>
    <t>201821</t>
  </si>
  <si>
    <t>201820</t>
  </si>
  <si>
    <t>201824</t>
  </si>
  <si>
    <t>201822</t>
  </si>
  <si>
    <t>201825</t>
  </si>
  <si>
    <t>201826</t>
  </si>
  <si>
    <t>201823</t>
  </si>
  <si>
    <t>ØN18</t>
  </si>
  <si>
    <t>200001</t>
  </si>
  <si>
    <t>200000</t>
  </si>
  <si>
    <t>200004</t>
  </si>
  <si>
    <t>200002</t>
  </si>
  <si>
    <t>200005</t>
  </si>
  <si>
    <t>200006</t>
  </si>
  <si>
    <t>200003</t>
  </si>
  <si>
    <t>25er</t>
  </si>
  <si>
    <t>200021</t>
  </si>
  <si>
    <t>200020</t>
  </si>
  <si>
    <t>200024</t>
  </si>
  <si>
    <t>200022</t>
  </si>
  <si>
    <t>200026</t>
  </si>
  <si>
    <t>200023</t>
  </si>
  <si>
    <t>28er</t>
  </si>
  <si>
    <t>200041</t>
  </si>
  <si>
    <t>200040</t>
  </si>
  <si>
    <t>200044</t>
  </si>
  <si>
    <t>200042</t>
  </si>
  <si>
    <t>200045</t>
  </si>
  <si>
    <t>200046</t>
  </si>
  <si>
    <t>200043</t>
  </si>
  <si>
    <t>33er</t>
  </si>
  <si>
    <t>200061</t>
  </si>
  <si>
    <t>200060</t>
  </si>
  <si>
    <t>200064</t>
  </si>
  <si>
    <t>200062</t>
  </si>
  <si>
    <t>200065</t>
  </si>
  <si>
    <t>200066</t>
  </si>
  <si>
    <t>200063</t>
  </si>
  <si>
    <t>40er</t>
  </si>
  <si>
    <t>200201</t>
  </si>
  <si>
    <t>200200</t>
  </si>
  <si>
    <t>200204</t>
  </si>
  <si>
    <t>200202</t>
  </si>
  <si>
    <t>200205</t>
  </si>
  <si>
    <t>200206</t>
  </si>
  <si>
    <t>200203</t>
  </si>
  <si>
    <t>200301</t>
  </si>
  <si>
    <t>200300</t>
  </si>
  <si>
    <t>200304</t>
  </si>
  <si>
    <t>200302</t>
  </si>
  <si>
    <t>200305</t>
  </si>
  <si>
    <t>200306</t>
  </si>
  <si>
    <t>200303</t>
  </si>
  <si>
    <t>200341</t>
  </si>
  <si>
    <t>200340</t>
  </si>
  <si>
    <t>200344</t>
  </si>
  <si>
    <t>200342</t>
  </si>
  <si>
    <t>200345</t>
  </si>
  <si>
    <t>200346</t>
  </si>
  <si>
    <t>200343</t>
  </si>
  <si>
    <t>200381</t>
  </si>
  <si>
    <t>200380</t>
  </si>
  <si>
    <t>200384</t>
  </si>
  <si>
    <t>200382</t>
  </si>
  <si>
    <t>200385</t>
  </si>
  <si>
    <t>200386</t>
  </si>
  <si>
    <t>200383</t>
  </si>
  <si>
    <t>200421</t>
  </si>
  <si>
    <t>200420</t>
  </si>
  <si>
    <t>200424</t>
  </si>
  <si>
    <t>200422</t>
  </si>
  <si>
    <t>200425</t>
  </si>
  <si>
    <t>200426</t>
  </si>
  <si>
    <t>200423</t>
  </si>
  <si>
    <t>200321</t>
  </si>
  <si>
    <t>200320</t>
  </si>
  <si>
    <t>200324</t>
  </si>
  <si>
    <t>200322</t>
  </si>
  <si>
    <t>200325</t>
  </si>
  <si>
    <t>200326</t>
  </si>
  <si>
    <t>200323</t>
  </si>
  <si>
    <t>200361</t>
  </si>
  <si>
    <t>200360</t>
  </si>
  <si>
    <t>200364</t>
  </si>
  <si>
    <t>200362</t>
  </si>
  <si>
    <t>200365</t>
  </si>
  <si>
    <t>200366</t>
  </si>
  <si>
    <t>200363</t>
  </si>
  <si>
    <t>200401</t>
  </si>
  <si>
    <t>200400</t>
  </si>
  <si>
    <t>200404</t>
  </si>
  <si>
    <t>200402</t>
  </si>
  <si>
    <t>200405</t>
  </si>
  <si>
    <t>200406</t>
  </si>
  <si>
    <t>200403</t>
  </si>
  <si>
    <t>200441</t>
  </si>
  <si>
    <t>200440</t>
  </si>
  <si>
    <t>200444</t>
  </si>
  <si>
    <t>200442</t>
  </si>
  <si>
    <t>200445</t>
  </si>
  <si>
    <t>200446</t>
  </si>
  <si>
    <t>200443</t>
  </si>
  <si>
    <t>200701</t>
  </si>
  <si>
    <t>200700</t>
  </si>
  <si>
    <t>200704</t>
  </si>
  <si>
    <t>200702</t>
  </si>
  <si>
    <t>200705</t>
  </si>
  <si>
    <t>200706</t>
  </si>
  <si>
    <t>200703</t>
  </si>
  <si>
    <t>250x60</t>
  </si>
  <si>
    <t>200721</t>
  </si>
  <si>
    <t>200720</t>
  </si>
  <si>
    <t>200724</t>
  </si>
  <si>
    <t>200722</t>
  </si>
  <si>
    <t>200725</t>
  </si>
  <si>
    <t>200726</t>
  </si>
  <si>
    <t>200723</t>
  </si>
  <si>
    <t>250x80</t>
  </si>
  <si>
    <t>200741</t>
  </si>
  <si>
    <t>200740</t>
  </si>
  <si>
    <t>200744</t>
  </si>
  <si>
    <t>200742</t>
  </si>
  <si>
    <t>200745</t>
  </si>
  <si>
    <t>200746</t>
  </si>
  <si>
    <t>200743</t>
  </si>
  <si>
    <t>280x80</t>
  </si>
  <si>
    <t>200761</t>
  </si>
  <si>
    <t>200760</t>
  </si>
  <si>
    <t>200764</t>
  </si>
  <si>
    <t>200762</t>
  </si>
  <si>
    <t>200765</t>
  </si>
  <si>
    <t>200766</t>
  </si>
  <si>
    <t>200763</t>
  </si>
  <si>
    <t>280x100</t>
  </si>
  <si>
    <t>200781</t>
  </si>
  <si>
    <t>200780</t>
  </si>
  <si>
    <t>200784</t>
  </si>
  <si>
    <t>200782</t>
  </si>
  <si>
    <t>200785</t>
  </si>
  <si>
    <t>200786</t>
  </si>
  <si>
    <t>200783</t>
  </si>
  <si>
    <t>333x80</t>
  </si>
  <si>
    <t>200801</t>
  </si>
  <si>
    <t>200800</t>
  </si>
  <si>
    <t>200804</t>
  </si>
  <si>
    <t>200802</t>
  </si>
  <si>
    <t>200805</t>
  </si>
  <si>
    <t>200806</t>
  </si>
  <si>
    <t>200803</t>
  </si>
  <si>
    <t>333x100</t>
  </si>
  <si>
    <t>200821</t>
  </si>
  <si>
    <t>200820</t>
  </si>
  <si>
    <t>200824</t>
  </si>
  <si>
    <t>200822</t>
  </si>
  <si>
    <t>200825</t>
  </si>
  <si>
    <t>200826</t>
  </si>
  <si>
    <t>200823</t>
  </si>
  <si>
    <t>333x120</t>
  </si>
  <si>
    <t>200841</t>
  </si>
  <si>
    <t>200840</t>
  </si>
  <si>
    <t>200844</t>
  </si>
  <si>
    <t>200842</t>
  </si>
  <si>
    <t>200845</t>
  </si>
  <si>
    <t>200846</t>
  </si>
  <si>
    <t>200843</t>
  </si>
  <si>
    <t>400x120</t>
  </si>
  <si>
    <t>400x150</t>
  </si>
  <si>
    <t>201321</t>
  </si>
  <si>
    <t>201320</t>
  </si>
  <si>
    <t>201324</t>
  </si>
  <si>
    <t>201322</t>
  </si>
  <si>
    <t>201325</t>
  </si>
  <si>
    <t>201326</t>
  </si>
  <si>
    <t>201323</t>
  </si>
  <si>
    <t>201341</t>
  </si>
  <si>
    <t>201340</t>
  </si>
  <si>
    <t>201344</t>
  </si>
  <si>
    <t>201342</t>
  </si>
  <si>
    <t>201345</t>
  </si>
  <si>
    <t>201346</t>
  </si>
  <si>
    <t>201343</t>
  </si>
  <si>
    <t>201361</t>
  </si>
  <si>
    <t>201360</t>
  </si>
  <si>
    <t>201364</t>
  </si>
  <si>
    <t>201362</t>
  </si>
  <si>
    <t>201365</t>
  </si>
  <si>
    <t>201366</t>
  </si>
  <si>
    <t>201363</t>
  </si>
  <si>
    <t>204001</t>
  </si>
  <si>
    <t>204000</t>
  </si>
  <si>
    <t>204004</t>
  </si>
  <si>
    <t>204002</t>
  </si>
  <si>
    <t>204005</t>
  </si>
  <si>
    <t>204006</t>
  </si>
  <si>
    <t>204003</t>
  </si>
  <si>
    <t>211021</t>
  </si>
  <si>
    <t>211020</t>
  </si>
  <si>
    <t>211024</t>
  </si>
  <si>
    <t>211022</t>
  </si>
  <si>
    <t>211025</t>
  </si>
  <si>
    <t>211026</t>
  </si>
  <si>
    <t>211023</t>
  </si>
  <si>
    <t>211061</t>
  </si>
  <si>
    <t>211060</t>
  </si>
  <si>
    <t>211064</t>
  </si>
  <si>
    <t>211062</t>
  </si>
  <si>
    <t>211065</t>
  </si>
  <si>
    <t>211066</t>
  </si>
  <si>
    <t>211063</t>
  </si>
  <si>
    <t>211101</t>
  </si>
  <si>
    <t>211100</t>
  </si>
  <si>
    <t>211104</t>
  </si>
  <si>
    <t>211102</t>
  </si>
  <si>
    <t>211105</t>
  </si>
  <si>
    <t>211106</t>
  </si>
  <si>
    <t>211103</t>
  </si>
  <si>
    <t>211001</t>
  </si>
  <si>
    <t>211000</t>
  </si>
  <si>
    <t>211004</t>
  </si>
  <si>
    <t>211002</t>
  </si>
  <si>
    <t>211005</t>
  </si>
  <si>
    <t>211006</t>
  </si>
  <si>
    <t>211003</t>
  </si>
  <si>
    <t>211041</t>
  </si>
  <si>
    <t>211040</t>
  </si>
  <si>
    <t>211044</t>
  </si>
  <si>
    <t>211042</t>
  </si>
  <si>
    <t>211045</t>
  </si>
  <si>
    <t>211046</t>
  </si>
  <si>
    <t>211043</t>
  </si>
  <si>
    <t>211081</t>
  </si>
  <si>
    <t>211080</t>
  </si>
  <si>
    <t>211082</t>
  </si>
  <si>
    <t>211085</t>
  </si>
  <si>
    <t>211086</t>
  </si>
  <si>
    <t>211083</t>
  </si>
  <si>
    <t>202021</t>
  </si>
  <si>
    <t>202020</t>
  </si>
  <si>
    <t>202024</t>
  </si>
  <si>
    <t>202022</t>
  </si>
  <si>
    <t>202025</t>
  </si>
  <si>
    <t>202026</t>
  </si>
  <si>
    <t>202023</t>
  </si>
  <si>
    <t>250/23x7</t>
  </si>
  <si>
    <t>202101</t>
  </si>
  <si>
    <t>202100</t>
  </si>
  <si>
    <t>202104</t>
  </si>
  <si>
    <t>202102</t>
  </si>
  <si>
    <t>202105</t>
  </si>
  <si>
    <t>202106</t>
  </si>
  <si>
    <t>202103</t>
  </si>
  <si>
    <t>202201</t>
  </si>
  <si>
    <t>202200</t>
  </si>
  <si>
    <t>202204</t>
  </si>
  <si>
    <t>202202</t>
  </si>
  <si>
    <t>202205</t>
  </si>
  <si>
    <t>202206</t>
  </si>
  <si>
    <t>202203</t>
  </si>
  <si>
    <t>400/30x7</t>
  </si>
  <si>
    <t>202041</t>
  </si>
  <si>
    <t>202040</t>
  </si>
  <si>
    <t>202044</t>
  </si>
  <si>
    <t>202042</t>
  </si>
  <si>
    <t>202045</t>
  </si>
  <si>
    <t>202046</t>
  </si>
  <si>
    <t>202043</t>
  </si>
  <si>
    <t>202121</t>
  </si>
  <si>
    <t>202120</t>
  </si>
  <si>
    <t>202124</t>
  </si>
  <si>
    <t>202122</t>
  </si>
  <si>
    <t>202125</t>
  </si>
  <si>
    <t>202126</t>
  </si>
  <si>
    <t>202123</t>
  </si>
  <si>
    <t>200101</t>
  </si>
  <si>
    <t>200100</t>
  </si>
  <si>
    <t>200104</t>
  </si>
  <si>
    <t>200102</t>
  </si>
  <si>
    <t>200105</t>
  </si>
  <si>
    <t>200106</t>
  </si>
  <si>
    <t>200103</t>
  </si>
  <si>
    <t>200121</t>
  </si>
  <si>
    <t>200120</t>
  </si>
  <si>
    <t>200124</t>
  </si>
  <si>
    <t>200122</t>
  </si>
  <si>
    <t>200125</t>
  </si>
  <si>
    <t>200123</t>
  </si>
  <si>
    <t>200141</t>
  </si>
  <si>
    <t>200140</t>
  </si>
  <si>
    <t>200144</t>
  </si>
  <si>
    <t>200142</t>
  </si>
  <si>
    <t>200145</t>
  </si>
  <si>
    <t>200146</t>
  </si>
  <si>
    <t>200143</t>
  </si>
  <si>
    <t>200501</t>
  </si>
  <si>
    <t>200500</t>
  </si>
  <si>
    <t>200504</t>
  </si>
  <si>
    <t>200502</t>
  </si>
  <si>
    <t>200505</t>
  </si>
  <si>
    <t>200506</t>
  </si>
  <si>
    <t>200503</t>
  </si>
  <si>
    <t>200541</t>
  </si>
  <si>
    <t>200540</t>
  </si>
  <si>
    <t>200544</t>
  </si>
  <si>
    <t>200542</t>
  </si>
  <si>
    <t>200545</t>
  </si>
  <si>
    <t>200546</t>
  </si>
  <si>
    <t>200543</t>
  </si>
  <si>
    <t>200581</t>
  </si>
  <si>
    <t>200580</t>
  </si>
  <si>
    <t>200584</t>
  </si>
  <si>
    <t>200582</t>
  </si>
  <si>
    <t>200585</t>
  </si>
  <si>
    <t>200586</t>
  </si>
  <si>
    <t>200583</t>
  </si>
  <si>
    <t>200521</t>
  </si>
  <si>
    <t>200520</t>
  </si>
  <si>
    <t>200524</t>
  </si>
  <si>
    <t>200522</t>
  </si>
  <si>
    <t>200525</t>
  </si>
  <si>
    <t>200526</t>
  </si>
  <si>
    <t>200523</t>
  </si>
  <si>
    <t>200561</t>
  </si>
  <si>
    <t>200560</t>
  </si>
  <si>
    <t>200564</t>
  </si>
  <si>
    <t>200562</t>
  </si>
  <si>
    <t>200565</t>
  </si>
  <si>
    <t>200566</t>
  </si>
  <si>
    <t>200563</t>
  </si>
  <si>
    <t>200601</t>
  </si>
  <si>
    <t>200600</t>
  </si>
  <si>
    <t>200604</t>
  </si>
  <si>
    <t>200602</t>
  </si>
  <si>
    <t>200605</t>
  </si>
  <si>
    <t>200606</t>
  </si>
  <si>
    <t>200603</t>
  </si>
  <si>
    <t>200901</t>
  </si>
  <si>
    <t>200900</t>
  </si>
  <si>
    <t>200904</t>
  </si>
  <si>
    <t>200902</t>
  </si>
  <si>
    <t>200905</t>
  </si>
  <si>
    <t>200906</t>
  </si>
  <si>
    <t>200903</t>
  </si>
  <si>
    <t>200921</t>
  </si>
  <si>
    <t>200920</t>
  </si>
  <si>
    <t>200924</t>
  </si>
  <si>
    <t>200922</t>
  </si>
  <si>
    <t>200925</t>
  </si>
  <si>
    <t>200926</t>
  </si>
  <si>
    <t>200923</t>
  </si>
  <si>
    <t>200941</t>
  </si>
  <si>
    <t>200940</t>
  </si>
  <si>
    <t>200944</t>
  </si>
  <si>
    <t>200942</t>
  </si>
  <si>
    <t>200945</t>
  </si>
  <si>
    <t>200946</t>
  </si>
  <si>
    <t>200943</t>
  </si>
  <si>
    <t>212001</t>
  </si>
  <si>
    <t>212000</t>
  </si>
  <si>
    <t>212004</t>
  </si>
  <si>
    <t>212002</t>
  </si>
  <si>
    <t>212005</t>
  </si>
  <si>
    <t>212006</t>
  </si>
  <si>
    <t>212003</t>
  </si>
  <si>
    <t>200221</t>
  </si>
  <si>
    <t>200220</t>
  </si>
  <si>
    <t>200224</t>
  </si>
  <si>
    <t>200222</t>
  </si>
  <si>
    <t>200225</t>
  </si>
  <si>
    <t>200226</t>
  </si>
  <si>
    <t>200223</t>
  </si>
  <si>
    <t>201381</t>
  </si>
  <si>
    <t>201380</t>
  </si>
  <si>
    <t>201384</t>
  </si>
  <si>
    <t>201382</t>
  </si>
  <si>
    <t>201385</t>
  </si>
  <si>
    <t>201386</t>
  </si>
  <si>
    <t>201383</t>
  </si>
  <si>
    <t>202001</t>
  </si>
  <si>
    <t>202000</t>
  </si>
  <si>
    <t>202004</t>
  </si>
  <si>
    <t>202002</t>
  </si>
  <si>
    <t>202005</t>
  </si>
  <si>
    <t>202006</t>
  </si>
  <si>
    <t>202003</t>
  </si>
  <si>
    <t>220021</t>
  </si>
  <si>
    <t>220020</t>
  </si>
  <si>
    <t>220024</t>
  </si>
  <si>
    <t>220022</t>
  </si>
  <si>
    <t>220025</t>
  </si>
  <si>
    <t>220026</t>
  </si>
  <si>
    <t>220023</t>
  </si>
  <si>
    <t>220041</t>
  </si>
  <si>
    <t>220040</t>
  </si>
  <si>
    <t>220044</t>
  </si>
  <si>
    <t>220042</t>
  </si>
  <si>
    <t>220045</t>
  </si>
  <si>
    <t>220046</t>
  </si>
  <si>
    <t>220043</t>
  </si>
  <si>
    <t>220061</t>
  </si>
  <si>
    <t>220060</t>
  </si>
  <si>
    <t>220064</t>
  </si>
  <si>
    <t>220062</t>
  </si>
  <si>
    <t>220065</t>
  </si>
  <si>
    <t>220066</t>
  </si>
  <si>
    <t>220063</t>
  </si>
  <si>
    <t>220081</t>
  </si>
  <si>
    <t>220080</t>
  </si>
  <si>
    <t>220082</t>
  </si>
  <si>
    <t>220001</t>
  </si>
  <si>
    <t>220000</t>
  </si>
  <si>
    <t>220004</t>
  </si>
  <si>
    <t>220002</t>
  </si>
  <si>
    <t>220005</t>
  </si>
  <si>
    <t>220006</t>
  </si>
  <si>
    <t>220003</t>
  </si>
  <si>
    <t>203901</t>
  </si>
  <si>
    <t>203900</t>
  </si>
  <si>
    <t>203904</t>
  </si>
  <si>
    <t>203902</t>
  </si>
  <si>
    <t>203905</t>
  </si>
  <si>
    <t>203906</t>
  </si>
  <si>
    <t>203903</t>
  </si>
  <si>
    <t>202801</t>
  </si>
  <si>
    <t>202800</t>
  </si>
  <si>
    <t>202804</t>
  </si>
  <si>
    <t>202802</t>
  </si>
  <si>
    <t>202805</t>
  </si>
  <si>
    <t>202806</t>
  </si>
  <si>
    <t>202803</t>
  </si>
  <si>
    <t>202821</t>
  </si>
  <si>
    <t>202820</t>
  </si>
  <si>
    <t>202824</t>
  </si>
  <si>
    <t>202822</t>
  </si>
  <si>
    <t>202825</t>
  </si>
  <si>
    <t>202826</t>
  </si>
  <si>
    <t>202823</t>
  </si>
  <si>
    <t>202841</t>
  </si>
  <si>
    <t>202840</t>
  </si>
  <si>
    <t>202844</t>
  </si>
  <si>
    <t>202842</t>
  </si>
  <si>
    <t>202845</t>
  </si>
  <si>
    <t>202846</t>
  </si>
  <si>
    <t>202843</t>
  </si>
  <si>
    <t>202861</t>
  </si>
  <si>
    <t>202860</t>
  </si>
  <si>
    <t>202864</t>
  </si>
  <si>
    <t>202862</t>
  </si>
  <si>
    <t>202865</t>
  </si>
  <si>
    <t>202866</t>
  </si>
  <si>
    <t>202863</t>
  </si>
  <si>
    <t>140 mm</t>
  </si>
  <si>
    <t>200 mm</t>
  </si>
  <si>
    <t>330 mm</t>
  </si>
  <si>
    <t>Ø 10 x 120 mm</t>
  </si>
  <si>
    <t>Ø 10 x 180 mm</t>
  </si>
  <si>
    <t>Ø 10 x 280 mm</t>
  </si>
  <si>
    <t>100–180 mm</t>
  </si>
  <si>
    <t>=</t>
  </si>
  <si>
    <t>180–260 mm</t>
  </si>
  <si>
    <t>202901</t>
  </si>
  <si>
    <t>202900</t>
  </si>
  <si>
    <t>202902</t>
  </si>
  <si>
    <t>202905</t>
  </si>
  <si>
    <t>202906</t>
  </si>
  <si>
    <t>202903</t>
  </si>
  <si>
    <t>⌀ 120</t>
  </si>
  <si>
    <t>201001</t>
  </si>
  <si>
    <t>201000</t>
  </si>
  <si>
    <t>201004</t>
  </si>
  <si>
    <t>201002</t>
  </si>
  <si>
    <t>201005</t>
  </si>
  <si>
    <t>201006</t>
  </si>
  <si>
    <t>201003</t>
  </si>
  <si>
    <t>Ø58</t>
  </si>
  <si>
    <t>202401</t>
  </si>
  <si>
    <t>202400</t>
  </si>
  <si>
    <t>202404</t>
  </si>
  <si>
    <t>202402</t>
  </si>
  <si>
    <t>202405</t>
  </si>
  <si>
    <t>202406</t>
  </si>
  <si>
    <t>202403</t>
  </si>
  <si>
    <t>202421</t>
  </si>
  <si>
    <t>202420</t>
  </si>
  <si>
    <t>202424</t>
  </si>
  <si>
    <t>202422</t>
  </si>
  <si>
    <t>202425</t>
  </si>
  <si>
    <t>202426</t>
  </si>
  <si>
    <t>202423</t>
  </si>
  <si>
    <t>202441</t>
  </si>
  <si>
    <t>202440</t>
  </si>
  <si>
    <t>202444</t>
  </si>
  <si>
    <t>202442</t>
  </si>
  <si>
    <t>202445</t>
  </si>
  <si>
    <t>202446</t>
  </si>
  <si>
    <t>202443</t>
  </si>
  <si>
    <t>202461</t>
  </si>
  <si>
    <t>202460</t>
  </si>
  <si>
    <t>202464</t>
  </si>
  <si>
    <t>202462</t>
  </si>
  <si>
    <t>202465</t>
  </si>
  <si>
    <t>202466</t>
  </si>
  <si>
    <t>202463</t>
  </si>
  <si>
    <t>202501</t>
  </si>
  <si>
    <t>202500</t>
  </si>
  <si>
    <t>202504</t>
  </si>
  <si>
    <t>202502</t>
  </si>
  <si>
    <t>202505</t>
  </si>
  <si>
    <t>202506</t>
  </si>
  <si>
    <t>202503</t>
  </si>
  <si>
    <t>202521</t>
  </si>
  <si>
    <t>202520</t>
  </si>
  <si>
    <t>202524</t>
  </si>
  <si>
    <t>202522</t>
  </si>
  <si>
    <t>202525</t>
  </si>
  <si>
    <t>202526</t>
  </si>
  <si>
    <t>202523</t>
  </si>
  <si>
    <t>202541</t>
  </si>
  <si>
    <t>202540</t>
  </si>
  <si>
    <t>202544</t>
  </si>
  <si>
    <t>202542</t>
  </si>
  <si>
    <t>202545</t>
  </si>
  <si>
    <t>202546</t>
  </si>
  <si>
    <t>202543</t>
  </si>
  <si>
    <t>202561</t>
  </si>
  <si>
    <t>202560</t>
  </si>
  <si>
    <t>202564</t>
  </si>
  <si>
    <t>202562</t>
  </si>
  <si>
    <t>202565</t>
  </si>
  <si>
    <t>202566</t>
  </si>
  <si>
    <t>202563</t>
  </si>
  <si>
    <t>202301</t>
  </si>
  <si>
    <t>202300</t>
  </si>
  <si>
    <t>202304</t>
  </si>
  <si>
    <t>202302</t>
  </si>
  <si>
    <t>202305</t>
  </si>
  <si>
    <t>202306</t>
  </si>
  <si>
    <t>202303</t>
  </si>
  <si>
    <t>202321</t>
  </si>
  <si>
    <t>202320</t>
  </si>
  <si>
    <t>202324</t>
  </si>
  <si>
    <t>202322</t>
  </si>
  <si>
    <t>202325</t>
  </si>
  <si>
    <t>202326</t>
  </si>
  <si>
    <t>202323</t>
  </si>
  <si>
    <t>202341</t>
  </si>
  <si>
    <t>202340</t>
  </si>
  <si>
    <t>202344</t>
  </si>
  <si>
    <t>202342</t>
  </si>
  <si>
    <t>202345</t>
  </si>
  <si>
    <t>202346</t>
  </si>
  <si>
    <t>202343</t>
  </si>
  <si>
    <t>202361</t>
  </si>
  <si>
    <t>202360</t>
  </si>
  <si>
    <t>202364</t>
  </si>
  <si>
    <t>202362</t>
  </si>
  <si>
    <t>202365</t>
  </si>
  <si>
    <t>202366</t>
  </si>
  <si>
    <t>202363</t>
  </si>
  <si>
    <t>202621</t>
  </si>
  <si>
    <t>202620</t>
  </si>
  <si>
    <t>202624</t>
  </si>
  <si>
    <t>202622</t>
  </si>
  <si>
    <t>202625</t>
  </si>
  <si>
    <t>202626</t>
  </si>
  <si>
    <t>202623</t>
  </si>
  <si>
    <t>202641</t>
  </si>
  <si>
    <t>202640</t>
  </si>
  <si>
    <t>202644</t>
  </si>
  <si>
    <t>202642</t>
  </si>
  <si>
    <t>202645</t>
  </si>
  <si>
    <t>202646</t>
  </si>
  <si>
    <t>202643</t>
  </si>
  <si>
    <t>202661</t>
  </si>
  <si>
    <t>202660</t>
  </si>
  <si>
    <t>202664</t>
  </si>
  <si>
    <t>202662</t>
  </si>
  <si>
    <t>202665</t>
  </si>
  <si>
    <t>202666</t>
  </si>
  <si>
    <t>202663</t>
  </si>
  <si>
    <t>204321</t>
  </si>
  <si>
    <t>204320</t>
  </si>
  <si>
    <t>204324</t>
  </si>
  <si>
    <t>204322</t>
  </si>
  <si>
    <t>204325</t>
  </si>
  <si>
    <t>204326</t>
  </si>
  <si>
    <t>204323</t>
  </si>
  <si>
    <t>203121</t>
  </si>
  <si>
    <t>203120</t>
  </si>
  <si>
    <t>203124</t>
  </si>
  <si>
    <t>203125</t>
  </si>
  <si>
    <t>203126</t>
  </si>
  <si>
    <t>203123</t>
  </si>
  <si>
    <t>203141</t>
  </si>
  <si>
    <t>203140</t>
  </si>
  <si>
    <t>203144</t>
  </si>
  <si>
    <t>203142</t>
  </si>
  <si>
    <t>203145</t>
  </si>
  <si>
    <t>203146</t>
  </si>
  <si>
    <t>203143</t>
  </si>
  <si>
    <t>203161</t>
  </si>
  <si>
    <t>203160</t>
  </si>
  <si>
    <t>203164</t>
  </si>
  <si>
    <t>203162</t>
  </si>
  <si>
    <t>203165</t>
  </si>
  <si>
    <t>203166</t>
  </si>
  <si>
    <t>203163</t>
  </si>
  <si>
    <t>203021</t>
  </si>
  <si>
    <t>203020</t>
  </si>
  <si>
    <t>203024</t>
  </si>
  <si>
    <t>203022</t>
  </si>
  <si>
    <t>203025</t>
  </si>
  <si>
    <t>203026</t>
  </si>
  <si>
    <t>203023</t>
  </si>
  <si>
    <t>203041</t>
  </si>
  <si>
    <t>203040</t>
  </si>
  <si>
    <t>203044</t>
  </si>
  <si>
    <t>203042</t>
  </si>
  <si>
    <t>203045</t>
  </si>
  <si>
    <t>203046</t>
  </si>
  <si>
    <t>203043</t>
  </si>
  <si>
    <t>203061</t>
  </si>
  <si>
    <t>203060</t>
  </si>
  <si>
    <t>203064</t>
  </si>
  <si>
    <t>203062</t>
  </si>
  <si>
    <t>203066</t>
  </si>
  <si>
    <t>203063</t>
  </si>
  <si>
    <t>80 x ⌀ 60</t>
  </si>
  <si>
    <t>80 x ⌀ 80</t>
  </si>
  <si>
    <t>100 x ⌀ 60</t>
  </si>
  <si>
    <t>100 x ⌀ 80</t>
  </si>
  <si>
    <t>100 x ⌀ 100</t>
  </si>
  <si>
    <t>120 x ⌀ 80</t>
  </si>
  <si>
    <t>120 x ⌀ 100</t>
  </si>
  <si>
    <t>120 x ⌀ 120</t>
  </si>
  <si>
    <t>203201</t>
  </si>
  <si>
    <t>203200</t>
  </si>
  <si>
    <t>203204</t>
  </si>
  <si>
    <t>203202</t>
  </si>
  <si>
    <t>203205</t>
  </si>
  <si>
    <t>203206</t>
  </si>
  <si>
    <t>203203</t>
  </si>
  <si>
    <t>60/80</t>
  </si>
  <si>
    <t>203241</t>
  </si>
  <si>
    <t>203240</t>
  </si>
  <si>
    <t>203244</t>
  </si>
  <si>
    <t>203242</t>
  </si>
  <si>
    <t>203245</t>
  </si>
  <si>
    <t>203246</t>
  </si>
  <si>
    <t>203243</t>
  </si>
  <si>
    <t>80/80</t>
  </si>
  <si>
    <t>203221</t>
  </si>
  <si>
    <t>203220</t>
  </si>
  <si>
    <t>203224</t>
  </si>
  <si>
    <t>203222</t>
  </si>
  <si>
    <t>203225</t>
  </si>
  <si>
    <t>203226</t>
  </si>
  <si>
    <t>203223</t>
  </si>
  <si>
    <t>100/60</t>
  </si>
  <si>
    <t>203261</t>
  </si>
  <si>
    <t>203260</t>
  </si>
  <si>
    <t>203262</t>
  </si>
  <si>
    <t>203265</t>
  </si>
  <si>
    <t>203266</t>
  </si>
  <si>
    <t>203263</t>
  </si>
  <si>
    <t>100/80</t>
  </si>
  <si>
    <t>203321</t>
  </si>
  <si>
    <t>203320</t>
  </si>
  <si>
    <t>203324</t>
  </si>
  <si>
    <t>203322</t>
  </si>
  <si>
    <t>203325</t>
  </si>
  <si>
    <t>203326</t>
  </si>
  <si>
    <t>203323</t>
  </si>
  <si>
    <t>100/100</t>
  </si>
  <si>
    <t>203281</t>
  </si>
  <si>
    <t>203280</t>
  </si>
  <si>
    <t>203284</t>
  </si>
  <si>
    <t>203282</t>
  </si>
  <si>
    <t>203285</t>
  </si>
  <si>
    <t>203286</t>
  </si>
  <si>
    <t>203283</t>
  </si>
  <si>
    <t>120/80</t>
  </si>
  <si>
    <t>203341</t>
  </si>
  <si>
    <t>203340</t>
  </si>
  <si>
    <t>203344</t>
  </si>
  <si>
    <t>203342</t>
  </si>
  <si>
    <t>203345</t>
  </si>
  <si>
    <t>203346</t>
  </si>
  <si>
    <t>203343</t>
  </si>
  <si>
    <t>120/100</t>
  </si>
  <si>
    <t>203361</t>
  </si>
  <si>
    <t>203360</t>
  </si>
  <si>
    <t>203364</t>
  </si>
  <si>
    <t>203362</t>
  </si>
  <si>
    <t>203365</t>
  </si>
  <si>
    <t>203366</t>
  </si>
  <si>
    <t>203363</t>
  </si>
  <si>
    <t>120/120</t>
  </si>
  <si>
    <t>100 × ⌀ 50–75 mm</t>
  </si>
  <si>
    <t>203301</t>
  </si>
  <si>
    <t>203300</t>
  </si>
  <si>
    <t>203304</t>
  </si>
  <si>
    <t>203302</t>
  </si>
  <si>
    <t>203305</t>
  </si>
  <si>
    <t>203306</t>
  </si>
  <si>
    <t>203303</t>
  </si>
  <si>
    <t>100/50-75</t>
  </si>
  <si>
    <t>100/150</t>
  </si>
  <si>
    <t>203601</t>
  </si>
  <si>
    <t>203600</t>
  </si>
  <si>
    <t>203604</t>
  </si>
  <si>
    <t>203602</t>
  </si>
  <si>
    <t>203605</t>
  </si>
  <si>
    <t>203606</t>
  </si>
  <si>
    <t>203603</t>
  </si>
  <si>
    <t>60/115</t>
  </si>
  <si>
    <t>203621</t>
  </si>
  <si>
    <t>203620</t>
  </si>
  <si>
    <t>203624</t>
  </si>
  <si>
    <t>203622</t>
  </si>
  <si>
    <t>203625</t>
  </si>
  <si>
    <t>203626</t>
  </si>
  <si>
    <t>203623</t>
  </si>
  <si>
    <t>80/115</t>
  </si>
  <si>
    <t>203641</t>
  </si>
  <si>
    <t>203640</t>
  </si>
  <si>
    <t>203644</t>
  </si>
  <si>
    <t>203642</t>
  </si>
  <si>
    <t>203645</t>
  </si>
  <si>
    <t>203646</t>
  </si>
  <si>
    <t>203643</t>
  </si>
  <si>
    <t>100/115</t>
  </si>
  <si>
    <t>203661</t>
  </si>
  <si>
    <t>203660</t>
  </si>
  <si>
    <t>203664</t>
  </si>
  <si>
    <t>203662</t>
  </si>
  <si>
    <t>203665</t>
  </si>
  <si>
    <t>203666</t>
  </si>
  <si>
    <t>203663</t>
  </si>
  <si>
    <t>203681</t>
  </si>
  <si>
    <t>203680</t>
  </si>
  <si>
    <t>203684</t>
  </si>
  <si>
    <t>203682</t>
  </si>
  <si>
    <t>203685</t>
  </si>
  <si>
    <t>203686</t>
  </si>
  <si>
    <t>203683</t>
  </si>
  <si>
    <t>120/150</t>
  </si>
  <si>
    <t>203701</t>
  </si>
  <si>
    <t>203700</t>
  </si>
  <si>
    <t>203704</t>
  </si>
  <si>
    <t>203702</t>
  </si>
  <si>
    <t>203705</t>
  </si>
  <si>
    <t>203706</t>
  </si>
  <si>
    <t>203703</t>
  </si>
  <si>
    <t>80/1000</t>
  </si>
  <si>
    <t>203721</t>
  </si>
  <si>
    <t>203720</t>
  </si>
  <si>
    <t>203724</t>
  </si>
  <si>
    <t>203722</t>
  </si>
  <si>
    <t>203725</t>
  </si>
  <si>
    <t>203726</t>
  </si>
  <si>
    <t>203723</t>
  </si>
  <si>
    <t>100/1000</t>
  </si>
  <si>
    <t>203741</t>
  </si>
  <si>
    <t>203740</t>
  </si>
  <si>
    <t>203744</t>
  </si>
  <si>
    <t>203742</t>
  </si>
  <si>
    <t>203745</t>
  </si>
  <si>
    <t>203746</t>
  </si>
  <si>
    <t>203743</t>
  </si>
  <si>
    <t>120/1000</t>
  </si>
  <si>
    <t>202701</t>
  </si>
  <si>
    <t>202700</t>
  </si>
  <si>
    <t>202704</t>
  </si>
  <si>
    <t>202702</t>
  </si>
  <si>
    <t>202705</t>
  </si>
  <si>
    <t>202706</t>
  </si>
  <si>
    <t>202703</t>
  </si>
  <si>
    <t>202721</t>
  </si>
  <si>
    <t>202720</t>
  </si>
  <si>
    <t>202724</t>
  </si>
  <si>
    <t>202722</t>
  </si>
  <si>
    <t>202725</t>
  </si>
  <si>
    <t>202726</t>
  </si>
  <si>
    <t>202723</t>
  </si>
  <si>
    <t>202741</t>
  </si>
  <si>
    <t>202740</t>
  </si>
  <si>
    <t>202744</t>
  </si>
  <si>
    <t>202742</t>
  </si>
  <si>
    <t>202745</t>
  </si>
  <si>
    <t>202746</t>
  </si>
  <si>
    <t>202743</t>
  </si>
  <si>
    <t>202761</t>
  </si>
  <si>
    <t>202760</t>
  </si>
  <si>
    <t>202764</t>
  </si>
  <si>
    <t>202762</t>
  </si>
  <si>
    <t>202765</t>
  </si>
  <si>
    <t>202766</t>
  </si>
  <si>
    <t>202763</t>
  </si>
  <si>
    <t>521303</t>
  </si>
  <si>
    <t>204201</t>
  </si>
  <si>
    <t>204200</t>
  </si>
  <si>
    <t>204204</t>
  </si>
  <si>
    <t>204202</t>
  </si>
  <si>
    <t>204205</t>
  </si>
  <si>
    <t>204206</t>
  </si>
  <si>
    <t>204203</t>
  </si>
  <si>
    <t>204221</t>
  </si>
  <si>
    <t>204220</t>
  </si>
  <si>
    <t>204224</t>
  </si>
  <si>
    <t>204222</t>
  </si>
  <si>
    <t>204225</t>
  </si>
  <si>
    <t>204226</t>
  </si>
  <si>
    <t>204223</t>
  </si>
  <si>
    <t>Ø 110/100 mm</t>
  </si>
  <si>
    <t>110/100</t>
  </si>
  <si>
    <t>125/120</t>
  </si>
  <si>
    <t>⌀ 110/100 mm</t>
  </si>
  <si>
    <t>⌀ 125/120 mm</t>
  </si>
  <si>
    <t>203801</t>
  </si>
  <si>
    <t>203800</t>
  </si>
  <si>
    <t>203804</t>
  </si>
  <si>
    <t>203802</t>
  </si>
  <si>
    <t>203805</t>
  </si>
  <si>
    <t>203806</t>
  </si>
  <si>
    <t>203803</t>
  </si>
  <si>
    <t>203821</t>
  </si>
  <si>
    <t>203820</t>
  </si>
  <si>
    <t>203822</t>
  </si>
  <si>
    <t>203825</t>
  </si>
  <si>
    <t>203826</t>
  </si>
  <si>
    <t>203823</t>
  </si>
  <si>
    <t>203841</t>
  </si>
  <si>
    <t>203840</t>
  </si>
  <si>
    <t>203844</t>
  </si>
  <si>
    <t>203842</t>
  </si>
  <si>
    <t>203845</t>
  </si>
  <si>
    <t>203846</t>
  </si>
  <si>
    <t>203843</t>
  </si>
  <si>
    <t>201121</t>
  </si>
  <si>
    <t>201120</t>
  </si>
  <si>
    <t>201124</t>
  </si>
  <si>
    <t>201122</t>
  </si>
  <si>
    <t>201125</t>
  </si>
  <si>
    <t>201126</t>
  </si>
  <si>
    <t>201123</t>
  </si>
  <si>
    <t>201141</t>
  </si>
  <si>
    <t>201140</t>
  </si>
  <si>
    <t>201144</t>
  </si>
  <si>
    <t>201142</t>
  </si>
  <si>
    <t>201145</t>
  </si>
  <si>
    <t>201146</t>
  </si>
  <si>
    <t>201143</t>
  </si>
  <si>
    <t>201161</t>
  </si>
  <si>
    <t>201160</t>
  </si>
  <si>
    <t>201164</t>
  </si>
  <si>
    <t>201162</t>
  </si>
  <si>
    <t>201165</t>
  </si>
  <si>
    <t>201166</t>
  </si>
  <si>
    <t>201163</t>
  </si>
  <si>
    <t>201441</t>
  </si>
  <si>
    <t>201440</t>
  </si>
  <si>
    <t>201444</t>
  </si>
  <si>
    <t>201442</t>
  </si>
  <si>
    <t>201445</t>
  </si>
  <si>
    <t>201446</t>
  </si>
  <si>
    <t>201443</t>
  </si>
  <si>
    <t>201241</t>
  </si>
  <si>
    <t>201240</t>
  </si>
  <si>
    <t>201244</t>
  </si>
  <si>
    <t>201242</t>
  </si>
  <si>
    <t>201245</t>
  </si>
  <si>
    <t>201243</t>
  </si>
  <si>
    <t>201261</t>
  </si>
  <si>
    <t>201260</t>
  </si>
  <si>
    <t>201264</t>
  </si>
  <si>
    <t>201262</t>
  </si>
  <si>
    <t>201265</t>
  </si>
  <si>
    <t>201266</t>
  </si>
  <si>
    <t>201263</t>
  </si>
  <si>
    <t>silbermet</t>
  </si>
  <si>
    <t>dunkelgrau</t>
  </si>
  <si>
    <t>4 × 9,5 mm</t>
  </si>
  <si>
    <t>533003</t>
  </si>
  <si>
    <t>533004</t>
  </si>
  <si>
    <t>533011</t>
  </si>
  <si>
    <t>533009</t>
  </si>
  <si>
    <t>533007</t>
  </si>
  <si>
    <t>533025</t>
  </si>
  <si>
    <t>533027</t>
  </si>
  <si>
    <t xml:space="preserve">533001  </t>
  </si>
  <si>
    <t xml:space="preserve">533009  </t>
  </si>
  <si>
    <t xml:space="preserve">533003  </t>
  </si>
  <si>
    <t xml:space="preserve">533008  </t>
  </si>
  <si>
    <t xml:space="preserve">533004  </t>
  </si>
  <si>
    <t xml:space="preserve">533007  </t>
  </si>
  <si>
    <t xml:space="preserve">533016  </t>
  </si>
  <si>
    <t xml:space="preserve">533010  </t>
  </si>
  <si>
    <t xml:space="preserve">533014  </t>
  </si>
  <si>
    <t xml:space="preserve">533017  </t>
  </si>
  <si>
    <t xml:space="preserve">533025  </t>
  </si>
  <si>
    <t>533017</t>
  </si>
  <si>
    <t>4mm</t>
  </si>
  <si>
    <t xml:space="preserve">533002  </t>
  </si>
  <si>
    <t>4,8mm</t>
  </si>
  <si>
    <t>204041</t>
  </si>
  <si>
    <t>204040</t>
  </si>
  <si>
    <t>204044</t>
  </si>
  <si>
    <t>204042</t>
  </si>
  <si>
    <t>204045</t>
  </si>
  <si>
    <t>204046</t>
  </si>
  <si>
    <t>204043</t>
  </si>
  <si>
    <t>667020</t>
  </si>
  <si>
    <t>667004</t>
  </si>
  <si>
    <t>667002</t>
  </si>
  <si>
    <t>667007</t>
  </si>
  <si>
    <t>667003</t>
  </si>
  <si>
    <t>667005</t>
  </si>
  <si>
    <t>667012</t>
  </si>
  <si>
    <t>667006</t>
  </si>
  <si>
    <t>667009</t>
  </si>
  <si>
    <t>667013</t>
  </si>
  <si>
    <t>667014</t>
  </si>
  <si>
    <t>667015</t>
  </si>
  <si>
    <t>blende 25er</t>
  </si>
  <si>
    <t>blende 28er</t>
  </si>
  <si>
    <t>blende 33er</t>
  </si>
  <si>
    <t>blende 40er</t>
  </si>
  <si>
    <t>dila 25er</t>
  </si>
  <si>
    <t>dila 28er</t>
  </si>
  <si>
    <t>dila 33er</t>
  </si>
  <si>
    <t>dila 40er</t>
  </si>
  <si>
    <t>430151</t>
  </si>
  <si>
    <t>430150</t>
  </si>
  <si>
    <t>430153</t>
  </si>
  <si>
    <t>430152</t>
  </si>
  <si>
    <t>430154</t>
  </si>
  <si>
    <t>430155</t>
  </si>
  <si>
    <t>430201</t>
  </si>
  <si>
    <t>430200</t>
  </si>
  <si>
    <t>430203</t>
  </si>
  <si>
    <t>430202</t>
  </si>
  <si>
    <t>430204</t>
  </si>
  <si>
    <t>430205</t>
  </si>
  <si>
    <t>600mm</t>
  </si>
  <si>
    <t>1500mm</t>
  </si>
  <si>
    <t>3000mm</t>
  </si>
  <si>
    <t>braun</t>
  </si>
  <si>
    <t>schwarz</t>
  </si>
  <si>
    <t>prefaweiß</t>
  </si>
  <si>
    <t>nussbraun</t>
  </si>
  <si>
    <t>3.000 mm</t>
  </si>
  <si>
    <t>600 mm</t>
  </si>
  <si>
    <t>1.500 mm</t>
  </si>
  <si>
    <t>230702</t>
  </si>
  <si>
    <t>230700</t>
  </si>
  <si>
    <t>230701</t>
  </si>
  <si>
    <t>230722</t>
  </si>
  <si>
    <t>230720</t>
  </si>
  <si>
    <t>230721</t>
  </si>
  <si>
    <t>230742</t>
  </si>
  <si>
    <t>230740</t>
  </si>
  <si>
    <t>230741</t>
  </si>
  <si>
    <t>230001</t>
  </si>
  <si>
    <t>230000</t>
  </si>
  <si>
    <t>230004</t>
  </si>
  <si>
    <t>230002</t>
  </si>
  <si>
    <t>230005</t>
  </si>
  <si>
    <t>230006</t>
  </si>
  <si>
    <t>230003</t>
  </si>
  <si>
    <t>230021</t>
  </si>
  <si>
    <t>230020</t>
  </si>
  <si>
    <t>230024</t>
  </si>
  <si>
    <t>230022</t>
  </si>
  <si>
    <t>230025</t>
  </si>
  <si>
    <t>230026</t>
  </si>
  <si>
    <t>230023</t>
  </si>
  <si>
    <t>230041</t>
  </si>
  <si>
    <t>230040</t>
  </si>
  <si>
    <t>230044</t>
  </si>
  <si>
    <t>230042</t>
  </si>
  <si>
    <t>230045</t>
  </si>
  <si>
    <t>230046</t>
  </si>
  <si>
    <t>230043</t>
  </si>
  <si>
    <t>230902</t>
  </si>
  <si>
    <t>230901</t>
  </si>
  <si>
    <t>230201</t>
  </si>
  <si>
    <t>230200</t>
  </si>
  <si>
    <t>230204</t>
  </si>
  <si>
    <t>230205</t>
  </si>
  <si>
    <t>230206</t>
  </si>
  <si>
    <t>230203</t>
  </si>
  <si>
    <t>230922</t>
  </si>
  <si>
    <t>230920</t>
  </si>
  <si>
    <t>230921</t>
  </si>
  <si>
    <t>230221</t>
  </si>
  <si>
    <t>230220</t>
  </si>
  <si>
    <t>230224</t>
  </si>
  <si>
    <t>230225</t>
  </si>
  <si>
    <t>230226</t>
  </si>
  <si>
    <t>230223</t>
  </si>
  <si>
    <t>230942</t>
  </si>
  <si>
    <t>230940</t>
  </si>
  <si>
    <t>230941</t>
  </si>
  <si>
    <t>230301</t>
  </si>
  <si>
    <t>230300</t>
  </si>
  <si>
    <t>230304</t>
  </si>
  <si>
    <t>230302</t>
  </si>
  <si>
    <t>230305</t>
  </si>
  <si>
    <t>230306</t>
  </si>
  <si>
    <t>230303</t>
  </si>
  <si>
    <r>
      <rPr>
        <sz val="11"/>
        <color theme="1"/>
        <rFont val="Aptos Narrow"/>
        <family val="2"/>
      </rPr>
      <t>Ø</t>
    </r>
    <r>
      <rPr>
        <sz val="11"/>
        <color theme="1"/>
        <rFont val="Arial"/>
        <family val="2"/>
      </rPr>
      <t>106</t>
    </r>
  </si>
  <si>
    <t>230982</t>
  </si>
  <si>
    <t>230980</t>
  </si>
  <si>
    <t>230981</t>
  </si>
  <si>
    <t>Ø115</t>
  </si>
  <si>
    <t>⌀ 100 mm; passend für HT/KG (NW 110 mm)</t>
  </si>
  <si>
    <t>230401</t>
  </si>
  <si>
    <t>230400</t>
  </si>
  <si>
    <t>230404</t>
  </si>
  <si>
    <t>230405</t>
  </si>
  <si>
    <t>230406</t>
  </si>
  <si>
    <t>230403</t>
  </si>
  <si>
    <t>230421</t>
  </si>
  <si>
    <t>230420</t>
  </si>
  <si>
    <t>230424</t>
  </si>
  <si>
    <t>230422</t>
  </si>
  <si>
    <t>230425</t>
  </si>
  <si>
    <t>230426</t>
  </si>
  <si>
    <t>230423</t>
  </si>
  <si>
    <r>
      <rPr>
        <sz val="11"/>
        <color theme="1"/>
        <rFont val="Aptos Narrow"/>
        <family val="2"/>
      </rPr>
      <t>Ø</t>
    </r>
    <r>
      <rPr>
        <sz val="11"/>
        <color theme="1"/>
        <rFont val="Arial"/>
        <family val="2"/>
      </rPr>
      <t>100</t>
    </r>
  </si>
  <si>
    <t>Ø100</t>
  </si>
  <si>
    <r>
      <rPr>
        <sz val="11"/>
        <color theme="1"/>
        <rFont val="Aptos Narrow"/>
        <family val="2"/>
      </rPr>
      <t>Ø</t>
    </r>
    <r>
      <rPr>
        <sz val="11"/>
        <color theme="1"/>
        <rFont val="Arial"/>
        <family val="2"/>
      </rPr>
      <t>120</t>
    </r>
  </si>
  <si>
    <t>250 / 80 × 80 mm</t>
  </si>
  <si>
    <t>333 / 80 x 80 mm</t>
  </si>
  <si>
    <t>333 / 100 × 100 mm</t>
  </si>
  <si>
    <t>400 / 100 × 100 mm</t>
  </si>
  <si>
    <t>231042</t>
  </si>
  <si>
    <t>231040</t>
  </si>
  <si>
    <t>231041</t>
  </si>
  <si>
    <t>230601</t>
  </si>
  <si>
    <t>230600</t>
  </si>
  <si>
    <t>23604</t>
  </si>
  <si>
    <t>230602</t>
  </si>
  <si>
    <t>230605</t>
  </si>
  <si>
    <t>230606</t>
  </si>
  <si>
    <t>230603</t>
  </si>
  <si>
    <t>230802</t>
  </si>
  <si>
    <t>230800</t>
  </si>
  <si>
    <t>230801</t>
  </si>
  <si>
    <t>230101</t>
  </si>
  <si>
    <t>230100</t>
  </si>
  <si>
    <t>230102</t>
  </si>
  <si>
    <t>230105</t>
  </si>
  <si>
    <t>230106</t>
  </si>
  <si>
    <t>230103</t>
  </si>
  <si>
    <t>230321</t>
  </si>
  <si>
    <t>230320</t>
  </si>
  <si>
    <t>230322</t>
  </si>
  <si>
    <t>330 mm</t>
  </si>
  <si>
    <t>140 mm</t>
  </si>
  <si>
    <t>200 mm</t>
  </si>
  <si>
    <t>202904</t>
  </si>
  <si>
    <t>kurz</t>
  </si>
  <si>
    <t>lang</t>
  </si>
  <si>
    <t>patinagrau</t>
  </si>
  <si>
    <t>521503</t>
  </si>
  <si>
    <t>521562</t>
  </si>
  <si>
    <t>521560</t>
  </si>
  <si>
    <t>521561</t>
  </si>
  <si>
    <t>522061</t>
  </si>
  <si>
    <t>522064</t>
  </si>
  <si>
    <t>522062</t>
  </si>
  <si>
    <t>522063</t>
  </si>
  <si>
    <t>522065</t>
  </si>
  <si>
    <t>522068</t>
  </si>
  <si>
    <t>522081</t>
  </si>
  <si>
    <t>519120</t>
  </si>
  <si>
    <t>519123</t>
  </si>
  <si>
    <t>519121</t>
  </si>
  <si>
    <t>519122</t>
  </si>
  <si>
    <r>
      <t>60</t>
    </r>
    <r>
      <rPr>
        <sz val="11"/>
        <rFont val="Calibri"/>
        <family val="2"/>
      </rPr>
      <t>Ø</t>
    </r>
  </si>
  <si>
    <t>80Ø</t>
  </si>
  <si>
    <t>100Ø</t>
  </si>
  <si>
    <t>120Ø</t>
  </si>
  <si>
    <t>150Ø</t>
  </si>
  <si>
    <t>537044</t>
  </si>
  <si>
    <t>537048</t>
  </si>
  <si>
    <t>537045</t>
  </si>
  <si>
    <t>537046</t>
  </si>
  <si>
    <t>573230</t>
  </si>
  <si>
    <t>573233</t>
  </si>
  <si>
    <t>573232</t>
  </si>
  <si>
    <t>573231</t>
  </si>
  <si>
    <t>573234</t>
  </si>
  <si>
    <t>573237</t>
  </si>
  <si>
    <t>573314</t>
  </si>
  <si>
    <t>573312</t>
  </si>
  <si>
    <t>573311</t>
  </si>
  <si>
    <t>50er3m</t>
  </si>
  <si>
    <t>50er6m</t>
  </si>
  <si>
    <t>500/35x7</t>
  </si>
  <si>
    <t>50er</t>
  </si>
  <si>
    <t>524021</t>
  </si>
  <si>
    <t>524024</t>
  </si>
  <si>
    <t>524017</t>
  </si>
  <si>
    <t>524020</t>
  </si>
  <si>
    <t>524018</t>
  </si>
  <si>
    <t>524019</t>
  </si>
  <si>
    <t>500x120</t>
  </si>
  <si>
    <t>500x150</t>
  </si>
  <si>
    <t>60Ø</t>
  </si>
  <si>
    <t>668420</t>
  </si>
  <si>
    <t>80mm</t>
  </si>
  <si>
    <t>519200</t>
  </si>
  <si>
    <t>519203</t>
  </si>
  <si>
    <t>519201</t>
  </si>
  <si>
    <t>519202</t>
  </si>
  <si>
    <t>526250</t>
  </si>
  <si>
    <t>526253</t>
  </si>
  <si>
    <t>526251</t>
  </si>
  <si>
    <t>526252</t>
  </si>
  <si>
    <t xml:space="preserve">526005  </t>
  </si>
  <si>
    <t xml:space="preserve">526013  </t>
  </si>
  <si>
    <t xml:space="preserve">526012  </t>
  </si>
  <si>
    <t xml:space="preserve">526020  </t>
  </si>
  <si>
    <t xml:space="preserve">526015  </t>
  </si>
  <si>
    <t xml:space="preserve">526027  </t>
  </si>
  <si>
    <t xml:space="preserve">526023  </t>
  </si>
  <si>
    <t xml:space="preserve">526069  </t>
  </si>
  <si>
    <t xml:space="preserve">526084  </t>
  </si>
  <si>
    <t xml:space="preserve">526007  </t>
  </si>
  <si>
    <t xml:space="preserve">526008  </t>
  </si>
  <si>
    <t xml:space="preserve">526003  </t>
  </si>
  <si>
    <t xml:space="preserve">526018  </t>
  </si>
  <si>
    <t xml:space="preserve">526006  </t>
  </si>
  <si>
    <t xml:space="preserve">526026  </t>
  </si>
  <si>
    <t xml:space="preserve">526024  </t>
  </si>
  <si>
    <t xml:space="preserve">526033  </t>
  </si>
  <si>
    <t xml:space="preserve">526077  </t>
  </si>
  <si>
    <t xml:space="preserve">526001  </t>
  </si>
  <si>
    <t xml:space="preserve">526002  </t>
  </si>
  <si>
    <t xml:space="preserve">526004  </t>
  </si>
  <si>
    <t xml:space="preserve">526022  </t>
  </si>
  <si>
    <t xml:space="preserve">526011  </t>
  </si>
  <si>
    <t xml:space="preserve">526028  </t>
  </si>
  <si>
    <t xml:space="preserve">526025  </t>
  </si>
  <si>
    <t xml:space="preserve">526072  </t>
  </si>
  <si>
    <t xml:space="preserve">526085  </t>
  </si>
  <si>
    <t xml:space="preserve">526009  </t>
  </si>
  <si>
    <t xml:space="preserve">526010  </t>
  </si>
  <si>
    <t xml:space="preserve">526014  </t>
  </si>
  <si>
    <t xml:space="preserve">526016  </t>
  </si>
  <si>
    <t>526270</t>
  </si>
  <si>
    <t xml:space="preserve">526070  </t>
  </si>
  <si>
    <t xml:space="preserve">526312  </t>
  </si>
  <si>
    <t xml:space="preserve">526310  </t>
  </si>
  <si>
    <t xml:space="preserve">526311  </t>
  </si>
  <si>
    <t xml:space="preserve">526318  </t>
  </si>
  <si>
    <t xml:space="preserve">526071  </t>
  </si>
  <si>
    <t xml:space="preserve">526302  </t>
  </si>
  <si>
    <t xml:space="preserve">526300  </t>
  </si>
  <si>
    <t xml:space="preserve">526301  </t>
  </si>
  <si>
    <t xml:space="preserve">526308  </t>
  </si>
  <si>
    <t xml:space="preserve">526076  </t>
  </si>
  <si>
    <t xml:space="preserve">526322  </t>
  </si>
  <si>
    <t xml:space="preserve">526320  </t>
  </si>
  <si>
    <t xml:space="preserve">526321  </t>
  </si>
  <si>
    <t>526230</t>
  </si>
  <si>
    <t xml:space="preserve">526035  </t>
  </si>
  <si>
    <t xml:space="preserve">526053  </t>
  </si>
  <si>
    <t xml:space="preserve">526050  </t>
  </si>
  <si>
    <t xml:space="preserve">526059  </t>
  </si>
  <si>
    <t xml:space="preserve">526051  </t>
  </si>
  <si>
    <t xml:space="preserve">526064  </t>
  </si>
  <si>
    <t xml:space="preserve">526056  </t>
  </si>
  <si>
    <t xml:space="preserve">526073  </t>
  </si>
  <si>
    <t xml:space="preserve">526086  </t>
  </si>
  <si>
    <t xml:space="preserve">526036  </t>
  </si>
  <si>
    <t xml:space="preserve">526054  </t>
  </si>
  <si>
    <t xml:space="preserve">526044  </t>
  </si>
  <si>
    <t xml:space="preserve">526060  </t>
  </si>
  <si>
    <t xml:space="preserve">526045  </t>
  </si>
  <si>
    <t xml:space="preserve">526062  </t>
  </si>
  <si>
    <t xml:space="preserve">526057  </t>
  </si>
  <si>
    <t xml:space="preserve">526040  </t>
  </si>
  <si>
    <t xml:space="preserve">526075  </t>
  </si>
  <si>
    <t xml:space="preserve">526037  </t>
  </si>
  <si>
    <t xml:space="preserve">526055  </t>
  </si>
  <si>
    <t xml:space="preserve">526047  </t>
  </si>
  <si>
    <t xml:space="preserve">526061  </t>
  </si>
  <si>
    <t xml:space="preserve">526048  </t>
  </si>
  <si>
    <t xml:space="preserve">526063  </t>
  </si>
  <si>
    <t xml:space="preserve">526058  </t>
  </si>
  <si>
    <t xml:space="preserve">526074  </t>
  </si>
  <si>
    <t xml:space="preserve">526087  </t>
  </si>
  <si>
    <t xml:space="preserve">527011  </t>
  </si>
  <si>
    <t xml:space="preserve">527012  </t>
  </si>
  <si>
    <t xml:space="preserve">527013  </t>
  </si>
  <si>
    <t xml:space="preserve">527020  </t>
  </si>
  <si>
    <t xml:space="preserve">527014  </t>
  </si>
  <si>
    <t xml:space="preserve">527027  </t>
  </si>
  <si>
    <t xml:space="preserve">527023  </t>
  </si>
  <si>
    <t xml:space="preserve">527036  </t>
  </si>
  <si>
    <t xml:space="preserve">527042  </t>
  </si>
  <si>
    <t xml:space="preserve">527009  </t>
  </si>
  <si>
    <t xml:space="preserve">527010  </t>
  </si>
  <si>
    <t xml:space="preserve">527001  </t>
  </si>
  <si>
    <t xml:space="preserve">527018  </t>
  </si>
  <si>
    <t xml:space="preserve">527003  </t>
  </si>
  <si>
    <t xml:space="preserve">527026  </t>
  </si>
  <si>
    <t xml:space="preserve">527024  </t>
  </si>
  <si>
    <t xml:space="preserve">527030  </t>
  </si>
  <si>
    <t xml:space="preserve">527038  </t>
  </si>
  <si>
    <t xml:space="preserve">527007  </t>
  </si>
  <si>
    <t xml:space="preserve">527008  </t>
  </si>
  <si>
    <t xml:space="preserve">527002  </t>
  </si>
  <si>
    <t xml:space="preserve">527022  </t>
  </si>
  <si>
    <t xml:space="preserve">527004  </t>
  </si>
  <si>
    <t xml:space="preserve">527028  </t>
  </si>
  <si>
    <t xml:space="preserve">527025  </t>
  </si>
  <si>
    <t xml:space="preserve">527037  </t>
  </si>
  <si>
    <t xml:space="preserve">527043  </t>
  </si>
  <si>
    <t xml:space="preserve">527005  </t>
  </si>
  <si>
    <t xml:space="preserve">527006  </t>
  </si>
  <si>
    <t xml:space="preserve">527016  </t>
  </si>
  <si>
    <t xml:space="preserve">527015  </t>
  </si>
  <si>
    <t>527400</t>
  </si>
  <si>
    <t xml:space="preserve">539220  </t>
  </si>
  <si>
    <t xml:space="preserve">539223  </t>
  </si>
  <si>
    <t xml:space="preserve">539221  </t>
  </si>
  <si>
    <t xml:space="preserve">539226  </t>
  </si>
  <si>
    <t xml:space="preserve">539222  </t>
  </si>
  <si>
    <t xml:space="preserve">539227  </t>
  </si>
  <si>
    <t xml:space="preserve">539225  </t>
  </si>
  <si>
    <t xml:space="preserve">539229  </t>
  </si>
  <si>
    <t xml:space="preserve">539231  </t>
  </si>
  <si>
    <t xml:space="preserve">539200  </t>
  </si>
  <si>
    <t xml:space="preserve">539203  </t>
  </si>
  <si>
    <t xml:space="preserve">539201  </t>
  </si>
  <si>
    <t xml:space="preserve">539206  </t>
  </si>
  <si>
    <t xml:space="preserve">539202  </t>
  </si>
  <si>
    <t xml:space="preserve">539207  </t>
  </si>
  <si>
    <t xml:space="preserve">539205  </t>
  </si>
  <si>
    <t xml:space="preserve">539209  </t>
  </si>
  <si>
    <t xml:space="preserve">539212  </t>
  </si>
  <si>
    <t xml:space="preserve">539240  </t>
  </si>
  <si>
    <t xml:space="preserve">539243  </t>
  </si>
  <si>
    <t xml:space="preserve">539241  </t>
  </si>
  <si>
    <t xml:space="preserve">539246  </t>
  </si>
  <si>
    <t xml:space="preserve">539242  </t>
  </si>
  <si>
    <t xml:space="preserve">539247  </t>
  </si>
  <si>
    <t xml:space="preserve">539245  </t>
  </si>
  <si>
    <t xml:space="preserve">539249  </t>
  </si>
  <si>
    <t xml:space="preserve">539251  </t>
  </si>
  <si>
    <t xml:space="preserve">539009  </t>
  </si>
  <si>
    <t xml:space="preserve">539011  </t>
  </si>
  <si>
    <t xml:space="preserve">539010  </t>
  </si>
  <si>
    <t xml:space="preserve">539016  </t>
  </si>
  <si>
    <t xml:space="preserve">539012  </t>
  </si>
  <si>
    <t xml:space="preserve">539023  </t>
  </si>
  <si>
    <t xml:space="preserve">539019  </t>
  </si>
  <si>
    <t xml:space="preserve">539025  </t>
  </si>
  <si>
    <t xml:space="preserve">539040  </t>
  </si>
  <si>
    <t xml:space="preserve">539002  </t>
  </si>
  <si>
    <t xml:space="preserve">539001  </t>
  </si>
  <si>
    <t xml:space="preserve">539005  </t>
  </si>
  <si>
    <t xml:space="preserve">539014  </t>
  </si>
  <si>
    <t xml:space="preserve">539007  </t>
  </si>
  <si>
    <t xml:space="preserve">539022  </t>
  </si>
  <si>
    <t xml:space="preserve">539020  </t>
  </si>
  <si>
    <t xml:space="preserve">539030  </t>
  </si>
  <si>
    <t xml:space="preserve">539036  </t>
  </si>
  <si>
    <t xml:space="preserve">539004  </t>
  </si>
  <si>
    <t xml:space="preserve">539003  </t>
  </si>
  <si>
    <t xml:space="preserve">539006  </t>
  </si>
  <si>
    <t xml:space="preserve">539018  </t>
  </si>
  <si>
    <t xml:space="preserve">539008  </t>
  </si>
  <si>
    <t xml:space="preserve">539024  </t>
  </si>
  <si>
    <t xml:space="preserve">539021  </t>
  </si>
  <si>
    <t xml:space="preserve">539026  </t>
  </si>
  <si>
    <t xml:space="preserve">539041  </t>
  </si>
  <si>
    <t>542140</t>
  </si>
  <si>
    <t>542143</t>
  </si>
  <si>
    <t>542141</t>
  </si>
  <si>
    <t>542142</t>
  </si>
  <si>
    <t>542018</t>
  </si>
  <si>
    <t>542019</t>
  </si>
  <si>
    <t>542020</t>
  </si>
  <si>
    <t>542033</t>
  </si>
  <si>
    <t>542022</t>
  </si>
  <si>
    <t>542050</t>
  </si>
  <si>
    <t>542028</t>
  </si>
  <si>
    <t>542061</t>
  </si>
  <si>
    <t>542067</t>
  </si>
  <si>
    <t>542120</t>
  </si>
  <si>
    <t>542123</t>
  </si>
  <si>
    <t>542121</t>
  </si>
  <si>
    <t>542122</t>
  </si>
  <si>
    <t>542016</t>
  </si>
  <si>
    <t>542017</t>
  </si>
  <si>
    <t>542034</t>
  </si>
  <si>
    <t>542021</t>
  </si>
  <si>
    <t>542051</t>
  </si>
  <si>
    <t>542029</t>
  </si>
  <si>
    <t>542062</t>
  </si>
  <si>
    <t>542068</t>
  </si>
  <si>
    <t>542001</t>
  </si>
  <si>
    <t>542002</t>
  </si>
  <si>
    <t>542012</t>
  </si>
  <si>
    <t>542035</t>
  </si>
  <si>
    <t>542004</t>
  </si>
  <si>
    <t>542052</t>
  </si>
  <si>
    <t>542030</t>
  </si>
  <si>
    <t>542047</t>
  </si>
  <si>
    <t>542066</t>
  </si>
  <si>
    <t>⌀ 100 × 50–75 mm</t>
  </si>
  <si>
    <t xml:space="preserve">542080  </t>
  </si>
  <si>
    <t xml:space="preserve">542083  </t>
  </si>
  <si>
    <t xml:space="preserve">542081  </t>
  </si>
  <si>
    <t xml:space="preserve">542085  </t>
  </si>
  <si>
    <t xml:space="preserve">542082  </t>
  </si>
  <si>
    <t xml:space="preserve">542086  </t>
  </si>
  <si>
    <t xml:space="preserve">542084  </t>
  </si>
  <si>
    <t xml:space="preserve">542088  </t>
  </si>
  <si>
    <t xml:space="preserve">542089  </t>
  </si>
  <si>
    <t>537304</t>
  </si>
  <si>
    <t>537307</t>
  </si>
  <si>
    <t>537305</t>
  </si>
  <si>
    <t>537306</t>
  </si>
  <si>
    <t xml:space="preserve">537300  </t>
  </si>
  <si>
    <t xml:space="preserve">537212  </t>
  </si>
  <si>
    <t xml:space="preserve">537210  </t>
  </si>
  <si>
    <t xml:space="preserve">537215  </t>
  </si>
  <si>
    <t xml:space="preserve">537211  </t>
  </si>
  <si>
    <t xml:space="preserve">537216  </t>
  </si>
  <si>
    <t xml:space="preserve">537214  </t>
  </si>
  <si>
    <t xml:space="preserve">537248  </t>
  </si>
  <si>
    <t xml:space="preserve">537256  </t>
  </si>
  <si>
    <t xml:space="preserve">537301  </t>
  </si>
  <si>
    <t xml:space="preserve">537222  </t>
  </si>
  <si>
    <t xml:space="preserve">537220  </t>
  </si>
  <si>
    <t xml:space="preserve">537225  </t>
  </si>
  <si>
    <t xml:space="preserve">537221  </t>
  </si>
  <si>
    <t xml:space="preserve">537217  </t>
  </si>
  <si>
    <t xml:space="preserve">537224  </t>
  </si>
  <si>
    <t xml:space="preserve">537227  </t>
  </si>
  <si>
    <t xml:space="preserve">537250  </t>
  </si>
  <si>
    <t xml:space="preserve">537302  </t>
  </si>
  <si>
    <t xml:space="preserve">537232  </t>
  </si>
  <si>
    <t xml:space="preserve">537230  </t>
  </si>
  <si>
    <t xml:space="preserve">537235  </t>
  </si>
  <si>
    <t xml:space="preserve">537231  </t>
  </si>
  <si>
    <t xml:space="preserve">537218  </t>
  </si>
  <si>
    <t xml:space="preserve">537234  </t>
  </si>
  <si>
    <t xml:space="preserve">537237  </t>
  </si>
  <si>
    <t xml:space="preserve">537251  </t>
  </si>
  <si>
    <t xml:space="preserve">537303  </t>
  </si>
  <si>
    <t xml:space="preserve">537242  </t>
  </si>
  <si>
    <t xml:space="preserve">537240  </t>
  </si>
  <si>
    <t xml:space="preserve">537245  </t>
  </si>
  <si>
    <t xml:space="preserve">537241  </t>
  </si>
  <si>
    <t xml:space="preserve">537219  </t>
  </si>
  <si>
    <t xml:space="preserve">537244  </t>
  </si>
  <si>
    <t xml:space="preserve">537249  </t>
  </si>
  <si>
    <t xml:space="preserve">537258  </t>
  </si>
  <si>
    <t xml:space="preserve">668110  </t>
  </si>
  <si>
    <t xml:space="preserve">668115  </t>
  </si>
  <si>
    <t xml:space="preserve">668113  </t>
  </si>
  <si>
    <t xml:space="preserve">668118  </t>
  </si>
  <si>
    <t xml:space="preserve">668114  </t>
  </si>
  <si>
    <t xml:space="preserve">668119  </t>
  </si>
  <si>
    <t xml:space="preserve">668117  </t>
  </si>
  <si>
    <t xml:space="preserve">668121  </t>
  </si>
  <si>
    <t xml:space="preserve">668123  </t>
  </si>
  <si>
    <t xml:space="preserve">668111  </t>
  </si>
  <si>
    <t xml:space="preserve">668132  </t>
  </si>
  <si>
    <t xml:space="preserve">668130  </t>
  </si>
  <si>
    <t xml:space="preserve">668135  </t>
  </si>
  <si>
    <t xml:space="preserve">668131  </t>
  </si>
  <si>
    <t xml:space="preserve">668136  </t>
  </si>
  <si>
    <t xml:space="preserve">668134  </t>
  </si>
  <si>
    <t xml:space="preserve">668138  </t>
  </si>
  <si>
    <t xml:space="preserve">668141  </t>
  </si>
  <si>
    <t xml:space="preserve">668112  </t>
  </si>
  <si>
    <t xml:space="preserve">668152  </t>
  </si>
  <si>
    <t xml:space="preserve">668150  </t>
  </si>
  <si>
    <t xml:space="preserve">668155  </t>
  </si>
  <si>
    <t xml:space="preserve">668151  </t>
  </si>
  <si>
    <t xml:space="preserve">668156  </t>
  </si>
  <si>
    <t xml:space="preserve">668154  </t>
  </si>
  <si>
    <t xml:space="preserve">668158  </t>
  </si>
  <si>
    <t xml:space="preserve">668160  </t>
  </si>
  <si>
    <t>527304</t>
  </si>
  <si>
    <t>527372</t>
  </si>
  <si>
    <t>527370</t>
  </si>
  <si>
    <t>527371</t>
  </si>
  <si>
    <t xml:space="preserve">527300  </t>
  </si>
  <si>
    <t xml:space="preserve">527312  </t>
  </si>
  <si>
    <t xml:space="preserve">527310  </t>
  </si>
  <si>
    <t xml:space="preserve">527313  </t>
  </si>
  <si>
    <t xml:space="preserve">527311  </t>
  </si>
  <si>
    <t xml:space="preserve">527314  </t>
  </si>
  <si>
    <t xml:space="preserve">527315  </t>
  </si>
  <si>
    <t xml:space="preserve">527316  </t>
  </si>
  <si>
    <t xml:space="preserve">527318  </t>
  </si>
  <si>
    <t xml:space="preserve">527301  </t>
  </si>
  <si>
    <t xml:space="preserve">527332  </t>
  </si>
  <si>
    <t xml:space="preserve">527330  </t>
  </si>
  <si>
    <t xml:space="preserve">527333  </t>
  </si>
  <si>
    <t xml:space="preserve">527331  </t>
  </si>
  <si>
    <t xml:space="preserve">527334  </t>
  </si>
  <si>
    <t xml:space="preserve">527335  </t>
  </si>
  <si>
    <t xml:space="preserve">527336  </t>
  </si>
  <si>
    <t xml:space="preserve">527338  </t>
  </si>
  <si>
    <t xml:space="preserve">527302  </t>
  </si>
  <si>
    <t xml:space="preserve">527352  </t>
  </si>
  <si>
    <t xml:space="preserve">527350  </t>
  </si>
  <si>
    <t xml:space="preserve">527354  </t>
  </si>
  <si>
    <t xml:space="preserve">527351  </t>
  </si>
  <si>
    <t xml:space="preserve">527355  </t>
  </si>
  <si>
    <t xml:space="preserve">527353  </t>
  </si>
  <si>
    <t xml:space="preserve">527357  </t>
  </si>
  <si>
    <t xml:space="preserve">527358  </t>
  </si>
  <si>
    <t>537320</t>
  </si>
  <si>
    <t>537321</t>
  </si>
  <si>
    <t>537323</t>
  </si>
  <si>
    <t>537340</t>
  </si>
  <si>
    <t>537341</t>
  </si>
  <si>
    <t>537343</t>
  </si>
  <si>
    <t>537360</t>
  </si>
  <si>
    <t>537370</t>
  </si>
  <si>
    <t>Ø110</t>
  </si>
  <si>
    <t>537371</t>
  </si>
  <si>
    <t>Ø125</t>
  </si>
  <si>
    <t xml:space="preserve">668103  </t>
  </si>
  <si>
    <t xml:space="preserve">668302  </t>
  </si>
  <si>
    <t xml:space="preserve">668300  </t>
  </si>
  <si>
    <t xml:space="preserve">668304  </t>
  </si>
  <si>
    <t xml:space="preserve">668301  </t>
  </si>
  <si>
    <t xml:space="preserve">668307  </t>
  </si>
  <si>
    <t xml:space="preserve">668306  </t>
  </si>
  <si>
    <t xml:space="preserve">668305  </t>
  </si>
  <si>
    <t xml:space="preserve">668309  </t>
  </si>
  <si>
    <t xml:space="preserve">668104  </t>
  </si>
  <si>
    <t xml:space="preserve">668322  </t>
  </si>
  <si>
    <t xml:space="preserve">668320  </t>
  </si>
  <si>
    <t xml:space="preserve">668324  </t>
  </si>
  <si>
    <t xml:space="preserve">668321  </t>
  </si>
  <si>
    <t xml:space="preserve">668327  </t>
  </si>
  <si>
    <t xml:space="preserve">668326  </t>
  </si>
  <si>
    <t xml:space="preserve">668325  </t>
  </si>
  <si>
    <t xml:space="preserve">668329  </t>
  </si>
  <si>
    <t xml:space="preserve">668105  </t>
  </si>
  <si>
    <t xml:space="preserve">668342  </t>
  </si>
  <si>
    <t xml:space="preserve">668340  </t>
  </si>
  <si>
    <t xml:space="preserve">668344  </t>
  </si>
  <si>
    <t xml:space="preserve">668341  </t>
  </si>
  <si>
    <t xml:space="preserve">668347  </t>
  </si>
  <si>
    <t xml:space="preserve">668346  </t>
  </si>
  <si>
    <t xml:space="preserve">668345  </t>
  </si>
  <si>
    <t xml:space="preserve">668349  </t>
  </si>
  <si>
    <t xml:space="preserve">550005  </t>
  </si>
  <si>
    <t xml:space="preserve">550102  </t>
  </si>
  <si>
    <t xml:space="preserve">550100  </t>
  </si>
  <si>
    <t xml:space="preserve">550104  </t>
  </si>
  <si>
    <t xml:space="preserve">550101  </t>
  </si>
  <si>
    <t xml:space="preserve">550105  </t>
  </si>
  <si>
    <t xml:space="preserve">550103  </t>
  </si>
  <si>
    <t xml:space="preserve">550107  </t>
  </si>
  <si>
    <t xml:space="preserve">550108  </t>
  </si>
  <si>
    <t xml:space="preserve">550006  </t>
  </si>
  <si>
    <t xml:space="preserve">550122  </t>
  </si>
  <si>
    <t xml:space="preserve">550120  </t>
  </si>
  <si>
    <t xml:space="preserve">550124  </t>
  </si>
  <si>
    <t xml:space="preserve">550121  </t>
  </si>
  <si>
    <t xml:space="preserve">550125  </t>
  </si>
  <si>
    <t xml:space="preserve">550123  </t>
  </si>
  <si>
    <t xml:space="preserve">550127  </t>
  </si>
  <si>
    <t xml:space="preserve">550128  </t>
  </si>
  <si>
    <t xml:space="preserve">550007  </t>
  </si>
  <si>
    <t xml:space="preserve">550142  </t>
  </si>
  <si>
    <t xml:space="preserve">550140  </t>
  </si>
  <si>
    <t xml:space="preserve">550144  </t>
  </si>
  <si>
    <t xml:space="preserve">550141  </t>
  </si>
  <si>
    <t xml:space="preserve">550145  </t>
  </si>
  <si>
    <t xml:space="preserve">550143  </t>
  </si>
  <si>
    <t xml:space="preserve">550147  </t>
  </si>
  <si>
    <t xml:space="preserve">550148  </t>
  </si>
  <si>
    <t>550008</t>
  </si>
  <si>
    <t>550162</t>
  </si>
  <si>
    <t>550160</t>
  </si>
  <si>
    <t>550161</t>
  </si>
  <si>
    <t>550009</t>
  </si>
  <si>
    <t>550222</t>
  </si>
  <si>
    <t>550220</t>
  </si>
  <si>
    <t>550221</t>
  </si>
  <si>
    <t xml:space="preserve">553010  </t>
  </si>
  <si>
    <t xml:space="preserve">553013  </t>
  </si>
  <si>
    <t xml:space="preserve">553011  </t>
  </si>
  <si>
    <t xml:space="preserve">553014  </t>
  </si>
  <si>
    <t xml:space="preserve">553012  </t>
  </si>
  <si>
    <t xml:space="preserve">553015  </t>
  </si>
  <si>
    <t xml:space="preserve">553016  </t>
  </si>
  <si>
    <t xml:space="preserve">553017  </t>
  </si>
  <si>
    <t xml:space="preserve">553019  </t>
  </si>
  <si>
    <t>553030</t>
  </si>
  <si>
    <t>553032</t>
  </si>
  <si>
    <t>553050</t>
  </si>
  <si>
    <t>4 × 9,5 mm</t>
  </si>
  <si>
    <t>4,8 × 17 mm</t>
  </si>
  <si>
    <t xml:space="preserve">667020  </t>
  </si>
  <si>
    <t xml:space="preserve">667004  </t>
  </si>
  <si>
    <t xml:space="preserve">667002  </t>
  </si>
  <si>
    <t xml:space="preserve">667007  </t>
  </si>
  <si>
    <t xml:space="preserve">667003  </t>
  </si>
  <si>
    <t xml:space="preserve">667012  </t>
  </si>
  <si>
    <t xml:space="preserve">667006  </t>
  </si>
  <si>
    <t xml:space="preserve">667009  </t>
  </si>
  <si>
    <t xml:space="preserve">667013  </t>
  </si>
  <si>
    <t>5mm</t>
  </si>
  <si>
    <t>547102</t>
  </si>
  <si>
    <t>547101</t>
  </si>
  <si>
    <t>547100</t>
  </si>
  <si>
    <t>547103</t>
  </si>
  <si>
    <t>547106</t>
  </si>
  <si>
    <t>547105</t>
  </si>
  <si>
    <t>547104</t>
  </si>
  <si>
    <t>430157</t>
  </si>
  <si>
    <t>430156</t>
  </si>
  <si>
    <t>430207</t>
  </si>
  <si>
    <t>01 Braun</t>
  </si>
  <si>
    <t>02 Antthrazit</t>
  </si>
  <si>
    <t>07 Hellgrau</t>
  </si>
  <si>
    <t>12 Silbermetallic</t>
  </si>
  <si>
    <t>13 Naturblank</t>
  </si>
  <si>
    <t>151161</t>
  </si>
  <si>
    <t>161162</t>
  </si>
  <si>
    <t>161163</t>
  </si>
  <si>
    <t>151160</t>
  </si>
  <si>
    <t>150161</t>
  </si>
  <si>
    <t>150162</t>
  </si>
  <si>
    <t>150163</t>
  </si>
  <si>
    <t>150165</t>
  </si>
  <si>
    <t>150160</t>
  </si>
  <si>
    <r>
      <rPr>
        <sz val="13"/>
        <color theme="1"/>
        <rFont val="Aptos Narrow"/>
        <family val="2"/>
      </rPr>
      <t>Ø</t>
    </r>
    <r>
      <rPr>
        <sz val="13"/>
        <color theme="1"/>
        <rFont val="Calibri"/>
        <family val="2"/>
      </rPr>
      <t>106</t>
    </r>
  </si>
  <si>
    <r>
      <rPr>
        <sz val="11"/>
        <color theme="1"/>
        <rFont val="Aptos Narrow"/>
        <family val="2"/>
      </rPr>
      <t>Ø</t>
    </r>
    <r>
      <rPr>
        <sz val="11"/>
        <color theme="1"/>
        <rFont val="Arial"/>
        <family val="2"/>
      </rPr>
      <t>98</t>
    </r>
  </si>
  <si>
    <t>250/□80</t>
  </si>
  <si>
    <t>333/□80</t>
  </si>
  <si>
    <t>333/□100</t>
  </si>
  <si>
    <t>400/□100</t>
  </si>
  <si>
    <t>4x9,5</t>
  </si>
  <si>
    <t>4,8x17</t>
  </si>
  <si>
    <t>Datum:</t>
  </si>
  <si>
    <t>Bemerkung:</t>
  </si>
  <si>
    <t>Registerblatt:</t>
  </si>
  <si>
    <t>Zelle:</t>
  </si>
  <si>
    <t>Zusatzinfo</t>
  </si>
  <si>
    <t>Von:</t>
  </si>
  <si>
    <t>Saumstreifen bei DR29 falsche Länge hinterlegt</t>
  </si>
  <si>
    <t>DR29</t>
  </si>
  <si>
    <t>P35 + Q35</t>
  </si>
  <si>
    <t>von 2 auf 1,8 geändert</t>
  </si>
  <si>
    <t>MUA</t>
  </si>
  <si>
    <t>Bei Farben wurde "P.10" als Text ergänzt</t>
  </si>
  <si>
    <t>RI_P.10</t>
  </si>
  <si>
    <t>G16-G18</t>
  </si>
  <si>
    <t>QR_P.10</t>
  </si>
  <si>
    <t>Farbe P.10 Dunkelgrau 2021 neu hinzugefügt</t>
  </si>
  <si>
    <t>alle</t>
  </si>
  <si>
    <t>Anpassung Farbmatrix</t>
  </si>
  <si>
    <t>RI</t>
  </si>
  <si>
    <t>GRM, MUA</t>
  </si>
  <si>
    <t>Rohrübergang hinzugefügt</t>
  </si>
  <si>
    <t>RI, RI P.10</t>
  </si>
  <si>
    <t>neues Produkt</t>
  </si>
  <si>
    <t>GRM</t>
  </si>
  <si>
    <t>Anpassung Dimension Schiebemuffe</t>
  </si>
  <si>
    <t>Ø120</t>
  </si>
  <si>
    <t>Anpassung Dimension Speiereinmündung</t>
  </si>
  <si>
    <t>Ø80</t>
  </si>
  <si>
    <t>Rohrschellendorn "alt" ausgeblendet</t>
  </si>
  <si>
    <t>Zeile 71 bzw. 63</t>
  </si>
  <si>
    <t>entfällt</t>
  </si>
  <si>
    <t>diverse Artikelnummern ausgebessert</t>
  </si>
  <si>
    <t>DR29, RI, RI P.10</t>
  </si>
  <si>
    <t>MUA, GRM</t>
  </si>
  <si>
    <t>Übersetzungen übernommen</t>
  </si>
  <si>
    <t>Sprachindex</t>
  </si>
  <si>
    <t>Zeile 424 bis 435</t>
  </si>
  <si>
    <t>55 x 78 - CK02</t>
  </si>
  <si>
    <t>55 x 98 - CK04</t>
  </si>
  <si>
    <t>Dachflächenfenstereinfassung für PREFALZ</t>
  </si>
  <si>
    <t>55 x 118 - CK06</t>
  </si>
  <si>
    <t>55 x 78-118 cm</t>
  </si>
  <si>
    <t>66 x 118 - FK06</t>
  </si>
  <si>
    <t>66 x 98-140 cm</t>
  </si>
  <si>
    <t>66 x 140 - FK08</t>
  </si>
  <si>
    <t>78 x 98-140 cm</t>
  </si>
  <si>
    <t>78 x 98 - MK04</t>
  </si>
  <si>
    <t>78 x 160-180 cm</t>
  </si>
  <si>
    <t>78 x 118 - MK06</t>
  </si>
  <si>
    <t>78 x 140 - MK08</t>
  </si>
  <si>
    <t>94 x 160-180 cm</t>
  </si>
  <si>
    <t>78 x 160 - MK10</t>
  </si>
  <si>
    <t>114 x 118-140 cm</t>
  </si>
  <si>
    <t>78 x 180 - MK12</t>
  </si>
  <si>
    <t>114 x 160-180 cm</t>
  </si>
  <si>
    <t>94 x 98 - PK04</t>
  </si>
  <si>
    <t>134 x 98-140 cm</t>
  </si>
  <si>
    <t>94 x 118 - PK06</t>
  </si>
  <si>
    <t>134 x 160-180 cm</t>
  </si>
  <si>
    <t>94 x 140 - PK08</t>
  </si>
  <si>
    <t>94 x 160 - PK10</t>
  </si>
  <si>
    <t>114 x 118 - SK06</t>
  </si>
  <si>
    <t>114 x 140 - SK08</t>
  </si>
  <si>
    <t>114 x 160 - SK10</t>
  </si>
  <si>
    <t>134 x 98 - UK04</t>
  </si>
  <si>
    <t>134 x 140 - UK08</t>
  </si>
  <si>
    <t>134 x 160 - UK10</t>
  </si>
  <si>
    <t>54 x 78 - 05/07_WD</t>
  </si>
  <si>
    <t>550 x 774 - Q55/78_WD</t>
  </si>
  <si>
    <t>550 x 974 - Q55/98_WD</t>
  </si>
  <si>
    <t>54 x 118 - 05/11_WD</t>
  </si>
  <si>
    <t>550 x 1.174 - Q55/118_WD</t>
  </si>
  <si>
    <t>65 x 98 - 06/09_WD</t>
  </si>
  <si>
    <t>660 x 974 - Q66/98_WD</t>
  </si>
  <si>
    <t>65 x 118 - 06/11_WD</t>
  </si>
  <si>
    <t>65 x 140 - 06/14_WD</t>
  </si>
  <si>
    <t>660 x 1.394 - Q66/140_WD</t>
  </si>
  <si>
    <t>74 x 78 - 07/07_WD</t>
  </si>
  <si>
    <t>780 x 774 - Q78/78_WD</t>
  </si>
  <si>
    <t>74 x 98 - 07/09_WD</t>
  </si>
  <si>
    <t>780 x 974 - Q78/98_WD</t>
  </si>
  <si>
    <t>74 x 118 - 07/11_WD</t>
  </si>
  <si>
    <t>780 x 1.174 - Q78/118_WD</t>
  </si>
  <si>
    <t>74 x 140 - 07/14_WD</t>
  </si>
  <si>
    <t>780 x 1.394 - Q78/140_WD</t>
  </si>
  <si>
    <t>74 x 160 - 07/16_WD</t>
  </si>
  <si>
    <t>780 x 1.596 - Q78/160_WD</t>
  </si>
  <si>
    <t>94 x 78 - 09/07_WD</t>
  </si>
  <si>
    <t>940 x 774 - Q94/78_WD</t>
  </si>
  <si>
    <t>94 x 98 - 09/09_WD</t>
  </si>
  <si>
    <t>940 x 974 - Q94/98_WD</t>
  </si>
  <si>
    <t>94 x 118 - 09/11_WD</t>
  </si>
  <si>
    <t>940 x 1.174 - Q94/118_WD</t>
  </si>
  <si>
    <t>94 x 140 - 09/14_WD</t>
  </si>
  <si>
    <t>940 x 1.394 - Q94/140_WD</t>
  </si>
  <si>
    <t>94 x 160 - 09/16_WD</t>
  </si>
  <si>
    <t>940 x 1.596 - Q94/160_WD</t>
  </si>
  <si>
    <t>114 x 78 - 11/07_WD</t>
  </si>
  <si>
    <t>940 x 1.796 - Q94/180_WD</t>
  </si>
  <si>
    <t>114 x 98 - 11/09_WD</t>
  </si>
  <si>
    <t>1.140 x 774 - Q114/78_WD</t>
  </si>
  <si>
    <t>114 x 118 - 11/11_WD</t>
  </si>
  <si>
    <t>1.140 x 974 - Q114/98_WD</t>
  </si>
  <si>
    <t>114 x 140 - 11/14_WD</t>
  </si>
  <si>
    <t>1.140 x 1.174 - Q114/118_WD</t>
  </si>
  <si>
    <t>114 x 160 - 11/16_WD</t>
  </si>
  <si>
    <t>1.140 x 1.394 - Q114/140_WD</t>
  </si>
  <si>
    <t>134 x 78 - 13/07_WD</t>
  </si>
  <si>
    <t>1.140 x 1.596 - Q114/160_WD</t>
  </si>
  <si>
    <t>134 x 98 - 13/09_WD</t>
  </si>
  <si>
    <t>1.140 x 1.796 - Q114/180_WD</t>
  </si>
  <si>
    <t>134 x 140 - 13/14_WD</t>
  </si>
  <si>
    <t>1.340 x 774 - Q134/78_WD</t>
  </si>
  <si>
    <t>1.340 x 974 - Q134/98_WD</t>
  </si>
  <si>
    <t>1.340 x 1.174 - Q134/118_WD</t>
  </si>
  <si>
    <t>54 x 78 - 05/07_OWD</t>
  </si>
  <si>
    <t>1.340 x 1.394 - Q134/140_WD</t>
  </si>
  <si>
    <t>54 x 98 - 05/09_OWD</t>
  </si>
  <si>
    <t>1.340 x 1.596 - Q134/160_WD</t>
  </si>
  <si>
    <t>54 x 118 - 05/11_OWD</t>
  </si>
  <si>
    <t>65 x 98 - 06/09_OWD</t>
  </si>
  <si>
    <t>65 x 118 - 06/11_OWD</t>
  </si>
  <si>
    <t>550 x 774 - Q55/78_OWD</t>
  </si>
  <si>
    <t>65 x 140 - 06/14_OWD</t>
  </si>
  <si>
    <t>550 x 974 - Q55/98_OWD</t>
  </si>
  <si>
    <t>74 x 78 - 07/07_OWD</t>
  </si>
  <si>
    <t>550 x 1.174 - Q55/118_OWD</t>
  </si>
  <si>
    <t>74 x 98 - 07/09_OWD</t>
  </si>
  <si>
    <t>660 x 974 - Q66/98_OWD</t>
  </si>
  <si>
    <t>74 x 118 - 07/11_OWD</t>
  </si>
  <si>
    <t>660 x 1.174 - Q66/118_OWD</t>
  </si>
  <si>
    <t>74 x 140 - 07/14_OWD</t>
  </si>
  <si>
    <t>660 x 1.394 - Q66/140_OWD</t>
  </si>
  <si>
    <t>74 x 160 - 07/16_OWD</t>
  </si>
  <si>
    <t>780 x 774 - Q78/78_OWD</t>
  </si>
  <si>
    <t>94 x 78 - 09/07_OWD</t>
  </si>
  <si>
    <t>780 x 974 - Q78/98_OWD</t>
  </si>
  <si>
    <t>94 x 98 - 09/09_OWD</t>
  </si>
  <si>
    <t>780 x 1.174 - Q78/118_OWD</t>
  </si>
  <si>
    <t>94 x 118 - 09/11_OWD</t>
  </si>
  <si>
    <t>780 x 1.394 - Q78/140_OWD</t>
  </si>
  <si>
    <t>94 x 140 - 09/14_OWD</t>
  </si>
  <si>
    <t>780 x 1.596 - Q78/160_OWD</t>
  </si>
  <si>
    <t>94 x 160 - 09/16_OWD</t>
  </si>
  <si>
    <t>940 x 774 - Q94/78_OWD</t>
  </si>
  <si>
    <t>114 x 78 - 11/07_OWD</t>
  </si>
  <si>
    <t>940 x 974 - Q94/98_OWD</t>
  </si>
  <si>
    <t>114 x 98 - 11/09_OWD</t>
  </si>
  <si>
    <t>940 x 1.174 - Q94/118_OWD</t>
  </si>
  <si>
    <t>114 x 118 - 11/11_OWD</t>
  </si>
  <si>
    <t>940 x 1.394 - Q94/140_OWD</t>
  </si>
  <si>
    <t>114 x 140 - 11/14_OWD</t>
  </si>
  <si>
    <t>940 x 1.596 - Q94/160_OWD</t>
  </si>
  <si>
    <t>114 x 160 - 11/16_OWD</t>
  </si>
  <si>
    <t>940 x 1.796 - Q94/180_OWD</t>
  </si>
  <si>
    <t>134 x 78 - 13/07_OWD</t>
  </si>
  <si>
    <t>1.140 x 774 - Q114/78_OWD</t>
  </si>
  <si>
    <t>134 x 98 - 13/09_OWD</t>
  </si>
  <si>
    <t>1.140 x 974 - Q114/98_OWD</t>
  </si>
  <si>
    <t>134 x 140 - 13/14_OWD</t>
  </si>
  <si>
    <t>1.140 x 1.174 - Q114/118_OWD</t>
  </si>
  <si>
    <t>1.140 x 1.394 - Q114/140_OWD</t>
  </si>
  <si>
    <t>1.140 x 1.596 - Q114/160_OWD</t>
  </si>
  <si>
    <t>1.140 x 1.796 - Q114/180_OWD</t>
  </si>
  <si>
    <t>1.340 x 774 - Q134/78_OWD</t>
  </si>
  <si>
    <t>1.340 x 974 - Q134/98_OWD</t>
  </si>
  <si>
    <t>1.340 x 1.174 - Q134/118_OWD</t>
  </si>
  <si>
    <t>1.340 x 1.394 - Q134/140_OWD</t>
  </si>
  <si>
    <t>1.340 x 1.596 - Q134/160_OWD</t>
  </si>
  <si>
    <t>Magazine</t>
  </si>
  <si>
    <t>Rinne PP.99</t>
  </si>
  <si>
    <t>PREFA Dachrinne</t>
  </si>
  <si>
    <t>PREFA Rinnenhaken</t>
  </si>
  <si>
    <t>PREFA Rinnenhaken Schweiz</t>
  </si>
  <si>
    <t>PREFA Rinnenhaken, hochkant</t>
  </si>
  <si>
    <t>Werte 250 bis 400 (ohne 500)</t>
  </si>
  <si>
    <t>Werte 250 bis 500 (ohne 280)</t>
  </si>
  <si>
    <t>Werte 250  333 400</t>
  </si>
  <si>
    <t>PREFA Rinnenkessel</t>
  </si>
  <si>
    <t>PREFA Schrägstutzen</t>
  </si>
  <si>
    <t>Kastenrinne</t>
  </si>
  <si>
    <t>Rinnenhaken</t>
  </si>
  <si>
    <t>Stirnbretthaken</t>
  </si>
  <si>
    <t>Kastenrinnenboden</t>
  </si>
  <si>
    <t>PREFA Kastenrinnenkessel</t>
  </si>
  <si>
    <t>DM 80 + 100 + 120 + 150</t>
  </si>
  <si>
    <t>PREFA Rohrschelle, ohne Dorn</t>
  </si>
  <si>
    <t>PREFA Rohrbogen 72°</t>
  </si>
  <si>
    <t>DM 80 + 100 + 120</t>
  </si>
  <si>
    <t>PREFA Rohreinmündung</t>
  </si>
  <si>
    <t>PREFA Ablaufrohr, 60</t>
  </si>
  <si>
    <t>PREFA Ablaufrohr 1,6 mm</t>
  </si>
  <si>
    <t>Teleskoprohrbogen</t>
  </si>
  <si>
    <t>Standrohrkappe"</t>
  </si>
  <si>
    <t>Standrohr mit Reinigungsöffnung</t>
  </si>
  <si>
    <t>80 x 1.000</t>
  </si>
  <si>
    <t>100 x 1.000</t>
  </si>
  <si>
    <t>120 x 1.000</t>
  </si>
  <si>
    <t>Patentniete</t>
  </si>
  <si>
    <t>PREFA Hydrolack</t>
  </si>
  <si>
    <t>DM 60 + 80 + 100 + 120</t>
  </si>
  <si>
    <t>WDVS-Rohrschellendübel 10</t>
  </si>
  <si>
    <r>
      <rPr>
        <sz val="11"/>
        <color theme="1"/>
        <rFont val="Arial"/>
        <family val="2"/>
      </rPr>
      <t>Ø</t>
    </r>
    <r>
      <rPr>
        <sz val="11"/>
        <color theme="1"/>
        <rFont val="Calibri"/>
        <family val="2"/>
      </rPr>
      <t xml:space="preserve"> 10 x 120 mm</t>
    </r>
  </si>
  <si>
    <r>
      <rPr>
        <sz val="11"/>
        <color theme="1"/>
        <rFont val="Arial"/>
        <family val="2"/>
      </rPr>
      <t>Ø</t>
    </r>
    <r>
      <rPr>
        <sz val="11"/>
        <color theme="1"/>
        <rFont val="Calibri"/>
        <family val="2"/>
      </rPr>
      <t xml:space="preserve"> 10 x 180 mm</t>
    </r>
  </si>
  <si>
    <r>
      <rPr>
        <sz val="11"/>
        <color theme="1"/>
        <rFont val="Arial"/>
        <family val="2"/>
      </rPr>
      <t>Ø</t>
    </r>
    <r>
      <rPr>
        <sz val="11"/>
        <color theme="1"/>
        <rFont val="Calibri"/>
        <family val="2"/>
      </rPr>
      <t xml:space="preserve"> 10 x 280 mm</t>
    </r>
  </si>
  <si>
    <t>Rohrübergang</t>
  </si>
  <si>
    <t>Typ</t>
  </si>
  <si>
    <t>01
P.10 Braun</t>
  </si>
  <si>
    <t>02
P.10 Anthrazit</t>
  </si>
  <si>
    <t>03
P.10 Schwarz</t>
  </si>
  <si>
    <t>04
P.10 Ziegelrot</t>
  </si>
  <si>
    <t>05
P.10 Oxydrot</t>
  </si>
  <si>
    <t>06
P.10 Moosgrün</t>
  </si>
  <si>
    <t>07
P.10 Hellgrau</t>
  </si>
  <si>
    <t>11
P.10 Nussbraun</t>
  </si>
  <si>
    <t>19
P.10
Dunkelgrau</t>
  </si>
  <si>
    <t>43
P.10 Steingrau</t>
  </si>
  <si>
    <t>-</t>
  </si>
  <si>
    <t>Sprachindex (2=DE)</t>
  </si>
  <si>
    <t>Typ:</t>
  </si>
  <si>
    <t>Farbe:</t>
  </si>
  <si>
    <t>nur für DE!!!</t>
  </si>
  <si>
    <t>Farbe</t>
  </si>
  <si>
    <t>Artikel Nummer:</t>
  </si>
  <si>
    <t>DP</t>
  </si>
  <si>
    <t>DS</t>
  </si>
  <si>
    <t>DS.19</t>
  </si>
  <si>
    <t>R.16</t>
  </si>
  <si>
    <t>DR44</t>
  </si>
  <si>
    <t>FX.12</t>
  </si>
  <si>
    <t>55 x 78-99 cm</t>
  </si>
  <si>
    <t>PREFA Aluminium Dachrinne mit Schutzfolie aussen</t>
  </si>
  <si>
    <t>PREFA Rinnenhaken Hochkant</t>
  </si>
  <si>
    <t>Auswahl DN 60 bis 150</t>
  </si>
  <si>
    <t>PREFA Rohrschelle mit M10 Gewinde ohne Dorn</t>
  </si>
  <si>
    <t>PREFA Ablaufrohr DN 60 geschweißt</t>
  </si>
  <si>
    <t>_DEUTSCH (DE)</t>
  </si>
  <si>
    <t>_ENGLISCH</t>
  </si>
  <si>
    <t>_FRANZÖSISCH</t>
  </si>
  <si>
    <t>_ITALIENISCH</t>
  </si>
  <si>
    <t>_Tschechisch</t>
  </si>
  <si>
    <t>_Polnisch</t>
  </si>
  <si>
    <t>_Ungarisch</t>
  </si>
  <si>
    <t>_Slowakisch</t>
  </si>
  <si>
    <t>_Niederländisch</t>
  </si>
  <si>
    <t>_Slovenisch</t>
  </si>
  <si>
    <t>_Schwedisch</t>
  </si>
  <si>
    <t>_Dänisch</t>
  </si>
  <si>
    <t>_Norwegisch</t>
  </si>
  <si>
    <t>_Kroatisch</t>
  </si>
  <si>
    <t>_DEUTSCH (AT)</t>
  </si>
  <si>
    <t>250</t>
  </si>
  <si>
    <t>280</t>
  </si>
  <si>
    <t>333</t>
  </si>
  <si>
    <t>400</t>
  </si>
  <si>
    <t>500</t>
  </si>
  <si>
    <t>(4,5 × 45 mm; 250 Stk./Pkt)</t>
  </si>
  <si>
    <t>(4.5 × 45 mm, 250 pc./package)</t>
  </si>
  <si>
    <t>(4,5 × 45 mm ; 250 par paquet)</t>
  </si>
  <si>
    <t>(4,5 x 45 mm, 250 Pz/CF)</t>
  </si>
  <si>
    <t>(4,5 x 45 mm, 250 ks/balení)</t>
  </si>
  <si>
    <t>(4.5 × 45 mm, 250 szt./opak.)</t>
  </si>
  <si>
    <t>(4,5 x 45 mm, 250 db/dob)</t>
  </si>
  <si>
    <t>(4,5 x 45 mm, 250 ks/balenie)</t>
  </si>
  <si>
    <t>(4,5 x 45 mm, 250 stks./pkt)</t>
  </si>
  <si>
    <t>(4,5 x 45 mm, 250 kos/pakiranje)</t>
  </si>
  <si>
    <t>(4,5 x 45 mm, 250 st./paket)</t>
  </si>
  <si>
    <t>(4,5 x 45 mm, 250 stk./pakke)</t>
  </si>
  <si>
    <t>(4,5 × 45 mm; 250 kom./pt)</t>
  </si>
  <si>
    <t>(4,5 × 45 mm; 250 Stk./Pkt; blank)</t>
  </si>
  <si>
    <t>(4.5 × 45 mm, 250 pc./package, uncoated)</t>
  </si>
  <si>
    <t>(4,5 × 45 mm ; 250 par paquet ; aluminium naturel)</t>
  </si>
  <si>
    <t>(4,5 x 45 mm, 250 Pz/CF, naturale)</t>
  </si>
  <si>
    <t>(4,5 x 45 mm, 250 ks/balení, přírodní)</t>
  </si>
  <si>
    <t>(4.5 × 45 mm, 250 szt./opak., kol. naturalny)</t>
  </si>
  <si>
    <t>(4,5 x 45 mm, 250 db/dob, natúr)</t>
  </si>
  <si>
    <t>(4,5 x 45 mm, 250 ks/balenie, prírodný hliník</t>
  </si>
  <si>
    <t>(4,5 x 45 mm, 250 stks./pkt, blank)</t>
  </si>
  <si>
    <t>(4,5 x 45 mm, 250 kos/pakiranje, natur)</t>
  </si>
  <si>
    <t>(4,5 x 45 mm, 250 st./paket, blank)</t>
  </si>
  <si>
    <t>(4,5 x 45 mm, 250 stk./pakke, blank)</t>
  </si>
  <si>
    <t>(4,5 × 45 mm; 250 kom./pt; bez premaza)</t>
  </si>
  <si>
    <t>(4,5 × 60 mm; 100 Stk./Pkt)</t>
  </si>
  <si>
    <t>(4.5 × 60 mm, 100 pc./package)</t>
  </si>
  <si>
    <t>(4,5 × 60 mm ; 100 par paquet)</t>
  </si>
  <si>
    <t>(4,5 x 60 mm, 100 Pz/CF)</t>
  </si>
  <si>
    <t>(4,5 x 60 mm, 100 ks/balení)</t>
  </si>
  <si>
    <t>(4.5 × 60 mm, 100 szt./opak.)</t>
  </si>
  <si>
    <t>(4,5 x 60 mm, 100 db/dob)</t>
  </si>
  <si>
    <t>(4,5 x 60 mm, 100 ks/balenie)</t>
  </si>
  <si>
    <t>(4,5 x 60 mm, 100 stks./pkt)</t>
  </si>
  <si>
    <t>(4,5 x 60 mm, 100 kos/pakiranje)</t>
  </si>
  <si>
    <t>(4,5 x 60 mm, 100 st./paket)</t>
  </si>
  <si>
    <t>(4,5 x 60 mm, 100 stk./pakke)</t>
  </si>
  <si>
    <t>(4,5 × 60 mm; 100 kom./pt)</t>
  </si>
  <si>
    <t>(4,5 × 60 mm; 100 Stk./Pkt; blank)</t>
  </si>
  <si>
    <t>(4.5 × 60 mm, 100 pc./package, uncoated)</t>
  </si>
  <si>
    <t>(4,5 × 60 mm ; 100 par paquet ; aluminium naturel)</t>
  </si>
  <si>
    <t>(4,5 x 60 mm, 100 Pz/CF, naturale)</t>
  </si>
  <si>
    <t>(4,5 x 60 mm, 100 ks/balení, přírodní)</t>
  </si>
  <si>
    <t>(4.5 × 60 mm, 100 szt./opak., kol. naturalny)</t>
  </si>
  <si>
    <t>(4,5 x 60 mm, 100 db/dob, natúr)</t>
  </si>
  <si>
    <t>(4,5 x 60 mm, 100 ks/balenie, prírodný hliník)</t>
  </si>
  <si>
    <t>(4,5 x 60 mm, 100 stks./pkt, blank)</t>
  </si>
  <si>
    <t>(4,5 x 60 mm, 100 kos/Pakiranje, natur)</t>
  </si>
  <si>
    <t>(4,5 x 60 mm, 100 st./paket, blank)</t>
  </si>
  <si>
    <t>(4,5 x 60 mm, 100 stk./pakke, blank)</t>
  </si>
  <si>
    <t>(4,5 × 60 mm; 100 kom./pt; bez premaza)</t>
  </si>
  <si>
    <t>(mind. 80 mm bei Ausführung mit Stiefelfalz [Bündnerfalz])</t>
  </si>
  <si>
    <t>(min. 80 mm on structures with specialised folded workmanship [Swiss seam])</t>
  </si>
  <si>
    <t>(au moins 80 mm pour une mise en œuvre utilisant l’agrafe grisonne)</t>
  </si>
  <si>
    <t>(almeno 80 mm aggraffatura a gradini [aggraffatura grigionese])</t>
  </si>
  <si>
    <t>(min. 80 mm při použití vmáčknuté drážky/kapsy</t>
  </si>
  <si>
    <t>(min. 80 mm a csizmakorccal ellátott változatnál [Bündnerfalz])</t>
  </si>
  <si>
    <t>(min. 80 mm pri vyhotovení so stlačenou drážkou [kapsou])</t>
  </si>
  <si>
    <t>(min. 80 mm voor uitvoering met felsnaad [Bündner-vouw])</t>
  </si>
  <si>
    <t>(najm. 80 mm pri izvedbi s spojnim zgibom [povezovalni zgib])</t>
  </si>
  <si>
    <t>(min. 80 mm för versioner med stövelvik [Bündner-vik])</t>
  </si>
  <si>
    <t>(mind. 80 mm ved konstruktion med Stiefel-fals [Bündner-fals])</t>
  </si>
  <si>
    <t>(min. 80 mm ved utførelse med stående vinkelfals</t>
  </si>
  <si>
    <t>(min. 80 mm u verziji s falcom [Bündner falc])</t>
  </si>
  <si>
    <t>* Abstand beim Quadratrohr beträgt 40 mm.</t>
  </si>
  <si>
    <t>* With a square downpipe, the distance is 40 mm</t>
  </si>
  <si>
    <t>* Dans le cas du tuyau de descente carré, l’espacement est de 40 mm.</t>
  </si>
  <si>
    <t>*La distanza per il pluviale quadro è di 40 mm.</t>
  </si>
  <si>
    <t>* u hranatého svodu je odstup 40 mm</t>
  </si>
  <si>
    <t>* Występ dla rury kwadratowej wynosi 40 mm.</t>
  </si>
  <si>
    <t>* A szögletes lefolyócsőnél a távolság 40 mm.</t>
  </si>
  <si>
    <t>* Vzdialenosť pri štvorcovom zvode je 40 mm.</t>
  </si>
  <si>
    <t>* De afstand voor de vierkante buis is 40 mm.</t>
  </si>
  <si>
    <t>* Razmak pri kvadratni cevi je 40 mm.</t>
  </si>
  <si>
    <t>* Avståndet för fyrkantsröret är 40 mm.</t>
  </si>
  <si>
    <t>* Afstand ved kvadratrør er 40 mm.</t>
  </si>
  <si>
    <t>*Avstand med firkantrør utgjør 40 mm.</t>
  </si>
  <si>
    <t>* Razmak kod kvadratne cijevi iznosi 40 mm.</t>
  </si>
  <si>
    <t>* Der Traufenvorsprung darf 80 mm nicht überschreiten!</t>
  </si>
  <si>
    <t>* The eaves projection must not exceed 80 mm.</t>
  </si>
  <si>
    <t>* Le débord à l’égout ne doit pas excéder 80 mm !</t>
  </si>
  <si>
    <t>*La sporgenza della gronda non deve superare gli 80 mm!</t>
  </si>
  <si>
    <t>* vysunutí podkladního pásu nesmí překročit 80 mm!</t>
  </si>
  <si>
    <t>* Występ okapu nie może przekraczać 80 mm!</t>
  </si>
  <si>
    <t>* Az eresztúlnyúlás nem haladhatja meg a 80 mm-t!</t>
  </si>
  <si>
    <t>* Presah cez odkvapovú hranu nesmie prekročiť 80 mm!</t>
  </si>
  <si>
    <t>* De dakrand mag niet meer dan 80 mm uitsteken!</t>
  </si>
  <si>
    <t>* Napušč v kapu ne sme presegati 80 mm!</t>
  </si>
  <si>
    <t>* Takfotens utsprång får inte överstiga 80 mm!</t>
  </si>
  <si>
    <t>* Tagudhængets fremspring må ikke overskride 80 mm!</t>
  </si>
  <si>
    <t>*Takskjeggets utstikk skal ikke overskride 80 mm!</t>
  </si>
  <si>
    <t>* Izbočenost strehe ne smije biti veća od 80 mm!</t>
  </si>
  <si>
    <t>* Der Traufenvorsprung darf 80 mm nicht überschreiten! Bei einem kleineren Maß (mind. 30 mm) muss die Summe von 470 mm (80 mm + 390 mm) erhalten bleiben.</t>
  </si>
  <si>
    <t>* The eaves projection must not exceed 80 mm. For smaller dimensions (min. 30 mm), the total of 470 mm (80 mm + 390 mm) must remain unchanged.</t>
  </si>
  <si>
    <t>* Le débord à l’égout ne doit pas excéder 80 mm ! Si le débord est inférieur à 80 mm (nota : il doit cependant être d’au moins 30 mm), veiller néanmoins à conserver une longueur identique de 470 mm — longueur correspondant à la somme suivante : 80 mm + 390 mm.</t>
  </si>
  <si>
    <t>*La sporgenza della gronda non deve superare gli 80 mm! Se la misura è più piccola (almeno 30 mm) è necessario mantenere la somma di 470 mm (80 mm + 390 mm).</t>
  </si>
  <si>
    <t>* vysunutí podkladního pásu nesmí překročit 80 mm! U menšího vysunutí (min. 30 mm) musí být dodržen součet 470 mm (80 mm + 390 mm).</t>
  </si>
  <si>
    <t>* Występ okapu nie może przekraczać 80 mm! W przypadku mniejszych wartości wymiarów (min. 30 mm) suma wymiarów nie może przekraczać 470 mm (80 mm + 390 mm).</t>
  </si>
  <si>
    <t>* Az eresztúlnyúlás nem haladhatja meg a 80 mm-t! Kisebb méret esetén (min. 30 mm), a 470 mm-es (80 mm + 390 mm) összméretet kell betartani.</t>
  </si>
  <si>
    <t>* Presah cez odkvapovú hranu nesmie prekročiť 80 mm! Pri menšom rozmere (min. 30 mm) musí zostať zachovaný súčet 470 mm (80 mm + 390 mm).</t>
  </si>
  <si>
    <t>* De dakrand mag niet meer dan 80 mm uitsteken! Bij een kleinere afmeting (min. 30 mm) moet de som van 470 mm (80 mm + 390 mm) worden aangehouden.</t>
  </si>
  <si>
    <t>* Napušč v kapu ne sme presegati 80 mm! Pri manjši meri (najm. 30 mm) je treba ohraniti vsoto 470 mm (80 mm + 390 mm).</t>
  </si>
  <si>
    <t>* Takfotens utsprång får inte överstiga 80 mm! Vid mindre storlek (min. 30 mm) måste summan av 470 mm (80 mm + 390 mm) kvarstå.</t>
  </si>
  <si>
    <t>* Tagudhængets fremspring må ikke overskride 80 mm! Ved et mindre mål (mind. 30 mm) skal målet på 470 mm (80 mm + 390 mm) overholdes.</t>
  </si>
  <si>
    <t>*Takskjeggets utstikk skal ikke overskride 80 mm! Ved mindre mål (min. 30 mm) må summen på 470 mm (80 mm + 390 mm) opprettholdes.</t>
  </si>
  <si>
    <t>* Izbočenost strehe ne smije biti veća od 80 mm! Kod manjih dimenzija (min. 30 mm) mora se zadržati zbroj od 470 mm (80 mm + 390 mm).</t>
  </si>
  <si>
    <t>Ab einer Schneeregellast von 3,25 kN/m² oder in den Geländekategorien 0, I oder II ist eine Verlegung auf Vollschalung mit Bitumentrennlage erforderlich.</t>
  </si>
  <si>
    <t>In the case of snow loads greater than 3.25 kN/m² or in terrain categories 0, I or II, installation on fully boarded substrate with a separation layer is required.</t>
  </si>
  <si>
    <t>À partir d’une charge de neige normale de 3,25 kN/m² ou pour les catégories d’exposition 0, I et II, l’utilisation d’un voligeage jointif avec couche de séparation bitumineuse est obligatoire.</t>
  </si>
  <si>
    <t>A partire da un carico di neve di 3,25 kN/m² o nelle categorie di terreno 0, I o II, è necessaria la posa su tavolato con strato di separazione in bitume.</t>
  </si>
  <si>
    <t>Od zatížení sněhem 3,25 kN/m² nebo při umístění na území 0, I nebo II je nutná pokládka na plné bednění s bitumenovou separační vrstvou.</t>
  </si>
  <si>
    <t>Od wartości obciążenia śniegiem 3,25 kN/m² lub dla kategorii terenu 0, I lub II wymagane jest ułożenie na pełnym deskowaniu z bitumiczną warstwą rozdzielającą.</t>
  </si>
  <si>
    <t>3,25 kN/m²-es mértékadó hóteher fölött vagy 0-ás, I-es vagy II-es területi kategória esetén bitumenes elválasztóréteggel szerelt teljes deszkázatra fektethető.</t>
  </si>
  <si>
    <t>Od zaťaženia strechy snehom 3,25 kN/m² alebo pri stavbe na území kategórie 0, I alebo II je potrebná montáž na celoplošné debnenia s bitúmenovou separačnou vrstvou.</t>
  </si>
  <si>
    <t>Vanaf een sneeuwbelasting van 3,25 kN/m² of in de terreincategorieën 0, I of II is het aanleggen van een volledige bekisting met bitumen scheidingslaag vereist.</t>
  </si>
  <si>
    <t>Od standardne snežne obremenitve 3,25 kN/m² ali pri terenskih kategorijah 0, I ali II je potrebno polaganje na polni opaž z bitumensko ločilno plastjo.</t>
  </si>
  <si>
    <t>För snölast från 3,25 kN/m² eller i terrängkategorierna 0, I eller II krävs läggning på helform med bitumenseparationsskikt.</t>
  </si>
  <si>
    <t>Fra en standard snebelastning på 3,25 kN/m² eller i terrænkategori 0, I eller II kræves installation på helforskalling med et bitumenskillelag.</t>
  </si>
  <si>
    <t>Fra en beregnet snølast på 3,25 kN/m² eller i terrengkategori 0, I eller II kreves installasjon på full forskaling med skillelag i bitumen.</t>
  </si>
  <si>
    <t>Od standardnog opterećenja snijegom od 3,25 kN/m² ili u kategoriji terena 0, I ili II, potrebno je postavljanje na punu oplatu s bitumenskim razdjelnim slojem.</t>
  </si>
  <si>
    <t>Der fachgerechte Einbau sowie die Notwendigkeit des Aufkeilrahmens der Dachflächenfenster erfolgt gemäß den Herstellerrichtlinien des Dachflächenfensters.</t>
  </si>
  <si>
    <t>Professional installation should be carried out, and the need for the roof window flashing wedge frame assessed, according to the manufacturer’s guidelines for the roof window.</t>
  </si>
  <si>
    <t>On veillera à ce que la pose soit effectuée par un professionnel et conformément aux instructions fournies par le fabricant de la fenêtre de toit. C’est également sur la base de ces instructions que l’on décidera de la nécessité ou non d’utiliser une sous-costière.</t>
  </si>
  <si>
    <t>L'installazione professionale così come la necessità del telaio a cunei delle finestre per tetto viene effettuata secondo le linee guida del produttore delle finestre.</t>
  </si>
  <si>
    <t>Odborná montáž a případná nutnost použití zvedacího rámu dle technologického návodu výrobce střešních oken.</t>
  </si>
  <si>
    <t>Konieczne jest przeprowadzenie fachowego montażu zgodnie z wytycznymi producenta okna dachowego oraz zastosowanie ościeżnicy klinowej.</t>
  </si>
  <si>
    <t>A szakszerű beépítést, valamint a tetőablakok ékelt keretének kialakítását a tetőablak gyártójának útmutatója szerint kell elvégezni.</t>
  </si>
  <si>
    <t>Pri odbornej montáži, ako aj pri posudzovaní potreby zabudovania klinového rámu strešných okien sa musí postupovať podľa smerníc výrobcu strešného okna.</t>
  </si>
  <si>
    <t>Zowel de professionele montage als de noodzaak van het spieframe van het dakraam vindt plaats volgens de fabrikantrichtlijnen van het dakraam.</t>
  </si>
  <si>
    <t>Profesionalna montaža, kot tudi potreba po klinastem okvirju strešnega okna, poteka po navodilih proizvajalca strešnega okna.</t>
  </si>
  <si>
    <t>Professionell installation samt krav på takfönstrets kilram sker enligt tillverkarens riktlinjer för takfönstret.</t>
  </si>
  <si>
    <t>Professionel montering samt nødvendig kileramme på til​tagvinduet sker efter tagvinduets producentvejledning.</t>
  </si>
  <si>
    <t>Den profesjonelle monteringen samt behovet for takvinduets kileramme skjer i henhold til produsentens retningslinjer for takvinduet.</t>
  </si>
  <si>
    <t>Profesionalna montaža kao i potreba klinastog opšava ležećeg krovnog prozora odvija se prema uputama proizvođača ležećeg krovnog prozora.</t>
  </si>
  <si>
    <t>[in mm]</t>
  </si>
  <si>
    <t>[in mm]</t>
  </si>
  <si>
    <t>[en mm]</t>
  </si>
  <si>
    <t>(v mm)</t>
  </si>
  <si>
    <t>[w mm]</t>
  </si>
  <si>
    <t>(mm-ben)</t>
  </si>
  <si>
    <t>[v mm]</t>
  </si>
  <si>
    <t>[i mm]</t>
  </si>
  <si>
    <t>[u mm]</t>
  </si>
  <si>
    <t>Sparrenlänge: &lt; 7 m</t>
  </si>
  <si>
    <t>rafter length: up to 7 m</t>
  </si>
  <si>
    <t>longueur des chevrons &lt; 7 m</t>
  </si>
  <si>
    <t>Lunghezza della trave: &lt; 7 m</t>
  </si>
  <si>
    <t>délka krokve &lt; 7 m</t>
  </si>
  <si>
    <t>Długość krokwi: &lt; 7 m</t>
  </si>
  <si>
    <t>Szarufahosszúság: &lt; 7 m</t>
  </si>
  <si>
    <t>dĺžka krokvy: &lt; 7 m</t>
  </si>
  <si>
    <t>Spantlengte: &lt; 7 m</t>
  </si>
  <si>
    <t>Dolžina špirovca: &lt; 7 m</t>
  </si>
  <si>
    <t>Längd på sparre: &lt; 7 m</t>
  </si>
  <si>
    <t>Spærlængde: &lt; 7 m</t>
  </si>
  <si>
    <t>Sperrelengde: &lt;7 m</t>
  </si>
  <si>
    <t>Duljina roženica: &lt; 7 m</t>
  </si>
  <si>
    <t>⌀ 100 mm suitable for high-temperature and foul drainage pipe (nominal size 110 mm)</t>
  </si>
  <si>
    <t>⌀ 100 mm ; compatible tuyaux HT et canalisations souterraines (DN 110 mm)</t>
  </si>
  <si>
    <t>Ø100 mm adatto a tubo HT/KG NW 110 mm</t>
  </si>
  <si>
    <t>Ø100 mm vhodné pro napojení do HT/KG DN 110 mm</t>
  </si>
  <si>
    <t>⌀ 100 mm do rury wywiewnej kanalizacji  (średnica nominalna  110 mm)</t>
  </si>
  <si>
    <t>Ø100 mm, mely 110 mm PVC csőbe köthető be</t>
  </si>
  <si>
    <t>Ø100 mm sedí pre PVC rúru DN 110 mm</t>
  </si>
  <si>
    <t>⌀ 100 mm geschikt voor HT/KG (NW 110 mm)</t>
  </si>
  <si>
    <t>Ø100 mm za cev HT/KG NW 110 mm</t>
  </si>
  <si>
    <t>⌀ 100 mm lämplig för HT/KG (NV 110 mm)</t>
  </si>
  <si>
    <t>⌀ 100 mm passer til HT/KG (NW 110 mm)</t>
  </si>
  <si>
    <t>ø 100 mm passer til HT/KG (NW 110 mm)</t>
  </si>
  <si>
    <t>⌀ 100 mm; prikladno za HT/KG (NW 110 mm)</t>
  </si>
  <si>
    <t>⌀ 115 mm; passend für HT/KG (NW 125 mm)</t>
  </si>
  <si>
    <t>⌀ 115 mm suitable for high-temperature and foul drainage pipe (nominal size 125 mm)</t>
  </si>
  <si>
    <t>⌀ 115 mm ; compatible tuyaux HT et canalisations souterraines (DN 125 mm)</t>
  </si>
  <si>
    <t>Ø115 mm adatto a tubo HT/KG NW 125 mm</t>
  </si>
  <si>
    <t>Ø115 mm vhodné pro napojení do HT/KG DN 125 mm</t>
  </si>
  <si>
    <t>⌀ 115 mm do rury wywiewnej kanalizacji  (średnica nominalna  125 mm)</t>
  </si>
  <si>
    <t>Ø115 mm, mely 125 mm PVC csőbe köthető be</t>
  </si>
  <si>
    <t>Ø115 mm sedí pre PVC rúru DN 125 mm</t>
  </si>
  <si>
    <t>⌀ 115 mm geschikt voor HT/KG (NW 125 mm)</t>
  </si>
  <si>
    <t>Ø115 mm za cev HT/KG NW 125 mm</t>
  </si>
  <si>
    <t>⌀ 115 mm lämplig för HT/KG (NV 125 mm)</t>
  </si>
  <si>
    <t>⌀ 115 mm passer til HT/KG (NW 125 mm)</t>
  </si>
  <si>
    <t>ø 115 mm passer til HT/KG (NW 125 mm)</t>
  </si>
  <si>
    <t>⌀ 115 mm; prikladno za HT/KG (NW 125 mm)</t>
  </si>
  <si>
    <t>0,7 × 1.000 mm</t>
  </si>
  <si>
    <t>0.7 × 1,000 mm</t>
  </si>
  <si>
    <t>0,7 × 1 000 mm</t>
  </si>
  <si>
    <t>0,7 x 1.000 mm</t>
  </si>
  <si>
    <t>0,7 x 1000 mm</t>
  </si>
  <si>
    <t>0,7 x 1000 mm</t>
  </si>
  <si>
    <t>0,7 × 500 mm</t>
  </si>
  <si>
    <t>0.7 × 500 mm</t>
  </si>
  <si>
    <t>0,7 x 500 mm</t>
  </si>
  <si>
    <t>0,7 x 500 mm</t>
  </si>
  <si>
    <t>0,7 × 650 mm</t>
  </si>
  <si>
    <t>0.7 × 650 mm</t>
  </si>
  <si>
    <t>0,7 x 650 mm</t>
  </si>
  <si>
    <t>0,7 x 650 mm</t>
  </si>
  <si>
    <t>0,75 l Dose</t>
  </si>
  <si>
    <t>0,75 l can</t>
  </si>
  <si>
    <t>pot de 0,75 l</t>
  </si>
  <si>
    <t>Lattina 0,75l</t>
  </si>
  <si>
    <t>0,75 l plechovka</t>
  </si>
  <si>
    <t>Puszka 0,75 l</t>
  </si>
  <si>
    <t>0,75 l doboz</t>
  </si>
  <si>
    <t>0,75 l dóza</t>
  </si>
  <si>
    <t>0,75 l pot</t>
  </si>
  <si>
    <t>0,75 pločevinka</t>
  </si>
  <si>
    <t>0,75 l-burk</t>
  </si>
  <si>
    <t>0,75 l dåse</t>
  </si>
  <si>
    <t>0,75 l boks</t>
  </si>
  <si>
    <t>0,75 l limenka</t>
  </si>
  <si>
    <t>01 brown</t>
  </si>
  <si>
    <t>01 brun</t>
  </si>
  <si>
    <t>01 marrone</t>
  </si>
  <si>
    <t>01 Tmavě hnědá</t>
  </si>
  <si>
    <t>01 brązowy</t>
  </si>
  <si>
    <t>01 barna/antracit</t>
  </si>
  <si>
    <t>01 hnedá</t>
  </si>
  <si>
    <t>01 bruin</t>
  </si>
  <si>
    <t>01 anodik rjava</t>
  </si>
  <si>
    <t>01 smeđa</t>
  </si>
  <si>
    <t>01 P.10 Braun</t>
  </si>
  <si>
    <t>01 P.10 brown</t>
  </si>
  <si>
    <t>01 P.10 brun</t>
  </si>
  <si>
    <t>01 P.10 Marrone</t>
  </si>
  <si>
    <t>01 P.10 tmavě hnědá</t>
  </si>
  <si>
    <t>01 P.10 brązowy</t>
  </si>
  <si>
    <t>01 P.10 barna</t>
  </si>
  <si>
    <t>01 P.10 hnedá</t>
  </si>
  <si>
    <t>01 P.10 bruin</t>
  </si>
  <si>
    <t>01 P.10 anodik rjava</t>
  </si>
  <si>
    <t>01 P.10 brun</t>
  </si>
  <si>
    <t>01 P.10 smeđa</t>
  </si>
  <si>
    <t>02 Anthrazit</t>
  </si>
  <si>
    <t>02 anthracite</t>
  </si>
  <si>
    <t>02 antracite</t>
  </si>
  <si>
    <t>02 anthracit</t>
  </si>
  <si>
    <t>02 antracyt</t>
  </si>
  <si>
    <t xml:space="preserve">02 antracit </t>
  </si>
  <si>
    <t>02 antracitová</t>
  </si>
  <si>
    <t>02 antraciet</t>
  </si>
  <si>
    <t>02 antracitna</t>
  </si>
  <si>
    <t>02 antracit</t>
  </si>
  <si>
    <t>02 antrasitt</t>
  </si>
  <si>
    <t>02 P.10 anthracite</t>
  </si>
  <si>
    <t>02 P.10 anthracite</t>
  </si>
  <si>
    <t>02 P.10 Antracite</t>
  </si>
  <si>
    <t>02 P.10 antracit</t>
  </si>
  <si>
    <t>02 P.10 antracytowy</t>
  </si>
  <si>
    <t>02 P.10 antracitová</t>
  </si>
  <si>
    <t>02 P.10 antraciet</t>
  </si>
  <si>
    <t>02 P.10 antracitna</t>
  </si>
  <si>
    <t>02 P.10 antrazit</t>
  </si>
  <si>
    <t>02 P.10 antrasitt</t>
  </si>
  <si>
    <t>03 P.10 Schwarz</t>
  </si>
  <si>
    <t>03 P.10 black</t>
  </si>
  <si>
    <t>03 P.10 noir</t>
  </si>
  <si>
    <t>03 P.10 Nero</t>
  </si>
  <si>
    <t>03 P.10 černá</t>
  </si>
  <si>
    <t>03 P.10 czarny</t>
  </si>
  <si>
    <t>03 P.10 fekete</t>
  </si>
  <si>
    <t>03 P.10 čierna</t>
  </si>
  <si>
    <t>03 P.10 zwart</t>
  </si>
  <si>
    <t>03 P.10 črna</t>
  </si>
  <si>
    <t>03 P.10 svart</t>
  </si>
  <si>
    <t>03 P.10 sort</t>
  </si>
  <si>
    <t>03 P.10 crna</t>
  </si>
  <si>
    <t>03 Schwarz</t>
  </si>
  <si>
    <t>03 black</t>
  </si>
  <si>
    <t>03 noir</t>
  </si>
  <si>
    <t>03 nero</t>
  </si>
  <si>
    <t>03 černá</t>
  </si>
  <si>
    <t>03 czarny</t>
  </si>
  <si>
    <t>03 fekete</t>
  </si>
  <si>
    <t>03 čierna</t>
  </si>
  <si>
    <t>03 zwart</t>
  </si>
  <si>
    <t>03 črna</t>
  </si>
  <si>
    <t>03 svart</t>
  </si>
  <si>
    <t>03 sort</t>
  </si>
  <si>
    <t>03 crna</t>
  </si>
  <si>
    <t>04 P.10 Ziegelrot</t>
  </si>
  <si>
    <t>04 P.10 brick red</t>
  </si>
  <si>
    <t>04 P.10 rouge tuile</t>
  </si>
  <si>
    <t>04 P.10 Rosso cotto</t>
  </si>
  <si>
    <t>04 P.10 cihlově červená</t>
  </si>
  <si>
    <t>04 P.10 ceglasty</t>
  </si>
  <si>
    <t>04 P.10 téglavörös</t>
  </si>
  <si>
    <t>04 P.10 tehlovočervená</t>
  </si>
  <si>
    <t>04 P.10 dakpannenrood</t>
  </si>
  <si>
    <t>04 P.10 bakreno rjava</t>
  </si>
  <si>
    <t>04 P.10 tegelröd</t>
  </si>
  <si>
    <t>04 P.10 teglrød</t>
  </si>
  <si>
    <t>04 P.10 teglsteinsrød</t>
  </si>
  <si>
    <t>04 P.10 ciglasto crvena</t>
  </si>
  <si>
    <t>04 Ziegelrot</t>
  </si>
  <si>
    <t>04 brick red</t>
  </si>
  <si>
    <t>04 rouge tuile</t>
  </si>
  <si>
    <t>04 rosso cotto</t>
  </si>
  <si>
    <t>04 cihlově červená</t>
  </si>
  <si>
    <t>04 ceglasty</t>
  </si>
  <si>
    <t>04 téglavörös</t>
  </si>
  <si>
    <t>04 tehlovočervená</t>
  </si>
  <si>
    <t>04 dakpannenrood</t>
  </si>
  <si>
    <t>04 bakreno rjava</t>
  </si>
  <si>
    <t>04 tegelröd</t>
  </si>
  <si>
    <t>04 teglrød</t>
  </si>
  <si>
    <t>04 teglsteinsrød</t>
  </si>
  <si>
    <t>04 ciglasto crvena</t>
  </si>
  <si>
    <t>05 Oxydrot</t>
  </si>
  <si>
    <t>05 oxide red</t>
  </si>
  <si>
    <t>05 rouge oxyde</t>
  </si>
  <si>
    <t>05 rosso ossido</t>
  </si>
  <si>
    <t>05 tmavě červená_CZ</t>
  </si>
  <si>
    <t>05 czerwony</t>
  </si>
  <si>
    <t xml:space="preserve">05 rozsdavörös   </t>
  </si>
  <si>
    <t>05 tmavočervená</t>
  </si>
  <si>
    <t>05 oxiderood</t>
  </si>
  <si>
    <t>05 oksidno rdeča</t>
  </si>
  <si>
    <t>05 oxidröd</t>
  </si>
  <si>
    <t>05 oxidrød</t>
  </si>
  <si>
    <t>05 oksidrød</t>
  </si>
  <si>
    <t>05 oksid crvena</t>
  </si>
  <si>
    <t>05 P.10 Oxydrot</t>
  </si>
  <si>
    <t>05 P.10 oxide red</t>
  </si>
  <si>
    <t>05 P.10 rouge oxyde</t>
  </si>
  <si>
    <t>05 P.10 Rosso ossido</t>
  </si>
  <si>
    <t>05 P.10 tmavě červená</t>
  </si>
  <si>
    <t>05 P.10 czerwony</t>
  </si>
  <si>
    <t>05 P.10 rozsdavörös</t>
  </si>
  <si>
    <t>05 P.10 tmavočervená</t>
  </si>
  <si>
    <t>05 P.10 oxiderood</t>
  </si>
  <si>
    <t>05 P.10 oksidno rdeča</t>
  </si>
  <si>
    <t>05 P.10 oxidröd</t>
  </si>
  <si>
    <t>05 P.10 oxidrød</t>
  </si>
  <si>
    <t>05 P.10 oksidrød</t>
  </si>
  <si>
    <t>05 P.10 oksidno crvena</t>
  </si>
  <si>
    <t>06 Moosgrün</t>
  </si>
  <si>
    <t>06 moss green</t>
  </si>
  <si>
    <t>06 vert mousse</t>
  </si>
  <si>
    <t>06 verde muschio</t>
  </si>
  <si>
    <t>06 mechově zelená</t>
  </si>
  <si>
    <t>06 zieleń mchu</t>
  </si>
  <si>
    <t>06 mohazöld</t>
  </si>
  <si>
    <t>06 machovozelená</t>
  </si>
  <si>
    <t>06 mosgroen</t>
  </si>
  <si>
    <t>06 mahovo zelena</t>
  </si>
  <si>
    <t>06 mossgrön</t>
  </si>
  <si>
    <t>06 mosgrøn</t>
  </si>
  <si>
    <t>06 mosegrønn</t>
  </si>
  <si>
    <t>06 zelena mahovina</t>
  </si>
  <si>
    <t>06 P.10 Moosgrün</t>
  </si>
  <si>
    <t>06 P.10 moss green</t>
  </si>
  <si>
    <t>06 P.10 vert mousse</t>
  </si>
  <si>
    <t>06 P.10 Verde muschio</t>
  </si>
  <si>
    <t>06 P.10 mechově zelená</t>
  </si>
  <si>
    <t>06 P.10 zieleń mchu</t>
  </si>
  <si>
    <t>06 P.10 mohazöld</t>
  </si>
  <si>
    <t>06 P.10 machovozelená</t>
  </si>
  <si>
    <t>06 P.10 mosgroen</t>
  </si>
  <si>
    <t>06 P.10 mahovo zelena</t>
  </si>
  <si>
    <t>06 P.10 mossgrön</t>
  </si>
  <si>
    <t>06 P.10 mosgrøn</t>
  </si>
  <si>
    <t>06 P.10 mosegrønn</t>
  </si>
  <si>
    <t>06 P.10 mahovinasto zelena</t>
  </si>
  <si>
    <t>07 light grey</t>
  </si>
  <si>
    <t>07 gris souris</t>
  </si>
  <si>
    <t>07 grigio chiaro</t>
  </si>
  <si>
    <t>07 světle šedá</t>
  </si>
  <si>
    <t>07 jasnoszary</t>
  </si>
  <si>
    <t>07 világosszürke</t>
  </si>
  <si>
    <t>07 svetlošedá</t>
  </si>
  <si>
    <t>07 lichtgrijs</t>
  </si>
  <si>
    <t>07 svetlo siva</t>
  </si>
  <si>
    <t>07 ljusgrå</t>
  </si>
  <si>
    <t>07 lys grå</t>
  </si>
  <si>
    <t>07 svijetlo siva</t>
  </si>
  <si>
    <t>07 P.10 Hellgrau</t>
  </si>
  <si>
    <t>07 P.10 light grey</t>
  </si>
  <si>
    <t>07 P.10 gris souris</t>
  </si>
  <si>
    <t>07 P.10 Grigio chiaro</t>
  </si>
  <si>
    <t>07 P.10 světle šedá</t>
  </si>
  <si>
    <t>07 P.10 jasnoszary</t>
  </si>
  <si>
    <t>07 P.10 világosszürke</t>
  </si>
  <si>
    <t>07 P.10 svetlošedá</t>
  </si>
  <si>
    <t xml:space="preserve">07 P.10 lichtgrijs </t>
  </si>
  <si>
    <t>07 P.10 svetlo siva</t>
  </si>
  <si>
    <t xml:space="preserve">07 P.10 ljusgrå </t>
  </si>
  <si>
    <t xml:space="preserve">07 P.10 lys grå </t>
  </si>
  <si>
    <t>07 P.10 svijetlo siva</t>
  </si>
  <si>
    <t>08 P.10 Zinkgrau</t>
  </si>
  <si>
    <t>08 P.10 zinc grey</t>
  </si>
  <si>
    <t>08 P.10 gris de zinc</t>
  </si>
  <si>
    <t>08 P.10 grigio zinco</t>
  </si>
  <si>
    <t>08 P.10 zinkově šedá</t>
  </si>
  <si>
    <t>08 P.10 szarocynkowy</t>
  </si>
  <si>
    <t>08 P.10 cinkszürke</t>
  </si>
  <si>
    <t>08 P.10 zinkovošedá</t>
  </si>
  <si>
    <t>08 P.10 loodgrijs</t>
  </si>
  <si>
    <t>08 P.10 cinkovo siva</t>
  </si>
  <si>
    <t>08 P.10 zinkgrå</t>
  </si>
  <si>
    <t>08 P.10 sinkgrå</t>
  </si>
  <si>
    <t>08 P.10 cink siva</t>
  </si>
  <si>
    <t>08 Zinkgrau</t>
  </si>
  <si>
    <t>08 zinc grey</t>
  </si>
  <si>
    <t>08 gris de zinc</t>
  </si>
  <si>
    <t>08 grigio zinco</t>
  </si>
  <si>
    <t>08 zinkově šedá</t>
  </si>
  <si>
    <t>08 szarocynkowy</t>
  </si>
  <si>
    <t>08 cinkszürke</t>
  </si>
  <si>
    <t>08 zinkovošedá</t>
  </si>
  <si>
    <t>08 loodgrijs</t>
  </si>
  <si>
    <t>08 cinkovo siva</t>
  </si>
  <si>
    <t>08 zinkgrå</t>
  </si>
  <si>
    <t>08 sinkgrå</t>
  </si>
  <si>
    <t>08 cink siva</t>
  </si>
  <si>
    <t>1.500 mm</t>
  </si>
  <si>
    <t>1,500 mm</t>
  </si>
  <si>
    <t>1 500 mm</t>
  </si>
  <si>
    <t>1500 mm</t>
  </si>
  <si>
    <t>1500 mm</t>
  </si>
  <si>
    <t>1: Das gewünschte Produkt durch Anklicken des Reiters auswählen.</t>
  </si>
  <si>
    <t>1: Select the required product by clicking on the tab.</t>
  </si>
  <si>
    <t>1 : Sélectionnez le produit en cliquant sur l’onglet correspondant.</t>
  </si>
  <si>
    <t>1: Selezionare il prodotto desiderato facendo clic sulla scheda</t>
  </si>
  <si>
    <t xml:space="preserve">1: zakliknutím vybrat ožadovaný produkt </t>
  </si>
  <si>
    <t xml:space="preserve">1: Wybierz produkt klikając na zakładkę </t>
  </si>
  <si>
    <t>1: válassza ki a kívánt terméket</t>
  </si>
  <si>
    <t>1: Kliknutím vyberte požadovaný produkt</t>
  </si>
  <si>
    <t>1: Selecteer het gewenste product door te klikken op het tabblad.</t>
  </si>
  <si>
    <t>1: Izberite željeni proizvod s klikom</t>
  </si>
  <si>
    <t>1: Välj önskad produkt genom att klicka på fliken.</t>
  </si>
  <si>
    <t>1: Vælg det ønskede produkt ved at klikke på fanen.</t>
  </si>
  <si>
    <t>1: Velg ønsket produkt ved å klikke på fanen.</t>
  </si>
  <si>
    <t>1: Odaberite željeni proizvod klikom na karticu.</t>
  </si>
  <si>
    <t>10 P.10 Prefaweiß</t>
  </si>
  <si>
    <t>10 P.10 prefa white</t>
  </si>
  <si>
    <t>10 P.10 blanc PREFA</t>
  </si>
  <si>
    <t>10 P.10 bianco PREFA</t>
  </si>
  <si>
    <t>10 P.10 Prefa bílá</t>
  </si>
  <si>
    <t>10 P.10 biały prefa</t>
  </si>
  <si>
    <t>10 P.10 pferafehér</t>
  </si>
  <si>
    <t>10 P.10 prefa biela</t>
  </si>
  <si>
    <t>10 P.10 prefawit</t>
  </si>
  <si>
    <t>10 P.10 Prefa bela</t>
  </si>
  <si>
    <t>10 P.10 prefavit</t>
  </si>
  <si>
    <t>10 P.10 prefahvid</t>
  </si>
  <si>
    <t>10 P.10 prefahvit</t>
  </si>
  <si>
    <t>10 P.10 prefa bijela</t>
  </si>
  <si>
    <t>10 Prefaweiß</t>
  </si>
  <si>
    <t>10 prefa white</t>
  </si>
  <si>
    <t>10 blanc PREFA</t>
  </si>
  <si>
    <t>10 bianco Prefa</t>
  </si>
  <si>
    <t>10 prefa bílá</t>
  </si>
  <si>
    <t>10 Biały</t>
  </si>
  <si>
    <t>10 prefafehér</t>
  </si>
  <si>
    <t>10 prefa biela</t>
  </si>
  <si>
    <t>10 prefawit</t>
  </si>
  <si>
    <t>10 prefa bela</t>
  </si>
  <si>
    <t>10 prefavit</t>
  </si>
  <si>
    <t>10 prefahvid</t>
  </si>
  <si>
    <t>10 prefahvit</t>
  </si>
  <si>
    <t>10 Prefa bijela</t>
  </si>
  <si>
    <t>100 × ⌀ 50–75 mm</t>
  </si>
  <si>
    <t>100 × ⌀ 50-75 mm</t>
  </si>
  <si>
    <t>ø 100 x 50-75 mm</t>
  </si>
  <si>
    <t>100 x ø 50-75 mm</t>
  </si>
  <si>
    <t>100 × ⌀ 50 – 75 mm</t>
  </si>
  <si>
    <t>100 × ⌀ 50-75 mm</t>
  </si>
  <si>
    <t>100 ⌀ 50-75 mm</t>
  </si>
  <si>
    <t>⌀ 100</t>
  </si>
  <si>
    <t>Ø 100</t>
  </si>
  <si>
    <t>Ø 100</t>
  </si>
  <si>
    <t>ø100</t>
  </si>
  <si>
    <t>100 ø_</t>
  </si>
  <si>
    <t>⌀ 100</t>
  </si>
  <si>
    <t>100 ⌀</t>
  </si>
  <si>
    <t>100 ø</t>
  </si>
  <si>
    <t>⌀ 100 × 1.450 mm</t>
  </si>
  <si>
    <t>Ø 100 × 1,450 mm</t>
  </si>
  <si>
    <t>Ø 100 × 1 450 mm</t>
  </si>
  <si>
    <t>ø100 x 1.450 mm</t>
  </si>
  <si>
    <t>100 ø x 1.450 mm</t>
  </si>
  <si>
    <t>⌀ 100 × 1,450 mm</t>
  </si>
  <si>
    <t>100 ⌀ × 1.450 mm</t>
  </si>
  <si>
    <t>Ø100 ⌀ × 1.450 mm</t>
  </si>
  <si>
    <t>100 ⌀ × 1450 mm</t>
  </si>
  <si>
    <t>100 ⌀ × 1450 mm</t>
  </si>
  <si>
    <t>Ø 100 × 1.450 mm</t>
  </si>
  <si>
    <t>⌀ 100; 700–1.100 mm</t>
  </si>
  <si>
    <t>Ø 100; 700–1,100 mm</t>
  </si>
  <si>
    <t>Ø 100; 700-1 100 mm</t>
  </si>
  <si>
    <t>ø100 x 700-1.100 mm</t>
  </si>
  <si>
    <t>100 ø 700-1.100 mm</t>
  </si>
  <si>
    <t>⌀ 100; 700–1,100 mm</t>
  </si>
  <si>
    <t>100 ⌀ 700–1.100 mm</t>
  </si>
  <si>
    <t>Ø100 ⌀ 700–1.100 mm</t>
  </si>
  <si>
    <t>100 ⌀ 700 – 1100 mm</t>
  </si>
  <si>
    <t>100 ⌀ 700-1.100 mm</t>
  </si>
  <si>
    <t>100 ⌀ 700–1100 mm</t>
  </si>
  <si>
    <t>Ø 100; 700–1.100 mm</t>
  </si>
  <si>
    <t>100–160 mm</t>
  </si>
  <si>
    <t>100–160 mm</t>
  </si>
  <si>
    <t>100 à 160 mm</t>
  </si>
  <si>
    <t>100 - 160 mm</t>
  </si>
  <si>
    <t>100 – 160 mm</t>
  </si>
  <si>
    <t>100-160 mm</t>
  </si>
  <si>
    <t>100-160 mm</t>
  </si>
  <si>
    <t>100–180 mm</t>
  </si>
  <si>
    <t>100 à 180 mm</t>
  </si>
  <si>
    <t>100 - 180 mm</t>
  </si>
  <si>
    <t>100 – 180 mm</t>
  </si>
  <si>
    <t>100-180 mm</t>
  </si>
  <si>
    <t>11 Nussbraun</t>
  </si>
  <si>
    <t>11 nut brown</t>
  </si>
  <si>
    <t>11 brun noisette</t>
  </si>
  <si>
    <t>11 testa di moro</t>
  </si>
  <si>
    <t>11 oříšková</t>
  </si>
  <si>
    <t>11 orzechowy brąz</t>
  </si>
  <si>
    <t>11 mogyoróbarna</t>
  </si>
  <si>
    <t>11 orieškovohnedá</t>
  </si>
  <si>
    <t>11 notenkleurig</t>
  </si>
  <si>
    <t>11 nötbrun</t>
  </si>
  <si>
    <t>11 nøddebrun</t>
  </si>
  <si>
    <t>11 nøttebrun</t>
  </si>
  <si>
    <t>11 lješnjak</t>
  </si>
  <si>
    <t>11 P.10 Nussbraun</t>
  </si>
  <si>
    <t>11 P.10 nut brown</t>
  </si>
  <si>
    <t>11 P.10 brun noisette</t>
  </si>
  <si>
    <t>11 P.10 Testa di moro</t>
  </si>
  <si>
    <t>11 P.10 oříšková</t>
  </si>
  <si>
    <t>11 P.10 szarocynkowy</t>
  </si>
  <si>
    <t>11 P.10 mogyoróbarna</t>
  </si>
  <si>
    <t>11 P.10 orieškovohnedá</t>
  </si>
  <si>
    <t>11 P.10 notenkleurig</t>
  </si>
  <si>
    <t>11 P.10 testa di moro</t>
  </si>
  <si>
    <t>11 P.10 nötbrun</t>
  </si>
  <si>
    <t>11 P.10 nøddebrun</t>
  </si>
  <si>
    <t>11 P.10 nøttebrun</t>
  </si>
  <si>
    <t>11 P.10 lješnjak smeđa</t>
  </si>
  <si>
    <t>12 metallic silver</t>
  </si>
  <si>
    <t>12 argent métallisé</t>
  </si>
  <si>
    <t>12 silver metallizzato</t>
  </si>
  <si>
    <t>12 stříbrná metalíza</t>
  </si>
  <si>
    <t>12 srebrny metalik</t>
  </si>
  <si>
    <t>12 ezüstmetál</t>
  </si>
  <si>
    <t>12 strieborná metalíza</t>
  </si>
  <si>
    <t>12 zilvermetallic</t>
  </si>
  <si>
    <t>12 kovinsko srebrna</t>
  </si>
  <si>
    <t>12 silvermetallic</t>
  </si>
  <si>
    <t>12 sølvmetallic</t>
  </si>
  <si>
    <t>12 sølv metallic</t>
  </si>
  <si>
    <t>12 srebrno metalik</t>
  </si>
  <si>
    <t>Ø 120</t>
  </si>
  <si>
    <t>ø120</t>
  </si>
  <si>
    <t>120 ø</t>
  </si>
  <si>
    <t>⌀ 120</t>
  </si>
  <si>
    <t>120 ⌀</t>
  </si>
  <si>
    <t>Ø 120</t>
  </si>
  <si>
    <t>13 plain aluminium</t>
  </si>
  <si>
    <t>13 aluminium naturel</t>
  </si>
  <si>
    <t>13 Alluminio naturale</t>
  </si>
  <si>
    <t>13 přírodní hliník</t>
  </si>
  <si>
    <t>13 naturalny</t>
  </si>
  <si>
    <t>13 natúr alumínium</t>
  </si>
  <si>
    <t>13 prírodný hliník</t>
  </si>
  <si>
    <t>13 natuurlijk blank</t>
  </si>
  <si>
    <t>13 natur</t>
  </si>
  <si>
    <t>13 naturligt blank</t>
  </si>
  <si>
    <t>13 naturblank</t>
  </si>
  <si>
    <t>13 prirodna</t>
  </si>
  <si>
    <t>138 × 0,7 mm</t>
  </si>
  <si>
    <t>138 × 0.7 mm</t>
  </si>
  <si>
    <t>138 × 0,7 mm</t>
  </si>
  <si>
    <t>138 x 0,7 mm</t>
  </si>
  <si>
    <t>138 mm</t>
  </si>
  <si>
    <t>138 mm</t>
  </si>
  <si>
    <t>138mm</t>
  </si>
  <si>
    <t>⌀ 150</t>
  </si>
  <si>
    <t>⌀ 150</t>
  </si>
  <si>
    <t>ø150</t>
  </si>
  <si>
    <t>150 ø</t>
  </si>
  <si>
    <t>150 ⌀</t>
  </si>
  <si>
    <t>Ø150</t>
  </si>
  <si>
    <t>17 P.10 Reinweiß</t>
  </si>
  <si>
    <t>17 P.10 pure white</t>
  </si>
  <si>
    <t>17 P.10 blanc pur</t>
  </si>
  <si>
    <t>17 P.10 bianco puro</t>
  </si>
  <si>
    <t>17 P.10 čistě bílá</t>
  </si>
  <si>
    <t>17 P.10 czysta biel</t>
  </si>
  <si>
    <t>17 P.10 tisztafehér</t>
  </si>
  <si>
    <t>17 P.10 čistá biela</t>
  </si>
  <si>
    <t>17 P.10 zuiver wit</t>
  </si>
  <si>
    <t>17 P.10 Bele</t>
  </si>
  <si>
    <t>17 P.10 renvit</t>
  </si>
  <si>
    <t>17 P.10 Renhvid Ral 9010</t>
  </si>
  <si>
    <t>17 P.10 Renhvit</t>
  </si>
  <si>
    <t>17 P.10 Bijela</t>
  </si>
  <si>
    <t>17 Reinweiß</t>
  </si>
  <si>
    <t>17 pure white</t>
  </si>
  <si>
    <t>17 blanc pur</t>
  </si>
  <si>
    <t>17 bianco puro</t>
  </si>
  <si>
    <t>17 čistě bílá</t>
  </si>
  <si>
    <t>17 czysta biel</t>
  </si>
  <si>
    <t>17 tisztafehér</t>
  </si>
  <si>
    <t>17 čistá biela</t>
  </si>
  <si>
    <t>17 zuiverwit</t>
  </si>
  <si>
    <t>17 čista bela</t>
  </si>
  <si>
    <t>17 renvit</t>
  </si>
  <si>
    <t>17 ren hvid</t>
  </si>
  <si>
    <t>17 ren hvit</t>
  </si>
  <si>
    <t>17 čisto bijela</t>
  </si>
  <si>
    <t>180–220 mm</t>
  </si>
  <si>
    <t>180–220 mm</t>
  </si>
  <si>
    <t>180 à 220 mm</t>
  </si>
  <si>
    <t>180 - 220 mm</t>
  </si>
  <si>
    <t>180 – 220 mm</t>
  </si>
  <si>
    <t>180-220 mm</t>
  </si>
  <si>
    <t>180–260 mm</t>
  </si>
  <si>
    <t>180 à 260 mm</t>
  </si>
  <si>
    <t>180 - 260 mm</t>
  </si>
  <si>
    <t>180 – 260 mm</t>
  </si>
  <si>
    <t>180-260 mm</t>
  </si>
  <si>
    <t>19 P.10 Dunkelgrau</t>
  </si>
  <si>
    <t>19 P.10 dark grey</t>
  </si>
  <si>
    <t>19 P.10 gris sombre</t>
  </si>
  <si>
    <t>19 P.10 grigio scuro</t>
  </si>
  <si>
    <t>19 P.10 tmavě šedá</t>
  </si>
  <si>
    <t>19 P.10 ciemnoszary</t>
  </si>
  <si>
    <t>19 P.10 grafitszürke</t>
  </si>
  <si>
    <t>19 P.10 tmavošedá</t>
  </si>
  <si>
    <t>19 P.10 donkergrijs</t>
  </si>
  <si>
    <t>19 P.10 Tamno siva</t>
  </si>
  <si>
    <t>19 P.10 mörkgrå</t>
  </si>
  <si>
    <t>19 P.10 Mørk grå ral 7043</t>
  </si>
  <si>
    <t>19 P.10 Mørk grå</t>
  </si>
  <si>
    <t>195 mm lang</t>
  </si>
  <si>
    <t>195 mm long</t>
  </si>
  <si>
    <t>longueur : 195 mm</t>
  </si>
  <si>
    <t>lunghezza 195 mm</t>
  </si>
  <si>
    <t>195 mm délka</t>
  </si>
  <si>
    <t>195 mm długi</t>
  </si>
  <si>
    <t>195 mm hosszú</t>
  </si>
  <si>
    <t>195 mm dlhé</t>
  </si>
  <si>
    <t>lengte 195 mm</t>
  </si>
  <si>
    <t>195 mm dolžine</t>
  </si>
  <si>
    <t>195 mm lång</t>
  </si>
  <si>
    <t>195 mm lang</t>
  </si>
  <si>
    <t>195 mm dugo</t>
  </si>
  <si>
    <t>1 × 250 (A = 140; B = 85; C = 25 mm)</t>
  </si>
  <si>
    <t>1 × 250 (A = 140; B = 85; C = 25 mm)</t>
  </si>
  <si>
    <t>1x250 (A=140 B=85 C=25 mm)</t>
  </si>
  <si>
    <t>1 x 250 (A=140; B=85; C=25 mm)</t>
  </si>
  <si>
    <t>1 x 250 (A=140 B=85 C=25 mm)</t>
  </si>
  <si>
    <t>1x250 (A = 140 B = 85 C = 25 mm)</t>
  </si>
  <si>
    <t>1x250 (A=140 B=85 C=25 mm)</t>
  </si>
  <si>
    <t>1 × 333 (A = 223; B = 85; C = 25 mm)</t>
  </si>
  <si>
    <t>1 × 333 (A = 223; B = 85; C = 25 mm)</t>
  </si>
  <si>
    <t>1x333 (A=223 B=85 C=25 mm)</t>
  </si>
  <si>
    <t>1 x 333 (A=223; B=85; C=25 mm)</t>
  </si>
  <si>
    <t>1 x 333 (A=223 B=85 C=25 mm)</t>
  </si>
  <si>
    <t>1x333 (A = 223 B = 85 C = 25 mm)</t>
  </si>
  <si>
    <t>1x333 (A=223 B=85 C=25 mm)</t>
  </si>
  <si>
    <t>2: Sämtliche Felder, die grau hinterlegt sind, können befüllt werden oder sind mit einer vordefinierten Auswahlliste hinterlegt.</t>
  </si>
  <si>
    <t>2: Fields with a grey background are input fields or contain a drop-down list.</t>
  </si>
  <si>
    <t>2 : Les champs en grisé sont soit des champs de saisie, soit des listes déroulantes.</t>
  </si>
  <si>
    <t>2: Tutti i campi evidenziati in grigio possono essere riempiti oppure è possibile selezionare una voce da un elenco predefinito</t>
  </si>
  <si>
    <t>2: Všechny šedě podložená pole jsou opatřeny před definovaným výběrem nebo je možné je doplnit je možné doplnit</t>
  </si>
  <si>
    <t>2: Na polach z szarym tłem należy wpisać wartość lub wybrać z rozwijanej listy.</t>
  </si>
  <si>
    <t xml:space="preserve">2: A szürke mezőkbe írhat, vagy a legördülő listából választhat </t>
  </si>
  <si>
    <t>2: Všetky polia označené sivou farbou môžu byť vyplnené, alebo uložené do preddefinovaného výberu</t>
  </si>
  <si>
    <t>2: Alle grijze velden kunnen worden ingevuld of zijn van een voorgedefinieerde selectielijst voorzien.</t>
  </si>
  <si>
    <t>2: Vsa polja, ki so označena s sivo, so lahko izbrana s predhodno izbranim seznamom izbire</t>
  </si>
  <si>
    <t>2: Samtliga fält som är gråmarkerade kan fyllas i eller är markerade med en fördefinierad urvalslista.</t>
  </si>
  <si>
    <t>2: Alle felter med grå baggrund kan udfyldes, eller har en prædefineret valgliste.</t>
  </si>
  <si>
    <t>2: Samtlige felt som er markert med grått, kan fylles ut eller er markert med en forhåndsdefinert utvalgsliste.</t>
  </si>
  <si>
    <t>2: Polja sa sivom pozadinom su polja za unos ili sadrže padajući popis.</t>
  </si>
  <si>
    <t>20 Rauchsilber</t>
  </si>
  <si>
    <t>20 smoke silver</t>
  </si>
  <si>
    <t>20 argent fumé</t>
  </si>
  <si>
    <t>20 grigio fumo</t>
  </si>
  <si>
    <t>20 kouřově stříbrná</t>
  </si>
  <si>
    <t>20 szarydymiony</t>
  </si>
  <si>
    <t>20 füstezüst</t>
  </si>
  <si>
    <t>20 dymová strieborná</t>
  </si>
  <si>
    <t>20 rookzilver</t>
  </si>
  <si>
    <t>20 dimljeno srebro</t>
  </si>
  <si>
    <t>20 röksilver</t>
  </si>
  <si>
    <t>20 grå aluminium</t>
  </si>
  <si>
    <t>20 røyk sølv</t>
  </si>
  <si>
    <t>20 dim srebrna</t>
  </si>
  <si>
    <t>200 × 1,0 mm</t>
  </si>
  <si>
    <t>200 × 1,0 mm</t>
  </si>
  <si>
    <t>200 x 1,0 mm</t>
  </si>
  <si>
    <t>21 Rubinrot</t>
  </si>
  <si>
    <t>21 ruby red</t>
  </si>
  <si>
    <t>21 rouge rubis</t>
  </si>
  <si>
    <t>21 rosso rubino</t>
  </si>
  <si>
    <t>21 rubínová</t>
  </si>
  <si>
    <t>21 rubinowy</t>
  </si>
  <si>
    <t>21 rubinvörös</t>
  </si>
  <si>
    <t>21 rubínová červená</t>
  </si>
  <si>
    <t>21 robijnrood</t>
  </si>
  <si>
    <t>21 rubinasto rdeča</t>
  </si>
  <si>
    <t>21 rubinröd</t>
  </si>
  <si>
    <t>21 rubinrød</t>
  </si>
  <si>
    <t>21 rubin crvena</t>
  </si>
  <si>
    <t>23 Schwarzgrau</t>
  </si>
  <si>
    <t>23 black gray</t>
  </si>
  <si>
    <t>23 gris noir</t>
  </si>
  <si>
    <t>23 nero grigio</t>
  </si>
  <si>
    <t>23 černě šedá</t>
  </si>
  <si>
    <t>ciemnoszary</t>
  </si>
  <si>
    <t>23 fekete szürke</t>
  </si>
  <si>
    <t>23 čiernošedá</t>
  </si>
  <si>
    <t>23 zwartgrijs</t>
  </si>
  <si>
    <t>23 črna siva</t>
  </si>
  <si>
    <t>23 svartgrå</t>
  </si>
  <si>
    <t>23 sortgrå</t>
  </si>
  <si>
    <t>23 crno siva</t>
  </si>
  <si>
    <t>230 × 2.000 × 0,7 mm</t>
  </si>
  <si>
    <t>230 × 2,000 × 0.7 mm</t>
  </si>
  <si>
    <t>230 × 2 000 × 0,7 mm</t>
  </si>
  <si>
    <t>230 x 2.000 x 0,7 mm</t>
  </si>
  <si>
    <t>230 × 2.000 × 0,7 mm</t>
  </si>
  <si>
    <t>230 × 2000 × 0,7 mm</t>
  </si>
  <si>
    <t>230 × 2000 × 0,7 mm</t>
  </si>
  <si>
    <t>25 Elfenbein</t>
  </si>
  <si>
    <t>25 ivory</t>
  </si>
  <si>
    <t>25 ivoire clair</t>
  </si>
  <si>
    <t>25 avorio</t>
  </si>
  <si>
    <t>25 slonová kost</t>
  </si>
  <si>
    <t>25 kość słoniowa</t>
  </si>
  <si>
    <t>25 elefántcsont</t>
  </si>
  <si>
    <t>25 slonová kosť</t>
  </si>
  <si>
    <t>25 ivoor</t>
  </si>
  <si>
    <t>25 slonovina</t>
  </si>
  <si>
    <t>25 elfenben</t>
  </si>
  <si>
    <t>25 elfenbein</t>
  </si>
  <si>
    <t>250 g</t>
  </si>
  <si>
    <t>250 g</t>
  </si>
  <si>
    <t>250/23 × 7</t>
  </si>
  <si>
    <t>250/23 × 7</t>
  </si>
  <si>
    <t>250/23 x 7</t>
  </si>
  <si>
    <t>26 Holz dunkel</t>
  </si>
  <si>
    <t>26 dark wood</t>
  </si>
  <si>
    <t>26 bois foncé</t>
  </si>
  <si>
    <t>26 legno scuro</t>
  </si>
  <si>
    <t>26 tmavé dřevo</t>
  </si>
  <si>
    <t>26 kolonialna czerwień</t>
  </si>
  <si>
    <t>26 sötét famintázat</t>
  </si>
  <si>
    <t>26 drevo tmavé</t>
  </si>
  <si>
    <t>26 hout donker</t>
  </si>
  <si>
    <t>26 les temen</t>
  </si>
  <si>
    <t>26 mörkt trä</t>
  </si>
  <si>
    <t>26 træ mørk</t>
  </si>
  <si>
    <t>26 mørkt tre</t>
  </si>
  <si>
    <t>26 tamno drvo</t>
  </si>
  <si>
    <t>28 × 7 mm</t>
  </si>
  <si>
    <t>28 × 7 mm</t>
  </si>
  <si>
    <t>28 x 7 mm</t>
  </si>
  <si>
    <t>28/25 (1 kg = ca. 570 Stk.)</t>
  </si>
  <si>
    <t>28/25 (1 kg = approx. 570 pc.)</t>
  </si>
  <si>
    <t>28/25 (1 kg = env. 570)</t>
  </si>
  <si>
    <t>28/25 (1 Kg = ca. 570 Pz.)</t>
  </si>
  <si>
    <t>28/25 (1 kg = ca. 570 ks.)</t>
  </si>
  <si>
    <t>28/25 (1 kg = około 570 szt.)</t>
  </si>
  <si>
    <t>28/25 (1 kg = kb. 570 db.)</t>
  </si>
  <si>
    <t>28/25 (1 kg = cca 570 ks)</t>
  </si>
  <si>
    <t>28/25 (1 kg = ca. 570 stks.)</t>
  </si>
  <si>
    <t>28/25 (1 kg = ca. 570 kos)</t>
  </si>
  <si>
    <t>28/25 (1 kg = cirka 570 st.)</t>
  </si>
  <si>
    <t>28/25 (1 kg = ca. 570 stk.)</t>
  </si>
  <si>
    <t>28/25 (1 kg = ca. 570 stk.)</t>
  </si>
  <si>
    <t>28/25 (1 kg = cca. 570 kom.)</t>
  </si>
  <si>
    <t>28/30 (1 kg = ca. 480 Stk.)</t>
  </si>
  <si>
    <t>28/30 (1 kg = approx. 480 pc.)</t>
  </si>
  <si>
    <t>28/30 (1 kg = env. 480)</t>
  </si>
  <si>
    <t>28/30 (1 Kg = ca. 480 Pz.)</t>
  </si>
  <si>
    <t>28/30 (1 kg = ca. 480 ks.)</t>
  </si>
  <si>
    <t>28/30 (1 kg = około 480 szt.)</t>
  </si>
  <si>
    <t>28/30 (1 kg = kb. 480 db.)</t>
  </si>
  <si>
    <t>28/30 (1 kg = cca 480 ks)</t>
  </si>
  <si>
    <t>28/30 (1 kg = ca. 480 stks.)</t>
  </si>
  <si>
    <t>28/30 (1 kg = ca. 480 kos)</t>
  </si>
  <si>
    <t>28/30 (1 kg = cirka 480 st.)</t>
  </si>
  <si>
    <t>28/30 (1 kg = ca. 480 stk.)</t>
  </si>
  <si>
    <t>28/30 (1 kg = ca. 480 stk.)</t>
  </si>
  <si>
    <t>28/30 (1 kg = cca. 480 kom.)</t>
  </si>
  <si>
    <t>28/40 (1 kg = ca. 380 Stk.)</t>
  </si>
  <si>
    <t>28/40 (1 kg = approx. 380 pc.)</t>
  </si>
  <si>
    <t>28/40 (1 kg = env. 380)</t>
  </si>
  <si>
    <t>28/40 (1 Kg = ca. 380 Pz.)</t>
  </si>
  <si>
    <t>28/40 (1 kg = ca. 380 ks.)</t>
  </si>
  <si>
    <t>28/40 (1 kg = około 380 szt.)</t>
  </si>
  <si>
    <t>28/40 (1 kg = kb. 380 db.)</t>
  </si>
  <si>
    <t>28/40 (1 kg = cca 380 ks)</t>
  </si>
  <si>
    <t>28/40 (1 kg = ca. 380 stks.)</t>
  </si>
  <si>
    <t>28/40 (1 kg = ca. 380 kos)</t>
  </si>
  <si>
    <t>28/40 (1 kg = cirka 380 st.)</t>
  </si>
  <si>
    <t>28/40 (1 kg = ca. 380 stk.)</t>
  </si>
  <si>
    <t>28/40 (1 kg = ca. 380 stk.)</t>
  </si>
  <si>
    <t>28/40 (1 kg = cca. 380 kom.)</t>
  </si>
  <si>
    <t>290 ml reichen für ca. 4 m.</t>
  </si>
  <si>
    <t>290 ml is sufficient for approx. 4 m.</t>
  </si>
  <si>
    <t>290 ml pour 4 m environ.</t>
  </si>
  <si>
    <t>290 ml sono sufficienti per ca. 4 m lineari</t>
  </si>
  <si>
    <t>290 ml postačí na cca. 4 bm</t>
  </si>
  <si>
    <t>290 ml wystarcza na około 4 m</t>
  </si>
  <si>
    <t>296 ml, kb. 4fm-re elég</t>
  </si>
  <si>
    <t>290 ml postačuje na cca 4 bm</t>
  </si>
  <si>
    <r>
      <t>290 ml is voldoende voor ca. 4 m</t>
    </r>
    <r>
      <rPr>
        <vertAlign val="superscript"/>
        <sz val="11"/>
        <color indexed="8"/>
        <rFont val="Arial"/>
        <family val="2"/>
      </rPr>
      <t>1</t>
    </r>
  </si>
  <si>
    <t>290 ml za približno 4 tekoče metre</t>
  </si>
  <si>
    <t>290 ml räcker till cirka 4 lpm.</t>
  </si>
  <si>
    <t>290 ml rækker til ca. 4 lbm.</t>
  </si>
  <si>
    <t>290 ml rekker til ca. 4 lm.</t>
  </si>
  <si>
    <t>290 ml je dovoljno za cca. 4 m.</t>
  </si>
  <si>
    <t>3 m</t>
  </si>
  <si>
    <t>3 m</t>
  </si>
  <si>
    <t>3.000 mm</t>
  </si>
  <si>
    <t>3,000 mm</t>
  </si>
  <si>
    <t>3 000 mm</t>
  </si>
  <si>
    <t>3000 mm</t>
  </si>
  <si>
    <t>3000 mm</t>
  </si>
  <si>
    <t>3: Sämtliche Optionsfelder können angewählt werden.</t>
  </si>
  <si>
    <t>3: All options can be selected.</t>
  </si>
  <si>
    <t>3 : Il est possible de cliquer la totalité des boutons radio (options).</t>
  </si>
  <si>
    <t>3: Ogni pulsante delle opzioni può essere selezionato</t>
  </si>
  <si>
    <t>3: Vybrána mohou být všechna nabídková pole</t>
  </si>
  <si>
    <t>3: Można wybrać wszystkie opcje.</t>
  </si>
  <si>
    <t>3: Az opciókat tartalmazó mezőket kitöltheti</t>
  </si>
  <si>
    <t>3: Je možné vybrať si aj všetky doplnkové polia</t>
  </si>
  <si>
    <t>3: Alle optievelden kunnen worden afgevinkt.</t>
  </si>
  <si>
    <t>3: izbrana so lahko vsa poljubna polja</t>
  </si>
  <si>
    <t>3: Samtliga alternativfält kan väljas.</t>
  </si>
  <si>
    <t>3: Alle valgfelter kan vælges.</t>
  </si>
  <si>
    <t>3: Samtlige valgfelt kan velges.</t>
  </si>
  <si>
    <t>3: Mogu se odabrati sva polja s opcijama.</t>
  </si>
  <si>
    <t>300 ml</t>
  </si>
  <si>
    <t>300 ml</t>
  </si>
  <si>
    <t>300 × 1,0 mm</t>
  </si>
  <si>
    <t>300 × 1,0 mm</t>
  </si>
  <si>
    <t>300 x 1,0 mm</t>
  </si>
  <si>
    <t>300 × 1,2 mm</t>
  </si>
  <si>
    <t>300 × 1,2 mm</t>
  </si>
  <si>
    <t>300 x 1,2 mm</t>
  </si>
  <si>
    <t>300 mm</t>
  </si>
  <si>
    <t>300 mm</t>
  </si>
  <si>
    <t>300mm</t>
  </si>
  <si>
    <t>333 mm / 100 × 100 mm</t>
  </si>
  <si>
    <t>333 mm / 100 × 100 mm</t>
  </si>
  <si>
    <t>333 mm / 100 x 100 mm</t>
  </si>
  <si>
    <t>333 mm/100 × 100 mm</t>
  </si>
  <si>
    <t>333 mm / 100 × 100 mm</t>
  </si>
  <si>
    <t>333/28 × 7</t>
  </si>
  <si>
    <t>333/28 × 7</t>
  </si>
  <si>
    <t>333/28 x 7</t>
  </si>
  <si>
    <t>38 Walnuss braun</t>
  </si>
  <si>
    <t>38 walnut</t>
  </si>
  <si>
    <t>38 noyer foncé</t>
  </si>
  <si>
    <t>38 noce scuro</t>
  </si>
  <si>
    <t>38 ořech tmavý</t>
  </si>
  <si>
    <t>38 orzech brązowy</t>
  </si>
  <si>
    <t>38 dió</t>
  </si>
  <si>
    <t>38 vlašský orech hnedý</t>
  </si>
  <si>
    <t>38 Walnootbruin</t>
  </si>
  <si>
    <t>38 orehovo rjava</t>
  </si>
  <si>
    <t>38 valnötsbrun</t>
  </si>
  <si>
    <t>38 valnøddebrun</t>
  </si>
  <si>
    <t>38 valnøttbrun</t>
  </si>
  <si>
    <t>38 orah</t>
  </si>
  <si>
    <t>40 Eiche natur</t>
  </si>
  <si>
    <t>40 natural oak</t>
  </si>
  <si>
    <t>40 chêne naturel</t>
  </si>
  <si>
    <t>40 rovere naturale</t>
  </si>
  <si>
    <t>40 dub přírodní</t>
  </si>
  <si>
    <t>40 dąb naturalny</t>
  </si>
  <si>
    <t>40 világos tölgy</t>
  </si>
  <si>
    <t>40 dub prírodný</t>
  </si>
  <si>
    <t>40 Eiken natuur</t>
  </si>
  <si>
    <t>40 hrast naravni</t>
  </si>
  <si>
    <t>40 naturek</t>
  </si>
  <si>
    <t>40 eg natur</t>
  </si>
  <si>
    <t>40 naturfarget eik</t>
  </si>
  <si>
    <t>40 prirodni hrast</t>
  </si>
  <si>
    <t>4 × 25 × 427 mm</t>
  </si>
  <si>
    <t>4 × 25 × 427 mm</t>
  </si>
  <si>
    <t>4 x 25 x 427 mm</t>
  </si>
  <si>
    <t>4 × 9.5 mm</t>
  </si>
  <si>
    <t>4 x 9,5 mm</t>
  </si>
  <si>
    <t>4 x 10 mm</t>
  </si>
  <si>
    <t>4 × 9,5 mm</t>
  </si>
  <si>
    <t>4.8 × 17 mm</t>
  </si>
  <si>
    <t>4,8 x 17 mm</t>
  </si>
  <si>
    <t>4,8 × 17 mm</t>
  </si>
  <si>
    <t>4: Die Mengen können je nach Wunsch in Stück (Stk.) oder aufgerundet auf die nächste Verpackungseinheit (VPE) berechnet werden.</t>
  </si>
  <si>
    <t>4: Quantities can be calculated per piece (pc.) or rounded up to the next packaging unit (PU).</t>
  </si>
  <si>
    <t>4 : Les quantités peuvent être calculées à la pièce (pc.) ou bien arrondies à l’unité d’emballage (UE) supérieure.</t>
  </si>
  <si>
    <t>4: Le quantità possono essere calcolate in pezzi (PZ) oppure arrotondati all'intera unità di confezionamento (CF)</t>
  </si>
  <si>
    <t xml:space="preserve">4: Množství může být počítáno dle přání na jednotlivé kusy (ks) nebo zaokrouhleno na celá balení </t>
  </si>
  <si>
    <t>4: Ilość można skalkulować na sztuki (szt.) lub zaokrąglić do pełnych opakowań ( opakowanie ).</t>
  </si>
  <si>
    <t>4: A mennyiségeket igény szerint darabszámmal, vagy csomagolási egységre kerekítve is megadhatja</t>
  </si>
  <si>
    <t>4: Množstvá sa môžu spočítavať v kusoch (ks), alebo zaokrúhľovať nahor na celé balenie (BAL) podľa potreby.</t>
  </si>
  <si>
    <t>4: De aantallen kunnen naar wens in stuks (stks.) of afgerond op de volgende verpakkingseenheid (VPE) worden berekend.</t>
  </si>
  <si>
    <t>4: Količine lahko izračunate po kosih (kos), ali jih zaokrožite na enoto pakiranje (PAK)</t>
  </si>
  <si>
    <t>4: Mängderna kan efter önskemål beräknas styckevis (st.) eller rundas av till nästa förpackningsenhet (FPE).</t>
  </si>
  <si>
    <t>4: Mængderne kan om ønsket beregnet i styk (stk.) eller afrundes til næste pakkeenhed.</t>
  </si>
  <si>
    <t>4: Mengdene kan etter ønske beregnes i stykker (stk.) eller rundes opp til neste forpakningsenhet (FPE).</t>
  </si>
  <si>
    <t>4: Količine se mogu prema potrebi izračunati u komadima (kom.) ili zaokružiti na sljedeću jedinicu pakiranja (VPE).</t>
  </si>
  <si>
    <t>4: Eventualpositionen können hier gekennzeichnet werden.</t>
  </si>
  <si>
    <t>4: Any additional options can be indicated in this field.</t>
  </si>
  <si>
    <t>4 : Ce champ permet d’indiquer les éventuelles options supplémentaires.</t>
  </si>
  <si>
    <t>4: Eventuali note possono essere segnate in questo spazio</t>
  </si>
  <si>
    <t>4: Zde mohu být označeny alternativní položky</t>
  </si>
  <si>
    <t>4: W tym polu można zaznaczyć dodatkowe opcje.</t>
  </si>
  <si>
    <t>4: Itt adhat meg kiegészítő adatokat</t>
  </si>
  <si>
    <t>4: Sem možete zapísať ďalšie položky</t>
  </si>
  <si>
    <t>4: Eventuele posities kunnen hier worden gemarkeerd.</t>
  </si>
  <si>
    <t>4: tukaj lahko označite morebitne pozicije</t>
  </si>
  <si>
    <t>4: Eventuella positioner kan noteras här.</t>
  </si>
  <si>
    <t>4: Eventualpositioner kan markeres her.</t>
  </si>
  <si>
    <t>4: Andelsposisjoner kan merkes her.</t>
  </si>
  <si>
    <t>4: Ovdje se mogu označiti nepredviđene stavke.</t>
  </si>
  <si>
    <t>4: Wurde als Farbe pulverbeschichtet gewählt, erscheint ein zusätzliches Eingabefeld für die Beschichtungsfarbe.</t>
  </si>
  <si>
    <t>4: If you selected powder coating as the colour, an additional input field will be displayed for you to select the coating colour.</t>
  </si>
  <si>
    <t>4 : Si, pour la couleur, vous sélectionnez l’option « revêtement thermolaqué », un champ supplémentaire s’affiche qui vous permet de sélectionner la couleur du revêtement.</t>
  </si>
  <si>
    <t>4: Se viene selezionata la verniciatura a polvere, viene visualizzato un ulteriore campo nel quale inserire il colore richiesto</t>
  </si>
  <si>
    <t xml:space="preserve">4: Bylo-li vybráno práškové lakování, zobrazí se dodatečně políčko pro výběr požadované barvy </t>
  </si>
  <si>
    <t>4: Jeśli jako kolor wybrano powłokę proszkową, zostanie wyświetlone dodatkowe pole wprowadzania, aby wybrać kolor powłoki.</t>
  </si>
  <si>
    <t>4: Ha színnek a porszórt színt adta meg, külön mezőben adhatja meg a választott színt</t>
  </si>
  <si>
    <t>4: Ak bola zvolená prášková farba, zobrazí sa ďalšie pole pre voľbu farby</t>
  </si>
  <si>
    <t>4: Indien als kleur geëpoxeerd werd gekozen, verschijnt een extra invoerveld voor de coatingkleur.</t>
  </si>
  <si>
    <t>4: Če ste izbrali prašno barvanje, se prikaže dodatno polje za vnos barve</t>
  </si>
  <si>
    <t>4: Om pulverlackerat har valts som färg visas ytterligare ett inmatningsfält för lackeringsfärgen.</t>
  </si>
  <si>
    <t>4: Hvis pulverbelagt er valgt som farve, vises et ekstra indtastningsfelt for belægningsfarven.</t>
  </si>
  <si>
    <t>4: Hvis fargen ble valgt som pulverlakkert, vises et ekstra felt for sjiktfargen.</t>
  </si>
  <si>
    <t>4: Ako je kao boja odabrana praškasta presvlaka, pojavljuje se dodatno polje za unos boje presvlake.</t>
  </si>
  <si>
    <t>40 Holz hell</t>
  </si>
  <si>
    <t>40 light wood</t>
  </si>
  <si>
    <t>40 bois clair</t>
  </si>
  <si>
    <t>40 legno chiaro</t>
  </si>
  <si>
    <t>40 světlé dřevo</t>
  </si>
  <si>
    <t>40 miodowoperłowy</t>
  </si>
  <si>
    <t>40 világos famintázat</t>
  </si>
  <si>
    <t>40 drevo svetlé</t>
  </si>
  <si>
    <t>40 hout licht</t>
  </si>
  <si>
    <t>40 les svetel</t>
  </si>
  <si>
    <t>40 ljust trä</t>
  </si>
  <si>
    <t>40 træ lys</t>
  </si>
  <si>
    <t>40 lyst tre</t>
  </si>
  <si>
    <t>40 svijetlo drvo</t>
  </si>
  <si>
    <t>400 mm / 100 × 100 mm</t>
  </si>
  <si>
    <t>400 mm / 100 × 100 mm</t>
  </si>
  <si>
    <t>400 mm / 100 x 100 mm</t>
  </si>
  <si>
    <t>400 mm/100 × 100 mm</t>
  </si>
  <si>
    <t>400 mm / 100 × 100 mm</t>
  </si>
  <si>
    <t>400 × 1,0 mm</t>
  </si>
  <si>
    <t>400 × 1,0 mm</t>
  </si>
  <si>
    <t>400 x 1,0 mm</t>
  </si>
  <si>
    <t>400 × 1,2 mm</t>
  </si>
  <si>
    <t>400 × 1,2 mm</t>
  </si>
  <si>
    <t>400 x 1,2 mm</t>
  </si>
  <si>
    <t>400/30 × 7</t>
  </si>
  <si>
    <t>400/30 × 7</t>
  </si>
  <si>
    <t>400/30 x 7</t>
  </si>
  <si>
    <t>400 mm</t>
  </si>
  <si>
    <t>400 mm</t>
  </si>
  <si>
    <t>400mm</t>
  </si>
  <si>
    <t>41 P.10 Rostbraun</t>
  </si>
  <si>
    <t>41 P.10 rust brown</t>
  </si>
  <si>
    <t>41 P.10 brun rouille</t>
  </si>
  <si>
    <t>41 P.10 marrone ruggine</t>
  </si>
  <si>
    <t>41 P.10 žíhaná hnědá</t>
  </si>
  <si>
    <t>41 P.10 rdzawy brąz</t>
  </si>
  <si>
    <t>41 P.10 rozsdabarna</t>
  </si>
  <si>
    <t>41 P.10 hrdzavohnedá</t>
  </si>
  <si>
    <t>41 P.10 roestbruin</t>
  </si>
  <si>
    <t>41 P.10 rjasto rjava</t>
  </si>
  <si>
    <t>41 P.10 rostbrun</t>
  </si>
  <si>
    <t>41 P.10 rustbrun</t>
  </si>
  <si>
    <t>41 P.10 riđavo crvena</t>
  </si>
  <si>
    <t>42 P.10 Sandbraun</t>
  </si>
  <si>
    <t>42 P.10 sand brown</t>
  </si>
  <si>
    <t>42 P.10 brun sable</t>
  </si>
  <si>
    <t>42 P.10 marrone sahara</t>
  </si>
  <si>
    <t>42 P.10 písková</t>
  </si>
  <si>
    <t>42 P.10 piaskowy</t>
  </si>
  <si>
    <t>42 P.10 homokszín</t>
  </si>
  <si>
    <t>42 P.10 pieskovohnedá</t>
  </si>
  <si>
    <t>42 P.10 zandbruin</t>
  </si>
  <si>
    <t>42 P.10 peščeno rjava</t>
  </si>
  <si>
    <t>42 P.10 sandbrun</t>
  </si>
  <si>
    <t>42 P.10 pješčano smeđa</t>
  </si>
  <si>
    <t>43 P.10 Steingrau</t>
  </si>
  <si>
    <t>43 P.10 stone grey</t>
  </si>
  <si>
    <t>43 P.10 gris pierre</t>
  </si>
  <si>
    <t>43 P.10 Grigio pietra</t>
  </si>
  <si>
    <t>43 P.10 břidlicová</t>
  </si>
  <si>
    <t>43 P.10 szary kamienny</t>
  </si>
  <si>
    <t>43 P.10 márványszürke</t>
  </si>
  <si>
    <t>43 P.10 kamenná šedá</t>
  </si>
  <si>
    <t>43 P.10 steengrijs</t>
  </si>
  <si>
    <t>43 P.10 kamnito siva</t>
  </si>
  <si>
    <t>43 P.10 stengrå</t>
  </si>
  <si>
    <t>43 P.10 steingrå</t>
  </si>
  <si>
    <t>43 P.10 kameno siva</t>
  </si>
  <si>
    <t>45 Bronze</t>
  </si>
  <si>
    <t>45 bronzo</t>
  </si>
  <si>
    <t>45 bronz</t>
  </si>
  <si>
    <t>brązowy</t>
  </si>
  <si>
    <t>45 bronzová</t>
  </si>
  <si>
    <t>45 brons</t>
  </si>
  <si>
    <t>45 bronasta</t>
  </si>
  <si>
    <t>45 bronse</t>
  </si>
  <si>
    <t>45 bronca</t>
  </si>
  <si>
    <t>46 Patinagrün</t>
  </si>
  <si>
    <t>46 patina green</t>
  </si>
  <si>
    <t>46 vert-de-gris</t>
  </si>
  <si>
    <t>46 patina verde</t>
  </si>
  <si>
    <t>46 patina zelená</t>
  </si>
  <si>
    <t xml:space="preserve">szara patyna </t>
  </si>
  <si>
    <t>46 patina zöld</t>
  </si>
  <si>
    <t>46 patinagroen</t>
  </si>
  <si>
    <t>46 patinirano zelena</t>
  </si>
  <si>
    <t>46 patina grön</t>
  </si>
  <si>
    <t>46 patinagrøn</t>
  </si>
  <si>
    <t>46 patina grønn</t>
  </si>
  <si>
    <t>46 patina zelena</t>
  </si>
  <si>
    <t>47 Patinagrau</t>
  </si>
  <si>
    <t>47 patina grey</t>
  </si>
  <si>
    <t>47 gris quartz</t>
  </si>
  <si>
    <t>47 patina grigio</t>
  </si>
  <si>
    <t>47 patina šedá</t>
  </si>
  <si>
    <t>47 szara patyna</t>
  </si>
  <si>
    <t>47 patinaszürke</t>
  </si>
  <si>
    <t>47 patinagrijs</t>
  </si>
  <si>
    <t>47 siva patina</t>
  </si>
  <si>
    <t>47 patina grå</t>
  </si>
  <si>
    <t>47 patinagrå</t>
  </si>
  <si>
    <t>47 patina siva</t>
  </si>
  <si>
    <t>5,0 × 80 mm</t>
  </si>
  <si>
    <t>5.0 × 80 mm</t>
  </si>
  <si>
    <t>5,0 x 80 mm</t>
  </si>
  <si>
    <t>5,0 × 80 mm</t>
  </si>
  <si>
    <t>5: Am Tabellenende können Artikel, die nicht in der Liste aufgelistet sind, eingetragen werden.</t>
  </si>
  <si>
    <t>5: Any items which do not appear in the list can be entered at the end of the table.</t>
  </si>
  <si>
    <t>5 : Vous pouvez intégrer en bas de tableau des articles qui ne sont pas mentionnés dans la liste.</t>
  </si>
  <si>
    <t>5: In fondo alla tabella, possono essere inseriti ulteriori articoli non presenti nella lista</t>
  </si>
  <si>
    <t xml:space="preserve">5: Na konci tabulky mohou být uvedeny položky, které nejsou v seznamu </t>
  </si>
  <si>
    <t>5: Na końcu tabeli można wpisać dowolne pozycje, które nie znajdują się na liście.</t>
  </si>
  <si>
    <t>5: A táblázat végén adhat meg a táblázatban nem szereplő tételeket</t>
  </si>
  <si>
    <t>5: Položky, ktoré nie sú uvedené v zozname, je možné uviesť na konci tabuľky</t>
  </si>
  <si>
    <t>5: Aan het einde van de tabel kunnen artikelen worden ingevoerd die niet in de lijst zijn vermeld.</t>
  </si>
  <si>
    <t>5: na koncu tabele lahko vnesete elemente, ki niso navedeni na seznamu</t>
  </si>
  <si>
    <t>5: I slutet av tabellen kan artiklar som inte finns i listan noteras.</t>
  </si>
  <si>
    <t>5: Artikler, der ikke er anført i listen, kan indsættes i slutningen af tabellen.</t>
  </si>
  <si>
    <t>5: På slutten av tabellen kan du føre inn artikler som ikke står i listen.</t>
  </si>
  <si>
    <t>5: Sve stavke koje se ne pojavljuju na popisu mogu se unijeti na kraj tablice.</t>
  </si>
  <si>
    <t>5: Die Mengen können je nach Wunsch in Stück (Stk.) oder aufgerundet auf die nächste Verpackungseinheit (VPE) berechnet werden.</t>
  </si>
  <si>
    <t>5: Quantities can be calculated per piece (pc.) or rounded up to the next packaging unit (PU).</t>
  </si>
  <si>
    <t>5 : Les quantités peuvent être calculées à la pièce (pc.) ou bien arrondies à l’unité d’emballage (UE) supérieure.</t>
  </si>
  <si>
    <t>5: Le quantità possono essere calcolate in pezzi (PZ) oppure arrotondati all'intera unità di confezionamento (CF)</t>
  </si>
  <si>
    <t xml:space="preserve">5: Množství může být počítáno dle přání na jednotlivé kusy (ks) nebo zaokrouhleno na celá balení </t>
  </si>
  <si>
    <t>5: Ilość można skalkulować na sztuki (szt.) lub zaokrąglić do pełnych opakowań ( opakowanie ).</t>
  </si>
  <si>
    <t>5: A mennyiségeket igény szerint darabszámmal, vagy csomagolási egységre kerekítve is megadhatjaDie Mengen können je nach Wunsch in Stück (Stk) oder aufgerundet auf die nächste Verpackungseinheit (VPE) berechnet werden.</t>
  </si>
  <si>
    <t>5: Množstvá sa môžu spočítavať v kusoch (ks), alebo zaokrúhľovať nahor na celé balenie (BAL) podľa potreby.</t>
  </si>
  <si>
    <t>5: De hoeveelheden kunnen naar wens in stuks worden berekend of afgerond naar de volgende verpakkingseenheid</t>
  </si>
  <si>
    <t>5: Količine se lahko izračunajo v kosih (kos.) ali po potrebi zaokrožijo na naslednjo embalažno enoto (EE).</t>
  </si>
  <si>
    <t>Količine lahko izračunate po kosih (kos), ali jih zaokrožite na enoto pakiranje (PAK)</t>
  </si>
  <si>
    <t>5: Mængderne kan beregnes i styk (stykker) eller rundes op til næste emballageenhed (VPE) efter behov.</t>
  </si>
  <si>
    <t>5: Mengdene kan beregnes i stykker (stk.) eller rundes opp til neste emballasjeenhet (VPE) etter behov.</t>
  </si>
  <si>
    <t>5: Količine se mogu prema potrebi izračunati u komadima (kom.) ili zaokružiti na sljedeću jedinicu pakiranja (VPE).</t>
  </si>
  <si>
    <t>Ausbesserungslack; Dose (0,75 l)</t>
  </si>
  <si>
    <t>touch-up paint; can (0.75 l)</t>
  </si>
  <si>
    <t>peinture de retouche ; pot (0,75 l)</t>
  </si>
  <si>
    <t>Vernice di ritocco; barattolo (0,75 l)</t>
  </si>
  <si>
    <t>Opravný lak; plechovka (0,75 l)</t>
  </si>
  <si>
    <t>Lakier do poprawek malarskich; puszka (0,75 l)</t>
  </si>
  <si>
    <t>Javítófesték; doboz (0,75 l)</t>
  </si>
  <si>
    <t>Korekčný lak; nádobka (0,75 l)</t>
  </si>
  <si>
    <t>Retoucheerverf; blik (0,75 l)</t>
  </si>
  <si>
    <t>Popravilna barva; pločevinka (0,75 l)</t>
  </si>
  <si>
    <t>bättringsfärg; burk (0,75 l)</t>
  </si>
  <si>
    <t>Reparationsmaling; dåse (0,75 l)</t>
  </si>
  <si>
    <t>Utbedringslakk; boks (0,75 l)</t>
  </si>
  <si>
    <t>Boja za popravak; limenka (0,75 l)</t>
  </si>
  <si>
    <t>Ausbesserungslack; Dose (12 ml; mit Pinsel)</t>
  </si>
  <si>
    <t>touch-up paint; can (12 ml; with brush)</t>
  </si>
  <si>
    <t>peinture de retouche ; pot (12 ml ; avec pinceau)</t>
  </si>
  <si>
    <t>Vernice di ritocco; barattolo (12 ml; con pennello)</t>
  </si>
  <si>
    <t>Opravný lak; lahvička (12 ml; se štětečkem)</t>
  </si>
  <si>
    <t>Lakier do poprawek malarskich; puszka (12 l; pędzel w zestawie)</t>
  </si>
  <si>
    <t>Javítófesték; doboz (12 ml; ecsettel)</t>
  </si>
  <si>
    <t>Korekčný lak; nádobka (12 ml; so štetcom)</t>
  </si>
  <si>
    <t>Retoucheerverf; blik (12 l; met kwast)</t>
  </si>
  <si>
    <t>Popravilna barva; pločevinka (12 l, s čopičem)</t>
  </si>
  <si>
    <t>bättringsfärg; burk (12 ml; med borste)</t>
  </si>
  <si>
    <t>Reparationsmaling; dåse (12 ml, med pensel)</t>
  </si>
  <si>
    <t>Utbedringslakk; spann (12 l, med pensel)</t>
  </si>
  <si>
    <t>Boja za popravak; limenka (12 l, s kistom)</t>
  </si>
  <si>
    <t>Dose mit Pinsel (50 ml)</t>
  </si>
  <si>
    <t>50 ml can with brush</t>
  </si>
  <si>
    <t>pot avec pinceau (50 ml)</t>
  </si>
  <si>
    <t>50 ml Lattina con pennello</t>
  </si>
  <si>
    <t>50 ml lahvička se štětečkem</t>
  </si>
  <si>
    <t>50 ml puszka z pędzlem.</t>
  </si>
  <si>
    <t>50 ml tubus ecsettel</t>
  </si>
  <si>
    <t>50 ml nádoba so štetcom</t>
  </si>
  <si>
    <t>50 ml pot met kwast</t>
  </si>
  <si>
    <t>50 ml  doza s čopičem</t>
  </si>
  <si>
    <t>50 ml-burk med pensel</t>
  </si>
  <si>
    <t>50 ml dåse med pensel</t>
  </si>
  <si>
    <t>50 ml boks med pensel</t>
  </si>
  <si>
    <t>Limenka s kistom (50 ml)</t>
  </si>
  <si>
    <t>500/35 × 7</t>
  </si>
  <si>
    <t>500/35 × 7</t>
  </si>
  <si>
    <t>500/35 x 7</t>
  </si>
  <si>
    <t>6 m</t>
  </si>
  <si>
    <t>6 m</t>
  </si>
  <si>
    <t>6.000 × 375 mm</t>
  </si>
  <si>
    <t>6,000 × 375 mm</t>
  </si>
  <si>
    <t>6 000 × 375 mm</t>
  </si>
  <si>
    <t>6.000 x 375 mm</t>
  </si>
  <si>
    <t>6.000 × 375 mm</t>
  </si>
  <si>
    <t>6000 × 375 mm</t>
  </si>
  <si>
    <t>6000 × 375 mm</t>
  </si>
  <si>
    <t>6: Eventualpositionen können hier gekennzeichnet werden.</t>
  </si>
  <si>
    <t>6: Any additional options can be indicated in this field.</t>
  </si>
  <si>
    <t>6 : Ce champ permet d’indiquer les éventuelles options supplémentaires.</t>
  </si>
  <si>
    <t>6: Eventuali note possono essere segnate in questo spazio</t>
  </si>
  <si>
    <t>6: Zde mohu být označeny alternativní položky</t>
  </si>
  <si>
    <t>6: W tym polu można zaznaczyć dodatkowe opcje.</t>
  </si>
  <si>
    <t>6: Itt adhat meg kiegészítő adatokat</t>
  </si>
  <si>
    <t>6: Sem možete zapísať ďalšie položky</t>
  </si>
  <si>
    <t>6: Voorwaardelijke posities kunnen hier worden gemarkeerd.</t>
  </si>
  <si>
    <t>6: alternatiefposities kunnen hier gekentekend worden</t>
  </si>
  <si>
    <t>6: tukaj lahko označite morebitne pozicije</t>
  </si>
  <si>
    <t>6: Indstillinger kan markeres her.</t>
  </si>
  <si>
    <t>6: Her kan betingede plasser merkes.</t>
  </si>
  <si>
    <t>6: Ovdje se mogu označiti nepredviđene stavke.</t>
  </si>
  <si>
    <t>6: Zusatzvermerke können hier eingefügt werden.</t>
  </si>
  <si>
    <t>6: Add any additional comments here.</t>
  </si>
  <si>
    <t>6 : Ce champ vous permet de fournir des indications supplémentaires.</t>
  </si>
  <si>
    <t>6: Ulteriori annotazioni possono essere inserite qui</t>
  </si>
  <si>
    <t>6:Zde je možné vložit další poznámky</t>
  </si>
  <si>
    <t>6: Dodaj dodatkowe komentarze tutaj.</t>
  </si>
  <si>
    <t>6: megjegyzések</t>
  </si>
  <si>
    <t>6: Sem môžete zapísať ďalšie poznámky</t>
  </si>
  <si>
    <t>6: Hier kunnen aanvullende noties worden ingevoegd.</t>
  </si>
  <si>
    <t>6: tu lahko dodate dodatne opombe</t>
  </si>
  <si>
    <t>6: Kompletterande noteringar kan bifogas här.</t>
  </si>
  <si>
    <t>6: Ekstra anmærkninger kan indsættes her.</t>
  </si>
  <si>
    <t>6: Tilleggsnotater kan føyes til her.</t>
  </si>
  <si>
    <t>6: Ovdje se mogu upisati dodatne napomene.</t>
  </si>
  <si>
    <t>⌀ 60</t>
  </si>
  <si>
    <t>⌀ 60</t>
  </si>
  <si>
    <t>ø60</t>
  </si>
  <si>
    <t>60 ø</t>
  </si>
  <si>
    <t>60 ⌀</t>
  </si>
  <si>
    <t>Ø60</t>
  </si>
  <si>
    <t>⌀ 60 × 3.000 mm</t>
  </si>
  <si>
    <t>⌀ 60 × 3,000 mm</t>
  </si>
  <si>
    <t>⌀ 60 × 3 000 mm</t>
  </si>
  <si>
    <t>ø60 x 3.000 mm</t>
  </si>
  <si>
    <t>60 ø x 3.000 mm</t>
  </si>
  <si>
    <t>60 ⌀ × 3.000 mm</t>
  </si>
  <si>
    <t>Ø60 × 3.000 mm</t>
  </si>
  <si>
    <t>60 ⌀ × 3000 mm</t>
  </si>
  <si>
    <t>60 ⌀ × 3000 mm</t>
  </si>
  <si>
    <t>60 mm Ausladung</t>
  </si>
  <si>
    <t>60 mm projection</t>
  </si>
  <si>
    <t>projection de 60 mm</t>
  </si>
  <si>
    <t>60 mm disassamento</t>
  </si>
  <si>
    <t>60 mm přesah</t>
  </si>
  <si>
    <t>60 mm ochrony</t>
  </si>
  <si>
    <t>60 mm elhúzás</t>
  </si>
  <si>
    <t>vybočenie 60 mm</t>
  </si>
  <si>
    <t>Reikwijdte 60 mm</t>
  </si>
  <si>
    <t>60 mm grlo</t>
  </si>
  <si>
    <t>60 mm utladdning</t>
  </si>
  <si>
    <t>60 mm udhæng</t>
  </si>
  <si>
    <t>60 mm radius</t>
  </si>
  <si>
    <t>60 mm projekcija</t>
  </si>
  <si>
    <t>600 mm</t>
  </si>
  <si>
    <t>7: Am Tabellenende können Artikel, die nicht in der Liste aufgelistet sind, eingetragen werden.</t>
  </si>
  <si>
    <t>7: Any items which do not appear in the list can be entered at the end of the table.</t>
  </si>
  <si>
    <t>7 : Vous pouvez intégrer en bas de tableau des articles qui ne sont pas mentionnés dans la liste.</t>
  </si>
  <si>
    <t>7: In fondo alla tabella, possono essere inseriti ulteriori articoli non presenti nella lista</t>
  </si>
  <si>
    <t xml:space="preserve">7: Na konci tabulky mohou být uvedeny položky, které nejsou v seznamu </t>
  </si>
  <si>
    <t>7: Na końcu tabeli można wpisać dowolne pozycje, które nie znajdują się na liście.</t>
  </si>
  <si>
    <t>7: A táblázat végén adhat meg a táblázatban nem szereplő tételeket</t>
  </si>
  <si>
    <t>7: Položky, ktoré nie sú uvedené v zozname, je možné uviesť na konci tabuľky</t>
  </si>
  <si>
    <t>7: Aan het eind van de tabel kunnen producten worden ingezet die niet in de lijst voorkomen</t>
  </si>
  <si>
    <t>7: Izdelke, ki niso navedeni na seznamu, lahko vnesete na koncu tabele.</t>
  </si>
  <si>
    <t>7: na koncu tabele lahko vnesete elemente, ki niso navedeni na seznamu</t>
  </si>
  <si>
    <t>7: Artikler, der ikke står på listen, kan indtastes i slutningen af ​​tabellen.</t>
  </si>
  <si>
    <t>7: Elementer som ikke står på listen kan legges inn på slutten av tabellen.</t>
  </si>
  <si>
    <t>7: Sve stavke koje se ne pojavljuju na popisu mogu se unijeti na kraj tablice.</t>
  </si>
  <si>
    <t>7: Nicht benötigte Positionen können durch den Filter ausgeblendet werden.</t>
  </si>
  <si>
    <t>7: Use this filter to mask any entries that you do not require.</t>
  </si>
  <si>
    <t>7 : Le filtre permet de masquer les entrées dont vous n’avez pas besoin.</t>
  </si>
  <si>
    <t>7: Posizioni non necessarie possono essere nascoste con l'utilizzo dei filtri</t>
  </si>
  <si>
    <t xml:space="preserve">7: Nepoužívané položky mohou být pomocí filtru odstraněny </t>
  </si>
  <si>
    <t>7: Użyj tego filtru do ukrycia wpisów, których nie potrzebujesz.</t>
  </si>
  <si>
    <t>7: A nem szükséges pozíciók kiszűrhetők</t>
  </si>
  <si>
    <t xml:space="preserve">7: Nepotrebné položky sa môžu odstrániť pomocou filtra </t>
  </si>
  <si>
    <t>7: Posten die niet nodig zijn, kunnen door de filter worden verborgen.</t>
  </si>
  <si>
    <t>7: pazite na neoznačene pozicije pri filtriranju</t>
  </si>
  <si>
    <t>7: Ej nödvändiga positioner kan döljas genom filtret.</t>
  </si>
  <si>
    <t>7: Unødvendige positioner kan skjules vha. filteret.</t>
  </si>
  <si>
    <t>7: Posisjoner som ikke er nødvendige, kan fjernes med filteret.</t>
  </si>
  <si>
    <t>7: Koristite filtar za maskiranje svih unosa koji vam nisu potrebni.</t>
  </si>
  <si>
    <t>700 × 1,0 mm</t>
  </si>
  <si>
    <t>700 × 1.0 mm</t>
  </si>
  <si>
    <t>700 x 1,0 mm</t>
  </si>
  <si>
    <t>700 × 1,0 mm</t>
  </si>
  <si>
    <t>8: Zusatzvermerke können hier eingefügt werden.</t>
  </si>
  <si>
    <t>8: Add any additional comments here.</t>
  </si>
  <si>
    <t>8 : Ce champ vous permet de fournir des indications supplémentaires.</t>
  </si>
  <si>
    <t>8: Ulteriori annotazioni possono essere inserite qui</t>
  </si>
  <si>
    <t>8:Zde je možné vložit další poznámky</t>
  </si>
  <si>
    <t>8: Dodaj dodatkowe komentarze tutaj.</t>
  </si>
  <si>
    <t>8: megjegyzések</t>
  </si>
  <si>
    <t>8: Sem môžete zapísať ďalšie poznámky</t>
  </si>
  <si>
    <t>8: Opmerkingen kunnen hier ingevoegd worden</t>
  </si>
  <si>
    <t>8: Tukaj lahko vstavite dodatne opombe.</t>
  </si>
  <si>
    <t>8: tu lahko dodate dodatne opombe</t>
  </si>
  <si>
    <t>8: Yderligere bemærkninger kan indsættes her.</t>
  </si>
  <si>
    <t>8: Tilleggsmerknader kan legges til her.</t>
  </si>
  <si>
    <t>8: Ovdje se mogu upisati dodatne napomene.</t>
  </si>
  <si>
    <t>⌀ 80</t>
  </si>
  <si>
    <t>⌀ 80</t>
  </si>
  <si>
    <t>ø80</t>
  </si>
  <si>
    <t>80 ø</t>
  </si>
  <si>
    <t>80 ⌀</t>
  </si>
  <si>
    <t>9: Nicht benötigte Positionen können durch den Filter ausgeblendet werden.</t>
  </si>
  <si>
    <t>9: Use this filter to mask any entries that you do not require.</t>
  </si>
  <si>
    <t>9 : Le filtre permet de masquer les entrées dont vous n’avez pas besoin.</t>
  </si>
  <si>
    <t>9: Posizioni non necessarie possono essere nascoste con l'utilizzo dei filtri</t>
  </si>
  <si>
    <t xml:space="preserve">9: Nepoužívané položky mohou být pomocí filtru odstraněny </t>
  </si>
  <si>
    <t>9: Użyj tego filtru do ukrycia wpisów, których nie potrzebujesz.</t>
  </si>
  <si>
    <t>9: A nem szükséges pozíciók kiszűrhetők</t>
  </si>
  <si>
    <t xml:space="preserve">9: Nepotrebné položky sa môžu odstrániť pomocou filtra </t>
  </si>
  <si>
    <t>9: Niet benodigde positities kunnen door de filter verdwijnen</t>
  </si>
  <si>
    <t>9: Postavke, ki jih ne potrebujete, lahko skrijete s filtrom.</t>
  </si>
  <si>
    <t>9: pazite na neoznačene pozicije pri filtriranju</t>
  </si>
  <si>
    <t>9: Positioner, der ikke bruges, kan skjules vha. filteret.</t>
  </si>
  <si>
    <t>9: Plasser som ikke er nødvendige kan skjules av filteret.</t>
  </si>
  <si>
    <t>9: Koristite filtar za maskiranje svih unosa koji vam nisu potrebni.</t>
  </si>
  <si>
    <t>A</t>
  </si>
  <si>
    <t>Abbildung</t>
  </si>
  <si>
    <t>Picture</t>
  </si>
  <si>
    <t>Illustration</t>
  </si>
  <si>
    <t>Figura</t>
  </si>
  <si>
    <t>Produkt</t>
  </si>
  <si>
    <t xml:space="preserve">Zdjęcie </t>
  </si>
  <si>
    <t>ábra</t>
  </si>
  <si>
    <t>Afbeelding</t>
  </si>
  <si>
    <t>fotografija</t>
  </si>
  <si>
    <t>Bild</t>
  </si>
  <si>
    <t>Illustrasjon</t>
  </si>
  <si>
    <t>Slika</t>
  </si>
  <si>
    <t>Abdeckkappe</t>
  </si>
  <si>
    <t>protective cap</t>
  </si>
  <si>
    <t>cache</t>
  </si>
  <si>
    <t>Tappo di copertura</t>
  </si>
  <si>
    <t>krytka</t>
  </si>
  <si>
    <t>Pokrywa</t>
  </si>
  <si>
    <t>takaróelem</t>
  </si>
  <si>
    <t>Afdekkap</t>
  </si>
  <si>
    <t>Pokrovček</t>
  </si>
  <si>
    <t>täcklock</t>
  </si>
  <si>
    <t>Dæksel</t>
  </si>
  <si>
    <t>Deksel</t>
  </si>
  <si>
    <t>Pokrovna kapa</t>
  </si>
  <si>
    <t>Abdeckkappe für Rohrschellendorn</t>
  </si>
  <si>
    <t>protective cap for pipe bracket pin</t>
  </si>
  <si>
    <t>cache pour goujon de collier</t>
  </si>
  <si>
    <t>Calotta per chiodo collare</t>
  </si>
  <si>
    <t>Plastová krytka trnu k objímce</t>
  </si>
  <si>
    <t>nasadka ochronna na bolce wspornika</t>
  </si>
  <si>
    <t>takaróelem lefolyócsőbilincs-szárhoz</t>
  </si>
  <si>
    <t>kryt tŕňa objímky zvodu</t>
  </si>
  <si>
    <t>afdekkap voor klembeugeldoorn</t>
  </si>
  <si>
    <t>pokrivna kapa za objemko</t>
  </si>
  <si>
    <t>täckkåpa för rörsvepsdorn</t>
  </si>
  <si>
    <t>dækkappe til rørbøjledorn</t>
  </si>
  <si>
    <t>deksel for rørklemmestift</t>
  </si>
  <si>
    <t>Pokrovna kapa za trn cijevne obujmice</t>
  </si>
  <si>
    <t>Abdeckkappe für Sunny Solarhalter</t>
  </si>
  <si>
    <t>protective cap for Sunny solar bracket</t>
  </si>
  <si>
    <t>cache pour support solaire Sunny</t>
  </si>
  <si>
    <t>Tappo di copertura per staffa pannelli solari Sunny</t>
  </si>
  <si>
    <t xml:space="preserve">krytka držáku Sunny </t>
  </si>
  <si>
    <t>Osłona uchwytu paneli fotowoltaicznych Sunny</t>
  </si>
  <si>
    <t>takaróelem Sunny napelemtartóhoz</t>
  </si>
  <si>
    <t>krytka pre solárny držiak Sunny</t>
  </si>
  <si>
    <t>Afdekkap voor Sunny solarhouder</t>
  </si>
  <si>
    <t>Pokrovček za nosilec solarnega panela Sunny</t>
  </si>
  <si>
    <t>täcklock till Sunny Solar-hållare</t>
  </si>
  <si>
    <t>Dæksel til Sunny solcelleholder</t>
  </si>
  <si>
    <t>Deksel til holder for solcellepanel Sunny</t>
  </si>
  <si>
    <t>Pokrovna kapa za Sunny solar držač</t>
  </si>
  <si>
    <t>Abdeckleiste</t>
  </si>
  <si>
    <t>cover strip</t>
  </si>
  <si>
    <t>couvre-joint</t>
  </si>
  <si>
    <t>Striscia di copertura</t>
  </si>
  <si>
    <t>krycí lišta</t>
  </si>
  <si>
    <t>Listwa maskująca</t>
  </si>
  <si>
    <t>takarósín</t>
  </si>
  <si>
    <t>krycia lišta</t>
  </si>
  <si>
    <t>Afdekstrip</t>
  </si>
  <si>
    <t>Prekrivna letev</t>
  </si>
  <si>
    <t>täcklist</t>
  </si>
  <si>
    <t>Dækliste</t>
  </si>
  <si>
    <t>Dekklist</t>
  </si>
  <si>
    <t>Pokrovna lajsna</t>
  </si>
  <si>
    <t>Abdeckstreifen</t>
  </si>
  <si>
    <t>cover flashing</t>
  </si>
  <si>
    <t>bande de recouvrement</t>
  </si>
  <si>
    <t>Bandella di copertura</t>
  </si>
  <si>
    <t>Krycí pás</t>
  </si>
  <si>
    <t>Maskownica</t>
  </si>
  <si>
    <t>takarócsík</t>
  </si>
  <si>
    <t>krycí pásik</t>
  </si>
  <si>
    <t>Afdekstroken</t>
  </si>
  <si>
    <t>Prekrivni trak</t>
  </si>
  <si>
    <t>maskeringsremsor</t>
  </si>
  <si>
    <t>Afdækningsstrimler</t>
  </si>
  <si>
    <t>Dekklister</t>
  </si>
  <si>
    <t>Pokrovna traka</t>
  </si>
  <si>
    <t>Abdeckung aus Prefalz</t>
  </si>
  <si>
    <t>flashing with Prefalz</t>
  </si>
  <si>
    <t>couvertures PREFALZ</t>
  </si>
  <si>
    <t>Copertura in PREFALZ</t>
  </si>
  <si>
    <t>krytí PREFALZ</t>
  </si>
  <si>
    <t>Pokrywa PREFALZ</t>
  </si>
  <si>
    <t>PREFALZ takaróelem</t>
  </si>
  <si>
    <t>krycí profil z PREFALZ-u</t>
  </si>
  <si>
    <t>Afdekking van PREFALZ</t>
  </si>
  <si>
    <t>Kritina iz PREFALZ</t>
  </si>
  <si>
    <t>PREFALZ-beklädnad</t>
  </si>
  <si>
    <t>Afdækning fra PREFALZ</t>
  </si>
  <si>
    <t>Tildekking av PREFALZ</t>
  </si>
  <si>
    <t>Pokrov od PREFALZ-a</t>
  </si>
  <si>
    <t>Abdeckung aus PREFALZ</t>
  </si>
  <si>
    <t>abgehängte Dachgeschossbekleidung (z. B.: System Knauf)</t>
  </si>
  <si>
    <t>suspended attic cladding (e.g. Knauf system)</t>
  </si>
  <si>
    <t>revêtement de plafond suspendu (p. ex. système Knauf)</t>
  </si>
  <si>
    <t>Rivestimento sottotetto a sospensione (ad esempio: sistema Knauf)</t>
  </si>
  <si>
    <t>zavěšený podhled (např. systém Knauf)</t>
  </si>
  <si>
    <t>podwieszane okładziny dla attyk (np.: system Knauf)</t>
  </si>
  <si>
    <t>felfüggesztett tetőburkolat (pl.: System Knauf)</t>
  </si>
  <si>
    <t>zavesené obloženie povalového priestoru (napr.: systém Knauf)</t>
  </si>
  <si>
    <t>zwevende zolderbekleding (bijv. Systeem Knauf)</t>
  </si>
  <si>
    <t>viseča podstrešna obloga (na primer: Knauf sistem)</t>
  </si>
  <si>
    <t>upphängd vindsbeklädnad (t. ex.: System Knauf)</t>
  </si>
  <si>
    <t>ophængt loftbeklædning (f. eks.: System Knauf)</t>
  </si>
  <si>
    <t>hengende himlingsbekledning (f. eks.: Knauf-systemet)</t>
  </si>
  <si>
    <t>obloga potkrovlja (n pr.: Knauf sustav)</t>
  </si>
  <si>
    <t>Abgewickelte Außenecke</t>
  </si>
  <si>
    <t>uncoiled external corner</t>
  </si>
  <si>
    <t>angle sortant (déroulé)</t>
  </si>
  <si>
    <t>Angolo esterno non rivestito</t>
  </si>
  <si>
    <t>Rozvinutý vnější roh</t>
  </si>
  <si>
    <t>Narożnik rozkładany</t>
  </si>
  <si>
    <t>kibontott külső sarok</t>
  </si>
  <si>
    <t>rozvinutý vonkajší rohový profil</t>
  </si>
  <si>
    <t>Afgewikkelde buitenhoek</t>
  </si>
  <si>
    <t>Razvit zunanji vogal</t>
  </si>
  <si>
    <t>Utvecklat ytterhörn</t>
  </si>
  <si>
    <t>Udviklet yderhjørne</t>
  </si>
  <si>
    <t>Vinklet ytterhjørne</t>
  </si>
  <si>
    <t>Vanjski kut</t>
  </si>
  <si>
    <t>Ablaufrohr</t>
  </si>
  <si>
    <t>downpipes</t>
  </si>
  <si>
    <t>tuyau de descente</t>
  </si>
  <si>
    <t>Scarico</t>
  </si>
  <si>
    <t>Odtok</t>
  </si>
  <si>
    <t>Odpływ</t>
  </si>
  <si>
    <t>lefolyó</t>
  </si>
  <si>
    <t>odtok</t>
  </si>
  <si>
    <t>Afvoer</t>
  </si>
  <si>
    <t>Izpust</t>
  </si>
  <si>
    <t>procedur</t>
  </si>
  <si>
    <t>Afløb</t>
  </si>
  <si>
    <t>Avløp</t>
  </si>
  <si>
    <t>Odvod</t>
  </si>
  <si>
    <t>Ablauf</t>
  </si>
  <si>
    <t>Ablaufdimension:</t>
  </si>
  <si>
    <t>Downpipe dimension:</t>
  </si>
  <si>
    <t>Dimension du tuyau de descente :</t>
  </si>
  <si>
    <t>Diametro pluviale</t>
  </si>
  <si>
    <t>Rozměry</t>
  </si>
  <si>
    <t>Średnica rury spustowej:</t>
  </si>
  <si>
    <t>Lefolyási keresztmetszet:</t>
  </si>
  <si>
    <t>Dimenzia zvodu:</t>
  </si>
  <si>
    <t>Afloopdimensie:</t>
  </si>
  <si>
    <t>Dimenzije</t>
  </si>
  <si>
    <t>Avrinningsdimension:</t>
  </si>
  <si>
    <t>Forløbsmål:</t>
  </si>
  <si>
    <t>Nedløpsdimensjon:</t>
  </si>
  <si>
    <t>Dimenzije odvoda:</t>
  </si>
  <si>
    <t>Ablaufkette (5 mm)</t>
  </si>
  <si>
    <t>rain chain (5 mm)</t>
  </si>
  <si>
    <t>chaîne (5 mm)</t>
  </si>
  <si>
    <t>Catena 5 mm</t>
  </si>
  <si>
    <t>Svodový řetěz 5 mm</t>
  </si>
  <si>
    <t>Łańcuch spustowy 5 mm</t>
  </si>
  <si>
    <t>lefolyólánc 5 mm</t>
  </si>
  <si>
    <t>reťaz daždového zvodu 5 mm</t>
  </si>
  <si>
    <t>afloopketting 5 mm</t>
  </si>
  <si>
    <t>veriga za odtok</t>
  </si>
  <si>
    <t>avrinningskedja 5 mm</t>
  </si>
  <si>
    <t>nedløbskæde 5 mm</t>
  </si>
  <si>
    <t>nedløpskjetting 5 mm</t>
  </si>
  <si>
    <t>Odvodni lanac (5 mm)</t>
  </si>
  <si>
    <t>Ablaufrohr (Stärke: 1,6 mm; DN 100)</t>
  </si>
  <si>
    <t>downpipe (thickness: 1.6 mm; DN 100)</t>
  </si>
  <si>
    <t>tuyau de descente (1,6 mm ; DN 100)</t>
  </si>
  <si>
    <t>Pluviale 1,6 mm DN 100</t>
  </si>
  <si>
    <t>Kruhový svod robustní 1,6 mm DN 100</t>
  </si>
  <si>
    <t>rura spustowa 1,6 mm DN 100</t>
  </si>
  <si>
    <t>lefolyócső 1,6 mm DN 100</t>
  </si>
  <si>
    <t>dažďový zvod (1,6 mm; DN 100)</t>
  </si>
  <si>
    <t>afloopbuis 1,6 mm DN 100</t>
  </si>
  <si>
    <t>iztočna cev debeline 1,6 mm DN 100</t>
  </si>
  <si>
    <t>stuprör, 1,6 mm DN 100</t>
  </si>
  <si>
    <t>nedløbsrør 1,6 mm DN 100</t>
  </si>
  <si>
    <t>nedløpsrør 1,6 mm DN 100</t>
  </si>
  <si>
    <t>Odvodna cijev (1,6 mm; DN 100)</t>
  </si>
  <si>
    <t>Ablaufrohr (1,6 mm; DN 100)</t>
  </si>
  <si>
    <t>Ablaufrohr (DN 60; geschweißt)</t>
  </si>
  <si>
    <t>downpipe (DN 60, welded)</t>
  </si>
  <si>
    <t>tuyau de descente (DN 60 ; soudé)</t>
  </si>
  <si>
    <t>Pluviale DN 60 saldato</t>
  </si>
  <si>
    <t>Kruhový svod DN 60 svařovaný</t>
  </si>
  <si>
    <t>rura spustowa DN 60 spawana</t>
  </si>
  <si>
    <t>lefolyócső DN 60 hegesztett</t>
  </si>
  <si>
    <t>dažďový zvod (DN 60; zváraný)</t>
  </si>
  <si>
    <t>afloopbuis DN 60 gelast</t>
  </si>
  <si>
    <t>Prefa iztočna cev DN 60 varjena</t>
  </si>
  <si>
    <t>stuprör DN 60 svetsat</t>
  </si>
  <si>
    <t>nedløbsrør DN 60 svejset</t>
  </si>
  <si>
    <t>nedløpsrør DN 60 sveiset</t>
  </si>
  <si>
    <t>Odvodna cijev (DN 60; zavarena)</t>
  </si>
  <si>
    <t>Ablaufrohre</t>
  </si>
  <si>
    <t>tuyaux de descente</t>
  </si>
  <si>
    <t>Tubi pluviali</t>
  </si>
  <si>
    <t>střešní svod</t>
  </si>
  <si>
    <t>Rury spustowe</t>
  </si>
  <si>
    <t>lefolyócsövek</t>
  </si>
  <si>
    <t>dažďové zvody</t>
  </si>
  <si>
    <t>Afvoerbuizen</t>
  </si>
  <si>
    <t>Iztočne cevi</t>
  </si>
  <si>
    <t>avloppsrör</t>
  </si>
  <si>
    <t>Afløbsrør</t>
  </si>
  <si>
    <t>Dreneringsrør</t>
  </si>
  <si>
    <t>Odvodne cijevi</t>
  </si>
  <si>
    <t>Abluft</t>
  </si>
  <si>
    <t>outgoing air</t>
  </si>
  <si>
    <t>sortie d’air</t>
  </si>
  <si>
    <t>Uscita ventilazione</t>
  </si>
  <si>
    <t>odvětrání</t>
  </si>
  <si>
    <t>Wylot powietrza</t>
  </si>
  <si>
    <t>kiszellőzés</t>
  </si>
  <si>
    <t>odvod vzduchu</t>
  </si>
  <si>
    <t>Luchtafvoer</t>
  </si>
  <si>
    <t>Izpuh</t>
  </si>
  <si>
    <t>frånluft</t>
  </si>
  <si>
    <t>Udsugningsluft</t>
  </si>
  <si>
    <t>Lufting</t>
  </si>
  <si>
    <t>Izlazni zrak</t>
  </si>
  <si>
    <t>Abmessungen</t>
  </si>
  <si>
    <t>dimensions</t>
  </si>
  <si>
    <t>Dimensioni</t>
  </si>
  <si>
    <t>Wymiary</t>
  </si>
  <si>
    <t>méretek</t>
  </si>
  <si>
    <t>rozmery</t>
  </si>
  <si>
    <t>Afmetingen</t>
  </si>
  <si>
    <t>mått</t>
  </si>
  <si>
    <t>Mål</t>
  </si>
  <si>
    <t>Dimensjoner</t>
  </si>
  <si>
    <t>Abschluss für Schneerechen</t>
  </si>
  <si>
    <t>end piece for pipe-style snow guard</t>
  </si>
  <si>
    <t>embout pour tubes pare-neige</t>
  </si>
  <si>
    <t>Testata per tubi fermaneve</t>
  </si>
  <si>
    <t>Ukončení tyčové sněhové zábrany</t>
  </si>
  <si>
    <t>zakończenie bariery śniegowej prętowej</t>
  </si>
  <si>
    <t>záróelem hófogóhoz</t>
  </si>
  <si>
    <t>ukončovací prvok rúrkového zachytávača snehu</t>
  </si>
  <si>
    <t>afsluiting voor sneeuwhark</t>
  </si>
  <si>
    <t>zaključek za linijski snegolov</t>
  </si>
  <si>
    <t>Slutstycke för snöräcke</t>
  </si>
  <si>
    <t>afslutning til snegitter</t>
  </si>
  <si>
    <t>endestykke for snøfanger</t>
  </si>
  <si>
    <t>Završni dio za rešetkasti snjegobran</t>
  </si>
  <si>
    <t>Abschlussprofil für Profilwelle</t>
  </si>
  <si>
    <t>end profile for ripple profile (PREFA)</t>
  </si>
  <si>
    <t>profil de fin pour profil sinus</t>
  </si>
  <si>
    <t>Profilo di chiusura per profilo ondulato</t>
  </si>
  <si>
    <t>Ukončovací profil pro profil s vlnou</t>
  </si>
  <si>
    <t>Profil końcowy do profilu falistego</t>
  </si>
  <si>
    <t>záróprofil profilhullámhoz</t>
  </si>
  <si>
    <t>ukončovací profil vlnitého profilu</t>
  </si>
  <si>
    <t>Eindprofiel voor golfplaat</t>
  </si>
  <si>
    <t>Zaključni profil za valoviti profil</t>
  </si>
  <si>
    <t>ändprofil för vågprofil</t>
  </si>
  <si>
    <t>Endeprofil til profilbølge</t>
  </si>
  <si>
    <t>Endeprofil for bølgeprofil</t>
  </si>
  <si>
    <t>Završni profil za valoviti profil</t>
  </si>
  <si>
    <t>Abschlussprofil (Länge: 2.500 mm)</t>
  </si>
  <si>
    <t>end profile; L = 2,500 mm</t>
  </si>
  <si>
    <t>profil de fin (longueur : 2 500 mm)</t>
  </si>
  <si>
    <t>profilo di chiusura; L = 2500 mm</t>
  </si>
  <si>
    <t>ukončovací profil,  délka 2500 mm</t>
  </si>
  <si>
    <t>Profil końcowy L=2500 mm</t>
  </si>
  <si>
    <t>lezáró profil H = 2.500 mm</t>
  </si>
  <si>
    <t>ukončovací profil (dĺžka: 2500 mm)</t>
  </si>
  <si>
    <t>afsluitprofiel L = 2500 mm</t>
  </si>
  <si>
    <t>Zaključni profil (dolžina: 2.500 mm)</t>
  </si>
  <si>
    <t>ändprofil L = 2.500 mm</t>
  </si>
  <si>
    <t>afslutningsprofil L = 2.500 mm</t>
  </si>
  <si>
    <t>avslutningsprofil L = 2500 mm</t>
  </si>
  <si>
    <t>Završni profil L = 2.500 mm</t>
  </si>
  <si>
    <t>Abspanneisen</t>
  </si>
  <si>
    <t>bending tool</t>
  </si>
  <si>
    <t>outil de serrage des sillons</t>
  </si>
  <si>
    <t>Ferro di spianatura</t>
  </si>
  <si>
    <t>narzędzie kantujące</t>
  </si>
  <si>
    <t>fesztővas</t>
  </si>
  <si>
    <t>napínací nástroj</t>
  </si>
  <si>
    <t>spanijzer</t>
  </si>
  <si>
    <t>orodje za prilagoditev vala</t>
  </si>
  <si>
    <t>spännjärn</t>
  </si>
  <si>
    <t>afspændingsjern</t>
  </si>
  <si>
    <t>avspenningsjern</t>
  </si>
  <si>
    <t>Željezo za ravnanje</t>
  </si>
  <si>
    <t>Achsmaß</t>
  </si>
  <si>
    <t>centre-to-centre distance</t>
  </si>
  <si>
    <t>entraxe</t>
  </si>
  <si>
    <t>Dimensione interasse</t>
  </si>
  <si>
    <t>Vzdálenost os</t>
  </si>
  <si>
    <t>Wymiar osi</t>
  </si>
  <si>
    <t>tengelyméret</t>
  </si>
  <si>
    <t>osová vzdialenosť</t>
  </si>
  <si>
    <t>Asafmeting</t>
  </si>
  <si>
    <t>Osna dimenzija</t>
  </si>
  <si>
    <t>axelmått</t>
  </si>
  <si>
    <t>Aksemål</t>
  </si>
  <si>
    <t>Aksedimensjon</t>
  </si>
  <si>
    <t>Dimenzija osi</t>
  </si>
  <si>
    <t>Siding</t>
  </si>
  <si>
    <t>siding (PREFA)</t>
  </si>
  <si>
    <t>Doga</t>
  </si>
  <si>
    <t>siding</t>
  </si>
  <si>
    <t>Fasadna kazeta</t>
  </si>
  <si>
    <t>Siding mit Schattenfuge</t>
  </si>
  <si>
    <t>siding with shadow gap (PREFA)</t>
  </si>
  <si>
    <t>Siding avec joint creux</t>
  </si>
  <si>
    <t>Doga con fuga</t>
  </si>
  <si>
    <t>Siding se spárou</t>
  </si>
  <si>
    <t>Siding z fugami cieniowymi</t>
  </si>
  <si>
    <t>Siding árnyékfugával</t>
  </si>
  <si>
    <t>Siding s tieňovou špárou</t>
  </si>
  <si>
    <t>Siding met schaduwvoeg</t>
  </si>
  <si>
    <t>Siding s senčno fugo</t>
  </si>
  <si>
    <t>siding med skuggfog</t>
  </si>
  <si>
    <t>Siding med skyggefuge</t>
  </si>
  <si>
    <t>Fasadna kazeta s naglašenim spojem</t>
  </si>
  <si>
    <t>Siding ohne Schattenfuge</t>
  </si>
  <si>
    <t>siding without shadow gap (PREFA)</t>
  </si>
  <si>
    <t>Siding sans joint creux</t>
  </si>
  <si>
    <t>Doga senza fuga</t>
  </si>
  <si>
    <t>Siding bez spáry</t>
  </si>
  <si>
    <t>Siding bez fug cieniowych</t>
  </si>
  <si>
    <t>Siding árnyékfuga nélkül</t>
  </si>
  <si>
    <t>Siding bez tieňovej špáry</t>
  </si>
  <si>
    <t>Siding zonder schaduwvoeg</t>
  </si>
  <si>
    <t>Siding brez senčne fuge</t>
  </si>
  <si>
    <t>siding utan skuggfog</t>
  </si>
  <si>
    <t>Siding uden skyggefuge</t>
  </si>
  <si>
    <t>Siding uten skyggefuge</t>
  </si>
  <si>
    <t>Fasadna kazeta bez naglašenog spoja</t>
  </si>
  <si>
    <t>Aluminium Verbundplatte (mechanisch befestigt)</t>
  </si>
  <si>
    <t>PREFABOND aluminium composite panel (fastened mechanically)</t>
  </si>
  <si>
    <t>panneau composite (fixation mécanique)</t>
  </si>
  <si>
    <t>Pannello composito in alluminio (fissato meccanicamente)</t>
  </si>
  <si>
    <t>Hliníková kompozitní deska (připevněná mechanicky)</t>
  </si>
  <si>
    <t>Płyta kompozytowa z aluminium (mocowana mechanicznie)</t>
  </si>
  <si>
    <t>alumínium kompozit lemez (mechanikusan rögzített)</t>
  </si>
  <si>
    <t>hliníkový kompozitný panel (mechanicky kotvený)</t>
  </si>
  <si>
    <t>Aluminium composietplaat (mechanisch bevestigd)</t>
  </si>
  <si>
    <t>Aluminijasta kompozitna plošča (mehanska pritrditev)</t>
  </si>
  <si>
    <t>aluminiumkompositpanel (mekaniskt fäst)</t>
  </si>
  <si>
    <t>Aluminiumkompositplade (mekanisk fastgjort)</t>
  </si>
  <si>
    <t>Aluminiumkomposittplate (mekanisk festet)</t>
  </si>
  <si>
    <t>Aluminijska kompozitna ploča (mehanički pričvršćena)</t>
  </si>
  <si>
    <t>Dachrinne (mit Schutzfolie außen)</t>
  </si>
  <si>
    <t>aluminium gutter with protective film on the outside</t>
  </si>
  <si>
    <t>gouttière (avec film de protection sur face extérieure)</t>
  </si>
  <si>
    <t>Canali di gronda in alluminio con pellicola protettiva lato esterno</t>
  </si>
  <si>
    <t>Hliníkový žlab s ochranou folií na vnější straně</t>
  </si>
  <si>
    <t>rynna z folią ochronną na zewnątrz</t>
  </si>
  <si>
    <t>alumínium függő ereszcsatorna külső védőfóliával</t>
  </si>
  <si>
    <t>polkruhový žľab (s ochrannou fóliou na vonkajšej strane)</t>
  </si>
  <si>
    <t>aluminium dakgoot met beschermfolie buiten</t>
  </si>
  <si>
    <t>aluminajsti strešni žleb z zaščitno folino na zun. Strani</t>
  </si>
  <si>
    <t>takränna av aluminium med utvändig skyddsfolie</t>
  </si>
  <si>
    <t>aluminium tagrende med udvendig beskyttelsesfolie</t>
  </si>
  <si>
    <t>takrenne i aluminium med utvendig beskyttelsesfolie</t>
  </si>
  <si>
    <t>Krovni žlijeb (s vanjskom zaštitnom folijom)</t>
  </si>
  <si>
    <t>aluminium box gutter</t>
  </si>
  <si>
    <t>gouttière carrée</t>
  </si>
  <si>
    <t>Canale quadro di gronda in alluminio</t>
  </si>
  <si>
    <t>Hliníkový žlab hranatý</t>
  </si>
  <si>
    <t>Rynna kwadratowa ?</t>
  </si>
  <si>
    <t>alumínium négyszögszelvényű ereszcsatorna</t>
  </si>
  <si>
    <t>hranatý žľab</t>
  </si>
  <si>
    <t>aluminium bakgoot</t>
  </si>
  <si>
    <t>pravokotni žleb</t>
  </si>
  <si>
    <t>lådränna av aluminium</t>
  </si>
  <si>
    <t>aluminiumskasserende</t>
  </si>
  <si>
    <t>firkantrenne i aluminium</t>
  </si>
  <si>
    <t>Sandučasti žlijeb</t>
  </si>
  <si>
    <t>Aluminium Verbundplatte</t>
  </si>
  <si>
    <t>PREFABOND aluminium composite panel</t>
  </si>
  <si>
    <t>panneau composite en aluminium</t>
  </si>
  <si>
    <t>Pannello composito in alluminio</t>
  </si>
  <si>
    <t>Hliníková kompozitní deska</t>
  </si>
  <si>
    <t>Płyta kompozytowa z aluminium</t>
  </si>
  <si>
    <t>alumínium kompozit lemez</t>
  </si>
  <si>
    <t>hliníkový kompozitný panel</t>
  </si>
  <si>
    <t>Aluminium composietplaat</t>
  </si>
  <si>
    <t>Aluminijasta kompozitna plošča</t>
  </si>
  <si>
    <t>aluminiumkompositpanel</t>
  </si>
  <si>
    <t>Aluminiumskompositplade</t>
  </si>
  <si>
    <t>Aluminiumkomposittplate</t>
  </si>
  <si>
    <t>Aluminijska kompozitna ploča</t>
  </si>
  <si>
    <t>Aluminium Verbundplatte (geklebt)</t>
  </si>
  <si>
    <t>PREFABOND aluminium composite panel (glued)</t>
  </si>
  <si>
    <t>panneau composite (collé)</t>
  </si>
  <si>
    <t>Pannello composito in alluminio (incollato)</t>
  </si>
  <si>
    <t>Hliníková kompozitní deska (přilepená)</t>
  </si>
  <si>
    <t>Płyta kompozytowa z aluminium (klejona)</t>
  </si>
  <si>
    <t>alumínium kompozit lemez (ragasztott)</t>
  </si>
  <si>
    <t>hliníkový kompozitný panel (lepený)</t>
  </si>
  <si>
    <t>Aluminium composietplaat (gelijmd)</t>
  </si>
  <si>
    <t>Aluminijasta kompozitna plošča (lepljena)</t>
  </si>
  <si>
    <t>aluminiumkompositpanel (limmad)</t>
  </si>
  <si>
    <t>Aluminiumskompositplade (limet)</t>
  </si>
  <si>
    <t>Aluminiumkomposittplate (limt)</t>
  </si>
  <si>
    <t>Aluminijska kompozitna ploča (zalijepljena)</t>
  </si>
  <si>
    <t>Kantteil</t>
  </si>
  <si>
    <t>aluminium edge part</t>
  </si>
  <si>
    <t>profilé</t>
  </si>
  <si>
    <t>Scossalina gocciolatoio</t>
  </si>
  <si>
    <t>hliníkový ohýbaný díl</t>
  </si>
  <si>
    <t>Kątownik</t>
  </si>
  <si>
    <t>élrész</t>
  </si>
  <si>
    <t>ohýbaná časť</t>
  </si>
  <si>
    <t>Voegwerk</t>
  </si>
  <si>
    <t>Robni del</t>
  </si>
  <si>
    <t>kantdel</t>
  </si>
  <si>
    <t>Kantdel</t>
  </si>
  <si>
    <t>Rubni dio</t>
  </si>
  <si>
    <t>Aluminiumlötstäbe</t>
  </si>
  <si>
    <t>aluminium welding rods</t>
  </si>
  <si>
    <t>baguettes de soudure en aluminium</t>
  </si>
  <si>
    <t>Bacchette per la brasatura dell'alluminio</t>
  </si>
  <si>
    <t>Alu letovací tyčinky</t>
  </si>
  <si>
    <t>druty do spawania</t>
  </si>
  <si>
    <t>alumínium forrasztópáka</t>
  </si>
  <si>
    <t>tyče na spájkovanie hliníka</t>
  </si>
  <si>
    <t>aluminium-soldeerstaven</t>
  </si>
  <si>
    <t>aluminijaste palice za lotanje</t>
  </si>
  <si>
    <t>lödstavar av aluminium</t>
  </si>
  <si>
    <t>aluminiumsloddestænger</t>
  </si>
  <si>
    <t>aluminiumsloddebolter</t>
  </si>
  <si>
    <t>Aluminijski štapići za lemljenje</t>
  </si>
  <si>
    <t>Anschlussblech</t>
  </si>
  <si>
    <t>connection plate</t>
  </si>
  <si>
    <t>feuille de raccordement</t>
  </si>
  <si>
    <t>Conversa</t>
  </si>
  <si>
    <t>napojovací plech</t>
  </si>
  <si>
    <t>Blacha łącząca</t>
  </si>
  <si>
    <t>csatlakozólemez</t>
  </si>
  <si>
    <t>pripojovací plech</t>
  </si>
  <si>
    <t>Verbindingsplaat</t>
  </si>
  <si>
    <t>Priključna pločevina</t>
  </si>
  <si>
    <t>anslutningsplåt</t>
  </si>
  <si>
    <t>Forbindelsesplade</t>
  </si>
  <si>
    <t>Koblingsplate</t>
  </si>
  <si>
    <t>Spojna ploča</t>
  </si>
  <si>
    <t>Anschlussvariante</t>
  </si>
  <si>
    <t>connection variant</t>
  </si>
  <si>
    <t>variante de raccordement</t>
  </si>
  <si>
    <t>Variante di raccordo</t>
  </si>
  <si>
    <t>varianta napojení</t>
  </si>
  <si>
    <t>Wariant połączenia</t>
  </si>
  <si>
    <t>csatlakozóváltozat</t>
  </si>
  <si>
    <t>variant pripojenia</t>
  </si>
  <si>
    <t>Verbindingsvariant</t>
  </si>
  <si>
    <t>Priključna različica</t>
  </si>
  <si>
    <t>anslutningsvariant</t>
  </si>
  <si>
    <t>Tilslutningstyper</t>
  </si>
  <si>
    <t>Koblingsvarianter</t>
  </si>
  <si>
    <t>Spojna varijanta</t>
  </si>
  <si>
    <t>Ansicht</t>
  </si>
  <si>
    <t>detailed view</t>
  </si>
  <si>
    <t>détail</t>
  </si>
  <si>
    <t>Vista</t>
  </si>
  <si>
    <t>Náhled</t>
  </si>
  <si>
    <t>Widok</t>
  </si>
  <si>
    <t>nézet</t>
  </si>
  <si>
    <t>Náhľad</t>
  </si>
  <si>
    <t>Weergave</t>
  </si>
  <si>
    <t>Pogled</t>
  </si>
  <si>
    <t>Framsida</t>
  </si>
  <si>
    <t>Forside</t>
  </si>
  <si>
    <t>Visning</t>
  </si>
  <si>
    <t>Prikaz</t>
  </si>
  <si>
    <t>Ansicht – Produktübersicht</t>
  </si>
  <si>
    <t>product overview</t>
  </si>
  <si>
    <t>aperçu des produits</t>
  </si>
  <si>
    <t>Vista - Panoramica dei prodotti</t>
  </si>
  <si>
    <t>Náhled – Přehled produktů</t>
  </si>
  <si>
    <t>Widok – przegląd produktów</t>
  </si>
  <si>
    <t>nézet – termékek áttekintés</t>
  </si>
  <si>
    <t>Náhľad – Prehľad produktov</t>
  </si>
  <si>
    <t>Weergave - Productoverzicht</t>
  </si>
  <si>
    <t>Pogled – pregled izdelkov</t>
  </si>
  <si>
    <t>Framsida – produktöversikt</t>
  </si>
  <si>
    <t>Forside - Produktoversigt</t>
  </si>
  <si>
    <t>Visning – produktoversikt</t>
  </si>
  <si>
    <t>Prikaz – Pregled proizvoda</t>
  </si>
  <si>
    <t>Ansicht – Schnürmaß</t>
  </si>
  <si>
    <t>chalk-line spacing</t>
  </si>
  <si>
    <t>aperçu du traçage</t>
  </si>
  <si>
    <t>Vista - Misura del cavo</t>
  </si>
  <si>
    <t>Náhled – Míra (provázek)</t>
  </si>
  <si>
    <t>Widok – obmiar sznurowania</t>
  </si>
  <si>
    <t>nézet – zsinórméret</t>
  </si>
  <si>
    <t>Náhľad – Vzdialenosť šnúrovania</t>
  </si>
  <si>
    <t>Weergave - Vetersluiting</t>
  </si>
  <si>
    <t>Pogled – vrvična mera</t>
  </si>
  <si>
    <t>Framsida – snörning</t>
  </si>
  <si>
    <t>Forside – mål</t>
  </si>
  <si>
    <t>Visning – innsnevring</t>
  </si>
  <si>
    <t>Prikaz – Veličina veze</t>
  </si>
  <si>
    <t>Ansprechpartner:</t>
  </si>
  <si>
    <t>Contact:</t>
  </si>
  <si>
    <t>Interlocuteur :</t>
  </si>
  <si>
    <t>Referente:</t>
  </si>
  <si>
    <t>Kontaktní osoba:</t>
  </si>
  <si>
    <t>Kontakt:</t>
  </si>
  <si>
    <t>Kapcsolattartó:</t>
  </si>
  <si>
    <t>Contactpersoon:</t>
  </si>
  <si>
    <t>Kontaktna oseba</t>
  </si>
  <si>
    <t>Kontaktperson:</t>
  </si>
  <si>
    <t>Osoba za kontakt:</t>
  </si>
  <si>
    <t>Anwendungstechnik</t>
  </si>
  <si>
    <t>Application technology</t>
  </si>
  <si>
    <t>Service technique</t>
  </si>
  <si>
    <t>Tecnica applicativa</t>
  </si>
  <si>
    <t>Aplikační technika</t>
  </si>
  <si>
    <t>Technologia aplikacji</t>
  </si>
  <si>
    <t>Alkalmazástechnika</t>
  </si>
  <si>
    <t>Technické oddelenie</t>
  </si>
  <si>
    <t>Toepassingstechniek</t>
  </si>
  <si>
    <t>Tehnika</t>
  </si>
  <si>
    <t>Användningsteknik</t>
  </si>
  <si>
    <t>Anvendelsesteknik</t>
  </si>
  <si>
    <t>Monteringsteknikk</t>
  </si>
  <si>
    <t>Primjena</t>
  </si>
  <si>
    <t>APPLICATION TECHNOLOGY</t>
  </si>
  <si>
    <t>SERVICE TECHNIQUE</t>
  </si>
  <si>
    <t>TECHNIKA ZASTOSOWANIA</t>
  </si>
  <si>
    <t>ALKALMAZÁSTECHNIKA</t>
  </si>
  <si>
    <t>TECHNICKÉ ODDELENIE</t>
  </si>
  <si>
    <t>TOEPASSINGSTECHNOLOGIE</t>
  </si>
  <si>
    <t>TEHNIKA UPORABE</t>
  </si>
  <si>
    <t>ANVÄNDNINGSTEKNIK</t>
  </si>
  <si>
    <t>ANVENDELSESTEKNOLOGI</t>
  </si>
  <si>
    <t>BRUKSTEKNIKK</t>
  </si>
  <si>
    <t>TEHNOLOGIJA PRIMJENE</t>
  </si>
  <si>
    <t>ANWENDUNGSTECHNIK</t>
  </si>
  <si>
    <t>Toepassingstechnologie</t>
  </si>
  <si>
    <t>techniek</t>
  </si>
  <si>
    <t>Anvendelsesteknologi</t>
  </si>
  <si>
    <t>Bruksteknikk</t>
  </si>
  <si>
    <t>Tehnologija primjene</t>
  </si>
  <si>
    <t>Artikel-Nr.</t>
  </si>
  <si>
    <t>item number</t>
  </si>
  <si>
    <t>Référence</t>
  </si>
  <si>
    <t>Articolo no.</t>
  </si>
  <si>
    <t>Článek č.</t>
  </si>
  <si>
    <t>Artykuł nr</t>
  </si>
  <si>
    <t>Cikkszám</t>
  </si>
  <si>
    <t>artiklové číslo</t>
  </si>
  <si>
    <t>Artikelnr.</t>
  </si>
  <si>
    <t>Člen št.</t>
  </si>
  <si>
    <t>Artikelnummer</t>
  </si>
  <si>
    <t>Artikkelnr.</t>
  </si>
  <si>
    <t>Br. artikla</t>
  </si>
  <si>
    <t>Attika</t>
  </si>
  <si>
    <t>roof parapet</t>
  </si>
  <si>
    <t>acrotère (couronnement, coiffe)</t>
  </si>
  <si>
    <t>Muretto</t>
  </si>
  <si>
    <t>Atika</t>
  </si>
  <si>
    <t>Attyka</t>
  </si>
  <si>
    <t>attika</t>
  </si>
  <si>
    <t>atika</t>
  </si>
  <si>
    <t>parapet</t>
  </si>
  <si>
    <t>Loft</t>
  </si>
  <si>
    <t>Krovni parapet</t>
  </si>
  <si>
    <t>Attika- und Mauerabdeckung</t>
  </si>
  <si>
    <t>wall flashing and roof parapet</t>
  </si>
  <si>
    <t>couvertine d’acrotère</t>
  </si>
  <si>
    <t>Copertina muretto e muro</t>
  </si>
  <si>
    <t>Oplechování atiky a zdi</t>
  </si>
  <si>
    <t>Obróbka attyki i murów</t>
  </si>
  <si>
    <t>attika- és falburkolat</t>
  </si>
  <si>
    <t>oplechovanie atiky a muriva</t>
  </si>
  <si>
    <t>Attika- en wandbekleding</t>
  </si>
  <si>
    <t>Pokrov za atiko in zid</t>
  </si>
  <si>
    <t>parapet och murbeklädnad</t>
  </si>
  <si>
    <t>Attika- og murafdækning</t>
  </si>
  <si>
    <t>Lofts- og veggbekledning</t>
  </si>
  <si>
    <t>Obloga parapeta i zidova</t>
  </si>
  <si>
    <t>Attikaabdeckung</t>
  </si>
  <si>
    <t>roof parapet flashing</t>
  </si>
  <si>
    <t>couvertine d’acrotère (couronnement, coiffe)</t>
  </si>
  <si>
    <t>Copertina muretto</t>
  </si>
  <si>
    <t>krytí atiky</t>
  </si>
  <si>
    <t>Pokrycie attyki</t>
  </si>
  <si>
    <t>attikaburkolat</t>
  </si>
  <si>
    <t>oplechovanie atiky</t>
  </si>
  <si>
    <t>Attikabekleding</t>
  </si>
  <si>
    <t>Pokrov za atiko</t>
  </si>
  <si>
    <t>parapetbeklädnad</t>
  </si>
  <si>
    <t>Attikaafdækning</t>
  </si>
  <si>
    <t>Loftsbekledning</t>
  </si>
  <si>
    <t>Obloga parapeta</t>
  </si>
  <si>
    <t>Aufschiebling</t>
  </si>
  <si>
    <t>sprocket</t>
  </si>
  <si>
    <t>Coyau</t>
  </si>
  <si>
    <t>Correntino</t>
  </si>
  <si>
    <t>náběhový klín</t>
  </si>
  <si>
    <t>Obróbki nasuwane</t>
  </si>
  <si>
    <t>toldat</t>
  </si>
  <si>
    <t>nábehový klin</t>
  </si>
  <si>
    <t>Verlenging</t>
  </si>
  <si>
    <t>Podaljšek špirovcev pod naklonom</t>
  </si>
  <si>
    <t>uppskjutande</t>
  </si>
  <si>
    <t>Dobling</t>
  </si>
  <si>
    <t>Møneplank</t>
  </si>
  <si>
    <t>Nastavak</t>
  </si>
  <si>
    <t>Aufsparrendämmung – Dachgeschoß ausgebaut (belüftet)</t>
  </si>
  <si>
    <t>above-rafter insulation — converted attic — ventilated</t>
  </si>
  <si>
    <t>isolation sur chevrons — combles aménagés (avec lame d’air ventilée)</t>
  </si>
  <si>
    <t>Isolamento estradosso - Sottotetto reso abitabile (ventilato)</t>
  </si>
  <si>
    <t>Nadkrokevní izolace s odvětráním - obytné podkroví</t>
  </si>
  <si>
    <t>Izolacja nakrokwiowa – poddasze użytkowe (wentylowane)</t>
  </si>
  <si>
    <t>szarufa feletti szigetelés – beépített tetőtér (szellőztetett)</t>
  </si>
  <si>
    <t>nadkrokvová izolácia – povalový priestor s vykurovaním (vetraný)</t>
  </si>
  <si>
    <t>Isolatie boven de dakspanten - zolder verbouwd (geventileerd)</t>
  </si>
  <si>
    <t>Izolacija nad špirovci – razširjeno podstrešje (prezračeno)</t>
  </si>
  <si>
    <t>Isolering över takbjälkar – vind utbyggd (ventilerad)</t>
  </si>
  <si>
    <t>Isolering over spær - loft udvidet (ventileret)</t>
  </si>
  <si>
    <t>Isolasjon over sperrebjelker – ombygd loft (ventilert)</t>
  </si>
  <si>
    <t>Izolacija iznad roženica – potkrovlje preuređeno (ventilirano)</t>
  </si>
  <si>
    <t>Aufsparrenmontagepaket</t>
  </si>
  <si>
    <t>screw pack for above rafter insulation</t>
  </si>
  <si>
    <t>matériel de montage pour isolation sur chevrons</t>
  </si>
  <si>
    <t>Kit di montaggio per fissaggio su trave</t>
  </si>
  <si>
    <t>Nadkrokevní montážní balíček</t>
  </si>
  <si>
    <t>Pakiet do montażu nakrokwiowego</t>
  </si>
  <si>
    <t>összeszerelő csomag szarufa feletti hőszigeteléshez</t>
  </si>
  <si>
    <t>montážny balík pre nadkrokvovú izoláciu</t>
  </si>
  <si>
    <t>Pakket voor installatie boven de dakspanten</t>
  </si>
  <si>
    <t>Paket za montažo špirovcev</t>
  </si>
  <si>
    <t>monteringspaket för takbjälkar</t>
  </si>
  <si>
    <t>Spær monteringspakke</t>
  </si>
  <si>
    <t>Monteringspakke til over sperrebjelker</t>
  </si>
  <si>
    <t>Paket za montažu roženica</t>
  </si>
  <si>
    <t>Aufsparrenschraubenpaket</t>
  </si>
  <si>
    <t>paquet de vis pour isolation sur chevrons</t>
  </si>
  <si>
    <t>Kit viteria per fissaggi su trave</t>
  </si>
  <si>
    <t>Nadkrokevní balíček spojovacího materiálu</t>
  </si>
  <si>
    <t>Pakiet wkrętów do krokwi</t>
  </si>
  <si>
    <t>csavarcsomag szarufa feletti hőszigeteléshez</t>
  </si>
  <si>
    <t>balík kotevných skrutiek pre nadkrokvovú izoláciu</t>
  </si>
  <si>
    <t>Pakket dakspantschroeven</t>
  </si>
  <si>
    <t>Paket vijakov za špirovce</t>
  </si>
  <si>
    <t>skruvpaket för takbjälkar</t>
  </si>
  <si>
    <t>Spær skruepakke</t>
  </si>
  <si>
    <t>Skruepakke til over sperrebjelker</t>
  </si>
  <si>
    <t>Paket vijaka za roženice</t>
  </si>
  <si>
    <t>aus Oberfläche und</t>
  </si>
  <si>
    <t>surface and</t>
  </si>
  <si>
    <t>dalla superficie e</t>
  </si>
  <si>
    <t>s povrchem a</t>
  </si>
  <si>
    <t>z powierzchnią i</t>
  </si>
  <si>
    <t>felület és</t>
  </si>
  <si>
    <t xml:space="preserve">s povrchom a </t>
  </si>
  <si>
    <t>uit oppervlakte en</t>
  </si>
  <si>
    <t>iz površine in</t>
  </si>
  <si>
    <t>från ytan och</t>
  </si>
  <si>
    <t>af overflade og</t>
  </si>
  <si>
    <t>som overflate og</t>
  </si>
  <si>
    <t xml:space="preserve">iz površine i </t>
  </si>
  <si>
    <t>Ausbildung eines Winkelsaums</t>
  </si>
  <si>
    <t>construction of an angled edge</t>
  </si>
  <si>
    <t>Réalisation d’une bordure de toit pliée (bordure de toit angulaire)</t>
  </si>
  <si>
    <t>Raccordo di un bordo angolare</t>
  </si>
  <si>
    <t>Nadřímsový žlab s oplechováním římsy - PREFALZ</t>
  </si>
  <si>
    <t>Tworzenie szwu kątowego</t>
  </si>
  <si>
    <t>falszegélyelemez kialakítása</t>
  </si>
  <si>
    <t>vytvorenie uhlového spoja</t>
  </si>
  <si>
    <t>Vorming van een hoeknaad</t>
  </si>
  <si>
    <t>Izdelava kotnega roba</t>
  </si>
  <si>
    <t>utveckling av en vinkelkant</t>
  </si>
  <si>
    <t>Dannelse af en vinkelkant</t>
  </si>
  <si>
    <t>Oppbygging av en vinkelkant</t>
  </si>
  <si>
    <t>Konstrukcija kutnog obruba</t>
  </si>
  <si>
    <t>Ausführung ab 3° Dachneigung</t>
  </si>
  <si>
    <t>design from a roof pitch of 3°</t>
  </si>
  <si>
    <t>mise en œuvre à partir d’une pente de toit de 3°</t>
  </si>
  <si>
    <t>Realizzazione a partire da una pendenza del tetto di 3°</t>
  </si>
  <si>
    <t>provedení při sklonu od 3°</t>
  </si>
  <si>
    <t>Wersja od nachylenia dachu 3°</t>
  </si>
  <si>
    <t>kivitelezés 3°-os tetőhajlásszögtől</t>
  </si>
  <si>
    <t>vyhotovenie od sklonu strechy 3°</t>
  </si>
  <si>
    <t>Uitvoering vanaf 3° dakhelling</t>
  </si>
  <si>
    <t>Izvedba od strešnega naklona 3°</t>
  </si>
  <si>
    <t>utförande från taklutning på 3°</t>
  </si>
  <si>
    <t>Udførelse fra 3° taghældning</t>
  </si>
  <si>
    <t>Utførelse fra 3° takvinkel</t>
  </si>
  <si>
    <t>Izvedba kod nagiba krova od 3°</t>
  </si>
  <si>
    <t>Ausführungsvariante 2</t>
  </si>
  <si>
    <t>design variant 2</t>
  </si>
  <si>
    <t>variante de mise en œuvre nº 2</t>
  </si>
  <si>
    <t>Variante di realizzazione 2</t>
  </si>
  <si>
    <t>varianta 2</t>
  </si>
  <si>
    <t>Wariant projektowy 2</t>
  </si>
  <si>
    <t>2. kivitelezési változat</t>
  </si>
  <si>
    <t>variant vyhotovenia 2</t>
  </si>
  <si>
    <t>Uitvoeringsvariant 2</t>
  </si>
  <si>
    <t>Različica izvedbe 2</t>
  </si>
  <si>
    <t>utförandevariant 2</t>
  </si>
  <si>
    <t>Udførselsvariant 2</t>
  </si>
  <si>
    <t>Utførelsesvariant 2</t>
  </si>
  <si>
    <t>Varijanta izvedbe 2</t>
  </si>
  <si>
    <t>Außenecke (zweiteilig)</t>
  </si>
  <si>
    <t>external corner (two parts)</t>
  </si>
  <si>
    <t>profil d’angle sortant en croix</t>
  </si>
  <si>
    <t>Angolo esterno (in 2 parti)</t>
  </si>
  <si>
    <t>Roh vnější (dvoudílný)</t>
  </si>
  <si>
    <t>Narożnik zewnętrzny (dwuczęściowy)</t>
  </si>
  <si>
    <t>külső sarok (2 részes)</t>
  </si>
  <si>
    <t>vonkajší rohový profil (2-dielny)</t>
  </si>
  <si>
    <t>Buitenhoek (2-delig)</t>
  </si>
  <si>
    <t>Zunanji vogal (2-delni)</t>
  </si>
  <si>
    <t>ytterhörn (2 delar)</t>
  </si>
  <si>
    <t>Yderhjørne (2-delt)</t>
  </si>
  <si>
    <t>Ytterhjørne (2-delt)</t>
  </si>
  <si>
    <t>Vanjski kut (2-dijelni)</t>
  </si>
  <si>
    <t>Außenecke (2-teilig)</t>
  </si>
  <si>
    <t>Außenecke (zweiteilig; L = 2.000 mm)</t>
  </si>
  <si>
    <t>external corner (two parts); L = 2,000 mm</t>
  </si>
  <si>
    <t>profil d’angle sortant en croix (longueur : 2 000 mm)</t>
  </si>
  <si>
    <t>angolo esterno (2 parti); L = 2000 mm</t>
  </si>
  <si>
    <t>roh vnější 2 - dílný</t>
  </si>
  <si>
    <t>Narożnik zewnętrzny 2-częściowy L=2000 mm</t>
  </si>
  <si>
    <t>külső sarok profil 2-részes H = 2.000 mm</t>
  </si>
  <si>
    <t>vonkajší rohový profil (2 - dielny; L = 2.000 mm)</t>
  </si>
  <si>
    <t>buitenhoek 2-delig L = 2000 mm</t>
  </si>
  <si>
    <t>Zunanji vogal (2-delni; D = 2.000 mm)</t>
  </si>
  <si>
    <t>utvändigt hörn 2-delad L = 2.000 mm</t>
  </si>
  <si>
    <t>udvendigt hjørne 2-delt L = 2.000 mm</t>
  </si>
  <si>
    <t>yttervinkel 2-delt L = 2000 mm</t>
  </si>
  <si>
    <t>Vanjski kut 2-dijelni L = 2.000 mm</t>
  </si>
  <si>
    <t>Außenecke (2-teilig; L = 2.000 mm)</t>
  </si>
  <si>
    <t>Außenecke für Profilwelle</t>
  </si>
  <si>
    <t>external corner for ripple profile (PREFA)</t>
  </si>
  <si>
    <t>angle sortant pour profil sinus</t>
  </si>
  <si>
    <t>Angolare esterno per profilo ondulato</t>
  </si>
  <si>
    <t>Vnější roh pro profil s vlnou</t>
  </si>
  <si>
    <t>Narożnik zewnętrzny do profilu falistego</t>
  </si>
  <si>
    <t>külső sarok profilhullámhoz</t>
  </si>
  <si>
    <t>vonkajší rohový prvok vlnitého profilu</t>
  </si>
  <si>
    <t>Buitenhoek voor golfplaat</t>
  </si>
  <si>
    <t>Zunanji vogal za valoviti profil</t>
  </si>
  <si>
    <t>ytterhörn för vågprofil</t>
  </si>
  <si>
    <t>Yderhjørne for profilbølge</t>
  </si>
  <si>
    <t>Ytterhjørne for bølgeprofil</t>
  </si>
  <si>
    <t>Vanjski kut za valoviti profil</t>
  </si>
  <si>
    <t>Außenecke gekantet</t>
  </si>
  <si>
    <t>external corner (canted)</t>
  </si>
  <si>
    <t>angle extérieur replié</t>
  </si>
  <si>
    <t>Angolo esterno squadrato</t>
  </si>
  <si>
    <t>Roh vnější, hraněný</t>
  </si>
  <si>
    <t>Narożnik zewnętrzny obrobiony</t>
  </si>
  <si>
    <t>külső sarok, hajtott</t>
  </si>
  <si>
    <t>vonkajší rohový profil ohýbaný</t>
  </si>
  <si>
    <t>Buitenhoek gevoegd</t>
  </si>
  <si>
    <t>Zunanji vogal obrobljen</t>
  </si>
  <si>
    <t>kantat ytterhörn</t>
  </si>
  <si>
    <t>Yderhjørne kantet</t>
  </si>
  <si>
    <t>Kantet ytterhjørne</t>
  </si>
  <si>
    <t>Vanjski kut, kantiran</t>
  </si>
  <si>
    <t>Außenecke gekantet (mehrteilig)</t>
  </si>
  <si>
    <t>external corner (canted; several elements)</t>
  </si>
  <si>
    <t>angle sortant replié (en trois parties)</t>
  </si>
  <si>
    <t>Angolo esterno squadrato (in più parti)</t>
  </si>
  <si>
    <t>Roh vnější, hraněný (více dílný)</t>
  </si>
  <si>
    <t>Narożnik zewnętrzny obrobiony (wieloczęściowy)</t>
  </si>
  <si>
    <t>külső sarok, hajtott (több darabból álló)</t>
  </si>
  <si>
    <t>vonkajší rohový profil ohýbaný (viacdielny)</t>
  </si>
  <si>
    <t>Buitenhoek gevoegd (meerdelig)</t>
  </si>
  <si>
    <t>Zunanji vogal obrobljen (večdelni)</t>
  </si>
  <si>
    <t>kantat ytterhörn (flerdelat)</t>
  </si>
  <si>
    <t>Yderhjørne kantet (flerdelt)</t>
  </si>
  <si>
    <t>Kantet ytterhjørne (flerdelt)</t>
  </si>
  <si>
    <t>Vanjski kut, kantiran (višedijelni)</t>
  </si>
  <si>
    <t>Außenjalousie</t>
  </si>
  <si>
    <t>external blinds</t>
  </si>
  <si>
    <t>store extérieur</t>
  </si>
  <si>
    <t>Veneziana esterna</t>
  </si>
  <si>
    <t>Venkovní žaluzie</t>
  </si>
  <si>
    <t>Żaluzja zewnętrzna</t>
  </si>
  <si>
    <t>külső redőny</t>
  </si>
  <si>
    <t>vonkajšia žalúzia</t>
  </si>
  <si>
    <t>Buitenjaloezie</t>
  </si>
  <si>
    <t>Zunanja žaluzija</t>
  </si>
  <si>
    <t>utvändig persienn</t>
  </si>
  <si>
    <t>Udvendig persienne</t>
  </si>
  <si>
    <t>Utvendig persienne</t>
  </si>
  <si>
    <t>Vanjske žaluzine</t>
  </si>
  <si>
    <t>Außenrinnenwinkel (W3 über 90°)</t>
  </si>
  <si>
    <t>external gutter corner (W3 over 90°)</t>
  </si>
  <si>
    <t>équerre pour angle sortant de gouttière (W3 supérieur à 90°)</t>
  </si>
  <si>
    <t>Angolo esterno della grondaia (A3 superiore a 90°)</t>
  </si>
  <si>
    <t>Roh žlabu vnější (W3 více než 90°)</t>
  </si>
  <si>
    <t>Zewnętrzny narożnik rynny (W3 powyżej 90°)</t>
  </si>
  <si>
    <t>külső ereszcsatorna sarokelem (W3 90° felett)</t>
  </si>
  <si>
    <t>vonkajší roh polkruhového žľabu (W3 viac ako 90°)</t>
  </si>
  <si>
    <t>Uitwendige goothoek (W3 boven 90°)</t>
  </si>
  <si>
    <t>Zunanji vogalnik žleba (W3 nad 90°)</t>
  </si>
  <si>
    <t>vinkel ytterränna (W3 över 90°)</t>
  </si>
  <si>
    <t>Yderrendevinkel (W3 over 90°)</t>
  </si>
  <si>
    <t>Utvendig rennevinkel (W3 over 90°)</t>
  </si>
  <si>
    <t>Kutni element vanjskog žlijeba (W3 preko 90°)</t>
  </si>
  <si>
    <t>Außenrinnenwinkel (W3 unter 90°)</t>
  </si>
  <si>
    <t>external gutter corner (W3 below 90°)</t>
  </si>
  <si>
    <t>équerre pour angle sortant de gouttière (W3 inférieur à 90°)</t>
  </si>
  <si>
    <t>Angolo esterno della grondaia (A3 inferiore a 90°)</t>
  </si>
  <si>
    <t>Roh žlabu vnější (W3 méně než 90°)</t>
  </si>
  <si>
    <t>Zewnętrzny narożnik rynny (W3 poniżej 90°)</t>
  </si>
  <si>
    <t>külső ereszcsatorna sarokelem (W3 90° alatt)</t>
  </si>
  <si>
    <t>vonkajší roh polkruhového žľabu (W3 menej ako 90°)</t>
  </si>
  <si>
    <t>Uitwendige goothoek (W3 onder 90°)</t>
  </si>
  <si>
    <t>Zunanji vogalnik žleba (W3 pod 90°)</t>
  </si>
  <si>
    <t>vinkel ytterränna (W3 under 90°)</t>
  </si>
  <si>
    <t>Yderrendevinkel (W3 under 90°)</t>
  </si>
  <si>
    <t>Utvendig rennevinkel (W3 under 90°)</t>
  </si>
  <si>
    <t>Kutni element vanjskog žlijeba (W3 ispod 90°)</t>
  </si>
  <si>
    <t>auswählen</t>
  </si>
  <si>
    <t>select</t>
  </si>
  <si>
    <t>sélectionner</t>
  </si>
  <si>
    <t>selezionare</t>
  </si>
  <si>
    <t>Vybrat</t>
  </si>
  <si>
    <t>wybierz</t>
  </si>
  <si>
    <t>kiválasztás</t>
  </si>
  <si>
    <t>Vybrať</t>
  </si>
  <si>
    <t>selecteren</t>
  </si>
  <si>
    <t>izberi</t>
  </si>
  <si>
    <t>välj</t>
  </si>
  <si>
    <t>vælge</t>
  </si>
  <si>
    <t>velg</t>
  </si>
  <si>
    <t>izabrati</t>
  </si>
  <si>
    <t>B</t>
  </si>
  <si>
    <t>Baubreite</t>
  </si>
  <si>
    <t>visible width</t>
  </si>
  <si>
    <t>largeur utile</t>
  </si>
  <si>
    <t>Larghezza d'ingombro</t>
  </si>
  <si>
    <t>Stavební šířka</t>
  </si>
  <si>
    <t>Szerokość konstrukcji</t>
  </si>
  <si>
    <t>fektetési szélesség</t>
  </si>
  <si>
    <t>konštrukčná šírka</t>
  </si>
  <si>
    <t>Bouwbreedte</t>
  </si>
  <si>
    <t>Gradbena širina</t>
  </si>
  <si>
    <t>Total bredd</t>
  </si>
  <si>
    <t>Samlet bredde</t>
  </si>
  <si>
    <t>Byggebredde</t>
  </si>
  <si>
    <t>Širina</t>
  </si>
  <si>
    <t>Baubreite (948 mm)</t>
  </si>
  <si>
    <t>visible width (948 mm)</t>
  </si>
  <si>
    <t>largeur utile (948 mm)</t>
  </si>
  <si>
    <t>Larghezza d'ingombro (948 mm)</t>
  </si>
  <si>
    <t>Stavební šířka (948 mm)</t>
  </si>
  <si>
    <t>Szerokość konstrukcji (948 mm)</t>
  </si>
  <si>
    <t>fektetési szélesség (948 mm)</t>
  </si>
  <si>
    <t>konštrukčná šírka (948 mm)</t>
  </si>
  <si>
    <t>Bouwbreedte (948 mm)</t>
  </si>
  <si>
    <t>Gradbena širina (948 mm)</t>
  </si>
  <si>
    <t>Total bredd (948 mm)</t>
  </si>
  <si>
    <t>Samlet bredde (948 mm)</t>
  </si>
  <si>
    <t>Byggebredde (948 mm)</t>
  </si>
  <si>
    <t>Širina (948 mm)</t>
  </si>
  <si>
    <t>Baubreite mit Schattenfuge</t>
  </si>
  <si>
    <t>visible width with shadow gap</t>
  </si>
  <si>
    <t>largeur utile avec joint creux</t>
  </si>
  <si>
    <t>Larghezza d'ingombro con fuga</t>
  </si>
  <si>
    <t>Stavební šířka se spárou</t>
  </si>
  <si>
    <t>Szerokość konstrukcji z fugami cieniowymi</t>
  </si>
  <si>
    <t>fektetési szélesség árnyékfugával</t>
  </si>
  <si>
    <t>konštrukčná šírka s tieňovou špárou</t>
  </si>
  <si>
    <t>Bouwbreedte met schaduwvoeg</t>
  </si>
  <si>
    <t>Gradbena širina s senčno fugo</t>
  </si>
  <si>
    <t>Total bredd med skuggfog</t>
  </si>
  <si>
    <t>Samlet bredde med skyggefuge</t>
  </si>
  <si>
    <t>Byggebredde med skyggespalte</t>
  </si>
  <si>
    <t>Širina s naglašenim spojem</t>
  </si>
  <si>
    <t>Baubreite ohne Schattenfuge</t>
  </si>
  <si>
    <t>visible width without shadow gap</t>
  </si>
  <si>
    <t>largeur utile sans joint creux</t>
  </si>
  <si>
    <t>Larghezza d'ingombro senza fuga</t>
  </si>
  <si>
    <t>Stavební šířka bez spáry</t>
  </si>
  <si>
    <t>Szerokość konstrukcji bez fug cieniowych</t>
  </si>
  <si>
    <t>fektetési szélesség árnyékfuga nélkül</t>
  </si>
  <si>
    <t>konštrukčná šírka bez tieňovej špáry</t>
  </si>
  <si>
    <t>Bouwbreedte zonder schaduwvoeg</t>
  </si>
  <si>
    <t>Gradbena širina brez senčne fuge</t>
  </si>
  <si>
    <t>Total bredd utan skuggfog</t>
  </si>
  <si>
    <t>Samlet bredde uden skyggefuge</t>
  </si>
  <si>
    <t>Byggebredde uten skyggespalte</t>
  </si>
  <si>
    <t>Širina bez naglašenog spoja</t>
  </si>
  <si>
    <t>Bauvorhaben:</t>
  </si>
  <si>
    <t>Building project:</t>
  </si>
  <si>
    <t>Projet:</t>
  </si>
  <si>
    <t>Progetto:</t>
  </si>
  <si>
    <t>Objekt</t>
  </si>
  <si>
    <t>Nazwa projektu</t>
  </si>
  <si>
    <t>projekt:</t>
  </si>
  <si>
    <t>Objekt:</t>
  </si>
  <si>
    <t>bouwplan:</t>
  </si>
  <si>
    <t>Gradbeni projekt:</t>
  </si>
  <si>
    <t>Byggprojekt:</t>
  </si>
  <si>
    <t>Byggeri:</t>
  </si>
  <si>
    <t>Byggeprosjekt:</t>
  </si>
  <si>
    <t>Bedienungsanleitung</t>
  </si>
  <si>
    <t>operating instructions</t>
  </si>
  <si>
    <t>mode d’emploi</t>
  </si>
  <si>
    <t>Istruzioni per l'uso</t>
  </si>
  <si>
    <t>Návod k použití</t>
  </si>
  <si>
    <t>Instrukcja obsługi</t>
  </si>
  <si>
    <t>Használati útmutató</t>
  </si>
  <si>
    <t>Návod na použitie</t>
  </si>
  <si>
    <t>Gebruikershandleiding</t>
  </si>
  <si>
    <t>navodila za uporabo</t>
  </si>
  <si>
    <t>Bruksanvisning</t>
  </si>
  <si>
    <t>Betjeningsvejledning</t>
  </si>
  <si>
    <t>Upute za uporabu</t>
  </si>
  <si>
    <t>Befestigungsmaterial</t>
  </si>
  <si>
    <t>fixing material</t>
  </si>
  <si>
    <t>éléments de fixation</t>
  </si>
  <si>
    <t>Materiale di fissaggio</t>
  </si>
  <si>
    <t>upevňovací materiál</t>
  </si>
  <si>
    <t>Elementy złączne</t>
  </si>
  <si>
    <t>rögzítőelem</t>
  </si>
  <si>
    <t>Bevestigingsmateriaal</t>
  </si>
  <si>
    <t>Material za pritrditev</t>
  </si>
  <si>
    <t>fästmaterial</t>
  </si>
  <si>
    <t>Fastgørelsesmateriale</t>
  </si>
  <si>
    <t>Festemateriale</t>
  </si>
  <si>
    <t>Pričvrsni materijal</t>
  </si>
  <si>
    <t>Befestigungsmittel – Holzschrauben</t>
  </si>
  <si>
    <t>fasteners (timber construction screws)</t>
  </si>
  <si>
    <t>matériel de fixation — vis à bois</t>
  </si>
  <si>
    <t>Materiale di fissaggio - Viti per legno</t>
  </si>
  <si>
    <t>upevňovací vruty do dřeva</t>
  </si>
  <si>
    <t>Elementy złączne – wkręty do drewna</t>
  </si>
  <si>
    <t>rögzítőelem – facsavar</t>
  </si>
  <si>
    <t>upevňovací materiál – skrutky do dreva</t>
  </si>
  <si>
    <t>Bevestigingsmiddelen - houtschroeven</t>
  </si>
  <si>
    <t>Pritrdilni elementi – lesni vijaki</t>
  </si>
  <si>
    <t>fästelement – ​​träskruvar</t>
  </si>
  <si>
    <t>Fastgørelseselementer – træskruer</t>
  </si>
  <si>
    <t>Festemiddel – treskruer</t>
  </si>
  <si>
    <t>Pričvršćivač – vijci za drvo</t>
  </si>
  <si>
    <t>Befestigungsmittel ins Tragwerk</t>
  </si>
  <si>
    <t>fastener driven into the supporting structure</t>
  </si>
  <si>
    <t>vis de fixation à la structure porteuse</t>
  </si>
  <si>
    <t>Materiale di fissaggio nella struttura portante</t>
  </si>
  <si>
    <t>Kotvicí prvky do nosné konstrukce</t>
  </si>
  <si>
    <t>Elementy złączne do konstrukcji nośnej</t>
  </si>
  <si>
    <t>rögzítőelemek a tartószerkezetbe</t>
  </si>
  <si>
    <t>upevňovací materiál do nosnej konštrukcie</t>
  </si>
  <si>
    <t>Bevestigingsmiddelen in de draagstructuur</t>
  </si>
  <si>
    <t>Pritrdilni elementi v nosilni strukturi</t>
  </si>
  <si>
    <t>fästelement i bärverk</t>
  </si>
  <si>
    <t>Fastgørelseselementer i struktur</t>
  </si>
  <si>
    <t>Festemiddel i bærekonstruksjon</t>
  </si>
  <si>
    <t>Pričvršćivači u strukturi</t>
  </si>
  <si>
    <t>Befestigungsmittel (Metallschraube); 4,8 × 19 mm</t>
  </si>
  <si>
    <t>Fastener for sidings – aluminium substructure 4,8 × 19 mm</t>
  </si>
  <si>
    <t>matériel de fixation (vis à métaux) ; 4,8 × 19 mm</t>
  </si>
  <si>
    <t>materiale di fissaggio doga – vite per metallo 4,8 × 19 mm</t>
  </si>
  <si>
    <t>Kotvící prvky Siding- hliníková spodní konstrukce 4,8 x 19 mm</t>
  </si>
  <si>
    <t>Wkręt Siding-podkonstrukcja aluminiowa 4,8 x 19 mm</t>
  </si>
  <si>
    <t>Kötőanyag Siding - alumínium alátétszerkezet 4,8 x 19 mm</t>
  </si>
  <si>
    <t xml:space="preserve">Upevňovacia skrutka pre Siding do hliníkového nosného roštu 4,8 x 19 mm </t>
  </si>
  <si>
    <t>Bevestigingsmiddel Siding - aluminium UK 4,8 x 19 mm</t>
  </si>
  <si>
    <t>Pritrdilni elementi (kovinski vijak); 4,8 × 19 mm</t>
  </si>
  <si>
    <t>Fästmedel fasadpanel - aluminium UK 4,8 x 19 mm</t>
  </si>
  <si>
    <t>Fastgørelsesmidler siding - aluminiumsunderkonstruktion 4,8 x 19 mm</t>
  </si>
  <si>
    <t>Festemiddel kledning - aluminium UK 4,8 x 19 mm</t>
  </si>
  <si>
    <t>Pričvrsni materijal Siding - aluminij UK 4,8 x 19 mm</t>
  </si>
  <si>
    <t>Befestigungsmittel (Holzschraube); 4,9 × 35 mm</t>
  </si>
  <si>
    <t>Fastener for sidings – wood substructure 4,9 × 38 mm</t>
  </si>
  <si>
    <t>matériel de fixation (vis à bois) ; 4,9 × 35 mm</t>
  </si>
  <si>
    <t>materiale di fissaggio doga – vite per legno 4,9 × 38 mm</t>
  </si>
  <si>
    <t>Kotvící prvky Siding- dřevěná spodní konstrukce 4,9 x 35 mm</t>
  </si>
  <si>
    <t>Wkręt Siding-podkonstrukcja drewniana 4,9 x 35 mm</t>
  </si>
  <si>
    <t>Kötőanyag Siding - fa alátétszerkezet 4,9 x 35 mm</t>
  </si>
  <si>
    <t xml:space="preserve">Upevňovacia skrutka pre Siding do dreveného nosného roštu 4,9 x 35 mm </t>
  </si>
  <si>
    <t>Bevestigingsmiddel Siding - hout UK 4,9 x 35 mm</t>
  </si>
  <si>
    <t>Pritrdilni elementi (lesni vijak); 4,9 × 35 mm</t>
  </si>
  <si>
    <t>Fästmedel fasadpanel - trä UK 4,9 x 35 mm</t>
  </si>
  <si>
    <t>Fastgørelsesmidler siding - træunderkonstruktion 4,9 x 35 mm</t>
  </si>
  <si>
    <t>Festemiddel kledning - tre UK 4,9 x 38 mm</t>
  </si>
  <si>
    <t>Pričvrsni materijal Siding - drvo UK 4,9 x 35 mm</t>
  </si>
  <si>
    <t>Bei ausgebautem Dachgeschoß, soweit es sich nicht um unbelüftete Konstruktionen handelt.</t>
  </si>
  <si>
    <t>on a converted attic as long as it is not a non-ventilated construction</t>
  </si>
  <si>
    <t>Dans le cas de combles aménagés (lorsqu’il ne s’agit pas de constructions non ventilées).</t>
  </si>
  <si>
    <t>Nel caso di un sottotetto reso abitabile, a meno che non si tratti di una costruzione non ventilata.</t>
  </si>
  <si>
    <t>u obytného podstřešního prostoru, pokud se nejedná o neodvětranou střešní konstrukci</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</si>
  <si>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</si>
  <si>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</si>
  <si>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</si>
  <si>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</si>
  <si>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</si>
  <si>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</si>
  <si>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</si>
  <si>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</si>
  <si>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</si>
  <si>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</si>
  <si>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</si>
  <si>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</si>
  <si>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</si>
  <si>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</si>
  <si>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</si>
  <si>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44 × 44-es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</si>
  <si>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</si>
  <si>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44 × 44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</si>
  <si>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44 × 44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</si>
  <si>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44 × 44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</si>
  <si>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sikkerhedstagkrogen (f.eks. hvis en fals i monteringsområdet er over spær). To-skals tagkonstruktion: 2 fastgørelsesskruer 8 × 220 mm. En-skals tagkonstruktion: 2 fastgørelsesskruer 8 × 120 mm.</t>
  </si>
  <si>
    <t>Med takrombe 44 × 44 er det nødvendig å installere en underlagsplate for å kunne montere sikkerhetstakkrokene (f.eks. hvis en fals i monteringsområdet ligger over sperrebjelkene). Tolags takoppbygging: 2 festeskruer 8 × 220 mm. Ettlags takoppbygging: 2 festeskruer 8 × 120 mm.</t>
  </si>
  <si>
    <t>Kod krovnog romba 44 × 44 potrebno je ugraditi podlošku za montažu sigurnosne krovne kuke (npr. ako je falc u području montaže iznad roženica). Dvoslojna krovna konstrukcija: 2 pričvrsna vijka 8 × 220 mm. Jednoslojna krovna konstrukcija: 2 pričvrsna vijka 8 × 120 mm.</t>
  </si>
  <si>
    <t>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t>
  </si>
  <si>
    <t>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</si>
  <si>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</si>
  <si>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</si>
  <si>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</si>
  <si>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</si>
  <si>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44 × 44-es tetőfedő rombuszok esetében a hófogórúd-tartó elem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</si>
  <si>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</si>
  <si>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daklosanges van 44 × 44 moet een steunplaat worden aangebracht om de sneeuwharkhaak te monteren (bijv. als er een sponning in het montagegebied boven de dakspant zit). Tweewandige dakmontage: 2 bevestigingsschroeven 8 × 220 mm. Enkelwandige dakmontage: 2 bevestigingsschroeven 8 × 120 mm.</t>
  </si>
  <si>
    <t>Pri strešnih rombih 44 × 44 je potrebno namestiti podložko za montažo snegolova (npr. če je zgib v območju montaže nad špirovci). Strešna konstrukcija z dvojnim opažem: 2 pritrdilna vijaka 8 × 220 mm. Strešna konstrukcija z enojnim opažem: 2 pritrdilna vijaka 8 × 120 mm.</t>
  </si>
  <si>
    <t>För takpannor 44 × 44 är det nödvändigt att installera ett mellanlägg för att montera snökratskrokar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</si>
  <si>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snefanget (f.eks. hvis en fals i monteringsområdet er over spær). To-skals tagkonstruktion: 2 fastgørelsesskruer 8 × 220 mm. En-skals tagkonstruktion: 2 fastgørelsesskruer 8 × 120 mm.</t>
  </si>
  <si>
    <t>Med takrombe 44 × 44 er det nødvendig å installere en underlagsplate for å kunne montere krokene for snøfanger f.eks. når en fals i monteringsområdet ligger over sperrebjelkene). Tolags takoppbygging: 2 festeskruer 8 × 220 mm. Ettlags takoppbygging: 2 festeskruer 8 × 120 mm.</t>
  </si>
  <si>
    <t>Kod krovnog romba 44 × 44 potrebno je ugraditi podlošku za montažu kuke za rešetkasti snjegobran (npr. ako je falc u području montaže iznad roženica).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</si>
  <si>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</si>
  <si>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</si>
  <si>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</si>
  <si>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29 × 29,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</si>
  <si>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</si>
  <si>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</si>
  <si>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29 × 29-es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</si>
  <si>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29 × 29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</si>
  <si>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29 × 29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</si>
  <si>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29 × 29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</si>
  <si>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29 × 29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</si>
  <si>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29 × 29 er det nødvendigt at montere en underlagsplade for at montere sikkerhedstagkrogen (f.eks. hvis en fals i monteringsområdet er over spær). To-skals tagkonstruktion: 2 fastgørelsesskruer 8 × 220 mm. En-skals tagkonstruktion: 2 fastgørelsesskruer 8 × 120 mm.</t>
  </si>
  <si>
    <t>Med takrombe 29 × 29 er det nødvendig å installere en underlagsplate for å kunne montere sikkerhetstakkrokene (f.eks. hvis en fals i monteringsområdet ligger over sperrebjelkene). Tolags takoppbygging: 2 festeskruer 8 × 220 mm. Ettlags takoppbygging: 2 festeskruer 8 × 120 mm.</t>
  </si>
  <si>
    <t>Kod krovnog romba 29 × 29 potrebno je ugraditi podlošku za montažu sigurnosne krovne kuke (npr. ako je falc u području montaže iznad roženica). Dvoslojna krovna konstrukcija: 2 pričvrsna vijka 8 × 220 mm. Jednoslojna krovna konstrukcija: 2 pričvrsna vijka 8 × 120 mm.</t>
  </si>
  <si>
    <t>Bei Dachrauten 29 × 29 ist es erforderlich, eine Unterlagsplatte einzubauen, um den Schneerechenhaken zu montieren. Zweischaliger Dachaufbau: 2 Befestigungsschrauben 8 × 220 mm. Einschaliger Dachaufbau: 2 Befestigungsschrauben 8 × 120 mm.</t>
  </si>
  <si>
    <t>With rhomboid roof tiles 29 × 29, it is necessary to install a base plate in order to mount the pipe-style snow guard bracket.
double-skin roof structure: fixing screws (2 screws 8 × 220 mm)
single-skin roof structure: fixing screws (2 screws 8 × 120 mm)</t>
  </si>
  <si>
    <t>Pour les losanges de toiture 29 × 29, une plaque de support doit être posée avant la mise en place du crochet pour tubes pare-neige. toit double peau : 2 vis de fixation 8 × 220 mm. toiture non ventilée : 2 vis de fixation 8 × 120 mm.</t>
  </si>
  <si>
    <t>Per le scaglie da copertura 29 × 29, è necessario installare una sottopiastra per montare la staffa per tubi fermaneve. Struttura del tetto a due strati: 2 viti di fissaggio 8 × 220 mm. Struttura del tetto monostrato: 2 viti di fissaggio 8 × 120 mm.</t>
  </si>
  <si>
    <t>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</si>
  <si>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elementów montażowych zabezpieczeń przeciwśniegowych. Dwuwarstwowa konstrukcja dachu: 2 śruby mocujące 8 × 220 mm. Jednowarstwowa konstrukcja dachu: 2 śruby mocujące 8 × 120 mm.</t>
  </si>
  <si>
    <t>A 29 × 29-es tetőfedő rombuszok esetében a hófogórúd-tartó elem felszereléséhez egy alátétlemezt kell beszerelni. Kéthéjú tető rétegrend: 2 db 8 × 220 mm-es rögzítőcsavar. Egyhéjú tető rétegrend: 2 db 8 × 120 mm-es rögzítőcsavar.</t>
  </si>
  <si>
    <t>Pri strešných šablónach 29 × 29 je potrebné zabudovať spevňovaciu podložku, aby bolo možné namontovať držiak rúrkového zachytávača snehu. Dvojplášťová skladba strechy: 2 upevňovacie skrutky 8 × 220 mm. Jednoplášťová skladba strechy: 2 upevňovacie skrutky 8 × 120 mm.</t>
  </si>
  <si>
    <t>Bij daklosanges van 29 × 29 moet een steunplaat worden aangebracht om de sneeuwharkhaak te monteren. Tweewandige dakmontage: 2 bevestigingsschroeven 8 × 220 mm. Enkelwandige dakmontage: 2 bevestigingsschroeven 8 × 120 mm.</t>
  </si>
  <si>
    <t>Pri strešnih rombih 29 × 29 je potrebno namestiti podložno ploščo za montažo snegolovnega nosilca. Strešna konstrukcija z dvojnim opažem: 2 pritrdilna vijaka 8 × 220 mm. Strešna konstrukcija z enojnim opažem: 2 pritrdilna vijaka 8 × 120 mm.</t>
  </si>
  <si>
    <t>Med takdiamanter 29 × 29 är det nödvändigt att installera ett mellanlägg för att montera snörakkroken. Takkonstruktion med dubbla skal: 2 monteringsskruvar 8 × 220 mm. Takkonstruktion med enkelskal: 2 monteringsskruvar 8 × 120 mm.</t>
  </si>
  <si>
    <t>Med tagromber 29 × 29 er det nødvendigt at montere en underlagsplade for at montere snekrogen. To-skals tagkonstruktion: 2 fastgørelsesskruer 8 × 220 mm. En-skals tagkonstruktion: 2 fastgørelsesskruer 8 × 120 mm.</t>
  </si>
  <si>
    <t>Med takrombe 29 × 29 er det nødvendig å installere en underlagsplate for å kunne montere krok for snøfanger. Tolags takoppbygging: 2 festeskruer 8 × 220 mm. Ettlags takoppbygging: 2 festeskruer 8 × 120 mm.</t>
  </si>
  <si>
    <t>Kod krovnog romba 29 × 29 potrebno je ugraditi podlošku za montažu kuke za rešetkasti snjegobran.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</si>
  <si>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t>
  </si>
  <si>
    <t>With rhomboid roof tiles 29 × 29, it is necessary to install a base plate in order to mount the roof anchor hook (e.g. if a seam is lying above a rafter in the installation area).</t>
  </si>
  <si>
    <t>Pour les losanges de toiture 29 × 29, une plaque de support doit être posée avant la mise en place du crochet de sécurité. C’est le cas par exemple lorsqu’un joint se trouve directement au-dessus d’un chevron, à l’endroit où l’élément doit être monté.</t>
  </si>
  <si>
    <t>Per le scaglie da copertura 29 × 29, è necessario installare una sottopiastra per montare la staffa di sicurezza anticaduta (ad es. se c'è un'aggraffatura nella zona di montaggio sopra il travetto).</t>
  </si>
  <si>
    <t>U Falcované šablony 29x29 může být v některých případech nutné provádět montáž bezpečnostního háku na montážní podložku (např. drážka v místě krokve).</t>
  </si>
  <si>
    <t>W przypadku dachówki romb 29 × 29 konieczne jest zamontowanie płyty podkładowej w celu zamocowania dachowych haków zabezpieczających (np. jeśli w obszarze mocowania nad krokwią znajduje się złożenie).</t>
  </si>
  <si>
    <t>A 29 × 29-es tetőfedő rombuszok esetében a biztonsági tetőhorog felszereléséhez egy alátétlemezt kell beszerelni (pl. ha a szarufa feletti szerelési területen korc van).</t>
  </si>
  <si>
    <t>Pri strešných šablónach 29 × 29 je potrebné zabudovať spevňovaciu podložku, aby bolo možné namontovať bezpečnostný strešný hák (napr. keď drážka v montážnej oblasti leží nad krokvami).</t>
  </si>
  <si>
    <t>Bij daklosanges van 29 × 29 moet een steunplaat worden aangebracht om de veiligheidsdakhaak te monteren (bijv. als er een sponning in het montagegebied boven de dakspant zit).</t>
  </si>
  <si>
    <t>Pri strešnih rombih 29 × 29 je potrebno namestiti podložno ploščo za montažo varnostnega strešnega kavlja (npr. če je zgib v območju montaže nad špirovci).</t>
  </si>
  <si>
    <t>För takpannor 29 × 29 är det nödvändigt att installera ett mellanlägg för montering av säkerhetstakkrokar (t.ex. om det finns en fals i monteringsområdet ovanför takbjälken).</t>
  </si>
  <si>
    <t>Med tagromber 29 × 29 er det nødvendigt at montere en underlagsplade for at montere sikkerhedstagkrogen (f.eks. hvis en fals i monteringsområdet er over spær).</t>
  </si>
  <si>
    <t>Med takrombe 29 × 29 er det nødvendig å installere en underlagsplate for å kunne montere sikkerhetstakkrokene (f.eks. hvis en fals i monteringsområdet ligger over sperrebjelkene).</t>
  </si>
  <si>
    <t>Kod krovnog romba 29 × 29 potrebno je ugraditi podlošku za montažu sigurnosne krovne kuke (npr. ako je falc u području montaže iznad roženica).</t>
  </si>
  <si>
    <t>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</si>
  <si>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shingles, it is necessary to install a base plate in order to mount the roof anchor hook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</si>
  <si>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</si>
  <si>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</si>
  <si>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</si>
  <si>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</si>
  <si>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tetőfedő zsindelyek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</si>
  <si>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</si>
  <si>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dakleien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</si>
  <si>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</si>
  <si>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takshingel är det nödvändigt att installera ett mellanlägg för att montera taksäkerhetskroken (t.ex. om det finns en fals i monteringsytan ovanför takbjälken). Takkonstruktion med dubbla skal: 2 monteringsskruvar 8 × 220 mm. Takkonstruktion med enkelskal: 2 monteringsskruvar 8 × 120 mm.</t>
  </si>
  <si>
    <t>Med tagspån er det nødvendigt at montere en underlagsplade for at montere sikkerhedstagkrogen (f.eks. hvis en fals i monteringsområdet er over spær). To-skals tagkonstruktion: 2 fastgørelsesskruer 8 × 220 mm. En-skals tagkonstruktion: 2 fastgørelsesskruer 8 × 120 mm.</t>
  </si>
  <si>
    <t>Med takshingel er det nødvendig å installere en underlagsplate for å kunne montere sikkerhetstakkrokene (f.eks. hvis en fals i monteringsområdet ligger over sperrebjelkene). Tolags takoppbygging: 2 festeskruer 8 × 220 mm. Ettlags takoppbygging: 2 festeskruer 8 × 120 mm.</t>
  </si>
  <si>
    <t>Kod krovne šindre potrebno je ugraditi podlošku za montažu sigurnosne krovne kuke (npr. ako je falc u području montaže iznad roženica). Dvoslojna krovna konstrukcija: 2 pričvrsna vijka 8 × 220 mm. Jednoslojna krovna konstrukcija: 2 pričvrsna vijka 8 × 120 mm.</t>
  </si>
  <si>
    <t>Bei Dachschindeln ist es erforderlich, eine Unterlagsplatte einzubauen, um die Laufstegstütze zu montieren (z. B. wenn ein Falz im Montagebereich über dem Sparren liegt).</t>
  </si>
  <si>
    <t>With shingles, it is necessary to install a base plate in order to mount the walkway support (e.g. if a seam is lying above a rafter in the installation area).</t>
  </si>
  <si>
    <t>Pour les bardeaux, une plaque de support doit être posée avant la mise en place du support de chemin de circulation. C’est le cas par exemple lorsqu’un joint se trouve directement au-dessus d’un chevron, à l’endroit où l’élément doit être monté.</t>
  </si>
  <si>
    <t>Per le scandole, è necessario installare una sottopiastra per montare la staffa per griglia pedonabile (ad es. se c'è un'aggraffatura nella zona di montaggio sopra il travetto).</t>
  </si>
  <si>
    <t xml:space="preserve">U Falcovaného šindele může být v některých případech nutné provádět montáž držáku stoupací plošiny na montážní podložku (např. drážka v místě krokve). </t>
  </si>
  <si>
    <t>W przypadku dachówki łupkowej konieczne jest zamontowanie płyty podkładowej w celu zamocowania wsporników ławy kominiarskiej (np. jeśli w obszarze mocowania nad krokwią znajduje się złożenie).</t>
  </si>
  <si>
    <t>A tetőfedő zsindelyek esetében a járórácstartó elem felszereléséhez egy alátétlemezt kell beszerelni (pl. ha a szarufa feletti szerelési területen korc van).</t>
  </si>
  <si>
    <t>Pri strešných šindľoch je potrebné zabudovať spevňovaciu podložku, aby bolo možné namontovať držiak strešnej lávky (napr. keď drážka v montážnej oblasti leží nad krokvami).</t>
  </si>
  <si>
    <t>Bij dakleien moet een steunplaat worden aangebracht om de loopplanksteun te monteren (bijv. als er een sponning in het montagegebied boven de dakspant zit).</t>
  </si>
  <si>
    <t>Pri strešnih skodlah je potrebno namestiti podložno ploščo za montažo opornika za oder (npr. če je zgib v območju montaže nad špirovci).</t>
  </si>
  <si>
    <t>För takshingel är det nödvändigt med ett mellanlägg för att montera gångbrostödet (t.ex. om det finns en fals i monteringsområdet ovanför takbjälken).</t>
  </si>
  <si>
    <t>Med tagspån er det nødvendigt at montere en underlagsplade for at montere løbegangsstøtten (f.eks. hvis en fals i monteringsområdet er over spær).</t>
  </si>
  <si>
    <t>Med takshingel er det nødvendig å installere en underlagsplate for å kunne montere plattformstøttene (f.eks. hvis en fals i monteringsområdet ligger over sperrebjelkene).</t>
  </si>
  <si>
    <t>Kod krovne šindre potrebno je ugraditi podlošku za montažu nosača stepenice (npr. ako je falc u području montaže iznad roženica).</t>
  </si>
  <si>
    <t>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t>
  </si>
  <si>
    <t>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</si>
  <si>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</si>
  <si>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</si>
  <si>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</si>
  <si>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</si>
  <si>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tetőfedő zsindelyek esetében a hófogórúd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</si>
  <si>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</si>
  <si>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dakleien moet een steunplaat worden aangebracht om de sneeuwharkhaak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</si>
  <si>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snegolova (npr. če je zgib v območju montaže nad špirovci). Strešna konstrukcija z dvojnim opažem: 2 pritrdilna vijaka 8 × 220 mm. Strešna konstrukcija z enojnim opažem: 2 pritrdilna vijaka 8 × 120 mm.</t>
  </si>
  <si>
    <t>För takshingel är det nödvändigt att installera ett mellanlägg för att montera snökratskroken (t.ex. om det finns en fals i monteringsområdet ovanför takbjälken). Takkonstruktion med dubbla skal: 2 monteringsskruvar 8 × 220 mm. Takkonstruktion med enkelskal: 2 monteringsskruvar 8 × 120 mm.</t>
  </si>
  <si>
    <t>Med tagspån er det nødvendigt at montere en underlagsplade for at montere snekrogen (f.eks. hvis en fals i monteringsområdet er over spær). To-skals tagkonstruktion: 2 fastgørelsesskruer 8 × 220 mm. En-skals tagkonstruktion: 2 fastgørelsesskruer 8 × 120 mm.</t>
  </si>
  <si>
    <t>Med takshingel er det nødvendig å installere en underlagsplate for å kunne montere krokene til snøfanger f.eks. når en fals i monteringsområdet ligger over sperrebjelkene). Tolags takoppbygging: 2 festeskruer 8 × 220 mm. Ettlags takoppbygging: 2 festeskruer 8 × 120 mm.</t>
  </si>
  <si>
    <t>Kod krovne šindre potrebno je ugraditi podlošku za montažu kuke za rešetkasti snjegobran (npr. ako je falc u području montaže iznad roženica). Dvoslojna krovna konstrukcija: 2 pričvrsna vijka 8 × 220 mm. Jednoslojna krovna konstrukcija: 2 pričvrsna vijka 8 × 120 mm.</t>
  </si>
  <si>
    <t>Bei der Planung von Unterdächern sind insbesondere die Beanspruchungen bei Wassereintritt durch die Dacheindeckung bei folgenden Randbedingungen zu berücksichtigen:</t>
  </si>
  <si>
    <t>When planning the substructure, strain or stress caused by water penetrating through the roof covering should particularly be taken into account in the following conditions.</t>
  </si>
  <si>
    <t>Au moment de la conception de la sous-couverture, tenez compte en particulier des contraintes qui interviennent lors d’infiltrations d’eau dans la couverture, dans les conditions et contextes spécifiquement décrits ci-dessous :</t>
  </si>
  <si>
    <t>Quando si progettano i sottotetti, si deve prestare particolare attenzione alle sollecitazioni causate dalla penetrazione dell'acqua attraverso la copertura del tetto nelle seguenti condizioni limite:</t>
  </si>
  <si>
    <t>Při navrhování pojistných hydroizolací je zvlášť nutno zohlednit namáhání při průniku vody střešní krytinou při náslledujících okrajových podmínkách</t>
  </si>
  <si>
    <t>Przy projektowaniu pokryć wstępnych należy zwrócić szczególną uwagę na obciążenia spowodowane przenikaniem wody przez pokrycie dachowe w następujących warunkach brzegowych:</t>
  </si>
  <si>
    <t>Alsó tetősíkok tervezésekor különös figyelmet kell fordítani a tetőfedésen keresztül történő vízbehatolás okozta igénybevételekre, amelyek az alábbi körülmények fennállása esetén jelentkezhetnek:</t>
  </si>
  <si>
    <t>Pri plánovaní skladby podstrešia treba zvlášť zohľadniť namáhanie pri zatekaní cez strešnú krytinu pri nasledujúcich okrajových podmienkach.</t>
  </si>
  <si>
    <t>Bij de planning van onderdaken moet in het bijzonder rekening worden gehouden met de spanningen veroorzaakt door het binnendringen van water door de dakbedekking onder de volgende randvoorwaarden:</t>
  </si>
  <si>
    <t>Pri načrtovanju podstreh je treba posebno pozornost nameniti obremenitvi zaradi vdora vode skozi strešno kritino z naslednjimi robnimi pogoji:</t>
  </si>
  <si>
    <t>Vid planering av undertak måste särskild uppmärksamhet ägnas åt de påfrestningar som orsakas av vatteninträngning genom takbeläggningen med följande kantförutsättningar:</t>
  </si>
  <si>
    <t>Ved planlægning af undertage skal der lægges særlig vægt på spændinger forårsaget af vandindtrængning gennem tagdækningen med følgende randbetingelser:</t>
  </si>
  <si>
    <t>Ved planlegging av undertak må man være spesielt oppmerksom på de påkjenninger som forårsakes av vanninntrengning gjennom takbelegget med følgende grenseforhold:</t>
  </si>
  <si>
    <t>Prilikom planiranja sekundarnog krova posebnu pozornost treba obratiti na opterećenja uzrokovana prodiranjem vode kroz krovni pokrov uz sljedeće uvjete:</t>
  </si>
  <si>
    <t>Bei einem kleineren Maß (mind. 30 mm) muss die Summe von 470 mm (80 mm + 390 mm) erhalten bleiben.</t>
  </si>
  <si>
    <t>For smaller dimensions (min. 30 mm), the total of 470 mm (80 mm + 390 mm) must remain unchanged.</t>
  </si>
  <si>
    <t>Si le débord est inférieur à 80 mm (nota : celui-ci doit cependant être d’au moins 30 mm), veillez à conserver une longueur de 470 mm (longueur correspondant à 80 mm + 390 mm).</t>
  </si>
  <si>
    <t>Se la misura è più piccola (almeno 30 mm) è necessario mantenere la somma di 470 mm (80 mm + 390 mm).</t>
  </si>
  <si>
    <t>U menších presahu se musí dodržet soucet 470 mm (např. 80 mm + 390 mm).</t>
  </si>
  <si>
    <t>W przypadku małoformatowych elementów dachowych (min. 30 mm) suma wymiarów nie może przekraczać 470 mm (80 mm + 390 mm).</t>
  </si>
  <si>
    <t>Kisebb méret esetén (min. 30 mm), a 470 mm-es (80 mm + 390 mm) összméretet kell betartani.</t>
  </si>
  <si>
    <t>Pri menšom rozmere (min. 30 mm) musí zostať zachovaný súčet 470 mm (80 mm + 390 mm).</t>
  </si>
  <si>
    <t>Bij een kleinere afmeting (min. 30 mm) moet de som van 470 mm (80 mm + 390 mm) worden aangehouden.</t>
  </si>
  <si>
    <t>Pri manjši meri (najm. 30 mm) je treba ohraniti vsoto 470 mm (80 mm + 390 mm).</t>
  </si>
  <si>
    <t>Vid mindre storlek (min. 30 mm) måste summan av 470 mm (80 mm + 390 mm) kvarstå.</t>
  </si>
  <si>
    <t>Ved et mindre mål (mind. 30 mm) skal målet på 470 mm (80 mm + 390 mm) overholdes.</t>
  </si>
  <si>
    <t>Ved mindre mål (min. 30 mm) må summen på 470 mm (80 mm + 390 mm) opprettholdes.</t>
  </si>
  <si>
    <t>Kod manjih dimenzija (min. 30 mm) mora se zadržati zbroj od 470 mm (80 mm + 390 mm).</t>
  </si>
  <si>
    <t>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t>
  </si>
  <si>
    <t>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t>
  </si>
  <si>
    <t>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t>
  </si>
  <si>
    <t>Per gli elementi di copertura del tetto di piccolo formato, può essere necessario installare una sottopiastra per montare il sistema a tubi fermaneve (ad es. se c'è un'aggraffatura nella zona di montaggio sopra il travetto). Struttura del tetto a due strati: 4 viti di fissaggio 8 × 220 mm. Struttura del tetto monostrato: 4 viti di fissaggio 8 × 120 mm.</t>
  </si>
  <si>
    <t>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</si>
  <si>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zabezpieczeń przeciwśniegowych (np. jeśli w obszarze mocowania nad krokwią znajduje się złożenie). Dwuwarstwowa konstrukcja dachu: 4 śruby mocujące 8 × 220 mm. Jednowarstwowa konstrukcja dachu: 4 śruby mocujące 8 × 120 mm.</t>
  </si>
  <si>
    <t>Kis méretű tetőfedő elemek esetében a hófogó rendszer felszereléséhez szükséges lehet egy alátétlemez beszerelése (pl. ha a szarufa feletti szerelési területen korc van). Kéthéjú tető rétegrend: 4 db 8 × 220 mm-es rögzítőcsavar. Egyhéjú tető rétegrend: 4 db 8 × 120 mm-es rögzítőcsavar.</t>
  </si>
  <si>
    <t>Pri maloformátových strešných prvkoch môže byť potrebné zabudovanie spevňovacej podložky, aby bolo možné namontovať systémový rúrkový zachytávač snehu (napr. keď drážka v montážnej oblasti leží nad krokvami). Dvojplášťová skladba strechy: 4 upevňovacie skrutky 8 × 220 mm. Jednoplášťová skladba strechy: 4 upevňovacie skrutky 8 × 120 mm.</t>
  </si>
  <si>
    <t>Bij dakelementen van klein formaat moet wellicht een steunplaat worden aangebracht om het sneeuwharksysteem te monteren (bijv. als er een sponning in het montagegebied boven de dakspant zit). Tweewandige dakmontage: 4 bevestigingsschroeven 8 × 220 mm. Enkelwandige dakmontage: 4 bevestigingsschroeven 8 × 120 mm.</t>
  </si>
  <si>
    <t>Pri strešnih elementih majhnega formata je morda potrebno namestiti podložno ploščo za montažo snegolovnega sistema (npr. če je zgib v območju montaže nad špirovci). Strešna konstrukcija z dvojnim opažem: 4 pritrdilni vijaki 8 × 220 mm. Strešna konstrukcija z enojnim opažem: 4 pritrdilni vijaki 8 × 120 mm.</t>
  </si>
  <si>
    <t>Vid takelement i småformat kan det vara nödvändigt att installera ett mellanlägg för att montera snökratssystemet (t.ex. om det finns en fals i monteringsytan ovanför takbjälken). Takkonstruktion med dubbla skal: 4 monteringsskruvar 8 × 220 mm. Takkonstruktion med enkelskal: 4 monteringsskruvar 8 × 120 mm.</t>
  </si>
  <si>
    <t>Ved mindre tagelementer kan det være nødvendigt at montere en underlagsplade for at montere snesystemet (f.eks. hvis en fals i monteringsområdet er over spær). To-skals tagkonstruktion: 4 fastgørelsesskruer 8 × 220 mm. En-skals tagkonstruktion: 4 fastgørelsesskruer 8 × 120 mm.</t>
  </si>
  <si>
    <t>Med takelementer i småformat kan det være nødvendig å installere en underlagsplate for å kunne montere snøholdersystemet (f.eks. når en fals i monteringsområdet ligger over sperrebjelkene). Tolags takoppbygging: 4 festeskruer 8 × 220 mm. Ettlags takoppbygging: 4 festeskruer 8 × 120 mm.</t>
  </si>
  <si>
    <t>Kod krovnih elemenata malog formata može biti potrebno ugraditi podlošku za montažu sustava rešetkastog snjegobrana (npr. ako je falc u području montaže iznad roženica). Dvoslojna krovna konstrukcija: 4 pričvrsna vijka 8 × 220 mm. Jednoslojna krovna konstrukcija: 4 pričvrsna vijka 8 × 120 mm.</t>
  </si>
  <si>
    <t>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</si>
  <si>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</si>
  <si>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</si>
  <si>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</si>
  <si>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</si>
  <si>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</si>
  <si>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Kis méretű tetőfedő elemek esetében a tetőbiztonsági kampó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</si>
  <si>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bezpečnostný strešný hák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</si>
  <si>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veiligheidsdakhaak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</si>
  <si>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</si>
  <si>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taksäkerhetskroken (t.ex. om det finns en fals i monteringsområdet ovanför takbjälken). Takkonstruktion med dubbla skal: 2 monteringsskruvar 8 × 220 mm. Takkonstruktion med enkelskal: 2 monteringsskruvar 8 × 120 mm.</t>
  </si>
  <si>
    <t>Ved mindre tagelementer kan det være nødvendigt at montere en underlagsplade for at montere sikkerhedstagkrogen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</si>
  <si>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sikkerhetstakkrokene (f.eks. hvis en fals i monteringsområdet ligger over sperrebjelkene). Tolags takoppbygging: 2 festeskruer 8 × 220 mm. Ettlags takoppbygging: 2 festeskruer 8 × 120 mm.</t>
  </si>
  <si>
    <t>Kod krovnih elemenata malog formata može biti potrebno ugraditi podlošku za montažu sigurnosne krovne kuke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</si>
  <si>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Einzeltritt zu montieren (z. B. wenn ein Falz im Montagebereich über dem Sparren liegt).</t>
  </si>
  <si>
    <t>With small-format shingles, it may be necessary to install a base plate in order to mount the safety tread (e.g. if a seam is lying above a rafter in the installation area).</t>
  </si>
  <si>
    <t>Pour les éléments de toiture de petit format, la pose d’une plaque de support peut être requise avant l’installation de la marche de toit. C’est le cas par exemple lorsqu’un joint se trouve directement au-dessus d’un chevron, à l’endroit où l’élément doit être monté.</t>
  </si>
  <si>
    <t>Per gli elementi di copertura di piccolo formato, può essere necessario installare una sottopiastra per montare il gradino singolo (ad es. se c'è un'aggraffatura nella zona di montaggio sopra il travetto).</t>
  </si>
  <si>
    <t>U maloformátových krytin může být v některých případech nutné provést montáž nášlapného stupně na montážní podložku (např. drážka v místě krokve).</t>
  </si>
  <si>
    <t>W przypadku małoformatowych elementów dachowych konieczne jest zamontowanie płyty podkładowej w celu zamocowania stopni kominiarskich (np. jeśli w obszarze mocowania nad krokwią znajduje się złożenie).</t>
  </si>
  <si>
    <t>Kis méretű tetőfedő elemek esetében a tetőlépcső felszereléséhez szükséges lehet egy alátétlemez beszerelése (pl. ha a szarufa feletti szerelési területen korc van).</t>
  </si>
  <si>
    <t>Pri maloformátových strešných prvkoch môže byť potrebné zabudovanie spevňovacej podložky, aby bolo možné namontovať stúpací schodík (napr. keď drážka v montážnej oblasti leží nad krokvami).</t>
  </si>
  <si>
    <t>Bij dakelementen van klein formaat moet wellicht een steunplaat worden aangebracht om de enkele trede te monteren (bijv. als er een sponning in het montagegebied boven de dakspant zit).</t>
  </si>
  <si>
    <t>Pri strešnih elementih majhnega formata je morda potrebno namestiti podložno ploščo za montažo enojnih dimniških stopnic (npr. če je zgib v območju montaže nad špirovci).</t>
  </si>
  <si>
    <t>Vid takelement i småformat kan det vara nödvändigt att installera ett mellanlägg för att montera det enkelsteget (t.ex. om det finns en fals i monteringsytan ovanför takbjälken).</t>
  </si>
  <si>
    <t>Ved mindre tagelementer kan det være nødvendigt at montere en underlagsplade for at montere enkelttrinnet (f.eks. hvis en fals i monteringsområdet er over spær).</t>
  </si>
  <si>
    <t>Med takelementer i småformat kan det være nødvendig å installere en underlagsplate for å kunne montere enkelttrinnene (f.eks. hvis en fals i monteringsområdet ligger over sperrebjelkene).</t>
  </si>
  <si>
    <t>Kod krovnih elemenata malog formata može biti potrebno ugraditi podlošku za montažu pojedinačnih stuba (npr. ako je falc u području montaže iznad roženica).</t>
  </si>
  <si>
    <t>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</si>
  <si>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</si>
  <si>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</si>
  <si>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fermaneve per legno tondo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</si>
  <si>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</si>
  <si>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Dwuwarstwowa konstrukcja dachu: 2 śruby mocujące 8 × 220 mm. Jednowarstwowa konstrukcja dachu: 2 śruby mocujące 8 × 120 mm.</t>
  </si>
  <si>
    <t>Kis méretű tetőfedő elemek esetében a hófogórönk-tartó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</si>
  <si>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horského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</si>
  <si>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steensneeuwvanger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</si>
  <si>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gorskega snegolovnega opornika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</si>
  <si>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fjällsnöskyddsstödet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</si>
  <si>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bjergsnesystemet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</si>
  <si>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snøstoppere (f.eks. når en fals i monteringsområdet ligger over sperrebjelkene). Tolags takoppbygging: 2 festeskruer 8 × 220 mm. Ettlags takoppbygging: 2 festeskruer 8 × 120 mm.</t>
  </si>
  <si>
    <t>Kod krovnih elemenata malog formata može biti potrebno ugraditi podlošku za montažu nosača planinskog snjegobrana (npr. ako je falc u području montaže iznad roženica). Dvoslojna krovna konstrukcija: 2 pričvrsna vijka 8 × 220 mm. Jednoslojna krovna konstrukcija: 2 pričvrsna vijka 8 × 120 mm.</t>
  </si>
  <si>
    <t>Bei kleinformatigen Dachelementen kann es erforderlich sein, eine Unterlagsplatte einzubauen, um die Laufstegstütze zu montieren (z. B. wenn ein Falz im Montagebereich über dem Sparren liegt).</t>
  </si>
  <si>
    <t>With small-format shingles, it may be necessary to install a base plate in order to mount the walkway support (e.g. if a seam is lying above a rafter in the installation area).</t>
  </si>
  <si>
    <t>Pour les éléments de toiture de petit format, la pose d’une plaque de support peut être requise avant l’installation du support de chemin circulation. C’est le cas par exemple lorsqu’un joint se trouve directement au-dessus d’un chevron, à l’endroit où l’élément doit être monté.</t>
  </si>
  <si>
    <t>Per gli elementi di copertura di piccolo formato, può essere necessario installare una sottopiastra per montare la staffa per griglia pedonabile (ad es. se c'è un'aggraffatura nella zona di montaggio sopra il travetto).</t>
  </si>
  <si>
    <t xml:space="preserve">U maloformátových krytin může být v některých případech nutné provádět montáž držáku stoupací plošiny na montážní podložku (např. drážka v místě krokve). </t>
  </si>
  <si>
    <t>W przypadku małoformatowych elementów dachowych konieczne jest zamontowanie płyty podkładowej w celu zamocowania wsporników ławy kominiarskiej (np. jeśli w obszarze mocowania nad krokwią znajduje się złożenie).</t>
  </si>
  <si>
    <t>Kis méretű tetőfedő elemek esetében a járórácstartó elem felszereléséhez szükséges lehet egy alátétlemez beszerelése (pl. ha a szarufa feletti szerelési területen korc van).</t>
  </si>
  <si>
    <t>Pri maloformátových strešných prvkoch môže byť potrebné zabudovanie spevňovacej podložky, aby bolo možné namontovať držiak strešnej lávky (napr. keď drážka v montážnej oblasti leží nad krokvami).</t>
  </si>
  <si>
    <t>Bij dakelementen van klein formaat moet wellicht een steunplaat worden aangebracht om de loopplanksteun te monteren (bijv. als er een sponning in het montagegebied boven de dakspant zit).</t>
  </si>
  <si>
    <t>Pri strešnih elementih majhnega formata je morda potrebno namestiti podložno ploščo za montažo opornika za oder (npr. če je zgib v območju montaže nad špirovci).</t>
  </si>
  <si>
    <t>På takpaneler i småformat kan det vara nödvändigt att montera ett mellanlägg för att montera gångbrostödet (t.ex. om det finns en fals i monteringsområdet över takbjälken).</t>
  </si>
  <si>
    <t>Ved mindre tagelementer kan det være nødvendigt at montere en underlagsplade for at montere løbegangsstøtten (f.eks. hvis en fals i monteringsområdet er over spær).</t>
  </si>
  <si>
    <t>Med takelementer i småformat kan det være nødvendig å installere en underlagsplate for å kunne montere plattformstøttene (f.eks. når en fals i monteringsområdet ligger over sperrebjelkene).</t>
  </si>
  <si>
    <t>Kod krovnih elemenata malog formata može biti potrebno ugraditi podlošku za montažu nosača stepenice (npr. ako je falc u području montaže iznad roženica).</t>
  </si>
  <si>
    <t>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</si>
  <si>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</si>
  <si>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</si>
  <si>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</si>
  <si>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</si>
  <si>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elementów montażowych zabezpieczeń przeciwśniegowych (np. jeśli w obszarze mocowania nad krokwią znajduje się złożenie). Dwupowłokowa konstrukcja dachu: 2 śruby mocujące 8 × 220 mm. Jednopowłokowa konstrukcja dachu: 2 śruby mocujące 8 × 120 mm.</t>
  </si>
  <si>
    <t>Kis méretű tetőfedő elemek esetében a hófogórúd-tartó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</si>
  <si>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rúrkového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</si>
  <si>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sneeuwharkhaak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</si>
  <si>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snegolova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</si>
  <si>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snökratskroken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</si>
  <si>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snekrogen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</si>
  <si>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kroken til snøstopperen (f.eks. når en fals i monteringsområdet ligger over sperrebjelkene). Tolags takoppbygging: 2 festeskruer 8 × 220 mm. Ettlags takoppbygging: 2 festeskruer 8 × 120 mm.</t>
  </si>
  <si>
    <t>Kod krovnih elemenata malog formata može biti potrebno ugraditi podlošku za montažu kuke za rešetkasti snjegobran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</si>
  <si>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Sicherheitsdachhaken zu montieren (z. B. wenn ein Falz im Montagebereich über dem Sparren liegt).</t>
  </si>
  <si>
    <t>With small-format shingles, it may be necessary to install a base plate in order to mount the roof anchor hook (e.g. if a seam is lying above a rafter in the installation area).</t>
  </si>
  <si>
    <t>Pour les éléments de toiture de petit format, la pose d’une plaque de support peut être requise avant l’installation du crochet de sécurité. C’est le cas par exemple lorsqu’un joint se trouve directement au-dessus d’un chevron, à l’endroit où l’élément doit être monté.</t>
  </si>
  <si>
    <t>Per gli elementi di copertura di piccolo formato, può essere necessario installare una sottopiastra per montare la staffa di sicurezza anticaduta (ad es. se c'è un'aggraffatura nella zona di montaggio sopra il travetto).</t>
  </si>
  <si>
    <t xml:space="preserve">U maloformátových krytin může být v některých případech nutné provádět montáž bezpečnostního háku na montážní podložku (např. drážka v místě krokve). </t>
  </si>
  <si>
    <t>W przypadku małoformatowych elementów dachowych konieczne jest zamontowanie płyty podkładowej w celu zamocowania dachowych haków zabezpieczających (np. jeśli w obszarze mocowania nad krokwią znajduje się złożenie).</t>
  </si>
  <si>
    <t>Kis méretű tetőfedő elemek esetében a tetőbiztonsági kampó felszereléséhez szükséges lehet egy alátétlemez beszerelése (pl. ha a szarufa feletti szerelési területen korc van).</t>
  </si>
  <si>
    <t>Pri maloformátových strešných prvkoch môže byť potrebné zabudovanie spevňovacej podložky, aby bolo možné namontovať bezpečnostný strešný hák (napr. keď drážka v montážnej oblasti leží nad krokvami).</t>
  </si>
  <si>
    <t>Bij dakelementen van klein formaat moet wellicht een steunplaat worden aangebracht om de veiligheidsdakhaak te monteren (bijv. als er een sponning in het montagegebied boven de dakspant zit).</t>
  </si>
  <si>
    <t>Pri strešnih elementih majhnega formata je morda potrebno namestiti podložno ploščo za montažo varnostnega strešnega kavlja (npr. če je zgib v območju montaže nad špirovci).</t>
  </si>
  <si>
    <t>Vid takelement i småformat kan det vara nödvändigt att installera ett mellanlägg för att montera taksäkerhetskroken (t.ex. om det finns en fals i monteringsområdet ovanför takbjälken).</t>
  </si>
  <si>
    <t>Ved mindre tagelementer kan det være nødvendigt at montere en underlagsplade for at montere sikkerhedstagkrogen (f.eks. hvis en fals i monteringsområdet er over spær).</t>
  </si>
  <si>
    <t>Med takelementer i småformat kan det være nødvendig å installere en underlagsplate for å kunne montere sikkerhetstakkrokene (f.eks. hvis en fals i monteringsområdet ligger over sperrebjelkene).</t>
  </si>
  <si>
    <t>Kod krovnih elemenata malog formata može biti potrebno ugraditi podlošku za montažu sigurnosne krovne kuke (npr. ako je falc u području montaže iznad roženica).</t>
  </si>
  <si>
    <t>Bei kleinformatigen Dachelementen kann es erforderlich sein, eine Unterlagsplatte einzubauen, um den Solarhalter Vario oder Fix zu montieren (z. B. wenn ein Falz im Montagebereich über dem Sparren liegt).</t>
  </si>
  <si>
    <t>With small-format shingles, it may be necessary to install a base plate in order to mount the Vario or Fix solar bracket (e.g. if a seam is lying above a rafter in the installation area).</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</si>
  <si>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t>
  </si>
  <si>
    <t>Per gli elementi di copertura di piccolo formato, può essere necessario installare una sottopiastra per montare la staffa per pannelli solari Vario o Fix (ad es. se c'è un'aggraffatura nella zona di montaggio sopra il travetto).</t>
  </si>
  <si>
    <t xml:space="preserve">U maloformátových krytin může být v některých případech nutné provádět montáž  solárního držáku Vario nebo Fix na montážní podložku (např. drážka v místě krokve). </t>
  </si>
  <si>
    <t>W przypadku małoformatowych elementów dachowych konieczne jest zamontowanie płyty podkładowej w celu zamocowania uchwytów do montażu paneli fotowoltaicznych Vario lub Fix (np. jeśli w obszarze mocowania nad krokwią znajduje się złożenie).</t>
  </si>
  <si>
    <t>Kis méretű tetőfedő elemek esetében a Vario vagy Fix napelemtartó felszereléséhez szükséges lehet egy alátétlemez beszerelése (pl. ha a szarufa feletti szerelési területen korc van).</t>
  </si>
  <si>
    <t>Pri maloformátových strešných prvkoch môže byť potrebné zabudovanie spevňovacej podložky, aby bolo možné namontovať solárny držiak Vario alebo Fix (napr. keď drážka v montážnej oblasti leží nad krokvami).</t>
  </si>
  <si>
    <t>Bij dakelementen van klein formaat moet wellicht een steunplaat worden aangebracht om de solarhouder Vario of Fix te monteren (bijv. als er een sponning in het montagegebied boven de dakspant zit).</t>
  </si>
  <si>
    <t>Pri strešnih elementih majhnega formata je morda potrebno namestiti podložko za montažo nosilca za solarni panel Vario ali Fix (npr. če je zgib v območju montaže nad špirovci).</t>
  </si>
  <si>
    <t>Vid takelement i småformat kan det vara nödvändigt att installera ett mellanlägg för att montera Vario eller Fix solcellshållare (t.ex. om det finns en fals i monteringsytan ovanför takbjälken).</t>
  </si>
  <si>
    <t>Ved mindre tagelementer kan det være nødvendigt at montere en underlagsplade for at montere solcelleholderen Vario eller Fix (f.eks. hvis en fals i monteringsområdet er over spær).</t>
  </si>
  <si>
    <t>Med takelementer i småformat kan det være nødvendig å installere en underlagsplate for å kunne montere variabel eller fast holder for solcellepanel (f.eks. hvis en fals i monteringsområdet ligger over sperrebjelkene).</t>
  </si>
  <si>
    <t>Kod krovnih elemenata malog formata može biti potrebno ugraditi podlošku za montažu solar držača Vario ili Fix (npr. ako je falc u području montaže iznad roženica).</t>
  </si>
  <si>
    <t>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</si>
  <si>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</si>
  <si>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</si>
  <si>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pannelli solari Vario o Fix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</si>
  <si>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</si>
  <si>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uchwytów do montażu paneli fotowoltaicznych Vario lub Fix (np. jeśli w obszarze mocowania nad krokwią znajduje się złożenie). Dwupowłokowa konstrukcja dachu: 2 śruby mocujące 8 × 220 mm. Jednopowłokowa konstrukcja dachu: 2 śruby mocujące 8 × 120 mm.</t>
  </si>
  <si>
    <t>Kis méretű tetőfedő elemek esetében a Vario vagy Fix napelemtartó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</si>
  <si>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solárny držiak Vario alebo Fix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</si>
  <si>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solarhouder Vario of Fix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</si>
  <si>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nosilca za solarni panel Vario ali Fix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</si>
  <si>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Vario eller Fix solcellshållare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</si>
  <si>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solcelleholderen Vario eller Fix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</si>
  <si>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variabel eller fast holder for solcellepanel (f.eks. hvis en fals i monteringsområdet ligger over sperrebjelkene). Tolags takoppbygging: 2 festeskruer 8 × 220 mm. Ettlags takoppbygging: 2 festeskruer 8 × 120 mm.</t>
  </si>
  <si>
    <t>Kod krovnih elemenata malog formata može biti potrebno ugraditi podlošku za montažu solar držača Vario ili Fix (npr. ako je falc u području montaže iznad roženica). Dvoslojna krovna konstrukcija: 2 pričvrsna vijka 8 × 220 mm. Jednoslojna krovna konstrukcija: 2 pričvrsna vijka 8 × 120 mm.</t>
  </si>
  <si>
    <t>Bei nicht ausgebautem Dachgeschoß, bei dem eine regelmäßige Kontrolle oder Wartung des Dachraums nicht möglich ist und die oberste Geschoßdecke bereits bei geringen Wassermengen wasserdurchlässig ist (z. B. Spitzböden über Zangendecke).</t>
  </si>
  <si>
    <t>on a non-converted attic where the roof space cannot be regularly inspected or maintained, and the top storey ceiling leaks water even with low volumes of water (e.g. attics above a tie-beam roof)</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</si>
  <si>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</si>
  <si>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</si>
  <si>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u neobytného podstřešního prostoru, kde není možná pravidelná kontrola a údržba a strop nad posledním obytným patrem může protéct již při malém množství vody (např. prostor nad kleštinami)</t>
  </si>
  <si>
    <t>W przypadku poddaszy nieużytkowych, gdzie nie jest możliwa regularna kontrola lub konserwacja przestrzeni poddasza, a strop najwyższej kondygnacji jest przepuszczalny dla wody nawet w przypadku niewielkich ilości wody (np. dach spadzisty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</si>
  <si>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</si>
  <si>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nevyužívanom podkroví na obytné účely,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</si>
  <si>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</si>
  <si>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ali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</si>
  <si>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</si>
  <si>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</si>
  <si>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</si>
  <si>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</si>
  <si>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Belüftungsmöglichkeit</t>
  </si>
  <si>
    <t>possible ventilation</t>
  </si>
  <si>
    <t>possibilité de ventilation</t>
  </si>
  <si>
    <t>Possibilità di ventilazione</t>
  </si>
  <si>
    <t>přívod vzduchu</t>
  </si>
  <si>
    <t>Opcje dotyczące wentylacji</t>
  </si>
  <si>
    <t>Szellőzési lehetőség</t>
  </si>
  <si>
    <t>Možnosť vetrania</t>
  </si>
  <si>
    <t>Ventilatiemogelijkheid</t>
  </si>
  <si>
    <t>Možnost prezračevanja</t>
  </si>
  <si>
    <t>ventilationsalternativ</t>
  </si>
  <si>
    <t>Udluftningsmulighed</t>
  </si>
  <si>
    <t>Ventilasjonsmuligheter</t>
  </si>
  <si>
    <t>Mogućnost ventilacije</t>
  </si>
  <si>
    <t>Bestellformular</t>
  </si>
  <si>
    <t>ORDER FORM</t>
  </si>
  <si>
    <t>FORMULAIRE DE COMMANDE</t>
  </si>
  <si>
    <t>Modulo d'ordine</t>
  </si>
  <si>
    <t>OBJEDNÁVKOVÝ FORMULÁŘ</t>
  </si>
  <si>
    <t>FORMULARZ ZAMÓWIENIA</t>
  </si>
  <si>
    <t>MEGRENDELÉSI NYOMTATVÁNY</t>
  </si>
  <si>
    <t>OBJEDNÁVACÍ FORMULÁR</t>
  </si>
  <si>
    <t>BESTELFORMULIER</t>
  </si>
  <si>
    <t>NAROČILNICA</t>
  </si>
  <si>
    <t>BESTÄLLNINGSFORMULÄR</t>
  </si>
  <si>
    <t>BESTILLINGSFORMULAR</t>
  </si>
  <si>
    <t>BESTILLINGSSKJEMA</t>
  </si>
  <si>
    <t>OBRAZAC ZA NARUDŽBU</t>
  </si>
  <si>
    <t>Bestellung</t>
  </si>
  <si>
    <t>Order</t>
  </si>
  <si>
    <t>Commande</t>
  </si>
  <si>
    <t>Ordine</t>
  </si>
  <si>
    <t>Objednávka</t>
  </si>
  <si>
    <t xml:space="preserve">Zamówienie </t>
  </si>
  <si>
    <t>megrendelés</t>
  </si>
  <si>
    <t>Bestelling</t>
  </si>
  <si>
    <t>naročilo</t>
  </si>
  <si>
    <t>Beställning</t>
  </si>
  <si>
    <t>Bestilling</t>
  </si>
  <si>
    <t>Narudžba</t>
  </si>
  <si>
    <t>Bezeichnung</t>
  </si>
  <si>
    <t>Name</t>
  </si>
  <si>
    <t>Désignation</t>
  </si>
  <si>
    <t>Descrizione</t>
  </si>
  <si>
    <t>Označení</t>
  </si>
  <si>
    <t>Nazwa</t>
  </si>
  <si>
    <t>megnevezés</t>
  </si>
  <si>
    <t>Označenie</t>
  </si>
  <si>
    <t>Bezeichnung_SW</t>
  </si>
  <si>
    <t>betekening</t>
  </si>
  <si>
    <t>opis</t>
  </si>
  <si>
    <t>Betegnelse</t>
  </si>
  <si>
    <t>Naziv</t>
  </si>
  <si>
    <t>Bis 25°: Verlegung auf Trennlage.</t>
  </si>
  <si>
    <t>up to 25°: to be installed on a separating layer</t>
  </si>
  <si>
    <t>Pentes de toit ≤ 25° : pose sur couche de séparation.</t>
  </si>
  <si>
    <t>Fino a 25°: posa su strato di separazione.</t>
  </si>
  <si>
    <t>do sklonu 25° pokládka na separační vrstvu</t>
  </si>
  <si>
    <t>Do 25°: Układanie na warstwie rozdzielającej.</t>
  </si>
  <si>
    <t>25°-ig: Elválasztórétegre fektetve.</t>
  </si>
  <si>
    <t>Do 25°: pokládka na separačnej vrstve.</t>
  </si>
  <si>
    <t>Tot 25°: Aanleggen op scheidingslaag.</t>
  </si>
  <si>
    <t>Do 25°: Polaganje na ločilno plast.</t>
  </si>
  <si>
    <t>Upp till 25°: Läggning av separationsskikt.</t>
  </si>
  <si>
    <t>Op til 25°: Udlægning på et skillelag.</t>
  </si>
  <si>
    <t>Opptil 25°: Legging som skillelag.</t>
  </si>
  <si>
    <t>Do 25°: Postavljanje na razdjelni sloj.</t>
  </si>
  <si>
    <t>Bitte zuerst Ausführung der Schattenfuge auswählen.</t>
  </si>
  <si>
    <t>Bitte zuerst Ausführung der Schattenfuge auswählen</t>
  </si>
  <si>
    <t>Sélectionnez d’abord le type de joint creux souhaité.</t>
  </si>
  <si>
    <t>Scegliere la tipologia di fuga (scuretto)</t>
  </si>
  <si>
    <t>Nejprve zvolte provedení spáry.</t>
  </si>
  <si>
    <t>Należy najpierw wybrać wersję fug cieniowych.</t>
  </si>
  <si>
    <t>Kérjük, először az árnyékfuga kivitelezését válassza ki.</t>
  </si>
  <si>
    <t>Prosím zvoľte si najprv vyhotovenie tieňovej škáry</t>
  </si>
  <si>
    <t>Selecteer eerst de uitvoering van de schaduwvoeg.</t>
  </si>
  <si>
    <t>Najprej izberite izvedbo senčne fuge.</t>
  </si>
  <si>
    <t>Välj först utförandet på skuggfogen.</t>
  </si>
  <si>
    <t>Vælg versionen af ​​skyggefugen først.</t>
  </si>
  <si>
    <t>Velg først utførelsen av skyggespalten.</t>
  </si>
  <si>
    <t xml:space="preserve">Molimo prvo odabrati izvedbu nenaglašene fuge </t>
  </si>
  <si>
    <t>bituminöse Trennlage</t>
  </si>
  <si>
    <t>bitumen separating layer</t>
  </si>
  <si>
    <t>couche de séparation bitumineuse</t>
  </si>
  <si>
    <t>Membrana bituminosa</t>
  </si>
  <si>
    <t>bitumenová separační vrstva</t>
  </si>
  <si>
    <t>membrana bitumiczna jako warstwa rozdzielająca</t>
  </si>
  <si>
    <t>Bitumenes elválasztóréteg</t>
  </si>
  <si>
    <t>bitúmenová separačná vrstva</t>
  </si>
  <si>
    <t>bitumineuze scheidingslaag</t>
  </si>
  <si>
    <t>bitumenska ločilna plast</t>
  </si>
  <si>
    <t>bituminöst separationsskikt</t>
  </si>
  <si>
    <t>bituminøst skillelag</t>
  </si>
  <si>
    <t>Skillelag i bitumen</t>
  </si>
  <si>
    <t>bitumenski razdjelni sloj</t>
  </si>
  <si>
    <t>Blatt</t>
  </si>
  <si>
    <t>page</t>
  </si>
  <si>
    <t>feuille</t>
  </si>
  <si>
    <t>Foglio</t>
  </si>
  <si>
    <t>list</t>
  </si>
  <si>
    <t>Arkusz</t>
  </si>
  <si>
    <t>Lemez</t>
  </si>
  <si>
    <t>Plaat</t>
  </si>
  <si>
    <t>List</t>
  </si>
  <si>
    <t>blad</t>
  </si>
  <si>
    <t>Side</t>
  </si>
  <si>
    <t>Blad</t>
  </si>
  <si>
    <t>Stranica</t>
  </si>
  <si>
    <t>Blechanschlussprofil</t>
  </si>
  <si>
    <t>metal sheet connection profile</t>
  </si>
  <si>
    <t>bande de solin métallique</t>
  </si>
  <si>
    <t>Profilo di raccordo in lamiera</t>
  </si>
  <si>
    <t>napojovací profil</t>
  </si>
  <si>
    <t>Profil łączący z blachy</t>
  </si>
  <si>
    <t>Lemezcsatlakozó profil</t>
  </si>
  <si>
    <t>plechový pripojovací profil</t>
  </si>
  <si>
    <t>Plaataansluitprofiel</t>
  </si>
  <si>
    <t>Pločevinasti priključni profil</t>
  </si>
  <si>
    <t>anslutningsprofil i plåt</t>
  </si>
  <si>
    <t>Tilslutningsprofil for metalplade</t>
  </si>
  <si>
    <t>Koblingsprofil i platemetall</t>
  </si>
  <si>
    <t>Limeni priključni profil</t>
  </si>
  <si>
    <t>Blitzschutzklemme</t>
  </si>
  <si>
    <t>lightning protection clamp</t>
  </si>
  <si>
    <t>agrafe parafoudre</t>
  </si>
  <si>
    <t>Morsetto per il collegamento al parafulmine</t>
  </si>
  <si>
    <t>Svorka bleskosvodu</t>
  </si>
  <si>
    <t>zacisk ochrony odgromowej</t>
  </si>
  <si>
    <t>villámhárító rögzítő csipesz</t>
  </si>
  <si>
    <t>svorka bleskozvodu</t>
  </si>
  <si>
    <t>bliksemafleiderklem</t>
  </si>
  <si>
    <t xml:space="preserve">nosilec strelovoda </t>
  </si>
  <si>
    <t>åskledarklämma</t>
  </si>
  <si>
    <t>lynbeskyttelsesklemme</t>
  </si>
  <si>
    <t>lynavlederklemme</t>
  </si>
  <si>
    <t>Gromobranska stezaljka</t>
  </si>
  <si>
    <t>Brandschott</t>
  </si>
  <si>
    <t>firewall</t>
  </si>
  <si>
    <t>cloison coupe-feu</t>
  </si>
  <si>
    <t>Paratia tagliafuoco</t>
  </si>
  <si>
    <t>Požární přepážka</t>
  </si>
  <si>
    <t>Zapora ogniowa</t>
  </si>
  <si>
    <t>Tűzfal</t>
  </si>
  <si>
    <t>protipožiarna stena</t>
  </si>
  <si>
    <t>Brandbeveiliging</t>
  </si>
  <si>
    <t>Požarni zid</t>
  </si>
  <si>
    <t>brandvägg</t>
  </si>
  <si>
    <t>Brandvæg</t>
  </si>
  <si>
    <t>Brannmur</t>
  </si>
  <si>
    <t>Vatrostalna pregrada</t>
  </si>
  <si>
    <t>Braun/Anthrazit</t>
  </si>
  <si>
    <t>brown/anthracite</t>
  </si>
  <si>
    <t>brun/anthracite</t>
  </si>
  <si>
    <t>marrone/antracite</t>
  </si>
  <si>
    <t>tmavě hnědá/antracit</t>
  </si>
  <si>
    <t>brązowy / antracytowy</t>
  </si>
  <si>
    <t>barna/antracit</t>
  </si>
  <si>
    <t>hnedá/antracitová</t>
  </si>
  <si>
    <t>bruin/antraciet</t>
  </si>
  <si>
    <t>anodik rjava/antracitna</t>
  </si>
  <si>
    <t>brun/antracit</t>
  </si>
  <si>
    <t>brun/antrazit</t>
  </si>
  <si>
    <t>brun/antrasitt</t>
  </si>
  <si>
    <t>Smeđa/antracit</t>
  </si>
  <si>
    <t>Brustblech</t>
  </si>
  <si>
    <t>apron</t>
  </si>
  <si>
    <t>abergement bas</t>
  </si>
  <si>
    <t>Lamiera frontale</t>
  </si>
  <si>
    <t>Plech pro napojení na stěnu</t>
  </si>
  <si>
    <t>Dolne oblachowanie</t>
  </si>
  <si>
    <t>Falszegély</t>
  </si>
  <si>
    <t>čelný lemovací plech</t>
  </si>
  <si>
    <t>Borstplaat</t>
  </si>
  <si>
    <t>Sprednja pločevina</t>
  </si>
  <si>
    <t>bröstplåt</t>
  </si>
  <si>
    <t>Brystplade</t>
  </si>
  <si>
    <t>Brystplate</t>
  </si>
  <si>
    <t>Parapetna ploča</t>
  </si>
  <si>
    <t>Cad-Details</t>
  </si>
  <si>
    <t>CAD DETAILS</t>
  </si>
  <si>
    <t>DÉTAILS CAO</t>
  </si>
  <si>
    <t>DETTAGLI CAD</t>
  </si>
  <si>
    <t>CAD detaily</t>
  </si>
  <si>
    <t>DETALE CAD</t>
  </si>
  <si>
    <t>CAD-RÉSZLETEK</t>
  </si>
  <si>
    <t>CAD-DETAILY</t>
  </si>
  <si>
    <t>CAD-DETAILS</t>
  </si>
  <si>
    <t>PODROBNOSTI CAD</t>
  </si>
  <si>
    <t>KONSTRUKTIONSUNDERLAG I CADFORMAT</t>
  </si>
  <si>
    <t>CAD-POJEDINOSTI</t>
  </si>
  <si>
    <t>Sturmsicherungsclip notwendig!</t>
  </si>
  <si>
    <t>Clip required!</t>
  </si>
  <si>
    <t>Clip tempête requis !</t>
  </si>
  <si>
    <t>Richiesta clip antivento!</t>
  </si>
  <si>
    <t>Nutno použít Clip</t>
  </si>
  <si>
    <t>Klips konieczny!</t>
  </si>
  <si>
    <t>Viharkapocs szükséges!</t>
  </si>
  <si>
    <t>Nutné použiť antivibračnú svorku!</t>
  </si>
  <si>
    <t>Clip noodzakelijk!</t>
  </si>
  <si>
    <t>Potrebna je varnostna sponka za nevihto!</t>
  </si>
  <si>
    <t>Clips nödvändigt!</t>
  </si>
  <si>
    <t>Klips nødvendig!</t>
  </si>
  <si>
    <t>Clip potreban!</t>
  </si>
  <si>
    <t>Dachaufbauten bei kleinformatigen Metalleindeckungen</t>
  </si>
  <si>
    <t>Roof structures with small-format metal roof coverings</t>
  </si>
  <si>
    <t>Constructions hors-combles pour couvertures métalliques de petit format</t>
  </si>
  <si>
    <t>Strutture del tetto per coperture metalliche di piccolo formato</t>
  </si>
  <si>
    <t>Střešní skladby u maloformátových hliníkových krytin</t>
  </si>
  <si>
    <t>Konstrukcje dachowe wykonywane z użyciem małoformatowych pokryć metalowych</t>
  </si>
  <si>
    <t>Tető rétegrend kiselemes fémburkolatok esetén</t>
  </si>
  <si>
    <t>Skladby strechy pri maloformátových kovových krytinách</t>
  </si>
  <si>
    <t>Dakmontages voor metalen gootstukken in klein formaat</t>
  </si>
  <si>
    <t>Strešne konstrukcije s kovinsko kritino majhnega formata</t>
  </si>
  <si>
    <t>Takkonstruktioner med plåttak i småformat</t>
  </si>
  <si>
    <t>Tagkonstruktioner med små metalafdækninger</t>
  </si>
  <si>
    <t>Takpåbygg med metallkledning i småformater</t>
  </si>
  <si>
    <t>Krovne konstrukcije s metalnim pokrovom malog formata</t>
  </si>
  <si>
    <t>Dachaufbauten bei Prefalz Eindeckungen</t>
  </si>
  <si>
    <t>Roof structures with Prefalz coverings</t>
  </si>
  <si>
    <t>Constructions hors-combles pour couvertures PREFALZ</t>
  </si>
  <si>
    <t>Strutture del tetto per coperture metalliche in PREFALZ</t>
  </si>
  <si>
    <t>Střešní skladby u PREFALZ drážkovaných krytin</t>
  </si>
  <si>
    <t>Konstrukcje dachowe wykonywane z pokryciami PREFALZ</t>
  </si>
  <si>
    <t>Tető rétegrend PREFALZ burkolatok esetén</t>
  </si>
  <si>
    <t>Skladby strechy pri krytinách PREFALZ</t>
  </si>
  <si>
    <t>Dakmontages met PREFALZ-gootstukken</t>
  </si>
  <si>
    <t>Strešne konstrukcije s kritino PREFALZ</t>
  </si>
  <si>
    <t>Takkonstruktioner med PREFALZ-beläggning</t>
  </si>
  <si>
    <t>Tagkonstruktioner med PREFALZ afdækninger</t>
  </si>
  <si>
    <t>Takpåbygg med PREFALZ-bånd</t>
  </si>
  <si>
    <t>Krovne konstrukcije s PREFALZ pokrovima</t>
  </si>
  <si>
    <t>Dachaufbauten bei PREFALZ Eindeckungen</t>
  </si>
  <si>
    <t>Dachentwässerung</t>
  </si>
  <si>
    <t>ROOF DRAINAGE</t>
  </si>
  <si>
    <t>GOUTTIÈRES</t>
  </si>
  <si>
    <t>SMALTIMENTO ACQUE</t>
  </si>
  <si>
    <t>Odvodňovací systém</t>
  </si>
  <si>
    <t>ODWODNIENIE DAHU</t>
  </si>
  <si>
    <t>TETŐ VÍZELVEZETÉS</t>
  </si>
  <si>
    <t>ODVODNENIE STRECHY</t>
  </si>
  <si>
    <t>DAKAFWATERING</t>
  </si>
  <si>
    <t>sistem za odvodnjavanje</t>
  </si>
  <si>
    <t>TAKDRÄNERING</t>
  </si>
  <si>
    <t>TAGDRÆNING</t>
  </si>
  <si>
    <t>TAKDRENERING</t>
  </si>
  <si>
    <t>DRENAŽA KROVA</t>
  </si>
  <si>
    <t>Dachfenster mit Einschubkeil über 25° Dachneigung.</t>
  </si>
  <si>
    <t>Roof windows with an insert wedge over 25°</t>
  </si>
  <si>
    <t>Lucarne avec coyau pour pentes de toit supérieures à 25°.</t>
  </si>
  <si>
    <t>Finestra per tetto con cuneo di inserimento per tetti con pendenza superiore a 25°.</t>
  </si>
  <si>
    <t>Střešní okno s náběhovým klínem nad 25°</t>
  </si>
  <si>
    <t>Okno dachowe z klinem wsuwanym poniżej 25° nachylenia dachu.</t>
  </si>
  <si>
    <t>Tetőablak betétes ékkel 25°-os tetőhajlásszög felett.</t>
  </si>
  <si>
    <t>Strešné okno s nábehovým klinom pri sklone strechy viac ako 25°.</t>
  </si>
  <si>
    <t>Dakraam met insteekspie over 25° dakhelling.</t>
  </si>
  <si>
    <t>Strešno okno z vrivnim klinom nad 25° naklona strehe.</t>
  </si>
  <si>
    <t>Takfönster med inskjutbar kil över 25° taklutning.</t>
  </si>
  <si>
    <t>Tagvindue med skydekile over 25° taghældning.</t>
  </si>
  <si>
    <t>Takvindu med innskyvningskile over 25° takvinkel.</t>
  </si>
  <si>
    <t>Krovni prozor s klinom koji se uvlači preko 25° nagiba krova.</t>
  </si>
  <si>
    <t>Dachflächenfenster mit Aufkeilrahmen unter 15° Dachneigung.</t>
  </si>
  <si>
    <t>Roof window flashing with wedge frames under 15°</t>
  </si>
  <si>
    <t>Fenêtre de toit avec sous-costière (pente de toit inférieure à 15°).</t>
  </si>
  <si>
    <t>Finestra per tetto con telaio a cunei per tetti con pendenza inferiore a 15°.</t>
  </si>
  <si>
    <t>střešní okno pod 15° se zvedacím rámem</t>
  </si>
  <si>
    <t>Okna dachowe z ościeżnicą klinową poniżej 15° nachylenia dachu.</t>
  </si>
  <si>
    <t>Ékelt keretes tetősíkablakok 15°-os tetőhajlásszög alatt.</t>
  </si>
  <si>
    <t>Strešné okno s klinovými rámami pri sklone strechy menej ako 15°.</t>
  </si>
  <si>
    <t>Dakvensters met spleetkozijnen onder 15° dakhelling.</t>
  </si>
  <si>
    <t>Strešno okno s klinastim okvirjem pod 15° naklona strehe.</t>
  </si>
  <si>
    <t>Takfönster med kilramar under 15° taklutning.</t>
  </si>
  <si>
    <t>Tagvindue med kileramme under 15° taghældning.</t>
  </si>
  <si>
    <t>Takvindu med kilekarmer under 15° takhelling.</t>
  </si>
  <si>
    <t>Ležeći krovni prozor s okvirom ispod 15° nagiba krova.</t>
  </si>
  <si>
    <t>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t>
  </si>
  <si>
    <t>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t>
  </si>
  <si>
    <t>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t>
  </si>
  <si>
    <t>Finestra per tetto con cuneo di inserimento per tetti con pendenza superiore a 25°. Utilizzo in zone nevose. La necessità del cuneo di inserimento dipende dalle caratteristiche dell'immobile, dalla posizione e dalla presenza di un paraneve. L'installazione professionale delle finestre per tetto viene effettuata secondo le linee guida del produttore delle finestre.</t>
  </si>
  <si>
    <t>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t>
  </si>
  <si>
    <t>Okno dachowe z ościeżnicą klinową poniżej 25° nachylenia dachu. Stosowanie na terenach, gdzie występują opady śniegu. Konieczność zastosowania klina wsuwanego zależy od charakterystyki obiektu, lokalizacji, a także obecności zabezpieczeń przeciwśniegowych. Konieczne jest przeprowadzenie fachowego montażu okna dachowego zgodnie z wytycznymi jego producenta.</t>
  </si>
  <si>
    <t>Tetősíkablak betétes ékkel 25°-os tetőhajlásszög felett. Havas területeken való használat. A betétes ék szükségessége az épület jellemzőitől, a helytől, valamint a hóvédelem meglététől függ. A szakszerű beépítést a tetősíkablak gyártójának útmutatója szerint kell elvégezni.</t>
  </si>
  <si>
    <t>Strešné okno s nábehovým klinom pri sklone strechy viac ako 25°. Použitie v oblastiach bohatých na sneh. Potreba použitia vloženého klinu závisí od vlastností objektu, lokality, ako aj od existencie protisnehovej ochrany. Pri odbornej montáži sa musí postupovať podľa smerníc výrobcu strešného okna.</t>
  </si>
  <si>
    <t>Dakraam met insteekspie boven 25° dakhelling. Gebruik in besneeuwde gebieden. De noodzaak van de insteekspie hangt af van de kenmerken van het object, de plaats, alsmede de aanwezigheid van een sneeuwvanger. De professionele montage van het dakraam vindt plaats volgens de fabrikantrichtlijnen van het dakraam.</t>
  </si>
  <si>
    <t>Strešno okno z vrivnim klinom nad 25° naklona strehe. Uporaba na območjih z veliko snega. Potreba po vrivnem klinu je odvisna od lastnosti objekta, lokacije in od tega, ali je prisoten snegolov. Profesionalna montaža strešnega okna poteka po navodilih proizvajalca strešnega okna.</t>
  </si>
  <si>
    <t>Takfönster med inskjutbar kil över 25° taklutning. Applicering i snörika områden. Behovet av inskjutningskilen beror på fastighetens egenskaper, läget och om det finns snöskydd. Professionell montering av takfönstret utförs i enlighet med tillverkarens riktlinjer för takfönstret.</t>
  </si>
  <si>
    <t>Tagvindue med skydekile over 25° taghældning. Anvendelse i snerige områder. Behovet for skydekilen afhænger af ejendommens egenskaber, beliggenheden, og om der er snesikring. Professionel montering af ​tagvinduet sker efter tagvinduets producentvejledning.</t>
  </si>
  <si>
    <t>Takvindu med innskyvningskile over 25° takvinkel. Bruk i snørike områder. Behovet for innskyvningskilen avhenger av eiendommens egenskaper, beliggenhet og om det foreligger snøsikring. Den profesjonelle monteringen skjer i henhold til produsentens retningslinjer for takvinduet.</t>
  </si>
  <si>
    <t>Ležeći krovni prozor s klinom koji se uvlači preko 25° nagiba krova. Primjena u snježnim područjima. Potreba za klinom ovisi o svojstvima objekta, lokaciji i ima li zaštitu od snijega. Profesionalna montaža ležećeg krovnog prozora provodi se prema uputama proizvođača ležećeg krovnog prozora.</t>
  </si>
  <si>
    <t>Dachflächenfenstereinfassung für Prefalz</t>
  </si>
  <si>
    <t>Roof window flashing for PREFALZ</t>
  </si>
  <si>
    <t>abergement de fenêtre de toit pour PREFALZ</t>
  </si>
  <si>
    <t>Conversa finestra per tetti a bassa pendenza per PREFALZ</t>
  </si>
  <si>
    <t>Lemování střešního okna pro PREFALZ</t>
  </si>
  <si>
    <t>Kołnierz okna dachowego PREFALZ</t>
  </si>
  <si>
    <t>Burkolókeret tetősíkablakhoz PREFALZ esetén</t>
  </si>
  <si>
    <t>lemovanie pre strešné okno pre PREFALZ</t>
  </si>
  <si>
    <t>Dakraamomranding voor PREFALZ</t>
  </si>
  <si>
    <t>Okvir strešnega okna za PREFALZ</t>
  </si>
  <si>
    <t>Skylight surround för PREFALZ</t>
  </si>
  <si>
    <t>Tagvinduesramme til PREFALZ</t>
  </si>
  <si>
    <t>Innfatning til takvindu for PREFALZ</t>
  </si>
  <si>
    <t>Opšav za ležeći krovni prozor za PREFALZ</t>
  </si>
  <si>
    <t>Dachlattung 50/30 mm</t>
  </si>
  <si>
    <t>roof battens 50/30 mm</t>
  </si>
  <si>
    <t>lattage (50/30 mm)</t>
  </si>
  <si>
    <t>Listellatura 50/30 mm</t>
  </si>
  <si>
    <t>laťování 50/30 mm</t>
  </si>
  <si>
    <t>Łaty dachowe 50/30 mm</t>
  </si>
  <si>
    <t>Tetőlécezés 50/30 mm</t>
  </si>
  <si>
    <t>strešné latovanie 50/30 mm</t>
  </si>
  <si>
    <t>Daklatten 50/30 mm</t>
  </si>
  <si>
    <t>Strešne letve 50/30 mm</t>
  </si>
  <si>
    <t>Takläkt 50/30 mm</t>
  </si>
  <si>
    <t>Taglægter 50/30 mm</t>
  </si>
  <si>
    <t>Taklekter 50/30 mm</t>
  </si>
  <si>
    <t>Krovne letve 50/30 mm</t>
  </si>
  <si>
    <t>Dachluke (600 × 600 mm); komplett mit Holzrahmen</t>
  </si>
  <si>
    <t>roof hatch (600 x 600 mm); complete with wooden frame</t>
  </si>
  <si>
    <t>tabatière (600 × 600 mm) ; avec châssis en bois</t>
  </si>
  <si>
    <t>Passo uomo (600x600 mm) completo di telaio in legno</t>
  </si>
  <si>
    <t>Výlezové okno (600x600 mm) komplett s dřevěným rámem</t>
  </si>
  <si>
    <t>właz dachowy (600 x 600 mm); kompletny na drewnianej ramie.</t>
  </si>
  <si>
    <t>tetőkibúvó ablak (600x600mm) komplett, fa kerettel</t>
  </si>
  <si>
    <t>povalové okno (600 x 600 mm); komplet s dreveným rámom</t>
  </si>
  <si>
    <t>dakluik (600 x 600 mm) compleet met houten frame</t>
  </si>
  <si>
    <t>zasilno strešno okno (600 x 600 mm) vklj. Z lesenim okvirjem</t>
  </si>
  <si>
    <t>taklucka (600 x 600 mm) komplett med träram</t>
  </si>
  <si>
    <t>tagluge (600x600 mm) komplet med træramme</t>
  </si>
  <si>
    <t>takluke (600x600 mm) komplett med treramme</t>
  </si>
  <si>
    <t>Izlazni krovni prozor (600 × 600 mm); u kompletu s drvenim okvirom</t>
  </si>
  <si>
    <t>Dachlukendeckel</t>
  </si>
  <si>
    <t>roof hatch cover</t>
  </si>
  <si>
    <t>ouvrant de tabatière</t>
  </si>
  <si>
    <t>Passo uomo</t>
  </si>
  <si>
    <t>Poklop výlezového okna</t>
  </si>
  <si>
    <t>pokrywa wyłazu dachowego</t>
  </si>
  <si>
    <t>fedél tetőkibúvó ablakhoz</t>
  </si>
  <si>
    <t>kryt na povalové okno</t>
  </si>
  <si>
    <t>dakluikdeksel</t>
  </si>
  <si>
    <t>pokrov za zasilno strešno okno</t>
  </si>
  <si>
    <t>takluckskåpa</t>
  </si>
  <si>
    <t>taglugedæksel</t>
  </si>
  <si>
    <t>deksel for takluke</t>
  </si>
  <si>
    <t>Poklopac izlaznog krovnog prozora</t>
  </si>
  <si>
    <t>Dachlukendeckel ohne Holzrahmen</t>
  </si>
  <si>
    <t>roof hatch cover (without wooden frame)</t>
  </si>
  <si>
    <t>ouvrant de tabatière sans châssis en bois</t>
  </si>
  <si>
    <t>Coperchio per passo uomo (senza telaio in legno)</t>
  </si>
  <si>
    <t>Poklop výlezového okna bez dřevěného rámu</t>
  </si>
  <si>
    <t>Pokrywa wyłazu dachowego bez ramy drewnianej</t>
  </si>
  <si>
    <t>Tetőkibúvó ablak fakeret nélkül</t>
  </si>
  <si>
    <t>kryt na povalové okno bez dreveného rámu</t>
  </si>
  <si>
    <t>Dakluikdeksel zonder houten frame</t>
  </si>
  <si>
    <t>Pokrov strešne line brez lesenega okvirja</t>
  </si>
  <si>
    <t>Taklucka utan träram</t>
  </si>
  <si>
    <t>Taglugeafdækning uden træramme</t>
  </si>
  <si>
    <t>Taklukedeksel uten treramme</t>
  </si>
  <si>
    <t>Poklopac izlaznog krovnog prozora bez drvenog okvira</t>
  </si>
  <si>
    <t>Dachlukendeckel mit Holzrahmen  (Innenmaß: 600 × 600 mm)</t>
  </si>
  <si>
    <t>roof hatch cover with wooden frame (internal dimensions: 600 × 600 mm)</t>
  </si>
  <si>
    <t>ouvrant de tabatière avec châssis en bois  (dimensions intérieures : 600 × 600 mm)</t>
  </si>
  <si>
    <t>Passo uomo con telaio in legno
(misura interna 600 x 600 mm)</t>
  </si>
  <si>
    <t>Výlezové okno včetně dřevěného rámu (vnitřní rozměr 600x600mm)</t>
  </si>
  <si>
    <t>pokrywa wyłazu dachowego z drewnianą ramą (wymiary wewnętrzne: 600 x 600 mm)</t>
  </si>
  <si>
    <t>tetőkibúvó ablak fa kerettel (belső méret 600x600mm)</t>
  </si>
  <si>
    <t>kryt na povalové okno s dreveným rámom
(vnútorný rozmer 600 x 600mm)</t>
  </si>
  <si>
    <t>dakluikdeksel met houten frame
(binnenmaat 600 x 600 mm)</t>
  </si>
  <si>
    <t>pokrov za zasilno strešno okno z lesenim okvirjem (notranja mera 600 x 600 mm)</t>
  </si>
  <si>
    <t>takluckskåpa med träram (invändigt mått 600 x 600 mm)</t>
  </si>
  <si>
    <t>taglugedæksel med træramme (indvendigt mål 600x600 mm)</t>
  </si>
  <si>
    <t>deksel for takluke med treramme
(innvendig mål 600x600 mm)</t>
  </si>
  <si>
    <t>Poklopac izlaznog krovnog prozora s drvenim okvirom  (unutarnje dimenzije: 600 × 600 mm)</t>
  </si>
  <si>
    <t>Dachlukendeckel (Innenmaß: 600 × 600 mm)</t>
  </si>
  <si>
    <t>roof hatch cover (internal dimensions: 600 × 600 mm)</t>
  </si>
  <si>
    <t>ouvrant de tabatière (dimensions intérieures : 600 × 600 mm)</t>
  </si>
  <si>
    <t>Passo uomo
(misura interna 600 x 600 mm)</t>
  </si>
  <si>
    <t>Poklop výlezového okna (vnitřní rozměr 600 x 600 mm)</t>
  </si>
  <si>
    <t>pokrywa wyłazu dachu (wymiary wewnętrzne: 600 x 600 mm)</t>
  </si>
  <si>
    <t>fedél tetőkibúvó ablakhoz (belső méret 600x600mm)</t>
  </si>
  <si>
    <t>kryt na povalové okno
(vnútorný rozmer 600 x 600 mm)</t>
  </si>
  <si>
    <t>dakluikdeksel
(binnenmaat 600 x 600 mm)</t>
  </si>
  <si>
    <t>pokrov za zasilno strešno okno (notranja mera 600 x 600)</t>
  </si>
  <si>
    <t>takluckskåpa (invändigt mått 600 x 600 mm)</t>
  </si>
  <si>
    <t>taglugedæksel
(indvendigt mål 600 x 600 mm)</t>
  </si>
  <si>
    <t>deksel for takluke
(innvendig mål 600 x 600 mm)</t>
  </si>
  <si>
    <t>Poklopac izlaznog krovnog prozora (unutarnje dimenzije: 600 × 600 mm)</t>
  </si>
  <si>
    <t>Dachneigung über 25° (47 %)</t>
  </si>
  <si>
    <t>roof pitch over 25° (47%)</t>
  </si>
  <si>
    <t>Pente de toit : supérieure à 25° (soit 47 %)</t>
  </si>
  <si>
    <t>Pendenza del tetto superiore a 25° (47%)</t>
  </si>
  <si>
    <t>střešní sklon nad 25° (47%)</t>
  </si>
  <si>
    <t>Nachylenie dachu powyżej 25° (47%)</t>
  </si>
  <si>
    <t>25° (47 %) feletti tetőhajlásszög</t>
  </si>
  <si>
    <t>sklon strechy viac ako 25° (47 %)</t>
  </si>
  <si>
    <t>Dakhelling boven 25° (47 %)</t>
  </si>
  <si>
    <t>Naklon strehe 25°(47 %)</t>
  </si>
  <si>
    <t>Taklutning över 25° (47 %)</t>
  </si>
  <si>
    <t>Taghældning over 25° (47 %)</t>
  </si>
  <si>
    <t>Takvinkel over 25° (47 %)</t>
  </si>
  <si>
    <t>Nagib krova preko 25° (47 %)</t>
  </si>
  <si>
    <t>Dachpaneel FX.12</t>
  </si>
  <si>
    <t>FX.12 ROOF PANEL</t>
  </si>
  <si>
    <t>PANNEAU DE TOITURE FX.12</t>
  </si>
  <si>
    <t>STŘEŠNÍ PANEL FX.12</t>
  </si>
  <si>
    <t>PANEL DACHOWY FX.12</t>
  </si>
  <si>
    <t>FX.12 TETŐFEDŐ PANEL</t>
  </si>
  <si>
    <t>STREŠNÝ PANEL FX.12</t>
  </si>
  <si>
    <t>DAKPANEEL FX.12</t>
  </si>
  <si>
    <t>strešni panel fx.12</t>
  </si>
  <si>
    <t>TAKPANEL FX.12</t>
  </si>
  <si>
    <t>TAGPANEL FX.12</t>
  </si>
  <si>
    <t>KROVNI PANEL FX.12</t>
  </si>
  <si>
    <t>Dachplatte</t>
  </si>
  <si>
    <t>ROOF TILE</t>
  </si>
  <si>
    <t>TUILE</t>
  </si>
  <si>
    <t>TEGOLA</t>
  </si>
  <si>
    <t>FALCOVANÁ TAŠKA</t>
  </si>
  <si>
    <t>DACHÓWKA KLASYCZNA</t>
  </si>
  <si>
    <t>CLASSIC ELEM</t>
  </si>
  <si>
    <t>FALCOVANÁ ŠKRIDLA</t>
  </si>
  <si>
    <t>DAKPLAAT</t>
  </si>
  <si>
    <t>strešna plošča</t>
  </si>
  <si>
    <t>TAKPLATTA</t>
  </si>
  <si>
    <t>TAGPLADE</t>
  </si>
  <si>
    <t>TAKPLATE</t>
  </si>
  <si>
    <t>KROVNA PLOČA</t>
  </si>
  <si>
    <t>Dachplatte (600 × 420 mm; 40 Stk./Karton); inkl. Rillennägel (28/30) und Patenthafte</t>
  </si>
  <si>
    <t>roof tile (600 × 420 mm, 40 pc./box), including ring nails (28/30) and patent clips</t>
  </si>
  <si>
    <t>tuile (600 × 420 mm ; 40 par carton) ; avec clous annelés (28/30) et pattes brevetées</t>
  </si>
  <si>
    <t>Tegola (600 x 420 mm, 40 pz./cart.) incl. chiodi zigrinati (28/30) e graffette</t>
  </si>
  <si>
    <t>Falcovaná taška (600 x 420 mm, 40 ks./Kart.) vč. vroubkovaných hřeníků (28/30) a patentovaných příponek</t>
  </si>
  <si>
    <t>Dachówka klasyczna (600 × 420 mm, 40 szt./opakowanie), z gwoździami (28/30) i patentowymi zaczepami</t>
  </si>
  <si>
    <t>Classic elem (600 x 420 mm, 40db/doboz) bordás szeggel (28/30) és rögzítőhafterral</t>
  </si>
  <si>
    <t>falcovaná škridla (600 x 420 mm, 40 ks/kartón) vrátane ryhovaných klincov (2,8/30) a patentovaných príponiek</t>
  </si>
  <si>
    <t>dakplaat (600 x 420 mm, 40 Stks./doos) incl. groefspijkers (28/30) en gepatenteerd hechtmiddel</t>
  </si>
  <si>
    <t>strešna plošča (600 x 420 mm, 40 kos/škatlo) vključno z narebrenimi žičniki 28/30 in patentnimi sidri</t>
  </si>
  <si>
    <t>takplatta (600 x 420 mm, 40 st./kart.) inkl. räfflade spikar (28/30) och patenthäftare</t>
  </si>
  <si>
    <t>tagplade (600 x 420 mm, 40 stk./kart.) inkl. rillesøm (28/30) og patentspænde</t>
  </si>
  <si>
    <t>takplate (600 x 420 mm, 40 stk./kart.) inkl. riflet spiker (28/30) og patenterte festebraketter</t>
  </si>
  <si>
    <t>Krovna ploča (600 × 420 mm; 40 kom./kutija); uklj. vijci (28/30) i patentni učvršćivač</t>
  </si>
  <si>
    <t>Dachplatte R.16</t>
  </si>
  <si>
    <t>R.16 ROOF TILE</t>
  </si>
  <si>
    <t>TEGOLA R.16</t>
  </si>
  <si>
    <t>STŘEŠNÍ PANEL R.16</t>
  </si>
  <si>
    <t>DACHÓWKA R.16</t>
  </si>
  <si>
    <t>R.16 TETŐFEDŐ ELEM</t>
  </si>
  <si>
    <t>STREŠNÝ PANEL R.16</t>
  </si>
  <si>
    <t>DAKPLAAT R.16</t>
  </si>
  <si>
    <t>strešna plošča r.16</t>
  </si>
  <si>
    <t>TAKPLATTA R.16</t>
  </si>
  <si>
    <t>TAGPLADE R.16</t>
  </si>
  <si>
    <t>TAKPLATE R.16</t>
  </si>
  <si>
    <t>KROVNA PLOČA R.16</t>
  </si>
  <si>
    <t>Dachplatte R.16 (700 × 420 mm)</t>
  </si>
  <si>
    <t>R.16 roof tile (700 × 420 mm)</t>
  </si>
  <si>
    <t>R.16 (700 × 420 mm)</t>
  </si>
  <si>
    <t>Tegola R.16 (700 x 420 mm)</t>
  </si>
  <si>
    <t>Střešní panel R.16 (700 x 420 mm)</t>
  </si>
  <si>
    <t>Dachówka R.16 (700 × 420 mm)</t>
  </si>
  <si>
    <t>R.16 tetőfedő elem (700x420mm)</t>
  </si>
  <si>
    <t>strešný panel R.16 (700 x 420 mm)</t>
  </si>
  <si>
    <t>dakplaat R.16 (700 × 420 mm)</t>
  </si>
  <si>
    <t>Prefa strešna plošča R.16 (700 x 420 mm)</t>
  </si>
  <si>
    <t>takplatta R.16 (700 × 420 mm)</t>
  </si>
  <si>
    <t>tagplade R.16 (700 × 420 mm)</t>
  </si>
  <si>
    <t>takplate R.16 (700 × 420 mm)</t>
  </si>
  <si>
    <t>Krovna ploča R.16 (700 × 420 mm)</t>
  </si>
  <si>
    <t>Dachraute (29 × 29 mm; 120 Stk./Karton)</t>
  </si>
  <si>
    <t>rhomboid roof tile (29 × 29 mm, 120 pc./box)</t>
  </si>
  <si>
    <t>losange de toiture (29 × 29 mm ; 120 par carton)</t>
  </si>
  <si>
    <t>Scaglia 29 (29x29 mm, 120 pz./cf.)</t>
  </si>
  <si>
    <t>Střešní šablona (29x29 mm, 120 ks./balení)</t>
  </si>
  <si>
    <t>Dachówka romb (29 × 29 mm, 120 szt./opak.)</t>
  </si>
  <si>
    <t>tetőfedő rombusz (29x29 mm, 120 db./doboz)</t>
  </si>
  <si>
    <t>strešná šablóna (290 x 290 mm, 120 ks/kart.)</t>
  </si>
  <si>
    <t>daklosange (29 × 29 mm, 120 stks./doos)</t>
  </si>
  <si>
    <t>Prefa strešni romb (290x290 mm, 120 kos/škatlo)</t>
  </si>
  <si>
    <t>takromb (29 × 29 mm, 120 st./kart.)</t>
  </si>
  <si>
    <t>rudeformet tagplade (29 × 29 mm, 120 stk./kart.)</t>
  </si>
  <si>
    <t>takstein (29 × 29 mm, 120 stk./kart.)</t>
  </si>
  <si>
    <t>Krovni romb (29 × 29 mm; 120 kom./kutija)</t>
  </si>
  <si>
    <t>Dachraute (440 × 440 mm; 42 Stk./Karton)</t>
  </si>
  <si>
    <t>rhomboid roof tile (440 × 440 mm, 42 pc./box)</t>
  </si>
  <si>
    <t>losange de toiture (440 × 440 mm ; 42 par carton)</t>
  </si>
  <si>
    <t>Scaglia 44 (440 x 440 mm, 42 pz./cf.)</t>
  </si>
  <si>
    <t>Střešní šablona (440 x 440 mm, 42 ks./balení)</t>
  </si>
  <si>
    <t>Dachówka romb (440 × 440 mm, 42 szt./opak.)</t>
  </si>
  <si>
    <t>tetőfedő rombusz (440 x 440 mm, 42 db./doboz)</t>
  </si>
  <si>
    <t>strešná šablóna  (440 x 440 mm, 42 ks/kart.)</t>
  </si>
  <si>
    <t>daklosange (440 × 440 mm, 42 stks./doos)</t>
  </si>
  <si>
    <t>strešni romb (440 mm x 440 mm, 42 kos/škatlo)</t>
  </si>
  <si>
    <t>takromb (440 × 440 mm, 42 st./kart.)</t>
  </si>
  <si>
    <t>rudeformet tagplade (440 × 440 mm, 42 stk./kart.)</t>
  </si>
  <si>
    <t>takstein (440 × 440 mm, 42 stk./kart.)</t>
  </si>
  <si>
    <t>Krovni romb (440 × 440 mm; 42 kom./kutija)</t>
  </si>
  <si>
    <t>Dachraute 29 × 29</t>
  </si>
  <si>
    <t>RHOMBOID ROOF TILE 29 × 29</t>
  </si>
  <si>
    <t>LOSANGE DE TOITURE 29 × 29</t>
  </si>
  <si>
    <t>SCAGLIA 29</t>
  </si>
  <si>
    <t>STŘEŠNÍ ŠABLONA 29x29</t>
  </si>
  <si>
    <t>DACHÓWKA ROMB 29 × 29</t>
  </si>
  <si>
    <t>29X29 TETŐFEDŐ ROMBUSZ</t>
  </si>
  <si>
    <t>STREŠNÁ ŠABLÓNA 29 x 29</t>
  </si>
  <si>
    <t>DAKLOSANGE 29 × 29</t>
  </si>
  <si>
    <t>strešni romb 29x29</t>
  </si>
  <si>
    <t>TAKROMB 29 × 29</t>
  </si>
  <si>
    <t>RUDEFORMET TAGPLADE 29 × 29</t>
  </si>
  <si>
    <t>TAKSTEIN 29 × 29</t>
  </si>
  <si>
    <t>KROVNI ROMB 29 × 29</t>
  </si>
  <si>
    <t>Dachraute 44 × 44</t>
  </si>
  <si>
    <t>RHOMBOID ROOF TILE 44 × 44</t>
  </si>
  <si>
    <t>LOSANGE DE TOITURE 44 × 44</t>
  </si>
  <si>
    <t>SCAGLIA 44</t>
  </si>
  <si>
    <t>STŘEŠNÍ ŠABLONA 44x44</t>
  </si>
  <si>
    <t>DACHÓWKA ROMB 44 × 44</t>
  </si>
  <si>
    <t>44X44 TETŐFEDŐ ROMBUSZ</t>
  </si>
  <si>
    <t>STREŠNÁ ŠABLÓNA 44 x 44</t>
  </si>
  <si>
    <t>DAKLOSANGE 44 × 44</t>
  </si>
  <si>
    <t>strešni romb 44x44</t>
  </si>
  <si>
    <t>TAKROMB 44 × 44</t>
  </si>
  <si>
    <t>RUDEFORMET TAGPLADE 44 × 44</t>
  </si>
  <si>
    <t>TAKSTEIN 44 × 44</t>
  </si>
  <si>
    <t>KROVNI ROMB 44 × 44</t>
  </si>
  <si>
    <t>Dachrautenhaft</t>
  </si>
  <si>
    <t>rhomboid roof tile clip</t>
  </si>
  <si>
    <t>patte de fixation pour losanges de toiture</t>
  </si>
  <si>
    <t>Graffetta di trattenuta per scaglia</t>
  </si>
  <si>
    <t>příponka šablony 29x29</t>
  </si>
  <si>
    <t>Zaczep do dachówki</t>
  </si>
  <si>
    <t>Hafter tetőfedő rombuszhoz</t>
  </si>
  <si>
    <t>príponka pre šablóny</t>
  </si>
  <si>
    <t>Daklosangevorm</t>
  </si>
  <si>
    <t>Sidro za strešne rombe</t>
  </si>
  <si>
    <t>diamantformad</t>
  </si>
  <si>
    <t>Tagrombefastgørelse</t>
  </si>
  <si>
    <t>Takromber</t>
  </si>
  <si>
    <t>Učvršćivač za krovni romb</t>
  </si>
  <si>
    <t>Dachrautenhaft 29 × 29</t>
  </si>
  <si>
    <t>rhomboid roof tile clip 29 × 29</t>
  </si>
  <si>
    <t>patte de fixation pour losange de toiture 29 × 29</t>
  </si>
  <si>
    <t>Graffetta per Scaglia 29</t>
  </si>
  <si>
    <t>patentovaná příchytka pro falcované šablony 29x29</t>
  </si>
  <si>
    <t>Zaczep do dachówki romb 29 × 29</t>
  </si>
  <si>
    <t>hafter 29x29 tetőfedő rombuszhoz</t>
  </si>
  <si>
    <t>príponka na strešnú šablónu 29x29</t>
  </si>
  <si>
    <t>daklosangehechting 29 × 29</t>
  </si>
  <si>
    <t>patentno sidro za strešni romb 29x29</t>
  </si>
  <si>
    <t>takrombsfäste 29 × 29</t>
  </si>
  <si>
    <t>spænde til rudeformet tagplade 29 × 29</t>
  </si>
  <si>
    <t>feste for takstein 29 × 29</t>
  </si>
  <si>
    <t>Učvršćivač za krovni romb 29 × 29</t>
  </si>
  <si>
    <t>Dachrinne</t>
  </si>
  <si>
    <t>gutter</t>
  </si>
  <si>
    <t>gouttière</t>
  </si>
  <si>
    <t>Grondaia</t>
  </si>
  <si>
    <t>střešní žlab</t>
  </si>
  <si>
    <t>Rynna dachowa</t>
  </si>
  <si>
    <t>Ereszcsatorna</t>
  </si>
  <si>
    <t>polkruhový žľab</t>
  </si>
  <si>
    <t>Dakgoot</t>
  </si>
  <si>
    <t>Žleb</t>
  </si>
  <si>
    <t>takränna</t>
  </si>
  <si>
    <t>Tagrende</t>
  </si>
  <si>
    <t>Takrenne</t>
  </si>
  <si>
    <t>Krovni žlijeb</t>
  </si>
  <si>
    <t>Dachrinnensysteme</t>
  </si>
  <si>
    <t>GUTTER SYSTEMS</t>
  </si>
  <si>
    <t>SYSTÈMES DE GOUTTIÈRES</t>
  </si>
  <si>
    <t>SISTEMA SMALTIMENTO ACQUE</t>
  </si>
  <si>
    <t>Odvodňovací systémy</t>
  </si>
  <si>
    <t>SYSTEM RYNNOWY</t>
  </si>
  <si>
    <t>ereszcsatorna rendszerek</t>
  </si>
  <si>
    <t>SYSTÉM ODVODNENIA STRIECH</t>
  </si>
  <si>
    <t>DAKGOOTSYSTEMEN</t>
  </si>
  <si>
    <t xml:space="preserve">žlebovi </t>
  </si>
  <si>
    <t>TAKRÄNNESYSTEM</t>
  </si>
  <si>
    <t>TAGRENDESYSTEMER</t>
  </si>
  <si>
    <t>TAKRENNESYSTEMER</t>
  </si>
  <si>
    <t>SUSTAV KROVNIH ŽLJEBOVA</t>
  </si>
  <si>
    <t>Dachschindel</t>
  </si>
  <si>
    <t>SHINGLE</t>
  </si>
  <si>
    <t>BARDEAU</t>
  </si>
  <si>
    <t>SCANDOLA</t>
  </si>
  <si>
    <t>Falcovaný šindel</t>
  </si>
  <si>
    <t>DACHÓWKA ŁUPKOWA</t>
  </si>
  <si>
    <t>TETŐFEDŐ ZSINDELY</t>
  </si>
  <si>
    <t>STREŠNÝ ŠINDEĽ</t>
  </si>
  <si>
    <t>DAKSCHINDEL</t>
  </si>
  <si>
    <t>strešna skodla</t>
  </si>
  <si>
    <t>TAKSHINGEL</t>
  </si>
  <si>
    <t>TAGSPÅN</t>
  </si>
  <si>
    <t>KROVNA ŠINDRA</t>
  </si>
  <si>
    <t>Dachschindel (420 × 240 mm)</t>
  </si>
  <si>
    <t>shingle (420 × 240 mm)</t>
  </si>
  <si>
    <t>bardeau (420 × 240 mm)</t>
  </si>
  <si>
    <t>Scandola (420 x 240 mm)</t>
  </si>
  <si>
    <t>Falcovaný šindel (420 x 240 mm)</t>
  </si>
  <si>
    <t>Dachówka łupkowa(420 × 240 mm)</t>
  </si>
  <si>
    <t>tetőfedő zsindely (420 x 240 mm)</t>
  </si>
  <si>
    <t>strešný šindeľ (420 x 240 mm)</t>
  </si>
  <si>
    <t>dakschindel (420 x 240 mm)</t>
  </si>
  <si>
    <t>strešna skodla (420 x 240 mm)</t>
  </si>
  <si>
    <t>takshingel (420 x 240 mm)</t>
  </si>
  <si>
    <t>tagspån (420 x 240 mm)</t>
  </si>
  <si>
    <t>takshingel (420 × 240 mm)</t>
  </si>
  <si>
    <t>Krovna šindra (420 × 240 mm)</t>
  </si>
  <si>
    <t>Dachschindel (480 × 262 mm)</t>
  </si>
  <si>
    <t>DS.19 shingle (480 × 262 mm)</t>
  </si>
  <si>
    <t>bardeau (480 × 262 mm)</t>
  </si>
  <si>
    <t>Scandola (480 × 262 mm)</t>
  </si>
  <si>
    <t>Střešní šindel (480 × 262 mm)</t>
  </si>
  <si>
    <t>Dachówka łupkowa (480 × 262 mm)</t>
  </si>
  <si>
    <t>Tetőfedő zsindely (480 × 262 mm)</t>
  </si>
  <si>
    <t>strešný šindeľ (480 × 262 mm)</t>
  </si>
  <si>
    <t>Daklei (480 × 262 mm)</t>
  </si>
  <si>
    <t>Strešna skodla (480 × 262 mm)</t>
  </si>
  <si>
    <t>takshingel (480 × 262 mm)</t>
  </si>
  <si>
    <t>Tagspån (480 × 262 mm)</t>
  </si>
  <si>
    <t>Takshingel (480 × 262 mm)</t>
  </si>
  <si>
    <t>Krovna šindra (480 × 262 mm)</t>
  </si>
  <si>
    <t>Dachschindel DS.19</t>
  </si>
  <si>
    <t>DS.19 shingle</t>
  </si>
  <si>
    <t>BARDEAU DS.19</t>
  </si>
  <si>
    <t>SCANDOLA DS.19</t>
  </si>
  <si>
    <t>STŘEŠNÍ ŠINDEL DS.19</t>
  </si>
  <si>
    <t>DACHÓWKA DS.19</t>
  </si>
  <si>
    <t>DS.19 TETŐFEDŐ ZSINDELY</t>
  </si>
  <si>
    <t>STREŠNÝ ŠINDEĽ DS.19</t>
  </si>
  <si>
    <t>DAKLEI DS.19</t>
  </si>
  <si>
    <t>STREŠNA SKODLA DS.19</t>
  </si>
  <si>
    <t>TAKSHINGEL DS.19</t>
  </si>
  <si>
    <t>TAGSPÅN DS.19</t>
  </si>
  <si>
    <t>TAKSHINGEL DS.19</t>
  </si>
  <si>
    <t>KROVNA ŠINDRA DS.19</t>
  </si>
  <si>
    <t>Sicherheitsdachhaken auf Fußteilen</t>
  </si>
  <si>
    <t>roof anchor hook according on mounts</t>
  </si>
  <si>
    <t>crochet de sécurité monté sur platines</t>
  </si>
  <si>
    <t>Staffa anticaduta conforme EN 517B su basi di fissaggio</t>
  </si>
  <si>
    <t xml:space="preserve">Bezpečnostní hák na kruhových podložkách  EN 517B </t>
  </si>
  <si>
    <t>hak dachowy zgodny z normą EN 517 B (stal nierdzewna)</t>
  </si>
  <si>
    <t>tetőbiztonsági kampó EN 517B szabvány szerinti, talpakon</t>
  </si>
  <si>
    <t xml:space="preserve">bezpečnostný hák na kruhových podperách podľa EN 517B </t>
  </si>
  <si>
    <t>dakveiligheidshaak conform EN 517B op voetdelen</t>
  </si>
  <si>
    <t>Varovalni kavelj po EN 517b, na podložnih elementih</t>
  </si>
  <si>
    <t>säkerhetstakkrokar enligt EN 517B på understycken</t>
  </si>
  <si>
    <t>tagsikkerhedskrog i henhold til EN 517B på foddele</t>
  </si>
  <si>
    <t>tak-sikkerhetskroker iht. EN 517B på underdeler</t>
  </si>
  <si>
    <t>Sigurnosne krovne kuke na stopama</t>
  </si>
  <si>
    <t>Dachsparren</t>
  </si>
  <si>
    <t>rafters</t>
  </si>
  <si>
    <t>chevrons</t>
  </si>
  <si>
    <t>Trave portante</t>
  </si>
  <si>
    <t>krokev</t>
  </si>
  <si>
    <t>Krokwie dachowe</t>
  </si>
  <si>
    <t>Szarufa</t>
  </si>
  <si>
    <t>krokvy</t>
  </si>
  <si>
    <t>Dakspanten</t>
  </si>
  <si>
    <t>Strešni špirovci</t>
  </si>
  <si>
    <t>takbjälkar</t>
  </si>
  <si>
    <t>Tagspær</t>
  </si>
  <si>
    <t>Taksperrer</t>
  </si>
  <si>
    <t>Krovne roženice</t>
  </si>
  <si>
    <t>Dachsysteme</t>
  </si>
  <si>
    <t>ROOF SYSTEMS</t>
  </si>
  <si>
    <t>TOITURES</t>
  </si>
  <si>
    <t>COPERTURA PREFA</t>
  </si>
  <si>
    <t>STŘEŠNÍ SYSTÉMY</t>
  </si>
  <si>
    <t>SYSTEM DACHOWY</t>
  </si>
  <si>
    <t>TETŐFEDÉSI RENDSZEREK</t>
  </si>
  <si>
    <t>STREŠNÉ SYSTÉMY</t>
  </si>
  <si>
    <t>DAKSYSTEMEN</t>
  </si>
  <si>
    <t>Prefa strešni sistemi</t>
  </si>
  <si>
    <t>PREFA TAKSYSTEM</t>
  </si>
  <si>
    <t>TAGSYSTEMER</t>
  </si>
  <si>
    <t>TAKSYSTEMER</t>
  </si>
  <si>
    <t>KROVNI SUSTAVI</t>
  </si>
  <si>
    <t>Dachübergang von Dacheindeckung in Prefalz</t>
  </si>
  <si>
    <t>roof transition from roof covering to Prefalz</t>
  </si>
  <si>
    <t>ligne de bris avec transition entre couverture et PREFALZ</t>
  </si>
  <si>
    <t>Passaggio del tetto da copertura a PREFALZ</t>
  </si>
  <si>
    <t>Přechod z maloformátové krytiny do PREFALZ</t>
  </si>
  <si>
    <t>Przejście dachowe między dachówką klasyczną a PREFALZ</t>
  </si>
  <si>
    <t>Tetőátmenet tetőburkolat és PREFALZ között</t>
  </si>
  <si>
    <t>Strešný prechod zo strešnej krytiny do PREFALZ-u</t>
  </si>
  <si>
    <t>Dakovergang van dakbedekking naar PREFALZ</t>
  </si>
  <si>
    <t>Prehod strehe iz kritine v PREFALZ</t>
  </si>
  <si>
    <t>Takövergång från tak i PREFALZ</t>
  </si>
  <si>
    <t>Tagovergang fra tagdækning i PREFALZ</t>
  </si>
  <si>
    <t>Takovergang fra takkledning til PREFALZ</t>
  </si>
  <si>
    <t>Prijelaz krova s krovišta u PREFALZ</t>
  </si>
  <si>
    <t>Dachübergang von Dacheindeckung in PREFALZ</t>
  </si>
  <si>
    <t>Dachübergang von Dachplatte in Prefalz (Schweiz)</t>
  </si>
  <si>
    <t>roof transition from roof tile to Prefalz (Switzerland)</t>
  </si>
  <si>
    <t>ligne de bris avec transition entre tuile et PREFALZ (Suisse)</t>
  </si>
  <si>
    <t>Passaggio del tetto da tegola a PREFALZ (Svizzera)</t>
  </si>
  <si>
    <t>Přechod ze střešního panelu do PREFALZ (Švýcarsko)</t>
  </si>
  <si>
    <t>Przejście dachowe między dachówką klasyczną a PREFALZ (Szwajcaria)</t>
  </si>
  <si>
    <t>Tetőátmenet Classic elem és PREFALZ között (Svájc)</t>
  </si>
  <si>
    <t>Strešný prechod z falcovanej škridly do PREFALZ-u (Švajčiarsko)</t>
  </si>
  <si>
    <t>Dakovergang van dakplaat naar PREFALZ (Zwitserland)</t>
  </si>
  <si>
    <t>Prehod strehe s strešne plošče v PREFALZ (Švica)</t>
  </si>
  <si>
    <t>Takövergång från takplatta i PREFALZ (Schweiz)</t>
  </si>
  <si>
    <t>Tagovergang fra tagplade i PREFALZ (Schweiz)</t>
  </si>
  <si>
    <t>Takovergang fra takplate til PREFALZ (Sveits)</t>
  </si>
  <si>
    <t>Prijelaz krova s krovne ploče u PREFALZ (Švicarska)</t>
  </si>
  <si>
    <t>Dachübergang von Dachplatte in PREFALZ (Schweiz)</t>
  </si>
  <si>
    <t>Dachübergang von Prefalz in Dacheindeckung</t>
  </si>
  <si>
    <t>roof transition from Prefalz to roof covering</t>
  </si>
  <si>
    <t>ligne de bris avec transition entre PREFALZ et couverture</t>
  </si>
  <si>
    <t>Passaggio del tetto da PREFALZ a copertura</t>
  </si>
  <si>
    <t>Přechod z PREFALZ do maloformátové krytiny</t>
  </si>
  <si>
    <t>Przejście dachowe między PREFALZ a pokryciem dachowym</t>
  </si>
  <si>
    <t>Tetőátmenet PREFALZ és tetőburkolat között</t>
  </si>
  <si>
    <t>Strešný prechod z PREFALZ-u do strešnej krytiny</t>
  </si>
  <si>
    <t>Dakovergang van PREFALZ naar dakbedekking</t>
  </si>
  <si>
    <t>Prehod strehe s PREFALZ v strešno kritino</t>
  </si>
  <si>
    <t>Takövergång från PREFALZ i takbeläggning</t>
  </si>
  <si>
    <t>Tagovergang fra PREFALZ i tagdækning</t>
  </si>
  <si>
    <t>Takovergang fra PREFALZ til takkledning</t>
  </si>
  <si>
    <t>Prijelaz krova s PREFALZ-a u krovište</t>
  </si>
  <si>
    <t>Dachübergang von PREFALZ in Dacheindeckung</t>
  </si>
  <si>
    <t>Dachübergang von Prefalz in Prefalz</t>
  </si>
  <si>
    <t xml:space="preserve">roof transition from Prefalz to Prefalz </t>
  </si>
  <si>
    <t>ligne de bris avec transition entre PREFALZ et PREFALZ</t>
  </si>
  <si>
    <t>Passaggio del tetto da PREFALZ a PREFALZ</t>
  </si>
  <si>
    <t>Přechod z PREFALZ do PREFALZ</t>
  </si>
  <si>
    <t>Przejście dachowe między pokryciem PREFALZ a pokryciem PREFALZ</t>
  </si>
  <si>
    <t>Tetőátmenet PREFALZ és PREFALZ között</t>
  </si>
  <si>
    <t>Strešný prechod z PREFALZ-u do PREFALZ-u</t>
  </si>
  <si>
    <t>Dakovergang van PREFALZ naar PREFALZ</t>
  </si>
  <si>
    <t>Prehod strehe s PREFALZ v PREFALZ</t>
  </si>
  <si>
    <t>Takövergång från PREFALZ till PREFALZ</t>
  </si>
  <si>
    <t>Tagovergang fra PREFALZ i PREFALZ</t>
  </si>
  <si>
    <t>Takovergang fra PREFALZ til PREFALZ</t>
  </si>
  <si>
    <t>Prijelaz krova s PREFALZ-a u PREFALZ</t>
  </si>
  <si>
    <t>Dachübergang von PREFALZ in PREFALZ</t>
  </si>
  <si>
    <t>Dämmstoff</t>
  </si>
  <si>
    <t>insulation material</t>
  </si>
  <si>
    <t>matériau isolant</t>
  </si>
  <si>
    <t>Materiale isolante</t>
  </si>
  <si>
    <t>tepelná izolace</t>
  </si>
  <si>
    <t>Materiał izolacyjny</t>
  </si>
  <si>
    <t>szigetelőanyag</t>
  </si>
  <si>
    <t>izolačný materiál</t>
  </si>
  <si>
    <t>Isolatiemateriaal</t>
  </si>
  <si>
    <t>Izolacijski material</t>
  </si>
  <si>
    <t>isoleringsmaterial</t>
  </si>
  <si>
    <t>Isolerende materiale</t>
  </si>
  <si>
    <t>Isolasjonsmateriale</t>
  </si>
  <si>
    <t>Izolacijski materijal</t>
  </si>
  <si>
    <t>Dämmung</t>
  </si>
  <si>
    <t>insulation</t>
  </si>
  <si>
    <t>isolation</t>
  </si>
  <si>
    <t>Isolamento</t>
  </si>
  <si>
    <t>Izolace</t>
  </si>
  <si>
    <t>Izolacja</t>
  </si>
  <si>
    <t>szigetelés</t>
  </si>
  <si>
    <t>izolácia</t>
  </si>
  <si>
    <t>Isolatie</t>
  </si>
  <si>
    <t>Izolacija</t>
  </si>
  <si>
    <t>isolering</t>
  </si>
  <si>
    <t>Isolering</t>
  </si>
  <si>
    <t>Isolasjon</t>
  </si>
  <si>
    <t>Date:</t>
  </si>
  <si>
    <t>Date :</t>
  </si>
  <si>
    <t>Data:</t>
  </si>
  <si>
    <t>Dátum:</t>
  </si>
  <si>
    <t>datum</t>
  </si>
  <si>
    <t>Dato:</t>
  </si>
  <si>
    <t>dauerelastische Fuge</t>
  </si>
  <si>
    <t>permanently flexible joint</t>
  </si>
  <si>
    <t>joint à élasticité permanente</t>
  </si>
  <si>
    <t>Fuga a elasticità permanente</t>
  </si>
  <si>
    <t>Trvale pružná spára</t>
  </si>
  <si>
    <t>trwałe połączenie elastyczne</t>
  </si>
  <si>
    <t>tartósan rugalmas fuga</t>
  </si>
  <si>
    <t>trvalo elastická škára</t>
  </si>
  <si>
    <t>permanent elastische verbinding</t>
  </si>
  <si>
    <t>trajno elastični spoj</t>
  </si>
  <si>
    <t>permanent elastisk fog</t>
  </si>
  <si>
    <t>Permanent elastisk fuge</t>
  </si>
  <si>
    <t>trajno elastična fuga</t>
  </si>
  <si>
    <t>defektes Siding ausschneiden</t>
  </si>
  <si>
    <t>cut out the defective siding</t>
  </si>
  <si>
    <t>découper le Siding défectueux</t>
  </si>
  <si>
    <t>tagliare la Doga difettosa</t>
  </si>
  <si>
    <t>Vyříznout poškozený Siding</t>
  </si>
  <si>
    <t>wycinanie uszkodzonego sidingu</t>
  </si>
  <si>
    <t>hibás Siding kivágása</t>
  </si>
  <si>
    <t>poškodený Siding vyrezať</t>
  </si>
  <si>
    <t>defecte siding uitsnijden</t>
  </si>
  <si>
    <t>izrezovanje okvarjene obloge Siding</t>
  </si>
  <si>
    <t>utskärning av defekt siding</t>
  </si>
  <si>
    <t>Udskæring af defekt siding</t>
  </si>
  <si>
    <t>Skjære ut defekt Siding</t>
  </si>
  <si>
    <t>izrezati neispravnu fasadnu kazetu</t>
  </si>
  <si>
    <t>defektes Siding entfernen</t>
  </si>
  <si>
    <t>remove the defective siding</t>
  </si>
  <si>
    <t>retirer le Siding défectueux</t>
  </si>
  <si>
    <t>rimuovere la Doga difettosa</t>
  </si>
  <si>
    <t>Odstranit poškozený Siding</t>
  </si>
  <si>
    <t>usuwanie uszkodzonego sidingu</t>
  </si>
  <si>
    <t>hibás Siding eltávolítása</t>
  </si>
  <si>
    <t>poškodený Siding odstrániť</t>
  </si>
  <si>
    <t>defecte siding verwijderen</t>
  </si>
  <si>
    <t>odstranjevanje okvarjene obloge Siding</t>
  </si>
  <si>
    <t>borttagning av defekt siding</t>
  </si>
  <si>
    <t>Fjernelse af defekt siding</t>
  </si>
  <si>
    <t>Fjerne defekt Siding</t>
  </si>
  <si>
    <t>ukloniti neispravnu fasadnu kazetu</t>
  </si>
  <si>
    <t>Dehnungsabstand</t>
  </si>
  <si>
    <t>space for expansion</t>
  </si>
  <si>
    <t>jeu de dilatation</t>
  </si>
  <si>
    <t>Distanza di dilatazione</t>
  </si>
  <si>
    <t>dilatační mezera</t>
  </si>
  <si>
    <t>Szczelina na wydłużenie</t>
  </si>
  <si>
    <t>tágulási rés</t>
  </si>
  <si>
    <t>dilatačná medzera</t>
  </si>
  <si>
    <t>Uitzettingsverschil</t>
  </si>
  <si>
    <t>raztezna razdalja</t>
  </si>
  <si>
    <t>utsträckningsavstånd</t>
  </si>
  <si>
    <t>Udvidelsesafstand</t>
  </si>
  <si>
    <t>Strekkavstand</t>
  </si>
  <si>
    <t>Razmak za rastezanje</t>
  </si>
  <si>
    <t>Dehnungsbereich</t>
  </si>
  <si>
    <t>expansion range</t>
  </si>
  <si>
    <t>Ampiezza di dilatazione</t>
  </si>
  <si>
    <t>oblast dilatace</t>
  </si>
  <si>
    <t>Zakres wydłużenia</t>
  </si>
  <si>
    <t>tágulási tartomány</t>
  </si>
  <si>
    <t>oblasť dilatácie</t>
  </si>
  <si>
    <t>Uitzettingsbereik</t>
  </si>
  <si>
    <t>raztezno območje</t>
  </si>
  <si>
    <t>utsträckningsområde</t>
  </si>
  <si>
    <t>Udvidelsesområde</t>
  </si>
  <si>
    <t>Strekkområde</t>
  </si>
  <si>
    <t>Područje za rastezanje</t>
  </si>
  <si>
    <t>Der Traufenvorsprung darf 80 mm nicht überschreiten!</t>
  </si>
  <si>
    <t>The eaves projection must not exceed 80 mm.</t>
  </si>
  <si>
    <t>La saillie à l’égout ne doit pas excéder 80 mm !</t>
  </si>
  <si>
    <t>La sporgenza della gronda non deve superare gli 80 mm!</t>
  </si>
  <si>
    <t>Přesah přes okapovou hranu nesmí přesáhnout 80 mm!</t>
  </si>
  <si>
    <t>Występ okapu nie może przekraczać 80 mm!</t>
  </si>
  <si>
    <t>Az eresztúlnyúlás nem haladhatja meg a 80 mm-t!</t>
  </si>
  <si>
    <t>Presah cez odkvapovú hranu nesmie prekročiť 80 mm!</t>
  </si>
  <si>
    <t>De dakrand mag niet meer dan 80 mm uitsteken!</t>
  </si>
  <si>
    <t>Napušč v kapu ne sme presegati 80 mm!</t>
  </si>
  <si>
    <t>Takfotens utsprång får inte överstiga 80 mm!</t>
  </si>
  <si>
    <t>Tagudhængets fremspring må ikke overskride 80 mm!</t>
  </si>
  <si>
    <t>Takskjeggets utstikk skal ikke overskride 80 mm!</t>
  </si>
  <si>
    <t>Izbočenost strehe ne smije biti veća od 80 mm!</t>
  </si>
  <si>
    <t>Design (Welle; 5 mm oder 9 mm)</t>
  </si>
  <si>
    <t>design (wave: 5 mm or 9 mm)</t>
  </si>
  <si>
    <t>design (onde ; 5 mm ou 9 mm)</t>
  </si>
  <si>
    <t>Design (onda; 5 mm o 9 mm)</t>
  </si>
  <si>
    <t>Design (vlna 5 mm nebo 9 mm)</t>
  </si>
  <si>
    <t>Projekt (fala, 5 mm lub 9 mm)</t>
  </si>
  <si>
    <t>Dizájn (hullám; 5 mm vagy 9 mm)</t>
  </si>
  <si>
    <t>Dizajnová vlna (5 mm alebo 9 mm)</t>
  </si>
  <si>
    <t>Design (plaat; 5 mm of 9 mm)</t>
  </si>
  <si>
    <t>Dizajn (valovit; 5 mm ali 9 mm)</t>
  </si>
  <si>
    <t>Utformning (våg; 5 mm eller 9 mm)</t>
  </si>
  <si>
    <t>Design (bølge; 5 mm eller 9 mm)</t>
  </si>
  <si>
    <t>Design (bølge; 5 mm eller 9 mm)</t>
  </si>
  <si>
    <t>Dizajn (val; 5 mm ili 9 mm)</t>
  </si>
  <si>
    <t>Dichtband</t>
  </si>
  <si>
    <t>sealing tape</t>
  </si>
  <si>
    <t>bande d’étanchéité</t>
  </si>
  <si>
    <t>Nastro sigillante</t>
  </si>
  <si>
    <t>těsnicí pásek</t>
  </si>
  <si>
    <t>Taśma uszczelniająca</t>
  </si>
  <si>
    <t>Tömítőszalag</t>
  </si>
  <si>
    <t>tesniaca páska</t>
  </si>
  <si>
    <t>Afdichtingstape</t>
  </si>
  <si>
    <t>Tesnilni trak</t>
  </si>
  <si>
    <t>tätningsband</t>
  </si>
  <si>
    <t>Tætningsbånd</t>
  </si>
  <si>
    <t>Tetningsbånd</t>
  </si>
  <si>
    <t>Brtvena traka</t>
  </si>
  <si>
    <t>Dichteinlage</t>
  </si>
  <si>
    <t>sealing insert</t>
  </si>
  <si>
    <t>joint d’étanchéité</t>
  </si>
  <si>
    <t>Inserto di tenuta</t>
  </si>
  <si>
    <t>těsnící vložka</t>
  </si>
  <si>
    <t>Wkład uszczelniający</t>
  </si>
  <si>
    <t>Tömítőbetét</t>
  </si>
  <si>
    <t>tesniaca vložka</t>
  </si>
  <si>
    <t>Afdichting</t>
  </si>
  <si>
    <t>Tesnilni vložek</t>
  </si>
  <si>
    <t>tätningsinsats</t>
  </si>
  <si>
    <t>Tætningsindsats</t>
  </si>
  <si>
    <t>Tetningsinnlegg</t>
  </si>
  <si>
    <t>Brtveni umetak</t>
  </si>
  <si>
    <t>Dichtschraube</t>
  </si>
  <si>
    <t>sealing screw</t>
  </si>
  <si>
    <t>vis d’étanchéité</t>
  </si>
  <si>
    <t>Vite di fissaggio con rondella di tenuta</t>
  </si>
  <si>
    <t>těsnicí vrut</t>
  </si>
  <si>
    <t>Śruba uszczelniająca</t>
  </si>
  <si>
    <t>Tömítőcsavar</t>
  </si>
  <si>
    <t>tesniaca skrutka</t>
  </si>
  <si>
    <t>Afdichtingsschroef</t>
  </si>
  <si>
    <t>Tesnilni vijak</t>
  </si>
  <si>
    <t>tätningsskruv</t>
  </si>
  <si>
    <t>Tætningsskrue</t>
  </si>
  <si>
    <t>Tetningsskrue</t>
  </si>
  <si>
    <t>Brtveni vijak</t>
  </si>
  <si>
    <t>Die dargestellten nicht maßstabsgetreuen Skizzen wurden in Zusammenarbeit mit der Fa. Bauder entwickelt. Außerdem stellen die Konstruktionsbeispiele den Regelfall dar und sind ggf. an die örtliche Situation anzupassen. Länderspezifische technische Richtlinien sind zu beachten!</t>
  </si>
  <si>
    <t>The sketches, which are not true-to-scale, were created together with the company, Bauder. Furthermore, the construction examples depict general cases and should be adapted to the local situation, if necessary. National technical guidelines must be observed.</t>
  </si>
  <si>
    <t>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t>
  </si>
  <si>
    <t>Gli schizzi non in scala mostrati sono stati sviluppati in collaborazione con la ditta Bauder. Inoltre, gli esempi di progettazione rappresentano il caso standard e devono essere adattati alla situazione locale se necessario. Si devono osservare le linee guida tecniche specifiche del paese!</t>
  </si>
  <si>
    <t>Následující skicy bez měřítka byly vypracovány ve spolupráci s firmou Bauder. Příklady konstrukcí představují běžné případy, které je event. nutno upravit pro místní podmínky stavby. Je nutno rovněž zohlednit národní technické předpisy!Následující skicy bez měřítka byly vypracovány ve spolupráci s firmou Bauder. Příklady konstrukcí představují běžné případy, které je event. nutno upravit pro místní podmínky stavby. Je nutno rovněž zohlednit národní technické předpisy!</t>
  </si>
  <si>
    <t>Zamieszczone szkice nieskalowane zostały opracowane we współpracy z firmą Bauder. Ponadto przykłady projektowe przedstawiają przypadek typowy i w razie potrzeby należy je dostosować do konkretnej sytuacji. Należy przestrzegać wytycznych technicznych obowiązujących w danym kraju!</t>
  </si>
  <si>
    <t>A bemutatott, nem méretarányos vázlatok a Bauder céggel együttműködve készültek. Ezenkívül a tervezési példák a hagyományos esetet mutatják be, és így szükség esetén a helyi körülményekhez igazítandók. Az országspecifikus műszaki irányelveket be kell tartani!</t>
  </si>
  <si>
    <t>Zobrazené náčrty, ktoré nie sú presne v mierke, boli vyvinuté v spoluprácu s firmou Bauder. Okrem toho príklady konštrukcie predstavujú obvyklý prípad a treba ich príp. prispôsobiť miestnej situácii. Je nutné dodržiavať technické smernice platné pre danú krajinu!</t>
  </si>
  <si>
    <t>De afgebeelde niet-schaalschetsen zijn ontwikkeld in samenwerking met Bauder. Bovendien zijn de ontwerpvoorbeelden een regelgeval en moeten zij zo nodig aan de plaatselijke situatie worden aangepast. Landspecifieke technische richtlijnen moeten in acht worden genomen!</t>
  </si>
  <si>
    <t>Prikazane skice, ki ne ustrezajo merilu, so bile razvite v sodelovanju s podjetjem Bauder. Poleg tega primeri konstrukcij predstavljajo splošen primer in jih bo morda treba prilagoditi lokalnim razmeram. Upoštevati je treba tehnične smernice za posamezne države!</t>
  </si>
  <si>
    <t>Ej skalenliga skisser har utvecklats i samarbete med företaget Bauder. Dessutom representerar konstruktionsexemplen generella fall och kan behöva anpassas till den aktuella situationen. Landspecifika tekniska riktlinjer måste följas!</t>
  </si>
  <si>
    <t>De viste skitser, som ikke er i korrekt skala, er udviklet i samarbejde med Bauder. Designeksemplerne repræsenterer generelle eksempler og skal muligvis tilpasses den lokale situation. Landespecifikke tekniske retningslinjer skal overholdes!</t>
  </si>
  <si>
    <t>De viste skissene, som ikke er i skala, er utviklet i samarbeid med bedriften Bauder. I tillegg representerer designeksemplene vanlige tilfeller og må kanskje tilpasses den lokale situasjonen. Landsspesifikke tekniske retningslinjer må følges!</t>
  </si>
  <si>
    <t>Prikazane skice, koje ne odgovaraju mjerilu, razvijene su u suradnji s tvrtkom Bauder. Osim toga, primjeri dizajna predstavljaju opći slučaj i možda će ih trebati prilagoditi lokalnoj situaciji. Potrebno je poštivati ​​tehničke smjernice specifične za zemlju!</t>
  </si>
  <si>
    <t>Die in den Verlegerichtlinien angegebenen Dachneigungen der jeweiligen Produkte sind einzuhalten.</t>
  </si>
  <si>
    <t>Observe the roof pitches specified in the installation guidelines for each product.</t>
  </si>
  <si>
    <t>Respectez scrupuleusement les pentes de toit indiquées dans les guides de pose pour chaque produit.</t>
  </si>
  <si>
    <t>È necessario rispettare le pendenze del tetto specificate nelle linee guida per l'installazione dei vari prodotti.</t>
  </si>
  <si>
    <t>Nutno dodržet požadované střešní sklony pro jednotlivé produkty dle směrnic pro pokládku</t>
  </si>
  <si>
    <t>Należy postępować odpowiednio w zależności od kątów nachylenia dachu podanych w wytycznych montażowych dla poszczególnych produktów.</t>
  </si>
  <si>
    <t>Az adott termékek kivitelezési útmutatójában megadott tetőhajlásszögeket be kell tartani.</t>
  </si>
  <si>
    <t>Sklony striech príslušných výrobkov uvedené v smerniciach na pokládku je nutné dodržať.</t>
  </si>
  <si>
    <t>De dakhellingen die in de montagerichtlijnen voor de respectieve producten zijn aangegeven, moeten in acht worden genomen.</t>
  </si>
  <si>
    <t>Upoštevati je treba naklone strehe posameznih izdelkov, ki so navedeni v smernicah za namestitev.</t>
  </si>
  <si>
    <t>Taklutningarna för respektive produkter som anges i monteringsanvisningarna måste beaktas.</t>
  </si>
  <si>
    <t>Taghældningerne for de respektive produkter, der er angivet i monteringsvejledningen, skal overholdes.</t>
  </si>
  <si>
    <t>Takhellingene for de respektive produktene spesifisert i monteringsveiledningen må overholdes.</t>
  </si>
  <si>
    <t>Moraju se poštivati ​​nagibi krova odgovarajućih proizvoda koji su navedeni u uputama za postavljanje.</t>
  </si>
  <si>
    <t>mechanische Beanspruchung der Unterdeckmaterialien während der Bauphase (z. B. Begehen des Unterdaches, Materiallagerung)</t>
  </si>
  <si>
    <t>the mechanical stress to which the roof underlay materials are subjected during the building phase (e.g. walking on the underlay, material storage)</t>
  </si>
  <si>
    <t>contraintes mécaniques auxquelles sont soumis les matériaux de la sous-couverture pendant de la phase de construction (stockage de matériaux de construction ou déplacements de personnes sur la sous-couverture par exemple)</t>
  </si>
  <si>
    <t>sollecitazioni meccaniche sui materiali del sottotetto durante la fase di costruzione (ad es. camminare sul sottotetto, stoccaggio di materiale)</t>
  </si>
  <si>
    <t>mechanické namáhání podvěšených fólií během stavby ( např. pohyb osob, skladování materiálů)</t>
  </si>
  <si>
    <t>mechaniczne obciążenie materiałów dachowych na etapie budowy (np. chodzenie po pokryciu więźby dachowej, składowanie materiałów)</t>
  </si>
  <si>
    <t>a tető alatti anyagokat érő mechanikai igénybevétel az építési fázisban (pl. az alsó tetősík bejárása, anyagtárolás)</t>
  </si>
  <si>
    <t>mechanické namáhanie materiálov stropného podhľadu počas stavebnej fázy (napr. chodenie po podstreší, uloženie materiálu)</t>
  </si>
  <si>
    <t>mechanische belasting van de materialen van het onderdak tijdens de bouwfase (bijv. lopen op het onderdak, opslag van materiaal)</t>
  </si>
  <si>
    <t>mehanske obremenitve podstrešnih materialov v fazi gradnje (npr. hoja po podstrehi, skladiščenje materiala)</t>
  </si>
  <si>
    <t>mekanisk påfrestning på underlagsmembranet under konstruktionsfasen (t.ex. vid gång på undertaket, materiallagring)</t>
  </si>
  <si>
    <t>mekanisk belastning af undertagets materialer i byggefasen (f.eks. gang på undertaget, materialeopbevaring)</t>
  </si>
  <si>
    <t>Mekanisk belastning på undertakets materialer i byggefasen (f.eks. gange på undertaket, materiallagring)</t>
  </si>
  <si>
    <t>mehanička opterećenja na potkrovnim materijalima tijekom faze izgradnje (npr. hodanje po foliji, skladištenje materijala)</t>
  </si>
  <si>
    <t>wärme- und feuchteschutztechnischen Eigenschaften des Gesamtdachaufbaues</t>
  </si>
  <si>
    <t>the hygrothermal performance characteristics of the entire roof structure</t>
  </si>
  <si>
    <t>propriétés de l’ensemble de la toiture en termes d’isolation thermique et de protection contre l’humidité</t>
  </si>
  <si>
    <t>proprietà termiche e di protezione dall'umidità della struttura complessiva del tetto</t>
  </si>
  <si>
    <t>tepelnětechnické  a vlhkostní vlastnosti střešní skladby</t>
  </si>
  <si>
    <t>właściwości termiczne i ochrona przed wilgocią całej konstrukcji dachu</t>
  </si>
  <si>
    <t>a teljes tetőszerkezet hő- és nedvességvédelmi tulajdonságai</t>
  </si>
  <si>
    <t>technické tepelnoizolačné a hydroizolačné vlastnosti celkovej skladby strechy</t>
  </si>
  <si>
    <t>thermische en vochtwerende eigenschappen van de totale dakmontage</t>
  </si>
  <si>
    <t>toplotne in vlagozaščitne lastnosti celotne strešne konstrukcije</t>
  </si>
  <si>
    <t>termiska och fuktskyddande egenskaper hos hela takkonstruktionen</t>
  </si>
  <si>
    <t>termiske og fugtbeskyttende egenskaber for hele tagkonstruktionen</t>
  </si>
  <si>
    <t>Varme- og fuktbeskyttende egenskaper for hele takkonstruksjonen</t>
  </si>
  <si>
    <t>toplinska svojstva i svojstva zaštite od vlage cijele krovne konstrukcije</t>
  </si>
  <si>
    <t>Die zu verwendende Unterdeckbahn bei Anforderung an ein Unterdach.</t>
  </si>
  <si>
    <t>Roof underlay to be used according to underlayment requirements</t>
  </si>
  <si>
    <t>Lés de sous-couverture à utiliser lorsque ceux-ci sont requis.</t>
  </si>
  <si>
    <t>La membrana sottomanto da utilizzare quando è richiesto un sottotetto.</t>
  </si>
  <si>
    <t>Použitý pás při požadavku na pojistnou hydroizolaci</t>
  </si>
  <si>
    <t>Membrana szalunkowa do stosowania w przypadku konieczności wykonania pokrycia więźby dachowej.</t>
  </si>
  <si>
    <t>Elválasztóréteg használata, ha alsó tetősíkra van szükség.</t>
  </si>
  <si>
    <t>Používaný podkladový pás pri požiadavke na podstrešie.</t>
  </si>
  <si>
    <t>Het schoorsteenmembraan dat moet worden gebruikt wanneer een onderdak is vereist.</t>
  </si>
  <si>
    <t>Podložna membrana, ki se uporablja, kadar se zahteva podstreha.</t>
  </si>
  <si>
    <t>Underlagsmembranet som ska användas när ett undertak krävs.</t>
  </si>
  <si>
    <t>Undertag, der skal anvendes, når der kræves et undertag.</t>
  </si>
  <si>
    <t>Underlaget som skal brukes når det er behov for undertak.</t>
  </si>
  <si>
    <t>Krovna podloga koja se koristi kada je potreban sekundarni krov.</t>
  </si>
  <si>
    <t>dieser Kombination</t>
  </si>
  <si>
    <t>available for this</t>
  </si>
  <si>
    <t>questa combinazione</t>
  </si>
  <si>
    <t>Těchto kombinací</t>
  </si>
  <si>
    <t>ta kombinacja</t>
  </si>
  <si>
    <t>ez a kombináció</t>
  </si>
  <si>
    <t>Tieto kombinácie</t>
  </si>
  <si>
    <t>deze combinatie</t>
  </si>
  <si>
    <t>za to kombinacijo</t>
  </si>
  <si>
    <t>denna kombination</t>
  </si>
  <si>
    <t>denne kombination</t>
  </si>
  <si>
    <t>denne kombinasjonen</t>
  </si>
  <si>
    <t>ova kombinacija</t>
  </si>
  <si>
    <t>diffusionsoffene Unterdeckbahn (z. B. BauderTOP Difutex NSK oder BauderTOP Difubit NSK)</t>
  </si>
  <si>
    <t xml:space="preserve">breathable roof underlay (e.g. BauderTOP Difutex NSK or BauderTOP Difubit NSK) </t>
  </si>
  <si>
    <t>lé de sous-couverture perméable à la diffusion (p. ex. BauderTop Difutex NSK ou BauderTop Difubit NSK)</t>
  </si>
  <si>
    <t>membrana sottomanto traspirante (ad es. BauderTOP Difutex NSK o BauderTOP Difubit NSK)</t>
  </si>
  <si>
    <t>difuzně otevřená podstřešní fólie (např. BauderTOP Difutex NSK nebo BauderTOP Difubit NSK)</t>
  </si>
  <si>
    <t>otwarta dyfuzyjnie membrana szalunkowa (np. BauderTOP Difutex NSK lub BauderTOP Difubit NSK)</t>
  </si>
  <si>
    <t>diffúziósan nyitott elválasztóréteg (pl. BauderTOP Difutex NSK vagy BauderTOP Difubit NSK)</t>
  </si>
  <si>
    <t>difúzne otvorený podkladový pás (napr. BauderTOP Difutex NSK alebo BauderTOP Difubit NSK)</t>
  </si>
  <si>
    <t>diffusieopen schoorsteenmembraan (bijv. BauderTOP Difutex NSK of BauderTOP Difubit NSK)</t>
  </si>
  <si>
    <t>Difuzijsko odprta podložna membrana (npr. BauderTOP Difutex NSK ali BauderTOP Difubit NSK)</t>
  </si>
  <si>
    <t>diffusionsöppen underlagsmembran för (t.ex. BauderTOP Difutex NSK eller BauderTOP Difubit NSK)</t>
  </si>
  <si>
    <t>Diffusionsåbent undertag (f.eks. BauderTOP Difutex NSK eller BauderTOP Difubit NSK)</t>
  </si>
  <si>
    <t>Diffusjonsåpent underlag (f.eks. BauderTOP Difutex NSK eller BauderTOP Difubit NSK)</t>
  </si>
  <si>
    <t>propusna podloga (npr. BauderTOP Difutex NSK ili BauderTOP Difubit NSK)</t>
  </si>
  <si>
    <t>Dila</t>
  </si>
  <si>
    <t>expansion component</t>
  </si>
  <si>
    <t>joint de dilatation</t>
  </si>
  <si>
    <t>Elemento di dilatazione</t>
  </si>
  <si>
    <t>Dilatace</t>
  </si>
  <si>
    <t>Dylatacja rynny</t>
  </si>
  <si>
    <t>Dilatáció</t>
  </si>
  <si>
    <t>dilatačný prvok</t>
  </si>
  <si>
    <t>dila</t>
  </si>
  <si>
    <t>expanderingsskarv</t>
  </si>
  <si>
    <t>udvidelse</t>
  </si>
  <si>
    <t>skjøtestykke</t>
  </si>
  <si>
    <t>Dilatacija</t>
  </si>
  <si>
    <t>Dimension nicht möglich</t>
  </si>
  <si>
    <t>Dimension not available</t>
  </si>
  <si>
    <t>Dimension non disponible</t>
  </si>
  <si>
    <t>Misura non disponibile</t>
  </si>
  <si>
    <t>Rozměr není možný</t>
  </si>
  <si>
    <t>Wymiar jest nie dostępny</t>
  </si>
  <si>
    <t>Ez a méret nem érhető el</t>
  </si>
  <si>
    <t>Rozmer nie je k dispozícii</t>
  </si>
  <si>
    <t>Dimensie niet mogelijk</t>
  </si>
  <si>
    <t>Dimenzija ni na voljo</t>
  </si>
  <si>
    <t>Dimensionen inte möjlig</t>
  </si>
  <si>
    <t>Mål ikke muligt</t>
  </si>
  <si>
    <t>Dimensjon ikke mulig</t>
  </si>
  <si>
    <t>Dimenzije nisu moguće</t>
  </si>
  <si>
    <t>Dimension wählen:</t>
  </si>
  <si>
    <t>Select dimension:</t>
  </si>
  <si>
    <t>Sélectionner la dimension :</t>
  </si>
  <si>
    <t>Selezionare la misura</t>
  </si>
  <si>
    <t>Zvolit rozměr</t>
  </si>
  <si>
    <t>Wybierz średnicę:</t>
  </si>
  <si>
    <t>Méret választása:</t>
  </si>
  <si>
    <t>Vyberte rozmer:</t>
  </si>
  <si>
    <t>Dimensie kiezen:</t>
  </si>
  <si>
    <t>Izbrana dimenzija:</t>
  </si>
  <si>
    <t>Välj dimension:</t>
  </si>
  <si>
    <t>Vælg mål:</t>
  </si>
  <si>
    <t>Velg dimensjon:</t>
  </si>
  <si>
    <t>Odaberite dimenzije:</t>
  </si>
  <si>
    <t>Dimension:</t>
  </si>
  <si>
    <t>Dimensions :</t>
  </si>
  <si>
    <t>Dimensioni:</t>
  </si>
  <si>
    <t>Dimenze</t>
  </si>
  <si>
    <t>Wymiar:</t>
  </si>
  <si>
    <t>méretek:</t>
  </si>
  <si>
    <t>Dimenzia:</t>
  </si>
  <si>
    <t>Dimensie:</t>
  </si>
  <si>
    <t>Dimenzije:</t>
  </si>
  <si>
    <t>Mått:</t>
  </si>
  <si>
    <t>Dimensjon:</t>
  </si>
  <si>
    <t>Distanzhalter</t>
  </si>
  <si>
    <t>spacer bracket</t>
  </si>
  <si>
    <t>Equerre de fixation</t>
  </si>
  <si>
    <t>Distanziatore</t>
  </si>
  <si>
    <t>Rozpěrka</t>
  </si>
  <si>
    <t>Uchwyt dystansowy</t>
  </si>
  <si>
    <t>Távtartó</t>
  </si>
  <si>
    <t>dištančný držiak</t>
  </si>
  <si>
    <t>Afstandshouder</t>
  </si>
  <si>
    <t>Distančnik</t>
  </si>
  <si>
    <t>distanser</t>
  </si>
  <si>
    <t>Afstandsstykke</t>
  </si>
  <si>
    <t>Avstandsstykke</t>
  </si>
  <si>
    <t>Odstojnik</t>
  </si>
  <si>
    <t>Doppelstehfalz mit Falzabdichtung</t>
  </si>
  <si>
    <t>double-lock standing seam with seam sealing</t>
  </si>
  <si>
    <t>joint debout à double agrafe avec insert d’étanchéité</t>
  </si>
  <si>
    <t>Doppia aggraffatura con aggraffatura sigillata</t>
  </si>
  <si>
    <t>dvojitá stojatá drážka s těsněním</t>
  </si>
  <si>
    <t>Rąbek stojący podwójny z uszczelnieniem połączeń</t>
  </si>
  <si>
    <t>Kettős állókorc korctömítéssel</t>
  </si>
  <si>
    <t>dvojitá stojatá drážka s utesnením falcov</t>
  </si>
  <si>
    <t>Dubbele naad met naadafdichting</t>
  </si>
  <si>
    <t>Dvojni stoječi zgib z zatesnitvijo zgiba</t>
  </si>
  <si>
    <t>Dubbel stående fals med falstätning</t>
  </si>
  <si>
    <t>Dobbelt stående fals med falsafdækning</t>
  </si>
  <si>
    <t>Stående dobbelfals med falstetning</t>
  </si>
  <si>
    <t>Dvostruki stojeći falc s brtvljenjem falca</t>
  </si>
  <si>
    <t>Doppelstehfalzdeckung (Prefalz)</t>
  </si>
  <si>
    <t>double-lock standing seam Prefalz</t>
  </si>
  <si>
    <t>couverture à joint debout à double agrafe (PREFALZ )</t>
  </si>
  <si>
    <t>Copertura con doppia aggraffatura (PREFALZ)</t>
  </si>
  <si>
    <t>krytí PREFALZ na dvojitou stojatou drážku</t>
  </si>
  <si>
    <t>Pokrycie dachowe na podwójny rąbek stojący (PREFALZ)</t>
  </si>
  <si>
    <t>Kettős állókorcos fedés (PREFALZ)</t>
  </si>
  <si>
    <t>krytina na dvojitú stojatú drážku (PREFALZ)</t>
  </si>
  <si>
    <t>Dubbele naaddakbedekking (PREFALZ)</t>
  </si>
  <si>
    <t>Kritina z dvojnim stoječim zgibom (PREFALZ)</t>
  </si>
  <si>
    <t>Tak med dubbel stående fals (PREFALZ)</t>
  </si>
  <si>
    <t>Dobbeltstående falsafdækning (PREFALZ)</t>
  </si>
  <si>
    <t>Kledning med stående dobbelfals (PREFALZ)</t>
  </si>
  <si>
    <t>Pokrov s dvostrukim stojećim falcom (PREFALZ)</t>
  </si>
  <si>
    <t>Doppelstehfalzdeckung (PREFALZ)</t>
  </si>
  <si>
    <t>Doppelter Querfalz</t>
  </si>
  <si>
    <t>double transverse seam</t>
  </si>
  <si>
    <t>agrafure transversale double</t>
  </si>
  <si>
    <t>Aggraffatura trasversale doppia</t>
  </si>
  <si>
    <t>Dvojitá příčná drážka</t>
  </si>
  <si>
    <t>Łączenie na podwójną zakładkę</t>
  </si>
  <si>
    <t>Dupla keresztkorc</t>
  </si>
  <si>
    <t>dvojitá priečna drážka</t>
  </si>
  <si>
    <t>Dubbele kruisnaad</t>
  </si>
  <si>
    <t>Dvojni prečni zgib</t>
  </si>
  <si>
    <t>dubbel korsfals</t>
  </si>
  <si>
    <t>Dobbelt tværfals</t>
  </si>
  <si>
    <t>Dobbel tverrfals</t>
  </si>
  <si>
    <t>Dvostruki križni falc</t>
  </si>
  <si>
    <t>Eckverbinder für Rohr</t>
  </si>
  <si>
    <t>corner connector for pipe</t>
  </si>
  <si>
    <t>pièce d’assemblage d’angle pour tube</t>
  </si>
  <si>
    <t>Raccordo angolare per Tubo</t>
  </si>
  <si>
    <t xml:space="preserve">spojka trubky sněhové zábrany </t>
  </si>
  <si>
    <t>Narożne złącze Rury</t>
  </si>
  <si>
    <t>sarok összekötő elem hófogócsőhöz</t>
  </si>
  <si>
    <t>rohová spojka pre rúru</t>
  </si>
  <si>
    <t>hoekverbinding voor buis</t>
  </si>
  <si>
    <t>vogalni zaključek za cev</t>
  </si>
  <si>
    <t>kantanslutning för PREFA-rör</t>
  </si>
  <si>
    <t>hjørneforbinder til rør</t>
  </si>
  <si>
    <t>hjørnetilkobling for rør</t>
  </si>
  <si>
    <t>Kutni spojni element za cijev</t>
  </si>
  <si>
    <t>Eckverbinderwinkel</t>
  </si>
  <si>
    <t>corner connector</t>
  </si>
  <si>
    <t>pièce d’assemblage d’angle</t>
  </si>
  <si>
    <t>Angolo del raccordo angolare</t>
  </si>
  <si>
    <t>Rohový spojovací úhelník</t>
  </si>
  <si>
    <t>Narożny łącznik kątowy</t>
  </si>
  <si>
    <t>Sarokcsatlakozó szeglet</t>
  </si>
  <si>
    <t>rohový spojovací profil</t>
  </si>
  <si>
    <t>Hoekverbindingshoek</t>
  </si>
  <si>
    <t>Vogalni kotnik</t>
  </si>
  <si>
    <t>hörnkopplingsfäste</t>
  </si>
  <si>
    <t>Hjørneforbindelsesbeslag</t>
  </si>
  <si>
    <t>Hjørnekoblingsbrakett</t>
  </si>
  <si>
    <t>Kut kutnog spojnog elementa</t>
  </si>
  <si>
    <t>Eckwinkel außen</t>
  </si>
  <si>
    <t>external corner flashing</t>
  </si>
  <si>
    <t>équerre d’angle sortant</t>
  </si>
  <si>
    <t>Angolare esterno</t>
  </si>
  <si>
    <t>Rohový úhelník vnější</t>
  </si>
  <si>
    <t>Łącznik narożny zewnętrzny</t>
  </si>
  <si>
    <t>Külső sarokszeglet</t>
  </si>
  <si>
    <t>rohový profil vonkajší</t>
  </si>
  <si>
    <t>Hoek buiten</t>
  </si>
  <si>
    <t>Kotnik zunaj</t>
  </si>
  <si>
    <t>hörnvinkel utvändigt</t>
  </si>
  <si>
    <t>Ydre hjørnevinkel</t>
  </si>
  <si>
    <t>Hjørnebrakett utvendig</t>
  </si>
  <si>
    <t>Kutni element, vanjski</t>
  </si>
  <si>
    <t>Eckwinkel außen (2-teilig)</t>
  </si>
  <si>
    <t>external corner flashing (two parts) – PREFA</t>
  </si>
  <si>
    <t>équerre d’angle sortant (2 éléments)</t>
  </si>
  <si>
    <t>Angolare esterno (2 parti)</t>
  </si>
  <si>
    <t>Rohový úhelník vnější (dvoudílný)</t>
  </si>
  <si>
    <t>Łącznik narożny zewnętrzny (2-częściowy)</t>
  </si>
  <si>
    <t>Külső sarokszeglet (2-részes)</t>
  </si>
  <si>
    <t>rohový profil vonkajší (2-dielny)</t>
  </si>
  <si>
    <t>Hoek buiten (2-delig)</t>
  </si>
  <si>
    <t>Kotnik zunaj (2-delni)</t>
  </si>
  <si>
    <t>utvändigt hörnfäste (2-delat)</t>
  </si>
  <si>
    <t>Ydre hjørnevinkel (2-delt)</t>
  </si>
  <si>
    <t>Hjørnebrakett utvendig (2-delt)</t>
  </si>
  <si>
    <t>Kutni element, vanjski (2-dijelni)</t>
  </si>
  <si>
    <t>Eckwinkel außen (Länge: 2.500 mm)</t>
  </si>
  <si>
    <t>external corner flashing; L = 2,500 mm</t>
  </si>
  <si>
    <t>équerre d’angle sortant (longueur : 2 500 mm)</t>
  </si>
  <si>
    <t>angolare esterno; L = 2500 mm</t>
  </si>
  <si>
    <t>roh vnější , délka 2500 mm</t>
  </si>
  <si>
    <t>Narożnik zewnętrzny L=2500 mm</t>
  </si>
  <si>
    <t>külső sarok profil H = 2.500 mm</t>
  </si>
  <si>
    <t>rohový profil vonkajší (dĺžka: 2500 mm)</t>
  </si>
  <si>
    <t>hoek buiten L = 2500 mm</t>
  </si>
  <si>
    <t>Kotnik zunaj (dolžina: 2.500 mm)</t>
  </si>
  <si>
    <t>utvändig hörnvinkel L = 2.500 mm</t>
  </si>
  <si>
    <t>hjørnevinkel udvendig L = 2.500 mm</t>
  </si>
  <si>
    <t>utvendig hjørnevinkel L = 2500 mm</t>
  </si>
  <si>
    <t>Kut vanjski L = 2.500 mm</t>
  </si>
  <si>
    <t>Eckwinkel innen</t>
  </si>
  <si>
    <t>internal corner flashing</t>
  </si>
  <si>
    <t>équerre d’angle rentrant</t>
  </si>
  <si>
    <t>Angolare interno</t>
  </si>
  <si>
    <t>Rohový úhelník vnitřní</t>
  </si>
  <si>
    <t>Łącznik narożny wewnętrzny</t>
  </si>
  <si>
    <t>Belső sarokszeglet</t>
  </si>
  <si>
    <t>rohový profil vnútorný</t>
  </si>
  <si>
    <t>Hoek binnen</t>
  </si>
  <si>
    <t>Kotnik znotraj</t>
  </si>
  <si>
    <t>hörnvinkel invändig</t>
  </si>
  <si>
    <t>Indre hjørnevinkel</t>
  </si>
  <si>
    <t>Hjørnebrakett innvendig</t>
  </si>
  <si>
    <t>Kutni element, unutarnji</t>
  </si>
  <si>
    <t>Einfacher Querfalz</t>
  </si>
  <si>
    <t>simple transverse seam</t>
  </si>
  <si>
    <t>Agrafure transversale simple</t>
  </si>
  <si>
    <t>Aggraffatura trasversale semplice</t>
  </si>
  <si>
    <t>Jednoduchá příčná drážka</t>
  </si>
  <si>
    <t>Łączenie na pojedynczą zakładkę</t>
  </si>
  <si>
    <t>Egyszerű keresztkorc</t>
  </si>
  <si>
    <t>jednoduchá priečna drážka</t>
  </si>
  <si>
    <t>Enkele kruisnaad</t>
  </si>
  <si>
    <t>Enostavni prečni zgib</t>
  </si>
  <si>
    <t>enkel korsfals</t>
  </si>
  <si>
    <t>Enkelt tværfals</t>
  </si>
  <si>
    <t>Enkel tverrfals</t>
  </si>
  <si>
    <t>Jednostavan križni falc</t>
  </si>
  <si>
    <t>einfalzen</t>
  </si>
  <si>
    <t>fold in</t>
  </si>
  <si>
    <t>agrafer</t>
  </si>
  <si>
    <t>aggraffare</t>
  </si>
  <si>
    <t>zadrážkovat</t>
  </si>
  <si>
    <t>zakładanie</t>
  </si>
  <si>
    <t>befalcolás</t>
  </si>
  <si>
    <t>napojiť drážkovaním</t>
  </si>
  <si>
    <t>naar binnen vouwen</t>
  </si>
  <si>
    <t>zgibanje</t>
  </si>
  <si>
    <t>infällning</t>
  </si>
  <si>
    <t>indfalsning</t>
  </si>
  <si>
    <t>Innfalsing</t>
  </si>
  <si>
    <t>pregibanje</t>
  </si>
  <si>
    <t>Einfassung für Roto (stucco)</t>
  </si>
  <si>
    <t>flashing for Roto roof windows; stucco</t>
  </si>
  <si>
    <t>raccordement pour fenêtres Roto (stucco)</t>
  </si>
  <si>
    <t>Conversa per lucernari Roto, goffrata</t>
  </si>
  <si>
    <t>Lemování pro střešní okna Roto stucco</t>
  </si>
  <si>
    <t>kołnierz do okien dachowych Roto; stucco</t>
  </si>
  <si>
    <t>burkolókeret Roto tetősíkablakhoz, stukkó</t>
  </si>
  <si>
    <t>lemovanie pre Roto (stucco)</t>
  </si>
  <si>
    <t>omlijsting voor Roto-ramen voor platte daken stucco</t>
  </si>
  <si>
    <t>obroba za Roto strešna okna stucco</t>
  </si>
  <si>
    <t>infattning för Roto-takfönster stuckatur</t>
  </si>
  <si>
    <t>indfatning til Roto-tagfladevindue stucco</t>
  </si>
  <si>
    <t>omramming for Roto-takvindu stucco</t>
  </si>
  <si>
    <t>Opšav za Roto (stucco)</t>
  </si>
  <si>
    <t>Einfassung für Roto-Dachflächenfenster (stucco)</t>
  </si>
  <si>
    <t>raccordement pour fenêtres de toit Roto (stucco)</t>
  </si>
  <si>
    <t>lemovanie pre strešné okná Roto (stucco)</t>
  </si>
  <si>
    <t>Einfassung für Roto-Dachflächenfenster stucco_SW</t>
  </si>
  <si>
    <t>omkadering voor ROTO-dakvensters stucco</t>
  </si>
  <si>
    <t>Indfalsning til Roto-tagvindue (stucco)</t>
  </si>
  <si>
    <t>Ramme for Roto-takvinduer (stucco)</t>
  </si>
  <si>
    <t>Opšav za Roto ležeće krovne prozore (stucco)</t>
  </si>
  <si>
    <t>Einfassung für Roto-Q-Serie (stucco)</t>
  </si>
  <si>
    <t>flashings for Roto Q Series</t>
  </si>
  <si>
    <t>raccordement pour fenêtres Roto Q (stucco)</t>
  </si>
  <si>
    <t>Conversa goffrata per Roto Serie Q</t>
  </si>
  <si>
    <t>Lemování pro střešní okna Roto-Q-Serie (stucco)</t>
  </si>
  <si>
    <t>Kołnierz do serii Roto-Q (stucco)</t>
  </si>
  <si>
    <t>Burkoló keret Roto-Q-sorozathoz (stukkó)</t>
  </si>
  <si>
    <t>lemovanie pre sériu Roto-Q (stucco)</t>
  </si>
  <si>
    <t>Rand voor Roto-Q serie (stucwerk)</t>
  </si>
  <si>
    <t>Okvir za serijo Roto-Q (štukatura)</t>
  </si>
  <si>
    <t>ram för Roto-Q-serien (stuckatur)</t>
  </si>
  <si>
    <t>Indfalsning til Roto-Q-serie (stucco)</t>
  </si>
  <si>
    <t>Ramme for Roto Q-serien (stucco)</t>
  </si>
  <si>
    <t>Opšav za Roto-Q seriju (stucco)</t>
  </si>
  <si>
    <t>Einfassung für Velux (stucco)</t>
  </si>
  <si>
    <t>flashing for Velux roof windows; stucco</t>
  </si>
  <si>
    <t>raccordement pour fenêtres Velux (stucco)</t>
  </si>
  <si>
    <t>Conversa per lucernari Velux, goffrata</t>
  </si>
  <si>
    <t>Lemování pro střešní okna Veluxr stucco</t>
  </si>
  <si>
    <t>kołnierz do okien dachowych Velux; stucco</t>
  </si>
  <si>
    <t>burkolókeret Velux tetősíkablakhoz, stukkó</t>
  </si>
  <si>
    <t>lemovanie pre Velux (stucco)</t>
  </si>
  <si>
    <t>omlijsting voor Velux-ramen voor platte daken stucco</t>
  </si>
  <si>
    <t>obrobe za velux strešna okna stucco</t>
  </si>
  <si>
    <t>infattning för Velux-takfönster stuckatur</t>
  </si>
  <si>
    <t>indfatning til Velux-tagfladevindue stucco</t>
  </si>
  <si>
    <t>omramming for Velux-takvindu stucco</t>
  </si>
  <si>
    <t>Opšav za Velux (stucco)</t>
  </si>
  <si>
    <t>Einfassung für Velux-Dachflächenfenster (stucco)</t>
  </si>
  <si>
    <t>raccordement pour fenêtres de toit Velux (stucco)</t>
  </si>
  <si>
    <t>lemovanie pre strešné okná Velux (stucco)</t>
  </si>
  <si>
    <t>Einfassung für Velux-Dachflächenfenster stucco_SW</t>
  </si>
  <si>
    <t>omkadering voor VELUX-dakvensters stucco</t>
  </si>
  <si>
    <t>Indfalsning til Velux-tagvindue (stucco)</t>
  </si>
  <si>
    <t>Ramme for Velux-takvinduer (stucco)</t>
  </si>
  <si>
    <t>Opšav za Velux ležeće krovne prozore (stucco)</t>
  </si>
  <si>
    <t>Einfassungsplatte für Dachplatte; glatt; ⌀ 80–125 mm</t>
  </si>
  <si>
    <t>vent pipe cover for roof tile, smooth, Ø 80–125 mm</t>
  </si>
  <si>
    <t>raccordement de ventilation pour tuiles ; lisse ; ⌀ 80-125 mm</t>
  </si>
  <si>
    <t>PREFAConversa di ventilazione per Tegole, liscia, per tubi Ø 80 - 125 mm</t>
  </si>
  <si>
    <t>Prostup pro falcované tašky hladký, Ø 80 - 125 mm</t>
  </si>
  <si>
    <t>element wentylacyjny dla dachówek klasycznych, gładki, Ø 80–125 mm</t>
  </si>
  <si>
    <t>kivezető elem Classic elemhez, sima, Ø 80 - 125 mm</t>
  </si>
  <si>
    <t>prestup pre falcované škridle; hladký; Ø 80 - 125 mm</t>
  </si>
  <si>
    <t>inwerkplaat voor dakplaat, glad, Ø 80 - 125 mm</t>
  </si>
  <si>
    <t>prehodna plošča za strešne plošče, gladka, premer 80 - 125 mm</t>
  </si>
  <si>
    <t>infattningsplatta för takplatta, slät, Ø 80-125 mm</t>
  </si>
  <si>
    <t>indfatningsplade til tagplade, glat, Ø 80 - 125 mm</t>
  </si>
  <si>
    <t>innfatningsplate for takplate, glatt, Ø 80 - 125 mm</t>
  </si>
  <si>
    <t>Podložna ploča za krovnu ploču; glatka, ⌀ 80-125 mm</t>
  </si>
  <si>
    <t>Einfassungsplatte für Dachraute 29 × 29; glatt; ⌀ 80–125 mm</t>
  </si>
  <si>
    <t>vent pipe cover for rhomboid roof tile 29 × 29, smooth, ⌀ 80–125 mm</t>
  </si>
  <si>
    <t>raccordement de ventilation pour losanges de toiture 29 × 29 ; lisse ; ⌀ 80-125 mm</t>
  </si>
  <si>
    <t>Conversa per Scaglia 29, liscia, Ø 80 - 125 mm</t>
  </si>
  <si>
    <t>Prostup pro Falcovanou šablonu 29x29, hladký, Ø 80 - 125 mm</t>
  </si>
  <si>
    <t>Element wentylacyjny dla Dachówka romb 29 × 29, gładki, ⌀ 80–125 mm</t>
  </si>
  <si>
    <t>kivezető elem 29x29 tetőfedő rombuszhoz, sima, Ø 80 - 125 mm</t>
  </si>
  <si>
    <t>prestupový prvok pre strešnú šablónu 29x29, hladký, Ø 80 - 125 mm</t>
  </si>
  <si>
    <t>inwerkplaat voor daklosange 29 × 29, glad, ⌀ 80 – 125 mm</t>
  </si>
  <si>
    <t>prehodna plošča za strešni romb 29x29, gladka, Ø80 - 125 mm</t>
  </si>
  <si>
    <t>infattningsplatta för takromb 29 × 29, slät, ⌀ 80-125 mm</t>
  </si>
  <si>
    <t>indfatningsplade til rudeformet tagplade 29 × 29, glat, ⌀ 80–125 mm</t>
  </si>
  <si>
    <t>innfatningsplate for takstein 29 × 29, glatt, ⌀ 80–125 mm</t>
  </si>
  <si>
    <t>Podložna ploča za krovni romb 29 × 29; glatka; ⌀ 80–125 mm</t>
  </si>
  <si>
    <t>Einfassungsplatte für Dachraute 44 × 44; glatt; ⌀ 80–125 mm</t>
  </si>
  <si>
    <t>vent pipe cover for rhomboid roof tile 44 × 44, smooth, ⌀ 80–125 mm</t>
  </si>
  <si>
    <t>raccordement de ventilation pour losanges de toiture 44 × 44 ; lisse ; ⌀ 80-125 mm</t>
  </si>
  <si>
    <t>Conversa per Scaglia 44, liscia, Ø 80 - 125 mm</t>
  </si>
  <si>
    <t>Prostup pro Falcovanou šablonu 44x44, hladký Ø 80 - 125 mm</t>
  </si>
  <si>
    <t>Element wentylacyjny dla Dachówka romb 44 × 44, gładki, ⌀ 80–125 mm</t>
  </si>
  <si>
    <t>kivezető elem 44x44 tetőfedő rombuszhoz, sima, Ø 80 - 125 mm</t>
  </si>
  <si>
    <t>prestupový prvok pre strešnú šablónu 44x44, hladký, Ø 80 - 125 mm</t>
  </si>
  <si>
    <t>inwerkplaat voor daklosange 44 × 44, glad, ⌀ 80 – 125 mm</t>
  </si>
  <si>
    <t>prehodna plošča za strešni romb 44x44, gladka, Ø80-125</t>
  </si>
  <si>
    <t>infattningsplatta för takromb 44 × 44, slät, ⌀ 80-125 mm</t>
  </si>
  <si>
    <t>indfatningsplade til rudeformet tagplade 44 × 44, glat, ⌀ 80–125 mm</t>
  </si>
  <si>
    <t>innfatningsplate for takstein 44 × 44, glatt, ⌀ 80–125 mm</t>
  </si>
  <si>
    <t>Podložna ploča za krovni romb 44 × 44; glatka; ⌀ 80–125 mm</t>
  </si>
  <si>
    <t>Einfassungsplatte für Dachschindel</t>
  </si>
  <si>
    <t>vent pipe cover for shingle</t>
  </si>
  <si>
    <t>raccordement de ventilation pour bardeaux</t>
  </si>
  <si>
    <t>Conversa per Scandola, liscia, Ø 80 - 125 mm</t>
  </si>
  <si>
    <t>Prostup pro falcovaný šindel</t>
  </si>
  <si>
    <t>Element wentylacyjny dla Dachówka łupkowa</t>
  </si>
  <si>
    <t>kivezető elem tetőfedő zsindelyhez</t>
  </si>
  <si>
    <t>prestupový prvok pre strešný šindeľ</t>
  </si>
  <si>
    <t>inwerkplaat voor dakschindel</t>
  </si>
  <si>
    <t xml:space="preserve">prehodna plošča za strešno skodlo </t>
  </si>
  <si>
    <t>infattningsplatta för takshingel</t>
  </si>
  <si>
    <t>indfatningsplade til tagspån</t>
  </si>
  <si>
    <t>innfatningsplate for takshingel</t>
  </si>
  <si>
    <t>Podložna ploča za krovnu šindru</t>
  </si>
  <si>
    <t>eingesetztes Siding mechanisch befestigen</t>
  </si>
  <si>
    <t>fasten the new siding mechanically</t>
  </si>
  <si>
    <t>fixer mécaniquement le Siding mis en place</t>
  </si>
  <si>
    <t>Fissare meccanicamente la Doga inserita</t>
  </si>
  <si>
    <t>Mechanicky upevnit vložený Siding</t>
  </si>
  <si>
    <t>mechaniczne mocowanie założonego sidingu</t>
  </si>
  <si>
    <t>behelyezett Siding mechanikus rögzítése</t>
  </si>
  <si>
    <t>vložený Siding mechanicky upevniť</t>
  </si>
  <si>
    <t>Mechanische bevestiging van de ingevoegde siding</t>
  </si>
  <si>
    <t>mehanska pritrditev uporabljene obloge Siding</t>
  </si>
  <si>
    <t>mekanisk infästning av siding</t>
  </si>
  <si>
    <t>mekanisk fastgørelse af indsat siding</t>
  </si>
  <si>
    <t>Innfelt, mekanisk festet Siding</t>
  </si>
  <si>
    <t>mehanički pričvrstiti korištenu fasadnu kazetu</t>
  </si>
  <si>
    <t>Einhängstreifen / Traufstreifen</t>
  </si>
  <si>
    <t>mounting strip / edge cleat strip</t>
  </si>
  <si>
    <t>bande d’accrochage / bande de départ</t>
  </si>
  <si>
    <t>Strisce sospese/Strisce di gronda</t>
  </si>
  <si>
    <t>zatahovací pás</t>
  </si>
  <si>
    <t>Listwy wiszące / listwy okapowe</t>
  </si>
  <si>
    <t>Függőszegély / ereszszegély</t>
  </si>
  <si>
    <t>zaťahovací pás/odkvapový pás</t>
  </si>
  <si>
    <t>Hangstrips / dakrandstrips</t>
  </si>
  <si>
    <t>Obesni trakovi/trakovi za napušče</t>
  </si>
  <si>
    <t>hängremsor/takfotsremsor</t>
  </si>
  <si>
    <t>Ophængslister/tagrender</t>
  </si>
  <si>
    <t>Hengelister/takfotlister</t>
  </si>
  <si>
    <t>Viseća traka / traka za strehu</t>
  </si>
  <si>
    <t>Einheit</t>
  </si>
  <si>
    <t>Unit</t>
  </si>
  <si>
    <t>unité</t>
  </si>
  <si>
    <t>UDM</t>
  </si>
  <si>
    <t>Jednotka</t>
  </si>
  <si>
    <t>egység</t>
  </si>
  <si>
    <t>Eenheid</t>
  </si>
  <si>
    <t>enota</t>
  </si>
  <si>
    <t>Enhet</t>
  </si>
  <si>
    <t>Enhed</t>
  </si>
  <si>
    <t>Jedinica</t>
  </si>
  <si>
    <t>Einlaufblech</t>
  </si>
  <si>
    <t>eaves apron</t>
  </si>
  <si>
    <t>larmier d’égout</t>
  </si>
  <si>
    <t>Scossalina</t>
  </si>
  <si>
    <t>krycí plech</t>
  </si>
  <si>
    <t>Pas podrynnowy</t>
  </si>
  <si>
    <t>Cseppentő lemez</t>
  </si>
  <si>
    <t>odkvapový plech</t>
  </si>
  <si>
    <t>Inlaatplaat</t>
  </si>
  <si>
    <t>Odkap</t>
  </si>
  <si>
    <t>inloppsplåt</t>
  </si>
  <si>
    <t>Indløb</t>
  </si>
  <si>
    <t>Innløpsplate</t>
  </si>
  <si>
    <t>Uljevni lim</t>
  </si>
  <si>
    <t>Einlaufblech (230 × 2.000 × 0,7 mm)</t>
  </si>
  <si>
    <t>eaves apron strip (230 × 2,000 × 0.7 mm)</t>
  </si>
  <si>
    <t>larmier d’égout (230 × 2 000 × 0,7 mm)</t>
  </si>
  <si>
    <t>Grondalina 230 x 2.000 x 0.7 mm</t>
  </si>
  <si>
    <t>Okapový plech pod folii 230 x 2.000 x 0.7 mm</t>
  </si>
  <si>
    <t>Okap? 230 × 2.000 × 0,7 mm</t>
  </si>
  <si>
    <t>cseppentő lemez 230 x 2.000 x 0.7 mm</t>
  </si>
  <si>
    <t>odkvapový plech (230 x 2.000 x 0.7 mm)</t>
  </si>
  <si>
    <t>inloopplaat 230 × 2000 × 0,7 mm</t>
  </si>
  <si>
    <t>odkapna pločevina 230 x 2.000 x 0,7 mm</t>
  </si>
  <si>
    <t>avrinningsplåt 230 × 2.000 × 0,7 mm</t>
  </si>
  <si>
    <t>indløbsplade 230 × 2.000 × 0,7 mm</t>
  </si>
  <si>
    <t>avrenningsplate 230 × 2000 × 0,7 mm</t>
  </si>
  <si>
    <t>Uljevni lim (230 × 2.000 × 0,7 mm)</t>
  </si>
  <si>
    <t>Einlaufblech glatt</t>
  </si>
  <si>
    <t>eaves drip edge smooth</t>
  </si>
  <si>
    <t>larmier d’égout (lisse)</t>
  </si>
  <si>
    <t>Grondalina liscia</t>
  </si>
  <si>
    <t>Okapový plech hladký</t>
  </si>
  <si>
    <t>Okap ??gładki</t>
  </si>
  <si>
    <t>cseppentő lemez sima</t>
  </si>
  <si>
    <t>odkvapový plech (hladký)</t>
  </si>
  <si>
    <t>inloopplaat glad</t>
  </si>
  <si>
    <t>odkapna pločevina gladka 230 x 2.000 x 0,7 mm</t>
  </si>
  <si>
    <t>avrinningsplåt slät</t>
  </si>
  <si>
    <t>indløbsplade glat</t>
  </si>
  <si>
    <t>avrenningsplate glatt</t>
  </si>
  <si>
    <t>Uljevni lim (glatki)</t>
  </si>
  <si>
    <t>Einlaufblech (glatt)</t>
  </si>
  <si>
    <t>Einlaufblech glatt (230 × 2.000 × 0,7 mm)</t>
  </si>
  <si>
    <t>eaves drip edge smooth (230 × 2,000 × 0.7 mm)</t>
  </si>
  <si>
    <t>larmier d’égout (lisse ; 230 × 2 000 × 0,7 mm)</t>
  </si>
  <si>
    <t>Grondalina standard liscia 230 x 2.000 x 0,7 mm</t>
  </si>
  <si>
    <t>Okapnička pod folii-hladká 230 x 2.000 x 0,7 mm</t>
  </si>
  <si>
    <t>pas podrynnowy, gładki (230 × 2,000 × 0.7 mm)</t>
  </si>
  <si>
    <t>cseppentőlemez sima 230 × 2.000 × 0,7 mm</t>
  </si>
  <si>
    <t>odkapový plech (hladký; 230 × 2.000 × 0,7 mm)</t>
  </si>
  <si>
    <t>inloopplaat glad 230 × 2000 × 0,7 mm</t>
  </si>
  <si>
    <t>inloppsplåt slät 230 × 2.000 × 0,7 mm</t>
  </si>
  <si>
    <t>indløbsplade glat 230 × 2.000 × 0,7 mm</t>
  </si>
  <si>
    <t>avrenningsplate glatt 230 × 2000 × 0,7 mm</t>
  </si>
  <si>
    <t>Uljevni lim (glatki, 230 × 2.000 × 0,7 mm)</t>
  </si>
  <si>
    <t>Einlaufblech (glatt; 230 × 2.000 × 0,7 mm)</t>
  </si>
  <si>
    <t>Einlegebügel (selbst gekantet)</t>
  </si>
  <si>
    <t>insert hanger (to be canted by installer)</t>
  </si>
  <si>
    <t>étrier de fixation (plié par l’installateur)</t>
  </si>
  <si>
    <t>Staffa da inserimento (squadrata)</t>
  </si>
  <si>
    <t>mezistřešní hák (zámečnický prvek)</t>
  </si>
  <si>
    <t>Wspornik wkładany (samozaciskowy)</t>
  </si>
  <si>
    <t>Betétkonzol (hajtott)</t>
  </si>
  <si>
    <t>vkladací hák (vlastný ohyb)</t>
  </si>
  <si>
    <t>Inzetstuk beugel (zelfgeslepen)</t>
  </si>
  <si>
    <t>Vstavitveni nosilec (lastna obroba)</t>
  </si>
  <si>
    <t>Insättningsfäste (kantas själv)</t>
  </si>
  <si>
    <t>Monteringsbøjle (kantet)</t>
  </si>
  <si>
    <t>Innleggsbøyle (også kantet)</t>
  </si>
  <si>
    <t>Unutarnji nosač (mora se kantirati)</t>
  </si>
  <si>
    <t>Einschalige Dachausbildung</t>
  </si>
  <si>
    <t>single-skin roof construction</t>
  </si>
  <si>
    <t>toit simple peau</t>
  </si>
  <si>
    <t>Realizzazione copertura monostrato</t>
  </si>
  <si>
    <t>hřebenové odvětrání jednostranné</t>
  </si>
  <si>
    <t>Konstrukcja dachu jednowarstwowego</t>
  </si>
  <si>
    <t>Egyhéjú tetőszerkezet</t>
  </si>
  <si>
    <t>jednoplášťové vyhotovenie strechy</t>
  </si>
  <si>
    <t>Enkelwandige dakconstructie</t>
  </si>
  <si>
    <t>Strešna konstrukcija z enojnim opažem</t>
  </si>
  <si>
    <t>enkelskalig takkonstruktion</t>
  </si>
  <si>
    <t>En-skals tag</t>
  </si>
  <si>
    <t>Ettlags takkonstruksjon</t>
  </si>
  <si>
    <t>Jednoslojna krovna konstrukcija</t>
  </si>
  <si>
    <t>Einschaliger Aufbau – Dachgeschoß nicht ausgebaut</t>
  </si>
  <si>
    <t>single-skin structure — unconverted attic</t>
  </si>
  <si>
    <t>toit simple peau — combles non aménagés</t>
  </si>
  <si>
    <t>Struttura monostrato - Sottotetto non abitabile</t>
  </si>
  <si>
    <t>Jednoplášťová střešní skladba - neobytný podstřešní prostor</t>
  </si>
  <si>
    <t>Konstrukcja jednowarstwowa – poddasze nieużytkowe</t>
  </si>
  <si>
    <t>Egyhéjú rétegrend – beépítetlen tetőtér</t>
  </si>
  <si>
    <t>jednoplášťová skladba strechy – nevyužívané podkrovie na obytné účely</t>
  </si>
  <si>
    <t>Enkelwandige montage - zolder niet uitgebouwd</t>
  </si>
  <si>
    <t>Konstrukcija z enojnim opažem – podstrešje ni razširjeno</t>
  </si>
  <si>
    <t>enkelskalig konstruktion – ej utbyggd vind</t>
  </si>
  <si>
    <t>En-skalskonstruktion - loftsrum ikke udvidet</t>
  </si>
  <si>
    <t>Ettlags oppbygging – loftsetasje er ikke ombygd</t>
  </si>
  <si>
    <t>Jednoslojna konstrukcija – potkrovlje nije preuređeno</t>
  </si>
  <si>
    <t>Einschubkeil</t>
  </si>
  <si>
    <t>insert wedge</t>
  </si>
  <si>
    <t>coyau</t>
  </si>
  <si>
    <t>Cuneo di inserimento</t>
  </si>
  <si>
    <t>Jednoplášťová střešní skladba</t>
  </si>
  <si>
    <t>Klin wprowadzający</t>
  </si>
  <si>
    <t>Betétes ék</t>
  </si>
  <si>
    <t>Insteekspie</t>
  </si>
  <si>
    <t>Vrivni klin</t>
  </si>
  <si>
    <t>inskjutbar kil</t>
  </si>
  <si>
    <t>Skydekile</t>
  </si>
  <si>
    <t>Innskyvningskile</t>
  </si>
  <si>
    <t>Klizni klin</t>
  </si>
  <si>
    <t>Einseitige Firstentlüftung</t>
  </si>
  <si>
    <t>one-sided ridge ventilation</t>
  </si>
  <si>
    <t>ventilation de faîtière unilatérale</t>
  </si>
  <si>
    <t>Aerazione di colmo unilaterale</t>
  </si>
  <si>
    <t>Jednostronna wentylacja kalenicowa</t>
  </si>
  <si>
    <t>Egyoldali gerincszellőztetés</t>
  </si>
  <si>
    <t>jednostranné odvetrávanie hrebeňa</t>
  </si>
  <si>
    <t>Enkelzijdige nokventilatie</t>
  </si>
  <si>
    <t>Enostransko prezračevanje slemena</t>
  </si>
  <si>
    <t>enkelsidig nockventilation</t>
  </si>
  <si>
    <t>Ensidet rygningsventilation</t>
  </si>
  <si>
    <t>Ensidig møneventilasjon</t>
  </si>
  <si>
    <t>Jednostrano odzračivanje sljemena</t>
  </si>
  <si>
    <t>Einzelanschlagspunkt</t>
  </si>
  <si>
    <t>single anchor point</t>
  </si>
  <si>
    <t>point d’ancrage unique</t>
  </si>
  <si>
    <t>Punto di attacco singolo</t>
  </si>
  <si>
    <t>EAP kotvící zařízení</t>
  </si>
  <si>
    <t>Pojedynczy punkt mocowania</t>
  </si>
  <si>
    <t>Egyszeres rögzítési pont</t>
  </si>
  <si>
    <t>kotviaci bod</t>
  </si>
  <si>
    <t>Enkel bevestigingspunt</t>
  </si>
  <si>
    <t>Ena sidrna točka</t>
  </si>
  <si>
    <t>enkel ankarpunkt</t>
  </si>
  <si>
    <t>Enkelt ankerpunkt</t>
  </si>
  <si>
    <t>Enkeltstående anslagspunkt</t>
  </si>
  <si>
    <t>Jedna točka sidrenja</t>
  </si>
  <si>
    <t>Einzelanschlagspunkt nach EN 795, Klasse A (bis Bahnenbreite von 650 mm)</t>
  </si>
  <si>
    <t>single anchor point according to EN 795, class A (tray length up to 650)</t>
  </si>
  <si>
    <t>point d’ancrage unique selon la norme EN 795, classe A (jusqu’à une longueur de bac de 650 mm)</t>
  </si>
  <si>
    <t>EAP anticaduta conforme EN 795 classe A (per larghezza lastre fino a 650mm)</t>
  </si>
  <si>
    <t>EAP dle EN 795 třída A (šířka pásů do 650)</t>
  </si>
  <si>
    <t>Punkt mocowań lin alpinistycznych (EAP) zgodny z normą EN 795, Klasa A (dla szerokości 650mm)</t>
  </si>
  <si>
    <t>rögzítési pont EN 795 szerint, A osztály (max. 650mm lemezsávszélesség)</t>
  </si>
  <si>
    <t>kotviaci bod podľa EN 795; trieda A (so šírkou 650)</t>
  </si>
  <si>
    <t>enkel aanslagpunt (EAP) conform EN 795, klasse A (tot strokenbreedte 650)</t>
  </si>
  <si>
    <t>EAP po EN 795 razred A (za širine trakov do 650 mm)</t>
  </si>
  <si>
    <t>separat anslagspunkt (SAP) enligt EN 795, klass A (upp till spårbredd 650)</t>
  </si>
  <si>
    <t>enkeltanslagspunkt (EAP) iht. EN 795, klasse A (op til banebredde 650)</t>
  </si>
  <si>
    <t>enkelt anslagspunkt (EAP) iht. EN 795, klasse A (til banebredde 650)</t>
  </si>
  <si>
    <t>Jedna točka sidrenja prema EN 795, klasa A (do širine trake od 650 mm)</t>
  </si>
  <si>
    <t>Einzeltritt</t>
  </si>
  <si>
    <t>safety tread</t>
  </si>
  <si>
    <t>marche de toit</t>
  </si>
  <si>
    <t>Gradino singolo</t>
  </si>
  <si>
    <t>nášlapný stupeň</t>
  </si>
  <si>
    <t>Stopień kominiarski</t>
  </si>
  <si>
    <t>Tetőlépcső</t>
  </si>
  <si>
    <t>stúpací schodík</t>
  </si>
  <si>
    <t>Enkele stap</t>
  </si>
  <si>
    <t>Enojna dimniška stopnica</t>
  </si>
  <si>
    <t>enkelsteg</t>
  </si>
  <si>
    <t>Enkelttrin</t>
  </si>
  <si>
    <t>Enkelttrinn</t>
  </si>
  <si>
    <t>Pojedinačna stepenica</t>
  </si>
  <si>
    <t>Einzeltritt (inkl. zwei Fußteile)</t>
  </si>
  <si>
    <t>safety tread, including two mounts</t>
  </si>
  <si>
    <t>marche de toit (fournie avec deux platines)</t>
  </si>
  <si>
    <t>Gradino singolo, incluse le due basi d'appoggio</t>
  </si>
  <si>
    <t>Nášlapný stupeň</t>
  </si>
  <si>
    <t>stopień kominiarski</t>
  </si>
  <si>
    <t>tipegő két talppal</t>
  </si>
  <si>
    <t>enkele trede incl. twee voetdelen</t>
  </si>
  <si>
    <t>enojna stopnja vklj. Z 2 podložnima elementoma</t>
  </si>
  <si>
    <t>separat fotsteg inkl. två understycken</t>
  </si>
  <si>
    <t>enkelttrin inkl. to foddele</t>
  </si>
  <si>
    <t>enkelttrinn inkl. to underdeler</t>
  </si>
  <si>
    <t>Pojedinačna stepenica (uklj. dvije stope)</t>
  </si>
  <si>
    <t>Eisfänger</t>
  </si>
  <si>
    <t>ice stopper</t>
  </si>
  <si>
    <t>crochet à glace</t>
  </si>
  <si>
    <t>Rompighiaccio</t>
  </si>
  <si>
    <t xml:space="preserve">Zachytávač ledu </t>
  </si>
  <si>
    <t xml:space="preserve"> Łamacz lodu</t>
  </si>
  <si>
    <t>jégkarom</t>
  </si>
  <si>
    <t>zachytávač ľadu</t>
  </si>
  <si>
    <t>ijsvanger</t>
  </si>
  <si>
    <t>zadrževalec ledu</t>
  </si>
  <si>
    <t>isstoppare</t>
  </si>
  <si>
    <t>isfanger</t>
  </si>
  <si>
    <t>Hvatač leda</t>
  </si>
  <si>
    <t>Eisstreifen (Einlaufblech)</t>
  </si>
  <si>
    <t>eaves apron strip</t>
  </si>
  <si>
    <t>Scossalina (lamiera protettiva)</t>
  </si>
  <si>
    <t>Listwa chroniąca przed lodem (pas podrynnowy)</t>
  </si>
  <si>
    <t>Jégszegély (cseppentő lemez)</t>
  </si>
  <si>
    <t>železný pás (odkvapový plech)</t>
  </si>
  <si>
    <t>IJsstrook (inlaatplaat)</t>
  </si>
  <si>
    <t>Trak za led (odkap)</t>
  </si>
  <si>
    <t>isremsor (inmatningsplåt)</t>
  </si>
  <si>
    <t>Islister (indløb)</t>
  </si>
  <si>
    <t>Islister (innløpsplate)</t>
  </si>
  <si>
    <t>Ledena traka (uljevni lim)</t>
  </si>
  <si>
    <t>elastischer Dichtstoff</t>
  </si>
  <si>
    <t>elastic sealant</t>
  </si>
  <si>
    <t>mastic d’étanchéité élastique</t>
  </si>
  <si>
    <t>Isolante elastico</t>
  </si>
  <si>
    <t>trvale elastické těsnění</t>
  </si>
  <si>
    <t>szczeliwo elastyczne</t>
  </si>
  <si>
    <t>rugalmas tömítőanyag</t>
  </si>
  <si>
    <t>elastický tesniaci materiál</t>
  </si>
  <si>
    <t>elastisch afdichtmiddel</t>
  </si>
  <si>
    <t>elastična tesnilna masa</t>
  </si>
  <si>
    <t>elastiskt tätningsmedel</t>
  </si>
  <si>
    <t>elastisk tætningsmiddel</t>
  </si>
  <si>
    <t>Elastisk tetningsmiddel</t>
  </si>
  <si>
    <t>elastično brtvilo</t>
  </si>
  <si>
    <t>E-Mail:</t>
  </si>
  <si>
    <t>Email:</t>
  </si>
  <si>
    <t>Courriel :</t>
  </si>
  <si>
    <t>email:</t>
  </si>
  <si>
    <t>e-mail:</t>
  </si>
  <si>
    <t>E-mail:</t>
  </si>
  <si>
    <t>email</t>
  </si>
  <si>
    <t>E-post:</t>
  </si>
  <si>
    <t>E-pošta:</t>
  </si>
  <si>
    <t>Empfehlung:</t>
  </si>
  <si>
    <t>Recommendation:</t>
  </si>
  <si>
    <t>Recommandation :</t>
  </si>
  <si>
    <t>Suggerimento:</t>
  </si>
  <si>
    <t>Doporučení:</t>
  </si>
  <si>
    <t>Zalecenie:</t>
  </si>
  <si>
    <t>Javaslat:</t>
  </si>
  <si>
    <t>Odporúčanie:</t>
  </si>
  <si>
    <t>Aanbeveling:</t>
  </si>
  <si>
    <t>Priporočilo:</t>
  </si>
  <si>
    <t>Rekommendation:</t>
  </si>
  <si>
    <t>Anbefaling:</t>
  </si>
  <si>
    <t>Preporuka:</t>
  </si>
  <si>
    <t>Endabkantung:</t>
  </si>
  <si>
    <t>Edge downstand:</t>
  </si>
  <si>
    <t>Pliure de rebord :</t>
  </si>
  <si>
    <t>Testata ripiegata:</t>
  </si>
  <si>
    <t>Ohranění</t>
  </si>
  <si>
    <t>zagięcie końcowe</t>
  </si>
  <si>
    <t>végek lezárása</t>
  </si>
  <si>
    <t>Koncový ohyb</t>
  </si>
  <si>
    <t>Eindafkanting</t>
  </si>
  <si>
    <t>Zaključna obroba:</t>
  </si>
  <si>
    <t>Ändavkantning:</t>
  </si>
  <si>
    <t>Endekant:</t>
  </si>
  <si>
    <t>Endefals:</t>
  </si>
  <si>
    <t>Završno kantiranje</t>
  </si>
  <si>
    <t>Enden um 11 mm abgekantet:</t>
  </si>
  <si>
    <t>Ends canted by 11 mm:</t>
  </si>
  <si>
    <t>Rebord plié sur 11 mm :</t>
  </si>
  <si>
    <t>Testate ripiegate di 11 mm:</t>
  </si>
  <si>
    <t>Konce ohraněny 11 mm</t>
  </si>
  <si>
    <t>zakończenia podgięte 11 mm</t>
  </si>
  <si>
    <t>végek 11 mm lezárással</t>
  </si>
  <si>
    <t>Koncový ohyb 11 mm</t>
  </si>
  <si>
    <t>Einden 11 mm afgekant:</t>
  </si>
  <si>
    <t>Konci obrobljeni za 11 mm:</t>
  </si>
  <si>
    <t>Ändarna avkantade 11 mm:</t>
  </si>
  <si>
    <t>Ender kantet 11 mm:</t>
  </si>
  <si>
    <t>Ender med 11 mm fals:</t>
  </si>
  <si>
    <t>Završeci 11 mm kantirani</t>
  </si>
  <si>
    <t>Endplatte (1,48 Stk./m; 40 Stk./Karton)</t>
  </si>
  <si>
    <t>end plate (1.48 pc./m, 40 pc./box)</t>
  </si>
  <si>
    <t>demi-losange de fin (1,48 par mètre ; 40 par carton)</t>
  </si>
  <si>
    <t>Scaglia 44 finale (1,48 pz./m, 40 pz./cf.)</t>
  </si>
  <si>
    <t>Ukončovací šablona (1,48 ks./bm, 40 ks./balení)</t>
  </si>
  <si>
    <t>Dachówka końcowa(1,48 szt./mb, 40 szt./opak.)</t>
  </si>
  <si>
    <t>végelem (1,48 db./fm, 40 db./doboz)</t>
  </si>
  <si>
    <t>ukončovací prvok (1,48 ks/bm, 40 ks/kart.)</t>
  </si>
  <si>
    <t>eindplaat (1,48 stks./m1, 40 stks./doos)</t>
  </si>
  <si>
    <t>zaključna plošča (1,48 kos/tm, 40 kos/škatlo)</t>
  </si>
  <si>
    <t>ändplatta (1,48 st./lpm, 40 st./kart.)</t>
  </si>
  <si>
    <t>endeplade (1,48 stk./lbm, 40 stk./kart.)</t>
  </si>
  <si>
    <t>endeplate (1,48 stk./lm, 40 stk./kart.)</t>
  </si>
  <si>
    <t>Krajnja ploča (1,48 kom./m; 40 kom./kutija)</t>
  </si>
  <si>
    <t>Endplatte (2,2 Stk./m; 100 Stk./Karton)</t>
  </si>
  <si>
    <t>end plate (2.2 pc./m, 100 pc./box)</t>
  </si>
  <si>
    <t>demi-losange de fin (2,2 par mètre ; 100 par carton)</t>
  </si>
  <si>
    <t>Scaglia 29 finale (2,2 pz./m, 100 pz./cf.)</t>
  </si>
  <si>
    <t>Ukončovací šablona (2,2 ks./bm, 100 ks./balení)</t>
  </si>
  <si>
    <t>Dachówka końcowa(2,2 szt./mb, 100 szt./opak.)</t>
  </si>
  <si>
    <t>végelem (2,2 db./fm, 100 db./doboz)</t>
  </si>
  <si>
    <t>ukončovací prvok (2,2 ks/bm, 100 ks/kart.)</t>
  </si>
  <si>
    <t>eindplaat (2,2 stks./m1, 100 stks./doos)</t>
  </si>
  <si>
    <t>zaključna plošča (2,2 kos/tm, 100 kos/škatlo)</t>
  </si>
  <si>
    <t>ändplatta (2,2 st./lpm, 100 st./kart.)</t>
  </si>
  <si>
    <t>endeplade (2,2 stk./lbm, 100 stk./kart.)</t>
  </si>
  <si>
    <t>endeplate (2,2 stk./lm, 100 stk./kart.)</t>
  </si>
  <si>
    <t>Krajnja ploča (2,2 kom./m; 100 kom./kutija)</t>
  </si>
  <si>
    <t>Endplatte für Dachraute</t>
  </si>
  <si>
    <t>end plate for rhomboid roof tiles</t>
  </si>
  <si>
    <t>demi-losange de fin</t>
  </si>
  <si>
    <t>Scaglia finale</t>
  </si>
  <si>
    <t>Dachówka końcowa dla dachówki romb</t>
  </si>
  <si>
    <t>Záró elem tetőfedő rombuszhoz</t>
  </si>
  <si>
    <t>ukončujúca šablóna pre strešnú šablónu</t>
  </si>
  <si>
    <t>Eindplaat voor daklosange</t>
  </si>
  <si>
    <t>Zaključna plošča za strešni romb</t>
  </si>
  <si>
    <t>ändplatta för takdiamant</t>
  </si>
  <si>
    <t>Endeplade til tagrombe</t>
  </si>
  <si>
    <t>Endeplate for takrombe</t>
  </si>
  <si>
    <t>Krajnja ploča za krovni romb</t>
  </si>
  <si>
    <t>Endplatte für Dachraute 29 × 29</t>
  </si>
  <si>
    <t>end plate for rhomboid roof tile 29 × 29</t>
  </si>
  <si>
    <t>demi-losange de fin 29 × 29</t>
  </si>
  <si>
    <t>Scaglia finale per Scaglia 29</t>
  </si>
  <si>
    <t>ukončovací šablona 29x29</t>
  </si>
  <si>
    <t>Dachówka końcowa dla dachówki romb 29 × 29</t>
  </si>
  <si>
    <t>záró elem 29 × 29-es tetőfedő rombuszhoz</t>
  </si>
  <si>
    <t>ukončujúca šablóna pre strešnú šablónu 29 × 29</t>
  </si>
  <si>
    <t>Eindplaat voor daklosange 29 x 29</t>
  </si>
  <si>
    <t>Zaključna plošča za strešni romb 29 × 29</t>
  </si>
  <si>
    <t>ändplatta för takdiamant 29 × 29</t>
  </si>
  <si>
    <t>Endeplade til tagrombe 29 × 29</t>
  </si>
  <si>
    <t>Endeplate for takrombe 29 × 29</t>
  </si>
  <si>
    <t>Krajnja ploča za krovni romb 29 × 29</t>
  </si>
  <si>
    <t>Endplatte für Dachraute 44 × 44</t>
  </si>
  <si>
    <t>end plate for rhomboid roof tile 44 × 44</t>
  </si>
  <si>
    <t>demi-losange de fin 44 × 44</t>
  </si>
  <si>
    <t>Scaglia finale per Scaglia 44</t>
  </si>
  <si>
    <t>ukončovací šablona 44x44</t>
  </si>
  <si>
    <t>Dachówka końcowa dla dachówki romb 44 × 44</t>
  </si>
  <si>
    <t>záró elem 44 × 44-es tetőfedő rombuszhoz</t>
  </si>
  <si>
    <t>ukončujúca šablóna pre strešnú šablónu 44 × 44</t>
  </si>
  <si>
    <t>Eindplaat voor daklosange 44 x 44</t>
  </si>
  <si>
    <t>Zaključna plošča za strešni romb 44 × 44</t>
  </si>
  <si>
    <t>ändplatta för takdiamant 44 × 44</t>
  </si>
  <si>
    <t>Endeplade til tagrombe 44 × 44</t>
  </si>
  <si>
    <t>Endeplate for takrombe 44 × 44</t>
  </si>
  <si>
    <t>Krajnja ploča za krovni romb 44 × 44</t>
  </si>
  <si>
    <t>Entlüftung</t>
  </si>
  <si>
    <t>ventilation</t>
  </si>
  <si>
    <t>Aerazione</t>
  </si>
  <si>
    <t>Wentylacja</t>
  </si>
  <si>
    <t>Szellőztetés</t>
  </si>
  <si>
    <t>odvetrávanie</t>
  </si>
  <si>
    <t>Ventilatie</t>
  </si>
  <si>
    <t>Odzračevanje</t>
  </si>
  <si>
    <t>Ventilation</t>
  </si>
  <si>
    <t>Ventilasjon</t>
  </si>
  <si>
    <t>Odzračivanje</t>
  </si>
  <si>
    <t>Entlüftung über Froschmaulluken (für Dachpaneel FX.12)</t>
  </si>
  <si>
    <t>ventilation for FX.12 roof panels via frog-mouth vents</t>
  </si>
  <si>
    <t>ventilation par chatières (pour panneaux de toiture FX.12)</t>
  </si>
  <si>
    <t>Aerazione tramite bocchetta di aerazione (per pannello per tetto FX.12)</t>
  </si>
  <si>
    <t>odvětrání odvětrávací haubnou u STŘEŠNÍHO PANELU FX.12</t>
  </si>
  <si>
    <t>Wentylacja przez pokrywę wywietrzników (do panelu dachowego FX.12)</t>
  </si>
  <si>
    <t>Szellőztetés szellőzőelemeken keresztül (FX.12 tetőfedő panelhez)</t>
  </si>
  <si>
    <t>odvetrávanie cez odvetrávacie tvarovky (pre strešný panel FX.12)</t>
  </si>
  <si>
    <t>Ventilatie via kikkermondluiken (voor FX.12 dakpaneel)</t>
  </si>
  <si>
    <t>Odzračevanje preko žabjih zračnikov (za strešni panel FX.12)</t>
  </si>
  <si>
    <t>Ventilation via grodluckor (för takpanel FX.12)</t>
  </si>
  <si>
    <t>Ventilation via tagudluftning (til tagpanel FX.12)</t>
  </si>
  <si>
    <t>Ventilasjon via froskemunnformet luke (til takpanel FX.12)</t>
  </si>
  <si>
    <t>Odzračivanje preko odzračnika (za krovni panel FX.12)</t>
  </si>
  <si>
    <t>Entlüftung über Froschmaulluken (für Dachplatte)</t>
  </si>
  <si>
    <t xml:space="preserve">ventilation for roof tiles via frog-mouth vents </t>
  </si>
  <si>
    <t>ventilation par chatières (pour tuiles)</t>
  </si>
  <si>
    <t>Aerazione tramite bocchetta di aerazione (per tegola)</t>
  </si>
  <si>
    <t>odvětrání odvětrávací haubnou u FALCOVANÉ TAŠKY</t>
  </si>
  <si>
    <t>Wentylacja przez pokrywę wywietrzników (do dachówki klasycznej)</t>
  </si>
  <si>
    <t>Szellőztetés szellőzőelemeken keresztül (Classic elemhez)</t>
  </si>
  <si>
    <t>odvetrávanie cez odvetrávacie tvarovky (pre falcovanú škridlu)</t>
  </si>
  <si>
    <t>Ventilatie via kikkermondluiken (voor dakplaat)</t>
  </si>
  <si>
    <t>Odzračevanje preko žabjih zračnikov (za strešno ploščo)</t>
  </si>
  <si>
    <t>Ventilation via grodluckor (för takpanel)</t>
  </si>
  <si>
    <t>Ventilation via tagudluftning (til tagplade)</t>
  </si>
  <si>
    <t>Ventilasjon via froskemunnformet luke (til takplate)</t>
  </si>
  <si>
    <t>Odzračivanje preko odzračnika (za krovnu ploču)</t>
  </si>
  <si>
    <t>Entlüftung über Froschmaulluken (für Dachraute 29 × 29)</t>
  </si>
  <si>
    <t>ventilation for rhomboid roof tiles 29 × 29 via frog-mouth vents</t>
  </si>
  <si>
    <t>ventilation par chatières (pour losanges de toiture 29 × 29)</t>
  </si>
  <si>
    <t>Aerazione tramite bocchetta di aerazione (per scaglia 29 x 29)</t>
  </si>
  <si>
    <t>odvětrání odvětrávací haubnou u FALCOVANÉ ŠABLONY 29x29</t>
  </si>
  <si>
    <t>Wentylacja przez pokrywę wywietrzników (dachówki romb 29 × 29)</t>
  </si>
  <si>
    <t>Szellőztetés szellőzőelemeken keresztül (29 × 29-es tetőfedő rombuszhoz)</t>
  </si>
  <si>
    <t>odvetrávanie cez odvetrávacie tvarovky (pre strešnú šablónu 29 × 29)</t>
  </si>
  <si>
    <t>Ventilatie via kikkermondluiken (voor daklosange 29 x 29)</t>
  </si>
  <si>
    <t>Odzračevanje preko žabjih zračnikov (za strešni romb 29 × 29)</t>
  </si>
  <si>
    <t>Ventilation via grodluckor (för takdiamant 29 × 29)</t>
  </si>
  <si>
    <t>Ventilation via tagudluftning (til tagrombe 29 x 29)</t>
  </si>
  <si>
    <t>Ventilasjon via froskemunnformet luke (til takrombe 29 × 29)</t>
  </si>
  <si>
    <t>Odzračivanje preko odzračnika (za krovni romb 29 × 29))</t>
  </si>
  <si>
    <t>Entlüftung über Froschmaulluken (für Dachraute 44 × 44)</t>
  </si>
  <si>
    <t>ventilation for rhomboid roof tiles 44 × 44 via frog-mouth vents</t>
  </si>
  <si>
    <t>ventilation par chatières (pour losanges de toiture 44 × 44)</t>
  </si>
  <si>
    <t>Aerazione tramite bocchetta di aerazione (per scaglia 44 x 44)</t>
  </si>
  <si>
    <t>odvětrání odvětrávací haubnou u STŘEŠNÍ ŠABLONY 44x44</t>
  </si>
  <si>
    <t>Wentylacja przez pokrywę wywietrzników (do dachówki romb 44 × 44)</t>
  </si>
  <si>
    <t>Szellőztetés szellőzőelemeken keresztül (44 × 44-es tetőfedő rombuszhoz)</t>
  </si>
  <si>
    <t>odvetrávanie cez odvetrávacie tvarovky (pre strešnú šablónu 44 × 44)</t>
  </si>
  <si>
    <t>Ventilatie via kikkermondluiken (voor daklosange 44 x 44)</t>
  </si>
  <si>
    <t>Odzračevanje preko žabjih zračnikov (za strešni romb 44 × 44)</t>
  </si>
  <si>
    <t>Ventilation via grodluckor (för takdiamant 44 × 44)</t>
  </si>
  <si>
    <t>Ventilation via tagudluftning (til tagrombe 44 x 44)</t>
  </si>
  <si>
    <t>Ventilasjon via froskemunnformet luke (til takrombe 44 × 44)</t>
  </si>
  <si>
    <t>Odzračivanje preko odzračnika (za krovni romb 44 × 44))</t>
  </si>
  <si>
    <t>Entlüftung über Froschmaulluken (für Dachschindel)</t>
  </si>
  <si>
    <t xml:space="preserve">ventilation for shingles via frog-mouth vents </t>
  </si>
  <si>
    <t>ventilation par chatières (pour bardeaux)</t>
  </si>
  <si>
    <t>Aerazione tramite bocchetta di aerazione (per scandola)</t>
  </si>
  <si>
    <t>odvětrání odvětrávací haubnou u FALCOVANÉHO ŠINDELU</t>
  </si>
  <si>
    <t>Wentylacja przez pokrywę wywietrzników (do dachówki łupkowej)</t>
  </si>
  <si>
    <t>Szellőztetés szellőzőelemeken keresztül (tetőfedő zsindelyhez)</t>
  </si>
  <si>
    <t>odvetrávanie cez odvetrávacie tvarovky (pre strešný šindeľ)</t>
  </si>
  <si>
    <t>Ventilatie via kikkermondluiken (voor daklei)</t>
  </si>
  <si>
    <t>Odzračevanje preko žabjih zračnikov (za strešno skodlo)</t>
  </si>
  <si>
    <t>Ventilation via grodluckor (för takshingel)</t>
  </si>
  <si>
    <t>Ventilation via tagudluftning (til tagspån)</t>
  </si>
  <si>
    <t>Ventilasjon via froskemunnformet luke (til takshingel)</t>
  </si>
  <si>
    <t>Odzračivanje preko odzračnika (za krovnu šindru)</t>
  </si>
  <si>
    <t>Entlüftungshaube (⌀ 100; glatt)</t>
  </si>
  <si>
    <t>ventilation cap (Ø 100), smooth</t>
  </si>
  <si>
    <t>raccordement d’aération (⌀ 100 ; lisse)</t>
  </si>
  <si>
    <t>Calotta di aerazione Ø 100, liscia</t>
  </si>
  <si>
    <t>Kolmý prostup Ø 100, hladká</t>
  </si>
  <si>
    <t>Pokrywa wywietrzników (Ø 100), gładka</t>
  </si>
  <si>
    <t xml:space="preserve">szellőzőcső derékszögű átvezetéssel Ø 100, sima </t>
  </si>
  <si>
    <t>kolmý prestup Ø 100, hladký</t>
  </si>
  <si>
    <t>ventilatiekap Ø 100, glad</t>
  </si>
  <si>
    <t>prezračevalna kapa Ø  100, gladka</t>
  </si>
  <si>
    <t>ventilationskåpa Ø 100, slät</t>
  </si>
  <si>
    <t>udluftningshætte Ø 100, glat</t>
  </si>
  <si>
    <t>ventilasjonshette Ø 100, glatt</t>
  </si>
  <si>
    <t>Odzračna kapa (⌀ 100; glatko)</t>
  </si>
  <si>
    <t>Entlüftungsrohr (⌀ 100)</t>
  </si>
  <si>
    <t>ventilation pipe (⌀ 100)</t>
  </si>
  <si>
    <t>tuyau de ventilation (⌀ 100)</t>
  </si>
  <si>
    <t>Torretta aerazione Ø 100</t>
  </si>
  <si>
    <t>Nástavec odvětrání Ø 100</t>
  </si>
  <si>
    <t>Rura wentylacyjna ⌀ 100</t>
  </si>
  <si>
    <t>szellőzőcső Ø 100</t>
  </si>
  <si>
    <t>odvetrávacia rúra Ø 100</t>
  </si>
  <si>
    <t>ventilatiebuis ⌀ 100</t>
  </si>
  <si>
    <t>prezračevalna cev Ø100</t>
  </si>
  <si>
    <t>ventilationsrör ⌀ 100</t>
  </si>
  <si>
    <t>udluftningsrør ⌀ 100</t>
  </si>
  <si>
    <t>ventilasjonsrør ⌀ 100</t>
  </si>
  <si>
    <t>Odzračna cijev (⌀ 100)</t>
  </si>
  <si>
    <t>Entlüftungsrohr (⌀ 100; passend für HT-Rohr [NW 110])</t>
  </si>
  <si>
    <t>ventilation pipe (Ø 100), suitable for high-temperature pipe (nominal size 110)</t>
  </si>
  <si>
    <t>tuyau de ventilation (⌀ 100 ; compatible pour tuyaux HT [DN 110])</t>
  </si>
  <si>
    <t>Tubo torretta aerazione Ø 100, adatto a tubo HT DN 110</t>
  </si>
  <si>
    <t>Nástavec odvětránír Ø 100, vhodné pro HT-rouru velikosti 110</t>
  </si>
  <si>
    <t>rura wentylacyjna (Ø 100), przystosowana do rur o wysokie temperaturze (dla rur DN 110)</t>
  </si>
  <si>
    <t>szellőzőcső Ø 100, 110 PVC csőhöz</t>
  </si>
  <si>
    <t>odvetrávacia rúra Ø 100, vhodná pre PVC rúru veľkosti 110</t>
  </si>
  <si>
    <t>ventilatiebuis Ø 100, geschikt voor HT-buis NW 110</t>
  </si>
  <si>
    <t>prezračevalna cev Ø  100, ustrezna za cev HT-NW 110</t>
  </si>
  <si>
    <t>ventilationsrör ⌀ 100, lämpligt för HT-rör NV 110</t>
  </si>
  <si>
    <t>udluftningsrør ⌀ 100, passer til HT-rør NW 110</t>
  </si>
  <si>
    <t>ventilasjonsrør ⌀ 100, passer til HT-rør NW 110</t>
  </si>
  <si>
    <t>Odzračna cijev (⌀ 100; prikladno za HT cijev [NW 110])</t>
  </si>
  <si>
    <t>Entlüftungsrohr (⌀ 120)</t>
  </si>
  <si>
    <t>ventilation pipe (⌀ 120)</t>
  </si>
  <si>
    <t>tuyau de ventilation (⌀ 120)</t>
  </si>
  <si>
    <t>Torretta aerazione Ø 120</t>
  </si>
  <si>
    <t>Nástavec odvětrání Ø 120</t>
  </si>
  <si>
    <t>Rura wentylacyjna ⌀ 120</t>
  </si>
  <si>
    <t>szellőzőcső Ø 120</t>
  </si>
  <si>
    <t>odvetrávacia rúra Ø 120</t>
  </si>
  <si>
    <t>ventilatiebuis ⌀ 120</t>
  </si>
  <si>
    <t>prezračevalna cev Ø120</t>
  </si>
  <si>
    <t>ventilationsrör ⌀ 120</t>
  </si>
  <si>
    <t>udluftningsrør ⌀ 120</t>
  </si>
  <si>
    <t>ventilasjonsrør ⌀ 120</t>
  </si>
  <si>
    <t>Odzračna cijev (⌀ 120)</t>
  </si>
  <si>
    <t>Entlüftungsrohr (⌀ 120; passend für HT-Rohr [NW 125])</t>
  </si>
  <si>
    <t>ventilation pipe (Ø 120), suitable for high-temperature pipe (nominal size 125)</t>
  </si>
  <si>
    <t>tuyau de ventilation (⌀ 120; compatible pour tuyaux HT [DN 125])</t>
  </si>
  <si>
    <t>Tubo torretta aerazione Ø 120, adatto a tubo HT DN 125</t>
  </si>
  <si>
    <t xml:space="preserve"> Nástavec odvětránír Ø 120, vhodné pro HT-rouru velikosti 125</t>
  </si>
  <si>
    <t>rura wentylacyjna (Ø 120), przystosowana do rur o wysokie temperaturze (dla rur DN 125)</t>
  </si>
  <si>
    <t>szellőzőcső Ø 120, 125 PVC csőhöz</t>
  </si>
  <si>
    <t>odvetrávacia rúra Ø 120, vhodná pre PVC rúru veľkosti 125</t>
  </si>
  <si>
    <t>ventilatiebuis Ø 120, geschikt voor HT-buis NW 125</t>
  </si>
  <si>
    <t>prezračevalna cev Ø  120, ustrezna za cev HT-NW 125</t>
  </si>
  <si>
    <t>ventilationsrör ⌀ 120, lämpligt för HT-rör NV 125</t>
  </si>
  <si>
    <t>udluftningsrør ⌀ 120, passer til HT-rør NW 125</t>
  </si>
  <si>
    <t>ventilasjonsrør ⌀ 120, passer til HT-rør NW 125</t>
  </si>
  <si>
    <t>Odzračna cijev (⌀ 120; prikladno za HT cijev [NW 125])</t>
  </si>
  <si>
    <t>EPDM-Fugenband</t>
  </si>
  <si>
    <t>EPDM joint tape</t>
  </si>
  <si>
    <t>joint EPDM</t>
  </si>
  <si>
    <t>Nastro coprifuga in EPDM</t>
  </si>
  <si>
    <t>Dilatační páska EPDM</t>
  </si>
  <si>
    <t>Taśma dylatacyjna z EPDM</t>
  </si>
  <si>
    <t>EPDM-fugaszalag</t>
  </si>
  <si>
    <t>EPDM utesňovací pás</t>
  </si>
  <si>
    <t>EPDM-voegband</t>
  </si>
  <si>
    <t>EPDM trak za fuge</t>
  </si>
  <si>
    <t>EPDM fogband</t>
  </si>
  <si>
    <t>EPDM-fugebånd</t>
  </si>
  <si>
    <t>EPDM traka za reške</t>
  </si>
  <si>
    <t>Ergänzungsband</t>
  </si>
  <si>
    <t>Flashing strip</t>
  </si>
  <si>
    <t>bande complémentaire</t>
  </si>
  <si>
    <t>nastro per lattonerie</t>
  </si>
  <si>
    <t>Doplňkový svitkový plech</t>
  </si>
  <si>
    <t>taśma uzupełniająca</t>
  </si>
  <si>
    <t>kiegészítő szalag</t>
  </si>
  <si>
    <t>Doplnkový pás</t>
  </si>
  <si>
    <t>Aanvullingsband</t>
  </si>
  <si>
    <t>Dopolnilni trak</t>
  </si>
  <si>
    <t>Extrabeslag</t>
  </si>
  <si>
    <t>Suppleringsbånd</t>
  </si>
  <si>
    <t>Traka za dopunu</t>
  </si>
  <si>
    <t>Ergänzungsband (1,0 × 1.000 mm; nur für Saumstreifen)</t>
  </si>
  <si>
    <t>flashing strip 1.0 × 1,000 mm (for edge cleat strips only)</t>
  </si>
  <si>
    <t>bande complémentaire (1,0 × 1 000 mm ; uniquement pour les bandes de départ)</t>
  </si>
  <si>
    <t>Nastro di complemento 1,0x1.000 mm (solo per scossaline)</t>
  </si>
  <si>
    <t>Doplňkový plech 1,0x1.000 mm (pouze na okapnice)</t>
  </si>
  <si>
    <t>Prefalz listwa 1.0 × 1,000 mm (do wykończeni krawędziowych)</t>
  </si>
  <si>
    <t>Kiegészítő szalag 1,0x1.000 mm (csak rögzítőszegélyhez)</t>
  </si>
  <si>
    <t>Doplnkový pás 1,0 x 1.000 mm (len pre odkvapový pás)</t>
  </si>
  <si>
    <t>Aanvullingsband 1,0 x 1000 mm (alleen voor randstroken)</t>
  </si>
  <si>
    <t>dopolnilni trak 1,0 x 1.000 mm (le za začetne trakove)</t>
  </si>
  <si>
    <t>Extrabeslag 1,0 x 1.000 mm (endast för kantremsor)</t>
  </si>
  <si>
    <t>Suppleringsbånd 1,0x1.000 mm (kun til kantstrimmel)</t>
  </si>
  <si>
    <t>Suppleringsbånd 1,0x1000 mm (kun for skjøteplate)</t>
  </si>
  <si>
    <t>Dopunska traka (1,0 × 1.000 mm; samo za početne trake)</t>
  </si>
  <si>
    <t>Erhebungsbogen</t>
  </si>
  <si>
    <t>INFORMATION FORM</t>
  </si>
  <si>
    <t>FORMULAIRE</t>
  </si>
  <si>
    <t>Questionario</t>
  </si>
  <si>
    <t>ZJIŠŤOVACÍ DOTAZNÍK</t>
  </si>
  <si>
    <t>FORMULARZ ANKIETY</t>
  </si>
  <si>
    <t>FELMÉRÉSI LAP</t>
  </si>
  <si>
    <t>FORMULÁR</t>
  </si>
  <si>
    <t>ENQUÊTEFORMULIER</t>
  </si>
  <si>
    <t>Vprašalnik</t>
  </si>
  <si>
    <t>FRÅGEFORMULÄR</t>
  </si>
  <si>
    <t>SPØRGESKEMA</t>
  </si>
  <si>
    <t>SKJEMA</t>
  </si>
  <si>
    <t>UPITNIK</t>
  </si>
  <si>
    <t>Ersatzgitter für Regenklappe</t>
  </si>
  <si>
    <t>eeplacement grid for downpipe cleanout</t>
  </si>
  <si>
    <t>grille de rechange pour récupérateur d’eau</t>
  </si>
  <si>
    <t>Griglia di ricambio per deviatore con ispezione</t>
  </si>
  <si>
    <t>Náhradní mřížka pro dešťovou klapku</t>
  </si>
  <si>
    <t>Wymienna kratka do rewizji rury</t>
  </si>
  <si>
    <t>pótrács esővíz kivezető elemhez</t>
  </si>
  <si>
    <t>náhradná mriežka pre klapku na zber dažďovej vody</t>
  </si>
  <si>
    <t>Vervangingsrooster voor regenklep</t>
  </si>
  <si>
    <t>Nadomestna rešetka za dežno loputo</t>
  </si>
  <si>
    <t>ersättningsgaller för regnlucka</t>
  </si>
  <si>
    <t>Udskiftningsgitter til regnklap</t>
  </si>
  <si>
    <t>Reservegitter til regnluke</t>
  </si>
  <si>
    <t>Zamjenska rešetka za kišnu klapnu</t>
  </si>
  <si>
    <t>evtl. Dichtband</t>
  </si>
  <si>
    <t>sealing tape (if applicable)</t>
  </si>
  <si>
    <t>bande d’étanchéité (si nécessaire)</t>
  </si>
  <si>
    <t>eventuale nastro sigillante</t>
  </si>
  <si>
    <t>event. těsnicí pásek</t>
  </si>
  <si>
    <t>ew. taśma uszczelniająca</t>
  </si>
  <si>
    <t>esetleg tömítőszalag</t>
  </si>
  <si>
    <t>príp. tesniaca páska</t>
  </si>
  <si>
    <t>morebitni tesnilni trak</t>
  </si>
  <si>
    <t>eventuellt tätningsband</t>
  </si>
  <si>
    <t>evt. tætningsbånd</t>
  </si>
  <si>
    <t>Ev. tetningsbånd</t>
  </si>
  <si>
    <t>možda brtvena traka</t>
  </si>
  <si>
    <t>evtl. Dichteinlage</t>
  </si>
  <si>
    <t>sealing insert (if applicable)</t>
  </si>
  <si>
    <t>joint d’étanchéité (si nécessaire)</t>
  </si>
  <si>
    <t>eventuale inserto di tenuta</t>
  </si>
  <si>
    <t>event. těsnící vložka</t>
  </si>
  <si>
    <t>ew. wkład uszczelniający</t>
  </si>
  <si>
    <t>esetleg tömítőbetét</t>
  </si>
  <si>
    <t>príp. tesniaca vložka</t>
  </si>
  <si>
    <t>evtl. Afdichting</t>
  </si>
  <si>
    <t>morebitni tesnilni vložek</t>
  </si>
  <si>
    <t>eventuell tätande insats</t>
  </si>
  <si>
    <t>evt. tætningsindsats</t>
  </si>
  <si>
    <t>Ev. tetningsinnlegg</t>
  </si>
  <si>
    <t>možda brtveni umetak</t>
  </si>
  <si>
    <t>evtl. Trennlage</t>
  </si>
  <si>
    <t>separating layer (if applicable)</t>
  </si>
  <si>
    <t>couche de séparation (si nécessaire)</t>
  </si>
  <si>
    <t>eventuale strato di separazione</t>
  </si>
  <si>
    <t>event. separační vrstva</t>
  </si>
  <si>
    <t>ew. warstwa rozdzielająca</t>
  </si>
  <si>
    <t>esetleg elválasztóréteg</t>
  </si>
  <si>
    <t>príp. separačná vrstva</t>
  </si>
  <si>
    <t>evtl. Scheidingslaag</t>
  </si>
  <si>
    <t>morebitna ločilna plast</t>
  </si>
  <si>
    <t>eventuellt separationsskikt</t>
  </si>
  <si>
    <t>evt. skillelag</t>
  </si>
  <si>
    <t>Ev. skillelag</t>
  </si>
  <si>
    <t>možda razdjelni sloj</t>
  </si>
  <si>
    <t>Eventual</t>
  </si>
  <si>
    <t>Optionally</t>
  </si>
  <si>
    <t>Éventuellement</t>
  </si>
  <si>
    <t>Eventuale</t>
  </si>
  <si>
    <t xml:space="preserve">Případně </t>
  </si>
  <si>
    <t>Opcjonalnie</t>
  </si>
  <si>
    <t>esetleg</t>
  </si>
  <si>
    <t>Prípadne</t>
  </si>
  <si>
    <t>Eventueel</t>
  </si>
  <si>
    <t>opcijsko</t>
  </si>
  <si>
    <t>Eventuellt</t>
  </si>
  <si>
    <t>Ekstra</t>
  </si>
  <si>
    <t>Možda</t>
  </si>
  <si>
    <t>Fallrohr</t>
  </si>
  <si>
    <t>downpipe</t>
  </si>
  <si>
    <t>Tubo di scolo</t>
  </si>
  <si>
    <t>svod</t>
  </si>
  <si>
    <t>Rura spustowa</t>
  </si>
  <si>
    <t>ejtőcső</t>
  </si>
  <si>
    <t>zvodové potrubie</t>
  </si>
  <si>
    <t>Regenpijp</t>
  </si>
  <si>
    <t>Odtočna cev</t>
  </si>
  <si>
    <t>stuprör</t>
  </si>
  <si>
    <t>Faldrør</t>
  </si>
  <si>
    <t>Fallrør</t>
  </si>
  <si>
    <t>Odvodna cijev</t>
  </si>
  <si>
    <t>Faltmanschette (Ø 100–130)</t>
  </si>
  <si>
    <t>flexible pipe collar (Ø 100–130)</t>
  </si>
  <si>
    <t>soufflet plissé (⌀ 100-130)</t>
  </si>
  <si>
    <t>Guarnizione per fori passanti Ø 100-130</t>
  </si>
  <si>
    <t>Manžeta Ø 100-130</t>
  </si>
  <si>
    <t>mankiet zginany (Ø 100–130)</t>
  </si>
  <si>
    <t>csőgallér Ø  100-130</t>
  </si>
  <si>
    <t>manžeta Ø 100-130</t>
  </si>
  <si>
    <t>vouwmof Ø 100 - 130</t>
  </si>
  <si>
    <t>tesnilna manšeta Ø100-130</t>
  </si>
  <si>
    <t>fallmanschett Ø 100-130</t>
  </si>
  <si>
    <t>foldemanchet Ø 100-130</t>
  </si>
  <si>
    <t>fleksibel rørmansjett Ø 100-130</t>
  </si>
  <si>
    <t>Preklopna manžeta (Ø 100–130)</t>
  </si>
  <si>
    <t>Falzausbildung</t>
  </si>
  <si>
    <t>seam formation</t>
  </si>
  <si>
    <t>réalisation des joints</t>
  </si>
  <si>
    <t>Raccordo dell'aggraffatura</t>
  </si>
  <si>
    <t>Provedení drážek</t>
  </si>
  <si>
    <t>Formowanie zakładek</t>
  </si>
  <si>
    <t>korckialakítás</t>
  </si>
  <si>
    <t>vytvorenie drážky</t>
  </si>
  <si>
    <t>Naadvorming</t>
  </si>
  <si>
    <t>Oblikovanje zgiba</t>
  </si>
  <si>
    <t>falsbildning</t>
  </si>
  <si>
    <t>Falsdesign</t>
  </si>
  <si>
    <t>Falsdannelse</t>
  </si>
  <si>
    <t>Konstrukcija falca</t>
  </si>
  <si>
    <t>Falzgel in Kartusche</t>
  </si>
  <si>
    <t>sealing gel</t>
  </si>
  <si>
    <t>gel d’étanchéité pour agrafe</t>
  </si>
  <si>
    <t>Falzgel</t>
  </si>
  <si>
    <t>żel uszczelniający</t>
  </si>
  <si>
    <t>falczselé</t>
  </si>
  <si>
    <t>drážkový gel</t>
  </si>
  <si>
    <t>felsgel</t>
  </si>
  <si>
    <t>falzgel</t>
  </si>
  <si>
    <t>falsgel</t>
  </si>
  <si>
    <t>falsegel</t>
  </si>
  <si>
    <t>Gel za falceve</t>
  </si>
  <si>
    <t>Falzlage Eintragen!</t>
  </si>
  <si>
    <t>ENTER SEAM POSITION!</t>
  </si>
  <si>
    <t>INDIQUEZ LA DISPOSITION DES AGRAFURES</t>
  </si>
  <si>
    <t>Inserire la posizione dell'aggraffatura</t>
  </si>
  <si>
    <t>ZAPSAT POLOHU DRÁŽKY!</t>
  </si>
  <si>
    <t>WPROWADZIĆ POZYCJĘ ZŁOŻENIA!</t>
  </si>
  <si>
    <t>KORC MEGADÁSA!</t>
  </si>
  <si>
    <t>ZAPÍSAŤ POLOHU DRÁŽKY!</t>
  </si>
  <si>
    <t>VOER NAADPOSITIE IN!</t>
  </si>
  <si>
    <t>VNESITE POLOŽAJ ZGIBA!</t>
  </si>
  <si>
    <t>ANGE FALSENS LÄGE!</t>
  </si>
  <si>
    <t>INDTAST FALSPOSITION</t>
  </si>
  <si>
    <t>TAST INN FALSPOSSISJON!</t>
  </si>
  <si>
    <t>UNESITE POLOŽAJ FALCA!</t>
  </si>
  <si>
    <t>FALZLAGE EINTRAGEN!</t>
  </si>
  <si>
    <t>Colour</t>
  </si>
  <si>
    <t>Couleur:</t>
  </si>
  <si>
    <t>Colore</t>
  </si>
  <si>
    <t>Barva:</t>
  </si>
  <si>
    <t>Kolor</t>
  </si>
  <si>
    <t>Szín:</t>
  </si>
  <si>
    <t>Farba</t>
  </si>
  <si>
    <t>Kleur</t>
  </si>
  <si>
    <t>barva:</t>
  </si>
  <si>
    <t>Färg</t>
  </si>
  <si>
    <t>Farve</t>
  </si>
  <si>
    <t>Farge</t>
  </si>
  <si>
    <t>Boja</t>
  </si>
  <si>
    <t>Farbe möglich</t>
  </si>
  <si>
    <t>colour combination.</t>
  </si>
  <si>
    <t>Également disponible en couleur</t>
  </si>
  <si>
    <t>Colore possibile</t>
  </si>
  <si>
    <t>v této barvě není možné</t>
  </si>
  <si>
    <t>kolor niedostępny</t>
  </si>
  <si>
    <t>szín nem lehetséges</t>
  </si>
  <si>
    <t>v tejto farbe nie je možné</t>
  </si>
  <si>
    <t>Kleur mogelijk</t>
  </si>
  <si>
    <t>Možna barva</t>
  </si>
  <si>
    <t>Färg möjlig</t>
  </si>
  <si>
    <t>Farve mulig</t>
  </si>
  <si>
    <t>Farge mulig</t>
  </si>
  <si>
    <t>Moguća boja</t>
  </si>
  <si>
    <t>Colour:</t>
  </si>
  <si>
    <t>Couleur :</t>
  </si>
  <si>
    <t>Colore:</t>
  </si>
  <si>
    <t>Kolor:</t>
  </si>
  <si>
    <t>Farba:</t>
  </si>
  <si>
    <t>Kleur:</t>
  </si>
  <si>
    <t>Färg:</t>
  </si>
  <si>
    <t>Farve:</t>
  </si>
  <si>
    <t>Farge:</t>
  </si>
  <si>
    <t>Boja:</t>
  </si>
  <si>
    <t>Fassadenniete</t>
  </si>
  <si>
    <t>façade rivet</t>
  </si>
  <si>
    <t>rivet de façade</t>
  </si>
  <si>
    <t>Rivetto per facciata</t>
  </si>
  <si>
    <t>Fasádní nýt</t>
  </si>
  <si>
    <t>Nity elewacyjne</t>
  </si>
  <si>
    <t>homlokzatburkolati szegecs</t>
  </si>
  <si>
    <t>fasádne nity</t>
  </si>
  <si>
    <t>Gevelklinknagel</t>
  </si>
  <si>
    <t>Fasadna kovica</t>
  </si>
  <si>
    <t>fasadnit</t>
  </si>
  <si>
    <t>Facadenitte</t>
  </si>
  <si>
    <t>Fasadespiker</t>
  </si>
  <si>
    <t>Fasadna zakovica</t>
  </si>
  <si>
    <t>Fassadenniete/Schraube</t>
  </si>
  <si>
    <t>façade rivet / screw</t>
  </si>
  <si>
    <t>vis ou rivet de façade</t>
  </si>
  <si>
    <t>Rivetto/Vite per facciata</t>
  </si>
  <si>
    <t>Fasádní nýt/šroub</t>
  </si>
  <si>
    <t>Nity/wkręty elewacyjne</t>
  </si>
  <si>
    <t>homlokzatburkolati szegecs/csavar</t>
  </si>
  <si>
    <t>fasádne nity/skrutky</t>
  </si>
  <si>
    <t>Gevelklinknagel/schroef</t>
  </si>
  <si>
    <t>Fasadna kovica/vijak</t>
  </si>
  <si>
    <t>fasadnit/skruv</t>
  </si>
  <si>
    <t>Facadenitte/skrue</t>
  </si>
  <si>
    <t>Fasadespiker/-skruer</t>
  </si>
  <si>
    <t>Fasadna zakovica/vijak</t>
  </si>
  <si>
    <t>Fassadenpaneel FX.12</t>
  </si>
  <si>
    <t>FX.12 façade panel</t>
  </si>
  <si>
    <t>panneau de façade FX.12</t>
  </si>
  <si>
    <t>Pannello per facciata FX.12</t>
  </si>
  <si>
    <t>Fasádní lamela FX.12</t>
  </si>
  <si>
    <t>Panel elewacyjny FX.12</t>
  </si>
  <si>
    <t>FX.12 homlokzatburkoló panel</t>
  </si>
  <si>
    <t>fasádny panel FX.12</t>
  </si>
  <si>
    <t>Gevelpaneel FX.12</t>
  </si>
  <si>
    <t>Fasadni panel FX.12</t>
  </si>
  <si>
    <t>fasadpanel FX.12</t>
  </si>
  <si>
    <t>Facadepanel FX.12</t>
  </si>
  <si>
    <t>Fasadepanel FX.12</t>
  </si>
  <si>
    <t>Fassadenschraube</t>
  </si>
  <si>
    <t>façade screw</t>
  </si>
  <si>
    <t>vis de façade</t>
  </si>
  <si>
    <t>Vite per facciata</t>
  </si>
  <si>
    <t>Fasádní šroub</t>
  </si>
  <si>
    <t>Wkręt do elewacji</t>
  </si>
  <si>
    <t>homlokzatburkolati csavar</t>
  </si>
  <si>
    <t>fasádne skrutky</t>
  </si>
  <si>
    <t>Gevelschroef</t>
  </si>
  <si>
    <t>Fasadni vijak</t>
  </si>
  <si>
    <t>fasadskruv</t>
  </si>
  <si>
    <t>Facadeskrue</t>
  </si>
  <si>
    <t>Fasadeskruer</t>
  </si>
  <si>
    <t>Fassadensysteme</t>
  </si>
  <si>
    <t>FAÇADE SYSTEMS</t>
  </si>
  <si>
    <t>FAÇADES</t>
  </si>
  <si>
    <t>SISTEMI PER FACCIATA</t>
  </si>
  <si>
    <t>fasádní systémy</t>
  </si>
  <si>
    <t>SYSTEMY FASADOWE</t>
  </si>
  <si>
    <t xml:space="preserve"> HOMLOKZATBURKOLATI RENDSZEREK</t>
  </si>
  <si>
    <t>fasádne systémy</t>
  </si>
  <si>
    <t>GEVELSYSTEMEN</t>
  </si>
  <si>
    <t>FASADNI SISTEMI</t>
  </si>
  <si>
    <t>PREFA FASADSYSTEM</t>
  </si>
  <si>
    <t>FACADESYSTEMER</t>
  </si>
  <si>
    <t>FASADESYSTEMER</t>
  </si>
  <si>
    <t>Fensterbank</t>
  </si>
  <si>
    <t>window ledge</t>
  </si>
  <si>
    <t>tablette de fenêtre</t>
  </si>
  <si>
    <t>Davanzale</t>
  </si>
  <si>
    <t>Okenní parapet</t>
  </si>
  <si>
    <t>Parapet okienny</t>
  </si>
  <si>
    <t>ablakpárkány</t>
  </si>
  <si>
    <t>Vensterbank</t>
  </si>
  <si>
    <t>Okenska polica</t>
  </si>
  <si>
    <t>fönsterbräda</t>
  </si>
  <si>
    <t>Vindueskarm</t>
  </si>
  <si>
    <t>Vinduskarm</t>
  </si>
  <si>
    <t>Daska za prozor</t>
  </si>
  <si>
    <t>Filter:</t>
  </si>
  <si>
    <t>Filtre :</t>
  </si>
  <si>
    <t>Filtro</t>
  </si>
  <si>
    <t>Filtr:</t>
  </si>
  <si>
    <t>szűrő:</t>
  </si>
  <si>
    <t>filter</t>
  </si>
  <si>
    <t>Filtar:</t>
  </si>
  <si>
    <t>Firma / Besteller:</t>
  </si>
  <si>
    <t>Company / Purchaser:</t>
  </si>
  <si>
    <t>Entreprise / Acheteur :</t>
  </si>
  <si>
    <t>Installatore / Committente:</t>
  </si>
  <si>
    <t>Firma / Objednatel:</t>
  </si>
  <si>
    <t>Firma zamawiająca:</t>
  </si>
  <si>
    <t>Cég / megrendelő:</t>
  </si>
  <si>
    <t>Firma / objednávateľ:</t>
  </si>
  <si>
    <t>Bedrijf/besteller:</t>
  </si>
  <si>
    <t>podjetje/naročnik</t>
  </si>
  <si>
    <t>Företag/beställare:</t>
  </si>
  <si>
    <t>Firma / Bestiller:</t>
  </si>
  <si>
    <t>Firma/bestiller:</t>
  </si>
  <si>
    <t>Poduzeće / Naručioc</t>
  </si>
  <si>
    <t>Firstabdeckung aus Prefalz</t>
  </si>
  <si>
    <t>Prefalz ridge cap</t>
  </si>
  <si>
    <t>couverture de faîtière (bandes d’aluminium PREFALZ)</t>
  </si>
  <si>
    <t>Esecuzione colmo in PREFALZ</t>
  </si>
  <si>
    <t>Krytí hřebene PREFALZ</t>
  </si>
  <si>
    <t>Osłona kalenicy PREFALZ</t>
  </si>
  <si>
    <t>PREFALZ gerinctakaró elem</t>
  </si>
  <si>
    <t>krycí profil hrebeňa z PREFALZ-u</t>
  </si>
  <si>
    <t>Nokafdekking van PREFALZ</t>
  </si>
  <si>
    <t>Kritina za sleme iz PREFALZ</t>
  </si>
  <si>
    <t>nockbeklädnad av PREFALZ</t>
  </si>
  <si>
    <t>Rygningsafdækning fra PREFALZ</t>
  </si>
  <si>
    <t>Mønedekke av PREFALZ</t>
  </si>
  <si>
    <t>Pokrov za sljeme od PREFALZ-a</t>
  </si>
  <si>
    <t>Firstabdeckung aus PREFALZ</t>
  </si>
  <si>
    <t>Firstausbildung mit Gratreiter</t>
  </si>
  <si>
    <t>ridge construction — hip cap</t>
  </si>
  <si>
    <t>pose d’une faîtière avec arêtier</t>
  </si>
  <si>
    <t>Esecuzione colmo con displuvio</t>
  </si>
  <si>
    <t>Detail hřebene - malý hřebenáč</t>
  </si>
  <si>
    <t>Konstrukcja kalenicowa z gąsiorem</t>
  </si>
  <si>
    <t>Gerinckialakítás kúpelemekkel</t>
  </si>
  <si>
    <t>vytvorenie hrebeňa pomocou hrebenáča na hrebeň a nárožie</t>
  </si>
  <si>
    <t>Nokvorming met nokruiter</t>
  </si>
  <si>
    <t>Oblikovanje slemena z grebenskim slemenjakom</t>
  </si>
  <si>
    <t>nockkonstruktion med åsryttare</t>
  </si>
  <si>
    <t>Rygningsdesign med grat</t>
  </si>
  <si>
    <t>Møneoppbygging med mønestein</t>
  </si>
  <si>
    <t>Konstrukcija sljemena sa sljemenjakom</t>
  </si>
  <si>
    <t>Firstausbildung mit Jet-Lüfter</t>
  </si>
  <si>
    <t>ridge construction — ridge vent</t>
  </si>
  <si>
    <t>faîtage avec faîtière ventilée</t>
  </si>
  <si>
    <t>Esecuzione colmo con copricolmo ventilato</t>
  </si>
  <si>
    <t>Detail hřebene - Jetlüfter</t>
  </si>
  <si>
    <t>Konstrukcja kalenicowa z gąsiorem wentylacyjnym</t>
  </si>
  <si>
    <t>Gerinckialakítás szellőző gerincelemekkel</t>
  </si>
  <si>
    <t>vytvorenie hrebeňa pomocou odvetrávacieho hrebenáča Jet-Lüfter</t>
  </si>
  <si>
    <t>Nokvorming met straalventilator</t>
  </si>
  <si>
    <t>Oblikovanje slemena z jet zračnikom</t>
  </si>
  <si>
    <t>nockkonstruktion med jetfläkt</t>
  </si>
  <si>
    <t>Rygningsdesign med Jet-ventilator</t>
  </si>
  <si>
    <t>Møneoppbygging med kanalventilasjon</t>
  </si>
  <si>
    <t>Konstrukcija sljemena s jet-odzračnikom</t>
  </si>
  <si>
    <t>Firstentlüftung mit Jet-Lüfter (Variante)</t>
  </si>
  <si>
    <t>ridge ventilation with ridge vent — variant</t>
  </si>
  <si>
    <t>ventilation par faîtière ventilée (variante)</t>
  </si>
  <si>
    <t>Aerazione di colmo con copricolmo ventilato (variante)</t>
  </si>
  <si>
    <t>Hřebenové odvětrání Jetlüfter - varianta</t>
  </si>
  <si>
    <t>Wentylacja kalenicowa z gąsiorem wentylacyjnym (wariant)</t>
  </si>
  <si>
    <t>Gerincszellőztetés szellőző gerincelemekkel (változat)</t>
  </si>
  <si>
    <t>odvetrávanie hrebeňa pomocou odvetrávacieho hrebenáča Jet-Lüfter (variant)</t>
  </si>
  <si>
    <t>Nokventilatie met straalventilator (varianten)</t>
  </si>
  <si>
    <t>Prezračevanje slemena z jet zračnikom (različica)</t>
  </si>
  <si>
    <t>nockventilation med jetfläkt (variant)</t>
  </si>
  <si>
    <t>Rygningsventilation med Jet-ventilator (variant)</t>
  </si>
  <si>
    <t>Møneventilasjon med kanalventilasjon (variant)</t>
  </si>
  <si>
    <t>Odzračivanje sljemena s jet-odzračnikom (varijanta)</t>
  </si>
  <si>
    <t>Firstentlüftung (Variante)</t>
  </si>
  <si>
    <t>ridge construction — variant</t>
  </si>
  <si>
    <t>ventilation de faîtière (variante)</t>
  </si>
  <si>
    <t>Aerazione di colmo (variante)</t>
  </si>
  <si>
    <t>Hřebenové odvětrání - varianta</t>
  </si>
  <si>
    <t>Wentylacja kalenicowa (wariant)</t>
  </si>
  <si>
    <t>Gerincszellőztetés (változat)</t>
  </si>
  <si>
    <t>odvetrávanie hrebeňa (variant)</t>
  </si>
  <si>
    <t>Nokventilatie (varianten)</t>
  </si>
  <si>
    <t>Prezračevanje slemena (različica)</t>
  </si>
  <si>
    <t>nockventilation (variant)</t>
  </si>
  <si>
    <t>Rygningsventilation (variant)</t>
  </si>
  <si>
    <t>Møneventilasjon (variant)</t>
  </si>
  <si>
    <t>Odzračivanje sljemena (varijanta)</t>
  </si>
  <si>
    <t>Fixierschieber</t>
  </si>
  <si>
    <t>fixing slide</t>
  </si>
  <si>
    <t>glissière de fixation</t>
  </si>
  <si>
    <t>Elemento scorrevole di fissaggio</t>
  </si>
  <si>
    <t>fixační zásuvná lišta</t>
  </si>
  <si>
    <t>Zasuwa mocująca</t>
  </si>
  <si>
    <t>Rögzítő csúszka</t>
  </si>
  <si>
    <t>fixačný posúvač</t>
  </si>
  <si>
    <t>Bevestigingsschuif</t>
  </si>
  <si>
    <t>Fiksirni drsnik</t>
  </si>
  <si>
    <t>fixeringsreglage</t>
  </si>
  <si>
    <t>Fastgørelsesbøjle</t>
  </si>
  <si>
    <t>Festeskyver</t>
  </si>
  <si>
    <t>Klizač za fiksiranje</t>
  </si>
  <si>
    <t>Fixpunkt</t>
  </si>
  <si>
    <t>fixed point</t>
  </si>
  <si>
    <t>point fixe</t>
  </si>
  <si>
    <t>Punto fisso</t>
  </si>
  <si>
    <t>Pevný bod</t>
  </si>
  <si>
    <t>Punkt stały</t>
  </si>
  <si>
    <t>Fixpont</t>
  </si>
  <si>
    <t>pevný bod</t>
  </si>
  <si>
    <t>Bevestigingspunt</t>
  </si>
  <si>
    <t>Fiksna točka</t>
  </si>
  <si>
    <t>fixpunkt</t>
  </si>
  <si>
    <t>Festepunkt</t>
  </si>
  <si>
    <t>Fixpunkthülse (⌀ 9,5 × ⌀ 5,1 mm)</t>
  </si>
  <si>
    <t>fixed point bushing ∅ 9.5 × ∅ 5.1 mm (PREFA)</t>
  </si>
  <si>
    <t>douille de point fixe (⌀ 9,5 × ⌀ 5,1 mm)</t>
  </si>
  <si>
    <t>Giunto per punto fisso (⌀ 9,5 × ⌀ 5,1 mm)</t>
  </si>
  <si>
    <t>Pouzdro pevného bodu (9,5 × ⌀ 5,1 mm)</t>
  </si>
  <si>
    <t>Tuleja z punktem stałym (⌀ 9,5 × ⌀ 5,1 mm)</t>
  </si>
  <si>
    <t>Fixponthüvely (⌀ 9,5 × ⌀ 5,1 mm)</t>
  </si>
  <si>
    <t>fixovacia objímka (⌀ 9,5 × ⌀ 5,1 mm)</t>
  </si>
  <si>
    <t>Bevestigingspunthuls (⌀ 9,5 × ⌀ 5,1 mm)</t>
  </si>
  <si>
    <t>Tulec za fiksno točko (⌀ 9,5 × ⌀ 5,1 mm)</t>
  </si>
  <si>
    <t>fast punkthylsa (⌀ 9,5 × ⌀ 5,1 mm)</t>
  </si>
  <si>
    <t>Fixpunktkappe (⌀ 9,5 × ⌀ 5,1 mm)</t>
  </si>
  <si>
    <t>Festepunkthylse (⌀ 9,5 × ⌀ 5,1 mm)</t>
  </si>
  <si>
    <t>Rukav fiksne točke (⌀ 9,5 × ⌀ 5,1 mm)</t>
  </si>
  <si>
    <t>Flachprofil (35 × 7 × 3.000 mm)</t>
  </si>
  <si>
    <t>flat profile (35 × 7 × 3,000 mm)</t>
  </si>
  <si>
    <t>profil plat (35 × 7 × 3 000 mm)</t>
  </si>
  <si>
    <t>Profilo piatto (35 x 7 x 3.000 mm)</t>
  </si>
  <si>
    <t>Ploché profily (35 x 7 x 3.000 mm)</t>
  </si>
  <si>
    <t>profil płaski (35 × 7 × 3,000 mm)</t>
  </si>
  <si>
    <t>laposprofil (35 x 7 x 3.000 mm)</t>
  </si>
  <si>
    <t>plochý profil (35 x 7 x 3.000 mm)</t>
  </si>
  <si>
    <t>vlak profiel (35 x 7 x 3000 mm)</t>
  </si>
  <si>
    <t>ploščati profil (35 x 7 x 3.000 mm)</t>
  </si>
  <si>
    <t>platt profil (35 x 7 x 3.000 mm)</t>
  </si>
  <si>
    <t>fladprofil (35 x 7 x 3.000 mm)</t>
  </si>
  <si>
    <t>flatprofil (35 x 7 x 3000 mm)</t>
  </si>
  <si>
    <t>Ravni profil (35 × 7 × 3.000 mm)</t>
  </si>
  <si>
    <t>Folie:</t>
  </si>
  <si>
    <t>Film:</t>
  </si>
  <si>
    <t>Feuille de protection :</t>
  </si>
  <si>
    <t>Pellicola di protezione:</t>
  </si>
  <si>
    <t>folia:</t>
  </si>
  <si>
    <t>fólia:</t>
  </si>
  <si>
    <t>Fólia</t>
  </si>
  <si>
    <t>Folija:</t>
  </si>
  <si>
    <t>FP = Fixpunkt</t>
  </si>
  <si>
    <t>PF = point fixe</t>
  </si>
  <si>
    <t>FP = Punto fisso</t>
  </si>
  <si>
    <t>FP = pevný bod</t>
  </si>
  <si>
    <t>FP = Punkt stały</t>
  </si>
  <si>
    <t>FP = fixpont</t>
  </si>
  <si>
    <t>BP = Bevestigingspunt</t>
  </si>
  <si>
    <t>FP = Fiksna točka</t>
  </si>
  <si>
    <t>FP = fixpunkt</t>
  </si>
  <si>
    <t>FP = festepunkt</t>
  </si>
  <si>
    <t>FP = Fiksna točka</t>
  </si>
  <si>
    <t>Fräsungen (135°)</t>
  </si>
  <si>
    <t>FP = fixed point</t>
  </si>
  <si>
    <t>rainurages (135°)</t>
  </si>
  <si>
    <t>Fresature (135°)</t>
  </si>
  <si>
    <t>Frézování (135°)</t>
  </si>
  <si>
    <t>Frezowanie (135°)</t>
  </si>
  <si>
    <t>Marások (135°)</t>
  </si>
  <si>
    <t>frézovania (135°)</t>
  </si>
  <si>
    <t>Frezen (135°)</t>
  </si>
  <si>
    <t>Frezanje (135°)</t>
  </si>
  <si>
    <t>fräsning (135°)</t>
  </si>
  <si>
    <t>Fræsninger (135°)</t>
  </si>
  <si>
    <t>Fresing (135°)</t>
  </si>
  <si>
    <t>Utori (135°)</t>
  </si>
  <si>
    <t>Froschmaulluke</t>
  </si>
  <si>
    <t>frog-mouth vent</t>
  </si>
  <si>
    <t>chatière</t>
  </si>
  <si>
    <t>Bocchetta di aerazione</t>
  </si>
  <si>
    <t>Odvětrávací haubna</t>
  </si>
  <si>
    <t>Półokrągły wywietrznik dachowy</t>
  </si>
  <si>
    <t>Szellőzőelem</t>
  </si>
  <si>
    <t>odvetrávacia tvarovka</t>
  </si>
  <si>
    <t>Kikkermondluik</t>
  </si>
  <si>
    <t>Žabja loputa</t>
  </si>
  <si>
    <t>grodlucka</t>
  </si>
  <si>
    <t>Tagudluftning</t>
  </si>
  <si>
    <t>Froskemunnformet luke</t>
  </si>
  <si>
    <t>Odzračnik</t>
  </si>
  <si>
    <t>Froschmaulluke für Dachplatte 300 × 420 mm Lüftungsquerschnitt: ca. 30 cm²</t>
  </si>
  <si>
    <t>frog-mouth vent for roof tile (300 × 420 mm)
air intake section: approx. 30 cm²</t>
  </si>
  <si>
    <t>chatière pour tuiles de 300 × 420 mm section d’aération : env. 30 cm²</t>
  </si>
  <si>
    <t>Tegola con bocchetta per aerazione 300x420 mm
Sezione di ventilazione ca. 30 cm²</t>
  </si>
  <si>
    <t>Odvětrávací prvek pro falcované tašky 300x420 mm
průřez odvětrání ca. 30 cm²</t>
  </si>
  <si>
    <t>wywietrznik dla dachówki klasycznej (300 × 420 mm)
powierzchnia wentylacji: około 30 cm²</t>
  </si>
  <si>
    <t>szellőzőelem Classic elemhez 300x420mm. Szellőző keresztmetszet kb. 30 cm²</t>
  </si>
  <si>
    <t>odvetrávacia falcovaná škridla, 300 x 420 mm
otvor odvetrávania cca 30 cm²</t>
  </si>
  <si>
    <t>verluchtingskap met kikkerbekluik voor dakplaat 300 x 420 mm
Ventilatiediameter ca. 30 cm²</t>
  </si>
  <si>
    <t>žabji zračnik za strešne plošče 300x420 mm, presek zračenja ca. 30cm2</t>
  </si>
  <si>
    <t>halvmåneformad kåpa för takplatta 300 x 420 mm ventilationstvärsnitt cirka 30 cm²</t>
  </si>
  <si>
    <t>frømundsluge til tagplade 300x420 mm
Ventilationstværsnit ca. 30 cm²</t>
  </si>
  <si>
    <t>froskemunnsformet luke for takplate 300x420 mm
ventilasjonstverrsnitt ca. 30 cm²</t>
  </si>
  <si>
    <t>Odzračnik za krovnu ploču 300 × 420 mm slobodni presjek: cca. 30 cm²</t>
  </si>
  <si>
    <t>Froschmaulluke für Dachplatte 300 × 420 mm Lüftungsquerschnitt: ca. 30 cm²</t>
  </si>
  <si>
    <t>Froschmaulluke (stucco) für Dachschindel 420 × 240 mm Lüftungsquerschnitt: ca. 30 cm²</t>
  </si>
  <si>
    <t>frog-mouth vent, stucco, for shingles (420 × 240 mm); air intake section: approx. 30 cm²</t>
  </si>
  <si>
    <t>chatière pour bardeaux (stucco) pour bardeaux de 420 × 240 mm section d’aération : env. 30 cm²</t>
  </si>
  <si>
    <t>Bocchetta aerazione goffrata per Scandola 420 x 240 mm
Sezione di ventilazione ca. 30 cm²</t>
  </si>
  <si>
    <t>Odvětrávací haubna stucco pro Falcovaný šindel 420 x 240 mm
průřez odvětrání ca. 30 cm²</t>
  </si>
  <si>
    <t>Wywietrznik dla  Dachówka łupkowa 420 x 240 mm powierzchnia wentylacji ok. 30 cm²</t>
  </si>
  <si>
    <t>pontszellőző stukkó tetőfedő zsindelyhez 420 x 240 mm
szellőző keresztmetszet kb. 30 cm2</t>
  </si>
  <si>
    <t>odvetrávací šindeľ stucco 420 x 240 mm
vetrací otvor cca 30 cm²</t>
  </si>
  <si>
    <t>verluchtingskap met kikkerbekluik stucco voor dakschindel 420 x 240 mm
Ventilatiediameter ca. 30 cm²</t>
  </si>
  <si>
    <t>žabji zračnik stucco za strešno skodlo 420 x 240 mm, presek zračenja ca. 30cm2</t>
  </si>
  <si>
    <t>halvmåneformad kåpa stuckatur för takshingel 420 x 240 mm ventilationstvärsnitt cirka 30 cm²</t>
  </si>
  <si>
    <t>frømundsluge stucco til tagspån 420 x 240 mm
ventilationstværsnit ca. 30 cm²</t>
  </si>
  <si>
    <t>froskemunnsformet luke stucco for takshingel 420 x 240 mm
ventilasjonstverrsnitt ca. 30 cm²</t>
  </si>
  <si>
    <t>Odzračnik (stucco) za krovnu ploču 420 × 240 mm slobodni presjek: cca. 30 cm²</t>
  </si>
  <si>
    <t>Froschmaulluke (stucco) für Dachschindel 420 × 240 mm Lüftungsquerschnitt: ca. 30 cm²</t>
  </si>
  <si>
    <t>Froschmaullukenhaube</t>
  </si>
  <si>
    <t>frog-mouth vent cover</t>
  </si>
  <si>
    <t>chapeau de raccordement pour chatière</t>
  </si>
  <si>
    <t>odvětrávací haubna</t>
  </si>
  <si>
    <t>Osłona półokrągłego wywietrznika dachowego</t>
  </si>
  <si>
    <t>Pontszellőző sapka</t>
  </si>
  <si>
    <t>veko odvetrávacej tvarovky</t>
  </si>
  <si>
    <t>Kikkermondluikkap</t>
  </si>
  <si>
    <t>Pokrov žabje lopute</t>
  </si>
  <si>
    <t>huva för grodlucka</t>
  </si>
  <si>
    <t>Tagudluftningsdæksel</t>
  </si>
  <si>
    <t>Deksel til froskemunnformet luke</t>
  </si>
  <si>
    <t>Kapa za odzračnik</t>
  </si>
  <si>
    <t>Froschmaullukenhaube zum Aufnieten (glatt) Lüftungsquerschnitt: ca. 30 cm²</t>
  </si>
  <si>
    <t>frog-mouth vent cover, for riveting, smooth
air intake section: approx. 30 cm²</t>
  </si>
  <si>
    <t>chapeau de raccordement pour chatière ; à riveter (lisse) section d’aération : env. 30 cm²</t>
  </si>
  <si>
    <t>Bocchetta per aerazione, da rivettare, finitura liscia
Sezione di ventilazione ca. 30 cm²</t>
  </si>
  <si>
    <t>Odvětrávací haubna, hladká
průřez odvětrání cca. 30 cm²</t>
  </si>
  <si>
    <t>pokrywa wywietrzników, do nitowania, gładka
powierzchnia wentylacji: około 30 cm²</t>
  </si>
  <si>
    <t>pontszellőző sapka sima. Szellőző keresztmetszet kb. 30 cm²</t>
  </si>
  <si>
    <t>odvetrávacia tvarovka pre upevnenie nitmi, hladká
otvor odvetrávania cca 30 cm²</t>
  </si>
  <si>
    <t>verluchtingskap met kikkerbekluik voor vastnieten glad
Ventilatiediameter ca. 30 cm²</t>
  </si>
  <si>
    <t>žabji zračnik za pritrjevanje s kovicami, presek zračenja ca. 30cm2</t>
  </si>
  <si>
    <t>halvmåneformad kåpa för nitning (slät) ventilationstvärsnitt cirka 30 cm²</t>
  </si>
  <si>
    <t>frømundslugekappe til pånitning glat
Ventilationstværsnit ca. 30 cm²</t>
  </si>
  <si>
    <t>deksel til froskemunnsformet luke klinkes fast glatt
ventilasjonstverrsnitt ca. 30 cm²</t>
  </si>
  <si>
    <t>Kapa za odzračnik za zakivanje (glatka) slobodni presjek: cca. 30 cm²</t>
  </si>
  <si>
    <t>Froschmaullukenhaube zum Aufnieten Lüftungsquerschnitt: ca. 30 cm²</t>
  </si>
  <si>
    <t>frog-mouth vent cover, for riveting; air intake section: approx. 30 cm²</t>
  </si>
  <si>
    <t>chapeau de raccordement pour chatière ; à riveter section d’aération : env. 30 cm²</t>
  </si>
  <si>
    <t>Bocchetta aerazione da rivettare, sezione di ventilazione ca. 30 cm²</t>
  </si>
  <si>
    <t>Froschmaulluken-Haube zum aufnieten, Lüftungsquerschnitt ca. 30 cm²</t>
  </si>
  <si>
    <t>Pokrywa wywietrznika o pow. 30 cm²</t>
  </si>
  <si>
    <t>pontszellőző sapka, szellőző keresztmetszet kb. 30 cm2</t>
  </si>
  <si>
    <t>odvetrávacia tvarovka, upevnenie nitmi,  vetrací otvor cca 30 cm²</t>
  </si>
  <si>
    <t>verluchtingskap met kikkerbekluik voor vastnieten, ventilatiediameter ca. 30 cm²</t>
  </si>
  <si>
    <t>žabji zračnik za pritrjevanje s kovicami, presek zračevanja ca. 30 cm2</t>
  </si>
  <si>
    <t>halvmåneformad kåpa för nitning, ventilationstvärsnitt cirka 30 cm²</t>
  </si>
  <si>
    <t>frømundslugekappe til pånitning, ventilationstværsnit ca. 30 cm²</t>
  </si>
  <si>
    <t>froskemunnsformet luke klinkes fast, ventilasjonstverrsnitt ca. 30 cm²</t>
  </si>
  <si>
    <t>Kapa za odzračnik za zakivanje slobodni presjek: cca. 30 cm²</t>
  </si>
  <si>
    <t>Fuge.138</t>
  </si>
  <si>
    <t>joint.138</t>
  </si>
  <si>
    <t>fuga.138</t>
  </si>
  <si>
    <t>spára 138 mm</t>
  </si>
  <si>
    <t>Fuga.138</t>
  </si>
  <si>
    <t>škára 138 mm</t>
  </si>
  <si>
    <t>voeg.138</t>
  </si>
  <si>
    <t>Fog.138</t>
  </si>
  <si>
    <t>Fuge.200</t>
  </si>
  <si>
    <t>joint.200</t>
  </si>
  <si>
    <t>fuga.200</t>
  </si>
  <si>
    <t>spára 200 mm</t>
  </si>
  <si>
    <t>Fuga.200</t>
  </si>
  <si>
    <t>škára 200 mm</t>
  </si>
  <si>
    <t>voeg.200</t>
  </si>
  <si>
    <t>Fog.200</t>
  </si>
  <si>
    <t>Fuge.300</t>
  </si>
  <si>
    <t>joint.300</t>
  </si>
  <si>
    <t>fuga.300</t>
  </si>
  <si>
    <t>spára 300 mm</t>
  </si>
  <si>
    <t>Fuga.300</t>
  </si>
  <si>
    <t>škára 300 mm</t>
  </si>
  <si>
    <t>voeg.300</t>
  </si>
  <si>
    <t>Fog.300</t>
  </si>
  <si>
    <t>Fuge.400</t>
  </si>
  <si>
    <t>joint.400</t>
  </si>
  <si>
    <t>fuga.400</t>
  </si>
  <si>
    <t>spára 400 mm</t>
  </si>
  <si>
    <t>Fuga.400</t>
  </si>
  <si>
    <t>škára 400 mm</t>
  </si>
  <si>
    <t>voeg.400</t>
  </si>
  <si>
    <t>Fog.400</t>
  </si>
  <si>
    <t>Fuge:</t>
  </si>
  <si>
    <t>Joint:</t>
  </si>
  <si>
    <t>Jointure :</t>
  </si>
  <si>
    <t>Fuga:</t>
  </si>
  <si>
    <t>Spára:</t>
  </si>
  <si>
    <t>Fuga</t>
  </si>
  <si>
    <t>fuga:</t>
  </si>
  <si>
    <t>Škára</t>
  </si>
  <si>
    <t>Voeg:</t>
  </si>
  <si>
    <t>Fog:</t>
  </si>
  <si>
    <t>Fugenausbildung</t>
  </si>
  <si>
    <t>joint design</t>
  </si>
  <si>
    <t>mise en œuvre d’un joint</t>
  </si>
  <si>
    <t>Raccordo di fuga</t>
  </si>
  <si>
    <t>Provedení spár</t>
  </si>
  <si>
    <t>Wykonywanie fugi</t>
  </si>
  <si>
    <t>fugaképzés</t>
  </si>
  <si>
    <t>vytvorenie škáry</t>
  </si>
  <si>
    <t>Voegvorming</t>
  </si>
  <si>
    <t>Oblikovanje fuge</t>
  </si>
  <si>
    <t>fogbildning</t>
  </si>
  <si>
    <t>Fugedesign</t>
  </si>
  <si>
    <t>Skjøteoppbygging</t>
  </si>
  <si>
    <t>Konstrukcija fuga</t>
  </si>
  <si>
    <t>Fugenhinterlegung</t>
  </si>
  <si>
    <t>joint backing strip</t>
  </si>
  <si>
    <t>profil de joint</t>
  </si>
  <si>
    <t>Profilo di giunzione</t>
  </si>
  <si>
    <t>Podložení spár</t>
  </si>
  <si>
    <t>Wypełnianie fug</t>
  </si>
  <si>
    <t>fuga takaró</t>
  </si>
  <si>
    <t>lemovací profil škáry</t>
  </si>
  <si>
    <t>Voegopvulling</t>
  </si>
  <si>
    <t>Podloga fuge</t>
  </si>
  <si>
    <t>fogstöd</t>
  </si>
  <si>
    <t>Fuge</t>
  </si>
  <si>
    <t>Skjøtestøtte</t>
  </si>
  <si>
    <t>Postavljanje fuga</t>
  </si>
  <si>
    <t>Fugenhinterlegung (horizontal)</t>
  </si>
  <si>
    <t>horizontal joint backing strip</t>
  </si>
  <si>
    <t>profil de joint (horizontal)</t>
  </si>
  <si>
    <t>Profilo di giunzione (orizzontale)</t>
  </si>
  <si>
    <t>Podložení spár (horizontální)</t>
  </si>
  <si>
    <t>Wypełnianie fug (poziomo)</t>
  </si>
  <si>
    <t>fuga takaró (vízszintes)</t>
  </si>
  <si>
    <t>lemovací profil škáry (horizontálny)</t>
  </si>
  <si>
    <t>Voegopvulling (horizontaal)</t>
  </si>
  <si>
    <t>Podloga fuge (vodoravno)</t>
  </si>
  <si>
    <t>fogstöd (horisontell)</t>
  </si>
  <si>
    <t>Fuge (horisontal)</t>
  </si>
  <si>
    <t>Skjøtestøtte (horisontal)</t>
  </si>
  <si>
    <t>Postavljanje fuga (vodoravno)</t>
  </si>
  <si>
    <t>Fugenhinterlegung (vertikal)</t>
  </si>
  <si>
    <t>vertical joint backing strip</t>
  </si>
  <si>
    <t>profil de joint (vertical)</t>
  </si>
  <si>
    <t>Profilo di giunzione (verticale)</t>
  </si>
  <si>
    <t>Podložení spár (vertikální)</t>
  </si>
  <si>
    <t>Wypełnianie fug (pionowo)</t>
  </si>
  <si>
    <t>fuga takaró (függőleges)</t>
  </si>
  <si>
    <t>lemovací profil škáry (vertikálny)</t>
  </si>
  <si>
    <t>Voegopvulling (verticaal)</t>
  </si>
  <si>
    <t>Podloga fuge (navpično)</t>
  </si>
  <si>
    <t>fogstöd (vertikalt)</t>
  </si>
  <si>
    <t>Fuge (vertikal)</t>
  </si>
  <si>
    <t>Skjøtestøtte (vertikal)</t>
  </si>
  <si>
    <t>Postavljanje fuga (okomito)</t>
  </si>
  <si>
    <t>Fugenhinterlegungsblech</t>
  </si>
  <si>
    <t>cache de profil de joint</t>
  </si>
  <si>
    <t>Lastra del profilo di giunzione</t>
  </si>
  <si>
    <t>Podkládací plech spár</t>
  </si>
  <si>
    <t>Paca do wypełniania fug</t>
  </si>
  <si>
    <t>fugatakaró lemez</t>
  </si>
  <si>
    <t>plech lemovacieho profilu škáry</t>
  </si>
  <si>
    <t>Voegopvullingsplaat</t>
  </si>
  <si>
    <t>Pločevinasta podloga fuge</t>
  </si>
  <si>
    <t>fogstödsplåt</t>
  </si>
  <si>
    <t>Fugeplade</t>
  </si>
  <si>
    <t>Skjøtestøtteplate</t>
  </si>
  <si>
    <t>Lim za postavljanje fuga</t>
  </si>
  <si>
    <t>Dachpaneel FX.12 klein (700 × 420 mm)</t>
  </si>
  <si>
    <t>FX.12 roof panel, short (700 × 420 mm)</t>
  </si>
  <si>
    <t>panneau de toiture FX.12 (court ; 700 × 420 mm)</t>
  </si>
  <si>
    <t>FX.12 piccolo (700 x 420 mm)</t>
  </si>
  <si>
    <t>FX.12 Střešní panel malý (700 x 420 mm)</t>
  </si>
  <si>
    <t>FX.12 Panel dachowy mały (700 × 420 mm)</t>
  </si>
  <si>
    <t>FX.12 tetőfedő panel rövid (700 x 420 mm)</t>
  </si>
  <si>
    <t>strešný panel FX.12 krátky (700 x 420 mm)</t>
  </si>
  <si>
    <t>FX.12 dakpaneel kort (700 × 420 mm)</t>
  </si>
  <si>
    <t>fx.12 strešni panel majhen (700 x 420 mm)</t>
  </si>
  <si>
    <t>FX.12 takpanel kort (700 × 420 mm)</t>
  </si>
  <si>
    <t>FX.12 tagpanel kort (700 × 420 mm)</t>
  </si>
  <si>
    <t>FX.12 takpanel kort (700 × 420 mm)</t>
  </si>
  <si>
    <t>Krovni panel FX.12 (kratak; 700 × 420 mm)</t>
  </si>
  <si>
    <t>Dachpaneel FX.12 groß (1.400 × 420 mm)</t>
  </si>
  <si>
    <t>FX.12 roof panel, long (1,400 × 420 mm)</t>
  </si>
  <si>
    <t>panneau de toiture FX.12 (long ; 1 400 × 420 mm)</t>
  </si>
  <si>
    <t>FX.12 grande (1.400 x 420 mm)</t>
  </si>
  <si>
    <t>FX.12 Střešní panel velký (1.400 x 420 mm)</t>
  </si>
  <si>
    <t>FX.12 Panel dachowy duży (1.400 × 420 mm)</t>
  </si>
  <si>
    <t>FX.12 tetőfedő panel hosszú (1.400 x 420 mm)</t>
  </si>
  <si>
    <t>strešný panel FX.12 dlhý (1.400 x 420 mm)</t>
  </si>
  <si>
    <t>FX.12 dakpaneel lang (1400 × 420 mm)</t>
  </si>
  <si>
    <t>fx.12 strešni panel večji (1.400 x 420 mm)</t>
  </si>
  <si>
    <t>FX.12 takpanel lång (1.400 × 420 mm)</t>
  </si>
  <si>
    <t>FX.12 tagpanel langt (1.400 × 420 mm)</t>
  </si>
  <si>
    <t>FX.12 takpanel langt (1400 × 420 mm)</t>
  </si>
  <si>
    <t>Krovni panel FX.12 (dug; 1.400 × 420 mm)</t>
  </si>
  <si>
    <t>Gebirgsschneefangstütze</t>
  </si>
  <si>
    <t>mountain snow-guard bracket</t>
  </si>
  <si>
    <t>support de pare-neige pour rondins</t>
  </si>
  <si>
    <t>Staffa fermaneve per legno tondo</t>
  </si>
  <si>
    <t>Držák kulatiny pro zadržování sněhu</t>
  </si>
  <si>
    <t>hak przeciwśniegowy do warunków górskich</t>
  </si>
  <si>
    <t>hófogórönk tartó</t>
  </si>
  <si>
    <t>držiak horského zachytávača snehu pre rúrky kruhového prierezu</t>
  </si>
  <si>
    <t>sneeuwvangsteun voor in het gebergte</t>
  </si>
  <si>
    <t>nosilec za linijski snegolov</t>
  </si>
  <si>
    <t>snöstoppsstötta</t>
  </si>
  <si>
    <t>bjergsnefangstøtte</t>
  </si>
  <si>
    <t>fjellsnøfangerstøtte</t>
  </si>
  <si>
    <t>Nosač planinskog snjegobrana</t>
  </si>
  <si>
    <t>Gebirgsschneefang</t>
  </si>
  <si>
    <t>Sistema fermaneve con legno tondo</t>
  </si>
  <si>
    <t>držák kulatiny</t>
  </si>
  <si>
    <t>Wspornik do barier górskich</t>
  </si>
  <si>
    <t>hófogórönk-tartó elem</t>
  </si>
  <si>
    <t>držiak horského zachytávača snehu</t>
  </si>
  <si>
    <t>Steensneeuwvanger</t>
  </si>
  <si>
    <t>Gorski snegolovni opornik</t>
  </si>
  <si>
    <t>fjällsnöskyddsstöd</t>
  </si>
  <si>
    <t>Bjergsnesystem</t>
  </si>
  <si>
    <t>Snøstopperstøtte</t>
  </si>
  <si>
    <t>Gefällesprung</t>
  </si>
  <si>
    <t>step-shaped transition</t>
  </si>
  <si>
    <t>Ressaut</t>
  </si>
  <si>
    <t>Gradino di pendenza</t>
  </si>
  <si>
    <t>Spádový stupeň</t>
  </si>
  <si>
    <t>Pochyłość z uskokami</t>
  </si>
  <si>
    <t>lejtőlépcső</t>
  </si>
  <si>
    <t>spádový stupeň</t>
  </si>
  <si>
    <t>Hellingsprong</t>
  </si>
  <si>
    <t>Stopničast prehod</t>
  </si>
  <si>
    <t>lutningsförskjutning</t>
  </si>
  <si>
    <t>Hældning</t>
  </si>
  <si>
    <t>Fallsprang</t>
  </si>
  <si>
    <t>Prijelaz u obliku stepenice</t>
  </si>
  <si>
    <t>Gefällesprungausbildung (Abtreppung)</t>
  </si>
  <si>
    <t>step-shaped transition formation (step work)</t>
  </si>
  <si>
    <t>réalisation d’un ressaut (décrochement)</t>
  </si>
  <si>
    <t>Esecuzione di un gradino di pendenza (sbalzo)</t>
  </si>
  <si>
    <t>Detail spádového stupně</t>
  </si>
  <si>
    <t>Pochyłość z uskokami (stopnie)</t>
  </si>
  <si>
    <t>lejtőlépcsős kialakítás (lépcsőzetesség)</t>
  </si>
  <si>
    <t>vytvorenie spádového stupňa (odstupňovanie)</t>
  </si>
  <si>
    <t>Hellingsprongvorming (afstap)</t>
  </si>
  <si>
    <t>Oblikovanje stopničastega prehoda (stopničast zaključek)</t>
  </si>
  <si>
    <t>utförande lutningsförskjutning (nedtrappning)</t>
  </si>
  <si>
    <t>Hældningsdesign (trin)</t>
  </si>
  <si>
    <t>Fallsprangoppbygging (avtrapping)</t>
  </si>
  <si>
    <t>Konstrukcija prijelaza u obliku stepenice (stepenasti prijelaz)</t>
  </si>
  <si>
    <t>Gefällesprungausbildung mit Aufschiebling (Abtreppung)</t>
  </si>
  <si>
    <t>step-shaped transition formation with sprocket (step work)</t>
  </si>
  <si>
    <t>réalisation d’un ressaut au moyen d’un coyau (décrochement)</t>
  </si>
  <si>
    <t>Esecuzione di un gradino di pendenza con correntino (sbalzo)</t>
  </si>
  <si>
    <t>Detail spádového stupně s náběhem</t>
  </si>
  <si>
    <t>Pochyłość z uskokami z obróbką nasuwaną (stopnie)</t>
  </si>
  <si>
    <t>lejtőlépcsős kialakítás toldattal (lépcsőzetesség)</t>
  </si>
  <si>
    <t>vytvorenie spádového stupňa s nábehom (odstupňovanie)</t>
  </si>
  <si>
    <t>Hellingsprongvorming met verlenging (afstap)</t>
  </si>
  <si>
    <t>Oblikovanje stopničastega prehoda s podaljškom špirovca (stopničast zaključek)</t>
  </si>
  <si>
    <t>utförande lutningsförskjutning med glidning (nedtrappning)</t>
  </si>
  <si>
    <t>Hældningsdesign med dobling (trin)</t>
  </si>
  <si>
    <t>Fallsprangoppbygging med møneplank (avtrapping)</t>
  </si>
  <si>
    <t>Konstrukcija prijelaza u obliku stepenice s nastavkom (stepenasti prijelaz)</t>
  </si>
  <si>
    <t>geklebt</t>
  </si>
  <si>
    <t>glued</t>
  </si>
  <si>
    <t>collé</t>
  </si>
  <si>
    <t>incollato</t>
  </si>
  <si>
    <t>lepené</t>
  </si>
  <si>
    <t>klejone</t>
  </si>
  <si>
    <t>ragasztva</t>
  </si>
  <si>
    <t>lepený</t>
  </si>
  <si>
    <t>gelijmd</t>
  </si>
  <si>
    <t>lepljeno</t>
  </si>
  <si>
    <t>limmad</t>
  </si>
  <si>
    <t>limet</t>
  </si>
  <si>
    <t>Limt</t>
  </si>
  <si>
    <t>zalijepljeno</t>
  </si>
  <si>
    <t>geklebter Einhängstreifen</t>
  </si>
  <si>
    <t>bonded mounting strip</t>
  </si>
  <si>
    <t>bande d’accrochage collée</t>
  </si>
  <si>
    <t>Strisce sospese incollate</t>
  </si>
  <si>
    <t>zatahovací pás lepený</t>
  </si>
  <si>
    <t>klejona listwa nośna</t>
  </si>
  <si>
    <t>ragasztott függőszegély</t>
  </si>
  <si>
    <t>lepený závesný pás</t>
  </si>
  <si>
    <t>gelijmde ophangstrips</t>
  </si>
  <si>
    <t>lepljen obesni trak</t>
  </si>
  <si>
    <t>limmad hängremsa</t>
  </si>
  <si>
    <t>limede ophængslister</t>
  </si>
  <si>
    <t>Limte opphengslister</t>
  </si>
  <si>
    <t>zalijepljena viseća traka</t>
  </si>
  <si>
    <t>Gesimswinkel</t>
  </si>
  <si>
    <t>cornice angle</t>
  </si>
  <si>
    <t>angle de corniche</t>
  </si>
  <si>
    <t>Angolo del cornicione</t>
  </si>
  <si>
    <t>oplechování římsy</t>
  </si>
  <si>
    <t>Kąt gzymsu</t>
  </si>
  <si>
    <t>szögletes párkányidom</t>
  </si>
  <si>
    <t>uhol rímsy</t>
  </si>
  <si>
    <t>Kroonlijsthoek</t>
  </si>
  <si>
    <t>Vogal napušča</t>
  </si>
  <si>
    <t>taklistvinkel</t>
  </si>
  <si>
    <t>Gesimsvinkel</t>
  </si>
  <si>
    <t>Kut vijenca</t>
  </si>
  <si>
    <t>Giebelstreifen</t>
  </si>
  <si>
    <t>verge flashing</t>
  </si>
  <si>
    <t>bande de rive</t>
  </si>
  <si>
    <t>Strisce del frontone</t>
  </si>
  <si>
    <t>závětrná lišta</t>
  </si>
  <si>
    <t>Listwa szczytowa</t>
  </si>
  <si>
    <t>oromfalszegély</t>
  </si>
  <si>
    <t>štítový pás</t>
  </si>
  <si>
    <t>Gevelstrips</t>
  </si>
  <si>
    <t>Trak za zatrep</t>
  </si>
  <si>
    <t>gavelremsor</t>
  </si>
  <si>
    <t>Gavllister</t>
  </si>
  <si>
    <t>Zabatna traka</t>
  </si>
  <si>
    <t>smooth</t>
  </si>
  <si>
    <t>lisse</t>
  </si>
  <si>
    <t>liscia</t>
  </si>
  <si>
    <t>Hladký</t>
  </si>
  <si>
    <t>Gładka</t>
  </si>
  <si>
    <t>sima</t>
  </si>
  <si>
    <t>glad</t>
  </si>
  <si>
    <t>gladka</t>
  </si>
  <si>
    <t>slät</t>
  </si>
  <si>
    <t>glat</t>
  </si>
  <si>
    <t>glatko</t>
  </si>
  <si>
    <t>Gleithaft für Profilwelle</t>
  </si>
  <si>
    <t>sliding clip for ripple profile (PREFA)</t>
  </si>
  <si>
    <t>patte de fixation coulissante pour profil sinus</t>
  </si>
  <si>
    <t>Graffetta scorrevole per profilo ondulato</t>
  </si>
  <si>
    <t>Kluzná příponka pro profil s vlnou</t>
  </si>
  <si>
    <t>Zaczep ślizgowy do profilu falistego</t>
  </si>
  <si>
    <t>csúszó hafter profilhullámhoz</t>
  </si>
  <si>
    <t>dilatačná príponka pre vlnitý profil</t>
  </si>
  <si>
    <t>Schuifgreep voor golfplaat</t>
  </si>
  <si>
    <t>Drsna pritrditev za valoviti profil</t>
  </si>
  <si>
    <t>glidfäste för vågprofil</t>
  </si>
  <si>
    <t>Glideplade for profilbølge</t>
  </si>
  <si>
    <t>Glidefeste for bølgeprofil</t>
  </si>
  <si>
    <t>Klizni učvršćivač za valoviti profil</t>
  </si>
  <si>
    <t>Gleithaft für Zackenprofil</t>
  </si>
  <si>
    <t>sliding clip for serrated profile (PREFA)</t>
  </si>
  <si>
    <t>patte de fixation coulissante pour profil triangle</t>
  </si>
  <si>
    <t>Graffetta scorrevole per profilo a zeta</t>
  </si>
  <si>
    <t>Kluzná příponka pro pilový profil</t>
  </si>
  <si>
    <t>Zaczep ślizgowy do profilu trójkątnego</t>
  </si>
  <si>
    <t>csúszó hafter fogazott profilhoz</t>
  </si>
  <si>
    <t>dilatačná príponka pre prelamovaný profil</t>
  </si>
  <si>
    <t>Schuifgreep voor gekarteld profiel</t>
  </si>
  <si>
    <t>Drsna pritrditev za zobčast profil</t>
  </si>
  <si>
    <t>glidfäste för tandad profil</t>
  </si>
  <si>
    <t>Glideplade for takket profil</t>
  </si>
  <si>
    <t>Glidefeste for sikksakkprofil</t>
  </si>
  <si>
    <t>Klizni učvršćivač za zupčasti profil</t>
  </si>
  <si>
    <t>Gleitpunkt</t>
  </si>
  <si>
    <t>sliding point</t>
  </si>
  <si>
    <t>point coulissant</t>
  </si>
  <si>
    <t>Punto scorrevole</t>
  </si>
  <si>
    <t>Kluzný bod</t>
  </si>
  <si>
    <t>Punkt przesuwny</t>
  </si>
  <si>
    <t>csúszópont</t>
  </si>
  <si>
    <t>posuvný bod</t>
  </si>
  <si>
    <t>Schuifpunt</t>
  </si>
  <si>
    <t>Drsna točka</t>
  </si>
  <si>
    <t>glidpunkt</t>
  </si>
  <si>
    <t>Glidepunkt</t>
  </si>
  <si>
    <t>Klizna točka</t>
  </si>
  <si>
    <t>GP = Gleitpunkt</t>
  </si>
  <si>
    <t>GP = sliding point</t>
  </si>
  <si>
    <t>PC = point coulissant</t>
  </si>
  <si>
    <t>PS = Punto scorrevole</t>
  </si>
  <si>
    <t>GP = kluzný bod</t>
  </si>
  <si>
    <t>GP = Punkt przesuwny</t>
  </si>
  <si>
    <t>GP = Csúszópont (Gleitpunkt)</t>
  </si>
  <si>
    <t>GP = posuvný bod</t>
  </si>
  <si>
    <t>SP = Schuifpunt</t>
  </si>
  <si>
    <t>GP = Drsna točka</t>
  </si>
  <si>
    <t>GP = glidpunkt</t>
  </si>
  <si>
    <t>GP = glidepunkt</t>
  </si>
  <si>
    <t>GP = Klizna točka</t>
  </si>
  <si>
    <t>Grat- und Firstlatte, 30 mm breit (Höhe nach Dachneigung verschieden)</t>
  </si>
  <si>
    <t>hip and ridge batten, 30 mm wide (height may differ according to roof gradient)</t>
  </si>
  <si>
    <t>panne faîtière et chevron d’arêtier (largeur : 30 mm ; hauteur variable en fonction de la pente du toit)</t>
  </si>
  <si>
    <t>Listello di colmo e di cresta, largo 30 mm (l'altezza varia a seconda della pendenza del tetto)</t>
  </si>
  <si>
    <t>hřebenová/nárožní lať, šířka 30 mm (výška dle sklonu střechy)</t>
  </si>
  <si>
    <t>Łata kalenicowa i naroża o szerokości 30 mm (wysokość zależy od kąta nachylenia dachu)</t>
  </si>
  <si>
    <t>30 mm széles él- és taréjgerinclemez (magassága a tetőhajlásszögtől függően változik)</t>
  </si>
  <si>
    <t>hrebeňová a nárožná lata, šírka 30 mm (výška podľa sklonu strechy rozdielna)</t>
  </si>
  <si>
    <t>Pan- en noklatten, 30 mm breed (hoogte varieert naargelang de dakhelling)</t>
  </si>
  <si>
    <t>Letev grebena in slemena, 30 mm široka (višina se razlikuje glede na naklon strehe)</t>
  </si>
  <si>
    <t>Nock och nockläkt, 30 mm bred (höjden varierar beroende på taklutningen)</t>
  </si>
  <si>
    <t>Grat- og rygningsplade, 30 mm bred (højden varierer efter taghældning)</t>
  </si>
  <si>
    <t>Mønestein og mønelekt, 30 mm bred (høyde varierer etter takhelling)</t>
  </si>
  <si>
    <t>Sljemena letva, široka 30 mm (visina ovisi o nagibu krova)</t>
  </si>
  <si>
    <t>Grat- und Firstreiter</t>
  </si>
  <si>
    <t>hip and ridge cap</t>
  </si>
  <si>
    <t>faîtière et arêtier</t>
  </si>
  <si>
    <t>Copricolmo e copricresta</t>
  </si>
  <si>
    <t>hřebenáč malý</t>
  </si>
  <si>
    <t>Łata kalenicowa i naroża</t>
  </si>
  <si>
    <t>él- és taréjgerincelem</t>
  </si>
  <si>
    <t>Prekrytie hrebeňa a nárožia</t>
  </si>
  <si>
    <t>Pan- en noklatten</t>
  </si>
  <si>
    <t>Grebenski slemenjak</t>
  </si>
  <si>
    <t>ås- och åsryttare</t>
  </si>
  <si>
    <t>Grat og rygning</t>
  </si>
  <si>
    <t>Mønestein og mønelekt</t>
  </si>
  <si>
    <t>Sljemenjak</t>
  </si>
  <si>
    <t>Grat- und Firstreiter (500 × 1,00 mm; stucco) inkl. Niro-Schraube 4,5 × 45 mm und Dichtscheibe</t>
  </si>
  <si>
    <t>hip and ridge cap (500 × 1.00 mm), stucco
including stainless steel screw (4.5 × 45 mm) and sealing washer</t>
  </si>
  <si>
    <t>faîtière et arêtier (500 × 1,00 mm ; stucco) fourni avec vis inox 4,5 × 45 mm et rondelle d’étanchéité</t>
  </si>
  <si>
    <t>Copricolmo/Displuvio 500 x 1,00 mm, goffrato.
Incl.  Vite inox 4,5x45mm rondella di tenuta</t>
  </si>
  <si>
    <t>Hřebenáč malý 500 x 1,00 mm stucco
včetně nerez. vrutu 4,5x45mm a těsnící podložky</t>
  </si>
  <si>
    <t>gąsior dachowy (500 × 1.00 mm), stucco
z wkrętami ze stali nierdzewnej (4.5 × 45 mm) i uszczelnieniem</t>
  </si>
  <si>
    <t>él- és taréjgerinc elem 500 x 1,00 mm stukkó, 4,5x45mm rozsdamentes csavarral és tömítő alátéttel</t>
  </si>
  <si>
    <t>hrebenáč na hreneň resp. na nárožie, 500 x 1,00 mm, stucco
vrátane nerezovej skrutky 4,5 x 45mm s tesniacou podložkou</t>
  </si>
  <si>
    <t>graat- en vorstafdekking 500 x 1,00 mm stucco
incl. Niro-schroef 4,5 x 45 mm en afdichtingschijf</t>
  </si>
  <si>
    <t>grebenski slemenjak 500 x 1,00 mm, stucco, vklj. S klepraskimi nerjavečimi vijaki 4,5 x 45 mmin podložko</t>
  </si>
  <si>
    <t>nockpanna 500 x 1,00 mm stuckatur inkl. Niro-skruv 4,5 x 45 mm och tätningsbricka</t>
  </si>
  <si>
    <t>rygnings- og mønningsrytter 500 x 1,00 mm stucco
inkl. Niro-skrue 4,5x45 mm og tætningsskive</t>
  </si>
  <si>
    <t>mønestein 500 x 1,00 mm stucco
inkl. skrue i rustfritt stål 4,5x45mm og tetningsskive</t>
  </si>
  <si>
    <t>Sljemenjak (500 × 1,00 mm; stucco) uklj. nehrđajući vijak 4,5 × 45 mm i brtvena podloga</t>
  </si>
  <si>
    <t>Gratreitervorkopf (stucco)</t>
  </si>
  <si>
    <t>hip and ridge cap, end piece, stucco</t>
  </si>
  <si>
    <t>about d’arêtier (stucco)</t>
  </si>
  <si>
    <t>Testata per copricolmo/Displuvio, goffrata</t>
  </si>
  <si>
    <t>Ukončovací hřebenáč stucco</t>
  </si>
  <si>
    <t>końcówka gąsiora, stucco</t>
  </si>
  <si>
    <t>kezdő elem él- és taréjgerinc elemhez stukkó</t>
  </si>
  <si>
    <t>hrebenáč na hrebeň reps. na nárožie, prvok na začiatok alebo ukončenie hrebeňa resp. nárožia, stucco</t>
  </si>
  <si>
    <t>graat-/vorstafdekking begin-/eindstuk stucco</t>
  </si>
  <si>
    <t xml:space="preserve">polkrožni začetni grebenski slemenjak </t>
  </si>
  <si>
    <t>nockpanna, start-/ändstycke stuckatur</t>
  </si>
  <si>
    <t>rygnings-/mønningsrytter start-/slutstykke stucco</t>
  </si>
  <si>
    <t>mønestein start-/endestykke stucco</t>
  </si>
  <si>
    <t>Čelo žlijeba za sljemenjak (stucco)</t>
  </si>
  <si>
    <t>Grundlage: ÖNORM B 1991-1-3 und EN 1991-1-3</t>
  </si>
  <si>
    <t>Basic principle: ÖNORM B 1991-1-3 and EN 1991-1-3</t>
  </si>
  <si>
    <t>Normes de référence : ÖNORM B 1991-1-3 et EN 1991-1-3</t>
  </si>
  <si>
    <t>Norma: ÖNORM B 1991-1-3 ed EN 1991-1-3</t>
  </si>
  <si>
    <t>Podklad: ÖNORM B 1991-1-3 und EN 1991-1-3</t>
  </si>
  <si>
    <t>Podstawa: ÖNORM B 1991-1-3 i EN 1991-1-3</t>
  </si>
  <si>
    <t>Alap: ÖNORM B 1991-1-3 és EN 1991-1-3</t>
  </si>
  <si>
    <t>Podklad: ÖNORM B 1991-1-3 a EN 1991-1-3</t>
  </si>
  <si>
    <t>Fundering: ÖNORM B 1991-1-3 en EN 1991-1-3</t>
  </si>
  <si>
    <t>Osnova: ÖNORM B 1991-1-3 in EN 1991-1-3</t>
  </si>
  <si>
    <t>grund: ÖNORM B 1991-1-3 och EN 1991-1-3</t>
  </si>
  <si>
    <t>Grundlag: ÖNORM B 1991-1-3 og EN 1991-1-3</t>
  </si>
  <si>
    <t>Grunnlag: ÖNORM B 1991-1-3 og EN 1991-1-3</t>
  </si>
  <si>
    <t>Osnova: ÖNORM B 1991-1-3 i EN 1991-1-3</t>
  </si>
  <si>
    <t>Gummidichtung für Anschluss der Ablaufrohre und Muffen ins HT- oder KG-Rohr</t>
  </si>
  <si>
    <t>rubber seal for connecting the downpipes and sleeves to the high-temperature and foul drainage pipe</t>
  </si>
  <si>
    <t>joint en caoutchouc pour le raccordement des tuyaux de descente et des manchons de jonction aux tuyaux haute température ou aux canalisations souterraines.</t>
  </si>
  <si>
    <t>Guarnizione in gomma per raccordo del pluviale al tubo HT o KG</t>
  </si>
  <si>
    <t>Gumové těsnění pro připojení svodů a spojek do potrubí HT nebo KG</t>
  </si>
  <si>
    <t>Gumowa uszczelka do łączenia rur spustowych i kielichów z rurą HT lub KG</t>
  </si>
  <si>
    <t>Gumitömítés a lefolyócsövek és karmantyúk csatlakoztatásához a HT- vagy KG-csőbe</t>
  </si>
  <si>
    <t>gumené tesnenie na napojenie dažďových zvodov a spojok do HT alebo KG rúry</t>
  </si>
  <si>
    <t>Rubberen afdichting voor de aansluiting van de afvoerbuizen en -moffen in de HT- of KG-pijp</t>
  </si>
  <si>
    <t>Gumijasto tesnilo za priključitev odtočnih cevi in ​​objemk na cev HT ali KG</t>
  </si>
  <si>
    <t>Gummitätning för anslutning av avloppsrör och hylsor till HT- eller KG-röret</t>
  </si>
  <si>
    <t>Gummitætning til tilslutning af afløbsrør og muffer til HT- eller KG-rør</t>
  </si>
  <si>
    <t>Gummitetning for kobling av dreneringsrør og muffer til HT- eller KG-rør</t>
  </si>
  <si>
    <t>Gumena brtva za spajanje odvodnih cijevi i kolčaka na HT ili KG cijev</t>
  </si>
  <si>
    <t>gumitömítés 110 mm-es PVC csőhöz</t>
  </si>
  <si>
    <t>H</t>
  </si>
  <si>
    <t>Haft</t>
  </si>
  <si>
    <t>clip</t>
  </si>
  <si>
    <t>patte de fixation</t>
  </si>
  <si>
    <t>Graffetta</t>
  </si>
  <si>
    <t>příponka</t>
  </si>
  <si>
    <t>Zaczep</t>
  </si>
  <si>
    <t>Hafter</t>
  </si>
  <si>
    <t>príponka</t>
  </si>
  <si>
    <t>Schacht</t>
  </si>
  <si>
    <t>Pritrditev</t>
  </si>
  <si>
    <t>fäste</t>
  </si>
  <si>
    <t>Hafte</t>
  </si>
  <si>
    <t>Heft</t>
  </si>
  <si>
    <t>Učvršćivač</t>
  </si>
  <si>
    <t>Haft (Fix- oder Schiebehaft)</t>
  </si>
  <si>
    <t>clip (preformed fixed clip or sliding clip) – PREFA</t>
  </si>
  <si>
    <t>patte de fixation (fixe ou coulissante)</t>
  </si>
  <si>
    <t>Graffetta (graffetta fissa o scorrevole)</t>
  </si>
  <si>
    <t>Příchytka (pevná nebo posuvná)</t>
  </si>
  <si>
    <t>Zaczep (stały lub przesuwny)</t>
  </si>
  <si>
    <t>Hafter (fix vagy csúszó hafter)</t>
  </si>
  <si>
    <t>príponka (pevná alebo posuvná)</t>
  </si>
  <si>
    <t>Schacht (bevestigings- of schuifschacht)</t>
  </si>
  <si>
    <t>Pritrditev (fiksna ali drsna pritrditev)</t>
  </si>
  <si>
    <t>fäste (fast eller glidfäste)</t>
  </si>
  <si>
    <t>Hafte (fast eller glidehafte)</t>
  </si>
  <si>
    <t>Heft (fast eller skyveheft)</t>
  </si>
  <si>
    <t>Učvršćivač (fiksni ili klizni učvršćivač)</t>
  </si>
  <si>
    <t>clips</t>
  </si>
  <si>
    <t>pattes de fixation</t>
  </si>
  <si>
    <t>Graffette</t>
  </si>
  <si>
    <t>příponky</t>
  </si>
  <si>
    <t>príponky</t>
  </si>
  <si>
    <t>Schachten</t>
  </si>
  <si>
    <t>fästen</t>
  </si>
  <si>
    <t>Hæftning</t>
  </si>
  <si>
    <t>Hefte</t>
  </si>
  <si>
    <t>Učvršćivači</t>
  </si>
  <si>
    <t>Haftemagazin zum Nachladen für Bull-Tack-Nagler 80 Stk./Haftemagazin; 30 Mag./Karton</t>
  </si>
  <si>
    <t>clip magazine for reloading the Bull Tack Power nail gun
80 clips per magazine, 30 magazines per box</t>
  </si>
  <si>
    <t>chargeur de pattes de fixation pour remplir le chargeur de la cloueuse Bull Tack 80 pattes par chargeur ; 30 chargeurs par carton</t>
  </si>
  <si>
    <t>Caricatore di graffette per sparachiodi Bull Tack
80 Stk/Haftemagazin, 30 Mag/Karton_IT</t>
  </si>
  <si>
    <t>Zásobník příponek pro doplnění Bull Tack nastřelovačky hřebíků
80 ks/zásobník, 30 zásobníků/krabice</t>
  </si>
  <si>
    <t>Magazynki do załadunku pistoletu Bull Tack Power
80 zszywek w magazynku, 30 magazynków w opak.</t>
  </si>
  <si>
    <t>Hafter tár Bull Tack  szögbelövőhöz 80db/tár, 30 tár/doboz</t>
  </si>
  <si>
    <t>Zásobník na príponky pro doplnenie Bull Tack zásobníka
80 ks/zásobník, 30 zásobníkov/krabica</t>
  </si>
  <si>
    <t>Klinknagelmagazijn voor het bijvullen van Bull Tack spijkerpistool
80 stks./klinknagelmagazijn, 30 mag/doos</t>
  </si>
  <si>
    <t>magazin s sidri Bull Tack 80 kos/magazin, 30 mag/škatlo</t>
  </si>
  <si>
    <t>Häftmagasin för efterladdning av Bull Tack-häftmaskin
80 st./häftmagasin, 30 magasin/kartong</t>
  </si>
  <si>
    <t>Spændemagasin til opfyldning af Bull Tack sømpistol
80 stk./spændemagasin, 30 mag./karton</t>
  </si>
  <si>
    <t>Brakettmagasin for etterlading Bull Tack-spikerpistol
80 stk./brakettmagasin, 30 mag./kartong</t>
  </si>
  <si>
    <t>Magazin za kopče za ponovno punjenje bull-tack zabijača 80 komada./magazin; 30 mag./kutija</t>
  </si>
  <si>
    <t>Haftstreifen</t>
  </si>
  <si>
    <t>cleat strip</t>
  </si>
  <si>
    <t>bande d’accrochage</t>
  </si>
  <si>
    <t>Lamierino di fissaggio</t>
  </si>
  <si>
    <t>upevňovací pás</t>
  </si>
  <si>
    <t>Zaczep paskowy</t>
  </si>
  <si>
    <t>hafterlemez</t>
  </si>
  <si>
    <t>príponkový pás</t>
  </si>
  <si>
    <t>Schachtstrips</t>
  </si>
  <si>
    <t>Pritrdilni trak</t>
  </si>
  <si>
    <t>självhäftande remsor</t>
  </si>
  <si>
    <t>Hæftelister</t>
  </si>
  <si>
    <t>Heftelister</t>
  </si>
  <si>
    <t>Pričvrsna traka</t>
  </si>
  <si>
    <t>Haftstreifen (Halteblech)</t>
  </si>
  <si>
    <t>Lamierino di fissaggio (lamiera di fissaggio)</t>
  </si>
  <si>
    <t>Zaczep paskowy (płyta mocująca)</t>
  </si>
  <si>
    <t>hafterlemez (tartólemez)</t>
  </si>
  <si>
    <t>príponkový pás (pridržiavací plech)</t>
  </si>
  <si>
    <t>Schachtstrips (bevestigingsplaat)</t>
  </si>
  <si>
    <t>Pritrdilni trak (nosilna pločevina)</t>
  </si>
  <si>
    <t>självhäftande remsa (hållplåt)</t>
  </si>
  <si>
    <t>Hæftelister (holdeplade)</t>
  </si>
  <si>
    <t>Heftelister (holdeplate)</t>
  </si>
  <si>
    <t>Pričvrsna traka (pričvrsna ploča)</t>
  </si>
  <si>
    <t>Halbfirstausbildung</t>
  </si>
  <si>
    <t>half-ridge construction</t>
  </si>
  <si>
    <t>réalisation d’une demi-faîtière</t>
  </si>
  <si>
    <t>Raccordo del semicolmo</t>
  </si>
  <si>
    <t>Hřeben pultové střechy</t>
  </si>
  <si>
    <t>Wykonanie kalenicy jednospadowej</t>
  </si>
  <si>
    <t>félgerinces kialakítás</t>
  </si>
  <si>
    <t>vytvorenie polovičného hrebeňa</t>
  </si>
  <si>
    <t>Halve nokvorming</t>
  </si>
  <si>
    <t>Oblikovanje polslemena</t>
  </si>
  <si>
    <t>halvnock</t>
  </si>
  <si>
    <t>Halvrygningsdesign</t>
  </si>
  <si>
    <t>Halvmøneoppbygging</t>
  </si>
  <si>
    <t>Konstrukcija polusljemena</t>
  </si>
  <si>
    <t>Halteklemme</t>
  </si>
  <si>
    <t>fastener</t>
  </si>
  <si>
    <t>clip de fixation</t>
  </si>
  <si>
    <t>Staffa di fissaggio</t>
  </si>
  <si>
    <t>Excentrický držák</t>
  </si>
  <si>
    <t>łącznik</t>
  </si>
  <si>
    <t>rögzítő elem</t>
  </si>
  <si>
    <t>montážna svorka</t>
  </si>
  <si>
    <t>bevestigingsklem</t>
  </si>
  <si>
    <t>ojačitveno streme za alu strešne žlebove</t>
  </si>
  <si>
    <t>fästklammer</t>
  </si>
  <si>
    <t>holdeklemme</t>
  </si>
  <si>
    <t>festeklemme</t>
  </si>
  <si>
    <t>Obujmica za držanje</t>
  </si>
  <si>
    <t>Haltestreifen</t>
  </si>
  <si>
    <t>fixing strip</t>
  </si>
  <si>
    <t>bande de maintien</t>
  </si>
  <si>
    <t>Strisce di fissaggio</t>
  </si>
  <si>
    <t>Listwy montażowe</t>
  </si>
  <si>
    <t>tartószegély</t>
  </si>
  <si>
    <t>pridržiavací pás</t>
  </si>
  <si>
    <t>Bevestigingsstrips</t>
  </si>
  <si>
    <t>Nosilni trak</t>
  </si>
  <si>
    <t>fästremsor</t>
  </si>
  <si>
    <t>Holdelister</t>
  </si>
  <si>
    <t>Haltewinkel</t>
  </si>
  <si>
    <t>flashing strip</t>
  </si>
  <si>
    <t>Equerre-support</t>
  </si>
  <si>
    <t>Angolo di fissaggio</t>
  </si>
  <si>
    <t>Montážní úhelník</t>
  </si>
  <si>
    <t>Wspornik montażowy</t>
  </si>
  <si>
    <t>tartószeglet</t>
  </si>
  <si>
    <t>pridržiavací uholník</t>
  </si>
  <si>
    <t>Bevestigingshoek</t>
  </si>
  <si>
    <t>Nosilni kotnik</t>
  </si>
  <si>
    <t>konsol</t>
  </si>
  <si>
    <t>Holdevinkel</t>
  </si>
  <si>
    <t>Holdebrakett</t>
  </si>
  <si>
    <t>Kutni držač</t>
  </si>
  <si>
    <t>Haltewinkel gekantet</t>
  </si>
  <si>
    <t>continuous pre-formed supporting flashing strip</t>
  </si>
  <si>
    <t>équerre-support repliée</t>
  </si>
  <si>
    <t>Angolo di fissaggio squadrato</t>
  </si>
  <si>
    <t>Montážní úhelník hraněný</t>
  </si>
  <si>
    <t>Kątowy wspornik montażowy</t>
  </si>
  <si>
    <t>tartószeglet, hajtott</t>
  </si>
  <si>
    <t>pridržiavací uholník ohýbaný</t>
  </si>
  <si>
    <t>Bevestigingshoek gevoegd</t>
  </si>
  <si>
    <t>Nosilni kotnik obrobljen</t>
  </si>
  <si>
    <t>kantat vinklat fäste</t>
  </si>
  <si>
    <t>Holdevinkel kantet</t>
  </si>
  <si>
    <t>Kantet holdebrakett</t>
  </si>
  <si>
    <t>Kutni držač, kantiran</t>
  </si>
  <si>
    <t>Hängerinnen-Dila mit Wulst und Blende</t>
  </si>
  <si>
    <t>half-round gutter expansion joint with bead and cover plate</t>
  </si>
  <si>
    <t>joint de dilatation avec boudin et cache (gouttière demi-ronde)</t>
  </si>
  <si>
    <t>Elemento di dilatazione per canale con ricciolo e scossalina</t>
  </si>
  <si>
    <t>Žlabová dilatace s návalkou a krytem gumy</t>
  </si>
  <si>
    <t xml:space="preserve">Rynna wisząca z połączeniem i kolanem z przykryciem </t>
  </si>
  <si>
    <t>függő ereszcsatorna dilatációs elem takaróelemmel</t>
  </si>
  <si>
    <t>dilatačný prvok polkruhového zľabu s návalkom a krytom</t>
  </si>
  <si>
    <t>hanggoot-Dila met rand en kap</t>
  </si>
  <si>
    <t>dilatacija za polokrogli žleb z zaslonko in zavitkom</t>
  </si>
  <si>
    <t>expanderingsskarv för hängränna med vulst och täckkåpebleck</t>
  </si>
  <si>
    <t>hængerendeudvidelse med vulst og blænde</t>
  </si>
  <si>
    <t>skjøtestykke for takrenne med vulst og dekkplate</t>
  </si>
  <si>
    <t>Dilatacija visećeg žlijeba s opšavom i blendom</t>
  </si>
  <si>
    <t>Hängerinnen-Dila ohne Wulst und Blende</t>
  </si>
  <si>
    <t>half-round gutter expansion joint without bead or cover plate</t>
  </si>
  <si>
    <t>joint de dilatation sans boudin ni cache (gouttière demi-ronde)</t>
  </si>
  <si>
    <t>Elemento di dilatazione per canale senza ricciolo e scossalina</t>
  </si>
  <si>
    <t>Žlabová dilatace bez návalky a krytu gumy</t>
  </si>
  <si>
    <t>Rynna wisząca z połączeniem bez kolana z przykryciem</t>
  </si>
  <si>
    <t>függő ereszcsatorna dilatációs elem takaróelem nélkül</t>
  </si>
  <si>
    <t>dilatačný prvok polkruhového zľabu bez návalku a krytu</t>
  </si>
  <si>
    <t>hanggoot-Dila zonder rand en kap</t>
  </si>
  <si>
    <t>dilatacija za polokrogli žleb brez zaslonke in zavitka</t>
  </si>
  <si>
    <t>expanderingsskarv för hängränna utan vulst och täckkåpebleck</t>
  </si>
  <si>
    <t>hængerendeudvidelse uden vulst og blænde</t>
  </si>
  <si>
    <t>skjøtestykke for takrenne uten vulst og dekkplate</t>
  </si>
  <si>
    <t>Dilatacija visećeg žlijeba bez opšava i blende</t>
  </si>
  <si>
    <t>Hauerbuckel; zum Abdecken von Befestigungsmitteln</t>
  </si>
  <si>
    <t>domed cap, for covering fasteners</t>
  </si>
  <si>
    <t>capuchon de protection, protection anticorrosion pour les éléments de fixation (vis, etc.)</t>
  </si>
  <si>
    <t>Borchia coprivite, per mascherare le teste delle viti di fissaggio</t>
  </si>
  <si>
    <t>Krytka kotvících prvků</t>
  </si>
  <si>
    <t>Maskownica wkręt</t>
  </si>
  <si>
    <t>lyuktakaró sapka</t>
  </si>
  <si>
    <t>krytka kotviacich prvkov</t>
  </si>
  <si>
    <t>slagdop, voor het afdekken van bevestigingsmiddelen</t>
  </si>
  <si>
    <t>pokrivna kapa, za prekrivanje pritrdilnih sredstev</t>
  </si>
  <si>
    <t>täckkåpa, för täckning av fästmedel</t>
  </si>
  <si>
    <t>dækplade, til afdækning af fastgørelsesmidler</t>
  </si>
  <si>
    <t>skålformet deksel, til å dekke festemidler</t>
  </si>
  <si>
    <t>Poklopac; za pokrivanje pričvršćivača</t>
  </si>
  <si>
    <t>Hellgrau/Hellgrau</t>
  </si>
  <si>
    <t>light grey/light grey</t>
  </si>
  <si>
    <t>gris souris/gris souris</t>
  </si>
  <si>
    <t>grigio chiaro/grigio chiaro</t>
  </si>
  <si>
    <t>světle šedá/světle šedá</t>
  </si>
  <si>
    <t>jasnoszary / jasnoszary</t>
  </si>
  <si>
    <t>világosszürke/világosszürke</t>
  </si>
  <si>
    <t>svetlošedá/svetlošedá</t>
  </si>
  <si>
    <t>lichtgrijs/lichtgrijs</t>
  </si>
  <si>
    <t>svetlo siva/svetlo siva)</t>
  </si>
  <si>
    <t>ljusgrå/ljusgrå</t>
  </si>
  <si>
    <t>lys grå/lys grå</t>
  </si>
  <si>
    <t>Svijetlo siva / svijetlo siva</t>
  </si>
  <si>
    <t>Diese Anschlussmöglichkeit wird an bereits bestehenden WDVS-Fassaden empfohlen.</t>
  </si>
  <si>
    <t>This type of flashing is recommended for façades with existing external thermal insulation cladding systems (ETICS).</t>
  </si>
  <si>
    <t>Il est recommandé d’utiliser ce type de raccordement pour les façades ITE existantes.</t>
  </si>
  <si>
    <t>Questa opzione di raccordo è raccomandata su facciate ETICS già esistenti.</t>
  </si>
  <si>
    <t>Tato varianta napojení se doporučuje u již zateplených stěn.</t>
  </si>
  <si>
    <t>Ta opcja połączenia jest zalecana dla już istniejących elewacji z systemem izolacyjnym.</t>
  </si>
  <si>
    <t>Ez a csatlakozási lehetőség már meglévő WDVS-homlokzatok esetében ajánlott.</t>
  </si>
  <si>
    <t>Táto možnosť pripojenia sa odporúča na už existujúcich fasádach s kontaktným zatepľovacím systémom.</t>
  </si>
  <si>
    <t>Deze verbindingsoptie wordt aanbevolen op reeds bestaande ETICS-gevels.</t>
  </si>
  <si>
    <t>Ta možnost povezave je priporočljiva za obstoječe fasade ETICS.</t>
  </si>
  <si>
    <t>Denna anslutningsmöjlighet rekommenderas för befintliga ETICS fasader.</t>
  </si>
  <si>
    <t>Denne tilslutningsmulighed anbefales til eksisterende WDVS-facader.</t>
  </si>
  <si>
    <t>Deenne koblingsmuligheten anbefales på eksisterende EIFS-fasader.</t>
  </si>
  <si>
    <t>Ova opcija spajanja preporuča se za postojeće ETICS fasade.</t>
  </si>
  <si>
    <t>Holzkonstruktion</t>
  </si>
  <si>
    <t>wooden structure</t>
  </si>
  <si>
    <t>construction en bois</t>
  </si>
  <si>
    <t>Costruzione in legno</t>
  </si>
  <si>
    <t>dřevěná konstrukce</t>
  </si>
  <si>
    <t>Konstrukcja drewniana</t>
  </si>
  <si>
    <t>Faszerkezet</t>
  </si>
  <si>
    <t>drevená konštrukcia</t>
  </si>
  <si>
    <t>Houtconstructie</t>
  </si>
  <si>
    <t>Lesena konstrukcija</t>
  </si>
  <si>
    <t>träkonstruktion</t>
  </si>
  <si>
    <t>Trækonstruktion</t>
  </si>
  <si>
    <t>Trekonstruksjon</t>
  </si>
  <si>
    <t>Drvena konstrukcija</t>
  </si>
  <si>
    <t>Holzrahmen (Innenmaß: 595 × 595 mm)</t>
  </si>
  <si>
    <t>Wodden frame (inside dimensions: 595x595 mm)</t>
  </si>
  <si>
    <t>châssis en bois (dimensions intérieures : 595 × 595 mm)</t>
  </si>
  <si>
    <t>Telaio in legno (dimensioni interne: 595x595 mm)</t>
  </si>
  <si>
    <t>Dřevěný rám (vnitřní rozměr: 595 × 595 mm)</t>
  </si>
  <si>
    <t>Rama drewniana (wymiary wewnętrzne: 595 × 595 mm)</t>
  </si>
  <si>
    <t>Fakeret (belső méret: 595 × 595 mm)</t>
  </si>
  <si>
    <t>drevený rám (vnútorný rozmer: 595 × 595 mm)</t>
  </si>
  <si>
    <t>Houten frame (Binnenafmeting: 595 x 595 mm)</t>
  </si>
  <si>
    <t>Leseni okvir (notranja dimenzija: 595 × 595 mm)</t>
  </si>
  <si>
    <t>träram (innermått: 595 × 595 mm)</t>
  </si>
  <si>
    <t>Træramme (indvendige mål: 595 × 595 mm)</t>
  </si>
  <si>
    <t>Trerammer (innvendige mål: 595 × 595 mm)</t>
  </si>
  <si>
    <t>Drveni okvir (unutarnje dimenzije: 595 × 595 mm)</t>
  </si>
  <si>
    <t>Holzrahmen (Innenmaß: 600 × 600 mm)</t>
  </si>
  <si>
    <t>wooden frame (internal dimensions: 600 × 600 mm)</t>
  </si>
  <si>
    <t>châssis en bois (dimensions intérieures : 600 × 600 mm)</t>
  </si>
  <si>
    <t>Telaio in legno
(misura interna 600 x 600 mm)</t>
  </si>
  <si>
    <t>Dřevěný rám (vnitřní rozměr 600 x 600 mm)</t>
  </si>
  <si>
    <t>rama drewniana (wymiary wew. 600 x 600 mm)</t>
  </si>
  <si>
    <t>fakeret
(belső méret 600 x 600 mm)</t>
  </si>
  <si>
    <t>drevený rám
(vnutorný rozmer 600 x 600 mm)</t>
  </si>
  <si>
    <t>houten frame
(binnenmaat 600 x 600 mm)</t>
  </si>
  <si>
    <t>leseni okvir za zasilno strešno okno (notranja mera 600 x 600 mm)</t>
  </si>
  <si>
    <t>träram (invändigt mått 600 x 600 mm)</t>
  </si>
  <si>
    <t>træramme
(indvendigt mål 600 x 600 mm)</t>
  </si>
  <si>
    <t>treramme
(innvendig mål 600 x 600 mm)</t>
  </si>
  <si>
    <t>Drveni okvir (unutarnje dimenzije: 600 × 600 mm)</t>
  </si>
  <si>
    <t>horizontaler Holzriegel</t>
  </si>
  <si>
    <t>nogging piece</t>
  </si>
  <si>
    <t>contre-lattage horizontal</t>
  </si>
  <si>
    <t>Barra di legno orizzontale</t>
  </si>
  <si>
    <t>horizontální dřevěná výztuha</t>
  </si>
  <si>
    <t>poziomy gzyms drewniany</t>
  </si>
  <si>
    <t>vízszintes fagerenda</t>
  </si>
  <si>
    <t>horizontálna drevená západka</t>
  </si>
  <si>
    <t>horizontale houten richel</t>
  </si>
  <si>
    <t>vodoravni leseni zapah</t>
  </si>
  <si>
    <t>horisontell träregel</t>
  </si>
  <si>
    <t>horisontal trælås</t>
  </si>
  <si>
    <t>Horisontal trelekt</t>
  </si>
  <si>
    <t>vodoravna drvena šipka</t>
  </si>
  <si>
    <t>Horizontalschnitt</t>
  </si>
  <si>
    <t>horizontal cross-section</t>
  </si>
  <si>
    <t>section horizontale</t>
  </si>
  <si>
    <t>Sezione orizzontale</t>
  </si>
  <si>
    <t>Horizontální řez</t>
  </si>
  <si>
    <t>Przekrój poziomy</t>
  </si>
  <si>
    <t>vízszintes metszet</t>
  </si>
  <si>
    <t>horizontálny rez</t>
  </si>
  <si>
    <t>Horizontale doorsnede</t>
  </si>
  <si>
    <t>Horizontalni rez</t>
  </si>
  <si>
    <t>horisontalsektion</t>
  </si>
  <si>
    <t>Vandret snit</t>
  </si>
  <si>
    <t>Horisontalt snitt</t>
  </si>
  <si>
    <t>Vodoravni presjek</t>
  </si>
  <si>
    <t>Horizontalschnitt – Außeneckausbildung</t>
  </si>
  <si>
    <t>horizontal cross-section – construction of external corner</t>
  </si>
  <si>
    <t>section horizontale — mise en œuvre d’un angle sortant</t>
  </si>
  <si>
    <t>Sezione orizzontale - Raccordo dell'angolo esterno</t>
  </si>
  <si>
    <t>Horizontální řez – Provedení vnějšího rohu</t>
  </si>
  <si>
    <t>Przekrój poziomy – formowanie narożnika zewnętrznego</t>
  </si>
  <si>
    <t>vízszintes metszet – külső sarokkialakítás</t>
  </si>
  <si>
    <t>horizontálny rez – vytvorenie vonkajšieho rohového profilu</t>
  </si>
  <si>
    <t>Horizontale doorsnede - buitenhoekvorming</t>
  </si>
  <si>
    <t>Horizontalni rez – oblikovanje zunanjega vogala</t>
  </si>
  <si>
    <t>horisontalsektion – utförande ytterhörn</t>
  </si>
  <si>
    <t>Vandret snit – yderhjørnedesign</t>
  </si>
  <si>
    <t>Horisontalt snitt – utvendig hjørneoppbygging</t>
  </si>
  <si>
    <t>Vodoravni presjek – konstrukcija vanjskog kuta</t>
  </si>
  <si>
    <t>Horizontalschnitt – Außenecke</t>
  </si>
  <si>
    <t>horizontal cross-section – external corner</t>
  </si>
  <si>
    <t>section horizontale — angle sortant</t>
  </si>
  <si>
    <t>Sezione orizzontale - Angolo esterno</t>
  </si>
  <si>
    <t>Horizontální řez – Vnější roh</t>
  </si>
  <si>
    <t>Przekrój poziomy – narożnik zewnętrzny</t>
  </si>
  <si>
    <t>vízszintes metszet – külső sarok</t>
  </si>
  <si>
    <t>horizontálny rez – vonkajší rohový profil</t>
  </si>
  <si>
    <t>Horizontale doorsnede - buitenhoek</t>
  </si>
  <si>
    <t>Horizontalni rez – zunanji vogal</t>
  </si>
  <si>
    <t>horisontalsektion – ytterhörn</t>
  </si>
  <si>
    <t>Vandret snit – yderhjørne</t>
  </si>
  <si>
    <t>Horisontalt snitt – ytterhjørne</t>
  </si>
  <si>
    <t>Vodoravni presjek – vanjski kut</t>
  </si>
  <si>
    <t>Horizontalschnitt – Außenecke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</si>
  <si>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</si>
  <si>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</si>
  <si>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</si>
  <si>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</si>
  <si>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</si>
  <si>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</si>
  <si>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</si>
  <si>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</si>
  <si>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</si>
  <si>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horisontalsektion – ytterhörn (variant 1)</t>
  </si>
  <si>
    <t>Vandret snit – yderhjørne (variant 1)</t>
  </si>
  <si>
    <t>Horisontalt snitt – ytterhjørne (variant 1)</t>
  </si>
  <si>
    <t>Vodoravni presjek – vanjski kut (varijanta 1)</t>
  </si>
  <si>
    <t>Horizontalschnitt – Außenecke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</si>
  <si>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</si>
  <si>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</si>
  <si>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</si>
  <si>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</si>
  <si>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</si>
  <si>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</si>
  <si>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</si>
  <si>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</si>
  <si>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</si>
  <si>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horisontalsektion – ytterhörn (variant 2)</t>
  </si>
  <si>
    <t>Vandret snit – yderhjørne (variant 2)</t>
  </si>
  <si>
    <t>Horisontalt snitt – ytterhjørne (variant 2)</t>
  </si>
  <si>
    <t>Vodoravni presjek – vanjski kut (varijanta 2)</t>
  </si>
  <si>
    <t>Horizontalschnitt – Fensterlaibung</t>
  </si>
  <si>
    <t>horizontal cross-section – window reveals</t>
  </si>
  <si>
    <t>section horizontale — tableau de fenêtre</t>
  </si>
  <si>
    <t>Sezione orizzontale - Spalletta della finestra</t>
  </si>
  <si>
    <t>Horizontální řez – Ostění okna</t>
  </si>
  <si>
    <t>Przekrój poziomy – ościeże okienne</t>
  </si>
  <si>
    <t>vízszintes metszet – ablakkáva</t>
  </si>
  <si>
    <t>horizontálny rez – ostenie okna</t>
  </si>
  <si>
    <t>Horizontale doorsnede - raamopening</t>
  </si>
  <si>
    <t>Horizontalni rez – okenska špaleta</t>
  </si>
  <si>
    <t>horisontalsektion – fönstersmyg</t>
  </si>
  <si>
    <t>Vandret snit – vindueskarm</t>
  </si>
  <si>
    <t>Horisontalt snitt – vindusåpning</t>
  </si>
  <si>
    <t>Vodoravni presjek – niša prozora</t>
  </si>
  <si>
    <t>Horizontalschnitt – Fensterlaibung (Variante 1)</t>
  </si>
  <si>
    <t>horizontal cross-section – window reveals (variant 1)</t>
  </si>
  <si>
    <t>section horizontale — tableau de fenêtre (variante 1)</t>
  </si>
  <si>
    <t>Sezione orizzontale - Spalletta della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</si>
  <si>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</si>
  <si>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</si>
  <si>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</si>
  <si>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</si>
  <si>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</si>
  <si>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</si>
  <si>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</si>
  <si>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</si>
  <si>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</si>
  <si>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</si>
  <si>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</si>
  <si>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</si>
  <si>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</si>
  <si>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Sezione orizzontale - Spalletta della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</si>
  <si>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</si>
  <si>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</si>
  <si>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</si>
  <si>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</si>
  <si>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</si>
  <si>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</si>
  <si>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</si>
  <si>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</si>
  <si>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</si>
  <si>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</si>
  <si>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3)</t>
  </si>
  <si>
    <t>horizontal cross-section – window reveals (variant 3)</t>
  </si>
  <si>
    <t>section horizontale — tableau de fenêtre (variante 3)</t>
  </si>
  <si>
    <t>Sezione orizzontale - Spalletta della finestra (variante 3)</t>
  </si>
  <si>
    <t>Horizontální řez – Ostění okna (varianta 3)</t>
  </si>
  <si>
    <t>Przekrój poziomy – ościeże okienne (wariant 3)</t>
  </si>
  <si>
    <t>vízszintes metszet – ablakkáva (3. változat)</t>
  </si>
  <si>
    <t>horizontálny rez – ostenie okna (variant 3)</t>
  </si>
  <si>
    <t>Horizontale doorsnede - raamopening (variant 3)</t>
  </si>
  <si>
    <t>Horizontalni rez – okenska špaleta (različica 3)</t>
  </si>
  <si>
    <t>horisontalsektion – fönstersmyg (variant 3)</t>
  </si>
  <si>
    <t>Vandret snit – vindueskarm (variant 3)</t>
  </si>
  <si>
    <t>Horisontalt snitt – vindusåpning (variant 3)</t>
  </si>
  <si>
    <t>Vodoravni presjek – niša prozora (varijanta 3)</t>
  </si>
  <si>
    <t>Horizontalschnitt – Horizontalschnitt</t>
  </si>
  <si>
    <t>horizontal cross-section – horizontal cross-section</t>
  </si>
  <si>
    <t>section horizontale — section horizontale</t>
  </si>
  <si>
    <t>Sezione orizzontale - Sezione orizzontale</t>
  </si>
  <si>
    <t>Horizontální řez – Horizontální řez</t>
  </si>
  <si>
    <t>Przekrój poziomy – przekrój poziomy</t>
  </si>
  <si>
    <t>vízszintes metszet – vízszintes metszet</t>
  </si>
  <si>
    <t>horizontálny rez – horizontálny rez</t>
  </si>
  <si>
    <t>Horizontale doorsnede - horizontale doorsnede</t>
  </si>
  <si>
    <t>Horizontalni rez – horizontalni rez</t>
  </si>
  <si>
    <t>horisontalsektion – horisontalsektion</t>
  </si>
  <si>
    <t>Vandret snit – vandret snit</t>
  </si>
  <si>
    <t>Horisontalt snitt – horisontalt snitt</t>
  </si>
  <si>
    <t>Vodoravni presjek – vodoravni presjek</t>
  </si>
  <si>
    <t>Horizontalschnitt – Inneneckausbildung</t>
  </si>
  <si>
    <t>horizontal cross-section – construction of internal corner</t>
  </si>
  <si>
    <t>section horizontale — mise en œuvre d’un angle rentrant</t>
  </si>
  <si>
    <t>Sezione orizzontale - Raccordo dell'angolo interno</t>
  </si>
  <si>
    <t>Horizontální řez – Provedení vnitřního rohu</t>
  </si>
  <si>
    <t>Przekrój poziomy – formowanie narożnika wewnętrznego</t>
  </si>
  <si>
    <t>vízszintes metszet – belső sarokkialakítás</t>
  </si>
  <si>
    <t>horizontálny rez – vytvorenie vnútorného rohového profilu</t>
  </si>
  <si>
    <t>Horizontale doorsnede - binnenhoekvorming</t>
  </si>
  <si>
    <t>Horizontalni rez – oblikovanje notranjega vogala</t>
  </si>
  <si>
    <t>horisontalsektion – utförande innerhörn</t>
  </si>
  <si>
    <t>Vandret snit – inderhjørnedesign</t>
  </si>
  <si>
    <t>Horisontalt snitt – innvendig hjørneoppbygging</t>
  </si>
  <si>
    <t>Vodoravni presjek – konstrukcija unutarnjeg kuta</t>
  </si>
  <si>
    <t>Horizontalschnitt – Innenecke</t>
  </si>
  <si>
    <t>horizontal cross-section – internal corner</t>
  </si>
  <si>
    <t>section horizontale — angle rentrant</t>
  </si>
  <si>
    <t>Sezione orizzontale - Angolo interno</t>
  </si>
  <si>
    <t>Horizontální řez – Vnitřní roh</t>
  </si>
  <si>
    <t>Przekrój poziomy – narożnik wewnętrzny</t>
  </si>
  <si>
    <t>vízszintes metszet – belső sarok</t>
  </si>
  <si>
    <t>horizontálny rez – vnútorný rohový profil</t>
  </si>
  <si>
    <t>Horizontale doorsnede - binnenhoek</t>
  </si>
  <si>
    <t>Horizontalni rez – notranji vogal</t>
  </si>
  <si>
    <t>horisontalsektion – innerhörn</t>
  </si>
  <si>
    <t>Vandret snit – inderhjørne</t>
  </si>
  <si>
    <t>Horisontalt snitt – innerhjørne</t>
  </si>
  <si>
    <t>Vodoravni presjek – unutarnji kut</t>
  </si>
  <si>
    <t>Horizontalschnitt – Siding mit UZ-Profil</t>
  </si>
  <si>
    <t>horizontal cross-section – siding with UZ-profile</t>
  </si>
  <si>
    <t>section horizontale — Siding avec profil UZ</t>
  </si>
  <si>
    <t>Sezione orizzontale - Doga con profilo UZ</t>
  </si>
  <si>
    <t>Horizontální řez – Siding s profilem UZ</t>
  </si>
  <si>
    <t>Przekrój poziomy – SIDING z użyciem profilu UZ</t>
  </si>
  <si>
    <t>vízszintes metszet – Siding UZ-profillal</t>
  </si>
  <si>
    <t>horizontálny rez – Siding s UZ-profilom</t>
  </si>
  <si>
    <t>Horizontale doorsnede - siding met UZ-profiel</t>
  </si>
  <si>
    <t>Horizontalni rez – Siding z UZ-profilom</t>
  </si>
  <si>
    <t>horisontalsektion – siding med UZ-profil</t>
  </si>
  <si>
    <t>Vandret snit – siding med UZ-profil</t>
  </si>
  <si>
    <t>Horisontalt snitt – Siding med UZ-profil</t>
  </si>
  <si>
    <t>Vodoravni presjek – fasadna kazeta s UZ profilom</t>
  </si>
  <si>
    <t>Horizontalschnitt – Vertikaltrennung</t>
  </si>
  <si>
    <t>horizontal cross-section – vertical separation</t>
  </si>
  <si>
    <t>section horizontale — séparation verticale</t>
  </si>
  <si>
    <t>Sezione orizzontale - Divisione verticale</t>
  </si>
  <si>
    <t>Horizontální řez – Vertikální oddělení</t>
  </si>
  <si>
    <t>Przekrój poziomy – podział pionowy</t>
  </si>
  <si>
    <t>vízszintes metszet – függőleges elválasztás</t>
  </si>
  <si>
    <t>horizontálny rez – vertikálne oddelenie</t>
  </si>
  <si>
    <t>Horizontale doorsnede - verticale scheiding</t>
  </si>
  <si>
    <t>Horizontalni rez – vertikalna ločitev</t>
  </si>
  <si>
    <t>horisontalsektion – vertikal separation</t>
  </si>
  <si>
    <t>Vandret snit – lodret adskillelse</t>
  </si>
  <si>
    <t>Horisontalt snitt – vertikaldeling</t>
  </si>
  <si>
    <t>Vodoravni presjek – okomito razdvajanje</t>
  </si>
  <si>
    <t>Horizontalschnitt – Wandanschluss</t>
  </si>
  <si>
    <t>horizontal cross-section – wall connection</t>
  </si>
  <si>
    <t>section horizontale —raccordement de couloir latéral</t>
  </si>
  <si>
    <t>Sezione orizzontale - Raccordo a parete</t>
  </si>
  <si>
    <t>Horizontální řez – Napojení na zeď</t>
  </si>
  <si>
    <t>Przekrój poziomy – połączenie ściany</t>
  </si>
  <si>
    <t>vízszintes metszet – fali csatlakozás</t>
  </si>
  <si>
    <t>horizontálny rez – ukončenie pri stene</t>
  </si>
  <si>
    <t>Horizontale doorsnede - wandaansluiting</t>
  </si>
  <si>
    <t>Horizontalni rez – stenski priključek</t>
  </si>
  <si>
    <t>horisontalsektion – vägganslutning</t>
  </si>
  <si>
    <t>Vandret snit – vægtilslutning</t>
  </si>
  <si>
    <t>Horisontalt snitt – veggtilkobling</t>
  </si>
  <si>
    <t>Vodoravni presjek – zidni spoj</t>
  </si>
  <si>
    <t>Hydrolack</t>
  </si>
  <si>
    <t>water-based paint</t>
  </si>
  <si>
    <t>peinture aqueuse</t>
  </si>
  <si>
    <t>Farba na bazie wody</t>
  </si>
  <si>
    <t>Hydrolakk</t>
  </si>
  <si>
    <t>hydrolak</t>
  </si>
  <si>
    <t>lak za popravilo poškodb</t>
  </si>
  <si>
    <t>hydrolack</t>
  </si>
  <si>
    <t>hydrolakk</t>
  </si>
  <si>
    <t>Boja na bazi vode</t>
  </si>
  <si>
    <t>Kehlenausbildung mit konischen Doppelstehfalzbahnen</t>
  </si>
  <si>
    <t>valley construction with tapered double-lock standing seam strip</t>
  </si>
  <si>
    <t>pose d’une noue avec bacs trapézoïdaux à joints debout à double agrafe</t>
  </si>
  <si>
    <t>Raccordo di compluvio con pannelli conici a doppia aggraffatura</t>
  </si>
  <si>
    <t>Úžlabí z kónických krytinových pásů</t>
  </si>
  <si>
    <t>Formowanie wnęk stożkowe na rąbek stojący</t>
  </si>
  <si>
    <t>Vápakialakítás kónikus, kettős állókorcos szalagokkal</t>
  </si>
  <si>
    <t>vytvorenie úžľabí pomocou kónických pásov s dvojitými stojatými drážkami</t>
  </si>
  <si>
    <t>Zetwerk met conische panelen met dubbele sluiting</t>
  </si>
  <si>
    <t>Izvedba žlote s stožčastimi trakovi z dvojnim zgibom</t>
  </si>
  <si>
    <t>Dalformation med koniska dubbla stående falsremsor</t>
  </si>
  <si>
    <t>Kiledesign med koniske dobbeltstående falsbaner</t>
  </si>
  <si>
    <t>Vinkelrenneoppbygging med koniske doble stående falslister</t>
  </si>
  <si>
    <t>Konstrukcija uvale s konusnom podlogom s dvosturkim stojećim falcom</t>
  </si>
  <si>
    <t>Im Allgemeinen empfehlen wir die Verwendung geeigneter Bitumentrennlagen.</t>
  </si>
  <si>
    <t>In general, we recommend using suitable bitumen separating layers.</t>
  </si>
  <si>
    <t>De manière générale, nous recommandons l’utilisation de couches de séparation bitumineuses adaptées.</t>
  </si>
  <si>
    <t>In generale, raccomandiamo l'uso di adeguati strati separatori di bitume.</t>
  </si>
  <si>
    <t>Všeobecně doporučujeme použití vhodné bitumenové separační vrstvy</t>
  </si>
  <si>
    <t>Zasadniczo zalecamy stosowanie odpowiednich bitumicznych warstw rozdzielających.</t>
  </si>
  <si>
    <t>Általában megfelelő bitumenes elválasztórétegek használatát javasoljuk.</t>
  </si>
  <si>
    <t>Vo všeobecnosti odporúčame použitie vhodných bitúmenových separačných fólií.</t>
  </si>
  <si>
    <t>In het algemeen bevelen wij het gebruik van geschikte bitumen scheidingslagen aan.</t>
  </si>
  <si>
    <t>Na splošno priporočamo uporabo ustreznih bitumenskih ločevalnih plasti.</t>
  </si>
  <si>
    <t>Generellt rekommenderar vi användning av lämpliga bitumenseparationsskikt.</t>
  </si>
  <si>
    <t>Generelt anbefaler vi brugen af ​​passende bitumen-skillelag.</t>
  </si>
  <si>
    <t>Generelt sett anbefaler vi bruk av egnet bitumenpapp.</t>
  </si>
  <si>
    <t>Općenito preporučamo korištenje odgovarajućih bitumenskih razdjelnih slojeva.</t>
  </si>
  <si>
    <t>Verfügbare Baubreiten:</t>
  </si>
  <si>
    <t>available visible widths:</t>
  </si>
  <si>
    <t>Largeurs utiles disponibles :</t>
  </si>
  <si>
    <t>Larghezze disponibili:</t>
  </si>
  <si>
    <t>Dostupné stavební šířky:</t>
  </si>
  <si>
    <t>Dostępne szerokości:</t>
  </si>
  <si>
    <t>Elérhető fektetési szélességek:</t>
  </si>
  <si>
    <t>Dostupné konštrukčné šírky:</t>
  </si>
  <si>
    <t>Beschikbare breedtes:</t>
  </si>
  <si>
    <t>Širine, ki so na voljo:</t>
  </si>
  <si>
    <t>Tillgängliga konstruktionsbredder:</t>
  </si>
  <si>
    <t>Tilgængelige bredder:</t>
  </si>
  <si>
    <t>Tilgjengelige byggebredder:</t>
  </si>
  <si>
    <t>Dostupne širine:</t>
  </si>
  <si>
    <t>Information: Lüftungsquerschnitt der Froschmaulluken: ca. 30 cm². Schalung und Trennlage sind entsprechend dem Lüftungsquerschnitt auszuschneiden (Durchmesser: ca. 10 cm). Die Dacheindeckung ist im Randbereich der Ausschnitte umlaufend mit einer 1 cm hohen Aufschweifung zu versehen.</t>
  </si>
  <si>
    <t>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t>
  </si>
  <si>
    <t>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t>
  </si>
  <si>
    <t>Informazione: Sezione di ventilazione della bocchetta di aerazione: circa 30 cm². Tavolato e strato separatore devono essere tagliati secondo la sezione di ventilazione (diametro: circa 10 cm). La copertura del tetto deve essere dotata di un rialzo di 1 cm di altezza intorno all'area del bordo dei ritagli.</t>
  </si>
  <si>
    <r>
      <t>Odvětrávací průřez prvku je cca 30 cm</t>
    </r>
    <r>
      <rPr>
        <vertAlign val="superscript"/>
        <sz val="11"/>
        <color indexed="8"/>
        <rFont val="Arial"/>
        <family val="2"/>
      </rPr>
      <t>2</t>
    </r>
    <r>
      <rPr>
        <sz val="11"/>
        <color indexed="8"/>
        <rFont val="Arial"/>
        <family val="2"/>
      </rPr>
      <t xml:space="preserve"> Bednění a separační vrstvu je nutno odpovídajícím způsobem vyříznout (průměr cca 10 cm). Na krytině v místě prostřihu vytvořte zvednutí 1 cm.</t>
    </r>
  </si>
  <si>
    <t>Informacje: Efektywny przekrój wentylacyjny pokrywy wywietrzników ok. 30 cm². Szalunek i warstwa rozdzielająca muszą być wycięte zgodnie z efektywnym przekrojem wentylacyjnym (średnica: ok. 10 cm). Wokół krawędzi wycięć na pokryciu dachowym należy wykonać podgięcie o wysokości 1 cm.</t>
  </si>
  <si>
    <t>Információk: A szellőzőelemek szellőzési keresztmetszete: kb. 30 cm². A zsaluzatot és az elválasztóréteget a szellőzési keresztmetszetnek megfelelően kell kivágni (átmérő: kb. 10 cm). A tetőfedést a kivágások szélénél 1 cm magas felhajtással kell ellátni.</t>
  </si>
  <si>
    <t>Informácia: Vetrací prierez odvetrávacích tvaroviek: cca 30 cm². Debnenie a separačnú vrstvu treba vyrezať podľa vetracieho prierezu (priemer: cca 10 cm). Strešná krytina musí mať v okrajovej oblasti výrezov po celom obvode 1 cm vysoký lem.</t>
  </si>
  <si>
    <t>Informatie: Ventilatie-doorsnede van de kikkermondluiken: ca. 30 cm². De bekisting en de scheidingslaag moeten worden uitgesneden volgens de doorsnede van de ventilatie (diameter: ca. 10 cm). De dakbedekking moet rondom de randzone van de uitsparingen worden voorzien van een opstand van 1 cm hoog.</t>
  </si>
  <si>
    <t>Informacija: Prezračevalni prerez žabjega zračnika: približno 30 cm². Opaž in ločilni sloj je treba izrezati glede na prečni prerez zračnika (premer: pribl. 10 cm). Strešna kritina mora v robnem območju izrezov imeti neprekinjen zavihan rob višine 1 cm.</t>
  </si>
  <si>
    <t>Information: Ventilationstvärsnitt av grodluckor: ca 30 cm². Formsättning och separationsskikt ska skäras ut enligt ventilationstvärsnittet (diameter: ca 10 cm). Takbeläggningen ska förses med en 1 cm hög förhöjning hela vägen runt urskärningarnas kanter.</t>
  </si>
  <si>
    <t>Information: Ventilationstværsnit for tagudluftning: cirka 30 cm². Forskalling og skillelag skal udskæres efter ventilationstværsnittet (diameter: ca. 10 cm). Tagdækningen skal forsynes med en 1 cm høj udblænding hele vejen rundt om udskæringernes kanter.</t>
  </si>
  <si>
    <t>Informasjon: Ventilasjonstverrsnitt for froskemunnformede luker: ca. 30 cm². Forskaling og skillelag skjæres ut i henhold til ventilasjonstverrsnittet (diameter: ca. 10 cm). Takbelegget skal forsynes med 1 cm høy krage hele veien rundt kantene på utskjæringene.</t>
  </si>
  <si>
    <t>Informacija: Slobodni presjek kapa za odzračnik: cca. 30 cm². Oplatu i razdjelni sloj potrebno je izrezati prema slobodnom presjeku (promjer: cca. 10 cm). Rubovi izreza na krovnom pokrovu moraju biti okruženi povišenom krivuljom visine 1 cm.</t>
  </si>
  <si>
    <t>Inhalt:</t>
  </si>
  <si>
    <t>CONTENTS:</t>
  </si>
  <si>
    <t>SOMMAIRE :</t>
  </si>
  <si>
    <t>Contenuto:</t>
  </si>
  <si>
    <t>OBSAH:</t>
  </si>
  <si>
    <t>TREŚĆ:</t>
  </si>
  <si>
    <t>TARTALOM:</t>
  </si>
  <si>
    <t>INHOUD:</t>
  </si>
  <si>
    <t>VSEBINA:</t>
  </si>
  <si>
    <t>INNEHÅLL:</t>
  </si>
  <si>
    <t>INDHOLD:</t>
  </si>
  <si>
    <t>INNHOLD:</t>
  </si>
  <si>
    <t>SADRŽAJ:</t>
  </si>
  <si>
    <t>INHALT:</t>
  </si>
  <si>
    <t>Innenecke</t>
  </si>
  <si>
    <t>internal corner (PREFA)</t>
  </si>
  <si>
    <t>angle rentrant</t>
  </si>
  <si>
    <t>Angolo interno</t>
  </si>
  <si>
    <t>Vnitřní roh</t>
  </si>
  <si>
    <t>Narożnik wewnętrzny</t>
  </si>
  <si>
    <t>belső sarok</t>
  </si>
  <si>
    <t>vnútorný rohový profil</t>
  </si>
  <si>
    <t>Binnenhoek</t>
  </si>
  <si>
    <t>Notranji vogal</t>
  </si>
  <si>
    <t>invändigt hörn</t>
  </si>
  <si>
    <t>Inderhjørne</t>
  </si>
  <si>
    <t>Innerhjørne</t>
  </si>
  <si>
    <t>Unutarnji kut</t>
  </si>
  <si>
    <t>Innenecke gekantet</t>
  </si>
  <si>
    <t>internal corner (canted)</t>
  </si>
  <si>
    <t>angle rentrant plié</t>
  </si>
  <si>
    <t>Angolo interno piegato</t>
  </si>
  <si>
    <t>Vnitřní roh hraněný</t>
  </si>
  <si>
    <t>Narożnik wewnętrzny obrobiony</t>
  </si>
  <si>
    <t>belső sarok, hajtott</t>
  </si>
  <si>
    <t>vnútorný rohový profil ohýbaný</t>
  </si>
  <si>
    <t>Binnenhoek gevoegd</t>
  </si>
  <si>
    <t>Notranji vogal obrobljen</t>
  </si>
  <si>
    <t>Kantat invändigt hörn</t>
  </si>
  <si>
    <t>Inderhjørne kantet</t>
  </si>
  <si>
    <t>Kantet innerhjørne</t>
  </si>
  <si>
    <t>Unutarnji kut, kantiran</t>
  </si>
  <si>
    <t>Innenecke gekantet (Variante 1)</t>
  </si>
  <si>
    <t>internal corner (canted) – (version 1)</t>
  </si>
  <si>
    <t>angle rentrant plié (variante 1)</t>
  </si>
  <si>
    <t>Angolo interno piegato (variante 1)</t>
  </si>
  <si>
    <t>Vnitřní roh hraněný (varianta 1)</t>
  </si>
  <si>
    <t>Narożnik wewnętrzny obrobiony (wariant 1)</t>
  </si>
  <si>
    <t>belső sarok, hajtott (1. változat)</t>
  </si>
  <si>
    <t>vnútorný rohový profil ohýbaný (variant 1)</t>
  </si>
  <si>
    <t>Binnenhoek gevoegd (variant 1)</t>
  </si>
  <si>
    <t>Notranji vogal obrobljen (različica 1)</t>
  </si>
  <si>
    <t>Kantat innerhörn (variant 1)</t>
  </si>
  <si>
    <t>Inderhjørne kantet (variant 1)</t>
  </si>
  <si>
    <t>Kantet innerhjørne (variant 1)</t>
  </si>
  <si>
    <t>Unutarnji kut, kantiran (varijanta 1)</t>
  </si>
  <si>
    <t>Innenecke gekantet (Variante 2)</t>
  </si>
  <si>
    <t>internal corner (canted) – (version 2)</t>
  </si>
  <si>
    <t>angle rentrant plié (variante 2)</t>
  </si>
  <si>
    <t>Angolo interno piegato (variante 2)</t>
  </si>
  <si>
    <t>Vnitřní roh hraněný (varianta 2)</t>
  </si>
  <si>
    <t>Narożnik wewnętrzny obrobiony (wariant 2)</t>
  </si>
  <si>
    <t>belső sarok, hajtott (2. változat)</t>
  </si>
  <si>
    <t>vnútorný rohový profil ohýbaný (variant 2)</t>
  </si>
  <si>
    <t>Binnenhoek gevoegd (variant 2)</t>
  </si>
  <si>
    <t>Notranji vogal obrobljen (različica 2)</t>
  </si>
  <si>
    <t>Kantat innerhörn (variant 2)</t>
  </si>
  <si>
    <t>Inderhjørne kantet (variant 2)</t>
  </si>
  <si>
    <t>Kantet innerhjørne (variant 2)</t>
  </si>
  <si>
    <t>Unutarnji kut, kantiran (varijanta 2)</t>
  </si>
  <si>
    <t>Innenecke gekantet (Variante 3)</t>
  </si>
  <si>
    <t>internal corner (canted) – (version 3)</t>
  </si>
  <si>
    <t>angle rentrant plié (variante 3)</t>
  </si>
  <si>
    <t>Angolo interno piegato (variante 3)</t>
  </si>
  <si>
    <t>Vnitřní roh hraněný (varianta 3)</t>
  </si>
  <si>
    <t>Narożnik wewnętrzny obrobiony (wariant 3)</t>
  </si>
  <si>
    <t>belső sarok, hajtott (3. változat)</t>
  </si>
  <si>
    <t>vnútorný rohový profil ohýbaný (variant 3)</t>
  </si>
  <si>
    <t>Binnenhoek gevoegd (variant 3)</t>
  </si>
  <si>
    <t>Notranji vogal obrobljen (različica 3)</t>
  </si>
  <si>
    <t>Kantat innerhörn (variant 3)</t>
  </si>
  <si>
    <t>Inderhjørne kantet (variant 3)</t>
  </si>
  <si>
    <t>Kantet innerhjørne (variant 3)</t>
  </si>
  <si>
    <t>Unutarnji kut, kantiran (varijanta 3)</t>
  </si>
  <si>
    <t>Innenecke einteilig (Länge: 2.000 mm)</t>
  </si>
  <si>
    <t>internal corner (one-piece); L = 2,000 mm</t>
  </si>
  <si>
    <t>angle rentrant (longueur : 2 000 mm)</t>
  </si>
  <si>
    <t>angolo interno; L = 2000 mm</t>
  </si>
  <si>
    <t>vnitřní roh, délka 2000 mm</t>
  </si>
  <si>
    <t>Narożnik wewnętrzny L=2000 mm</t>
  </si>
  <si>
    <t>belső sarok profil H = 2.000 mm</t>
  </si>
  <si>
    <t>kútový profil, dĺžka 2000 mm</t>
  </si>
  <si>
    <t>binnenhoek L = 2000 mm</t>
  </si>
  <si>
    <t>Notranji vogal (dolžina: 2.000 mm)</t>
  </si>
  <si>
    <t>invändigt hörn L = 2.000 mm</t>
  </si>
  <si>
    <t>indvendigt hjørne L = 2.000 mm</t>
  </si>
  <si>
    <t>innvendig hjørne L = 2000 mm</t>
  </si>
  <si>
    <t>Unutarnji kut L = 2.000 mm</t>
  </si>
  <si>
    <t>Innenliegende Kastenrinne</t>
  </si>
  <si>
    <t>internal box gutter</t>
  </si>
  <si>
    <t>chéneau encaissé carré</t>
  </si>
  <si>
    <t>Canale quadro incassato</t>
  </si>
  <si>
    <t>Vnitřní hranatý žlab</t>
  </si>
  <si>
    <t>Rynna wewnętrzna o profilu skrzynkowym</t>
  </si>
  <si>
    <t>belső négyszögszelvényű ereszcsatorna</t>
  </si>
  <si>
    <t>vnútorný hranatý žľab</t>
  </si>
  <si>
    <t>Interne doosgoot</t>
  </si>
  <si>
    <t>Notranji pravokotni žleb</t>
  </si>
  <si>
    <t>invändig lådränna</t>
  </si>
  <si>
    <t>Indvendig kassetagrende</t>
  </si>
  <si>
    <t>Innvendig firkantrenne</t>
  </si>
  <si>
    <t>Unutarnji sandučasti žlijeb</t>
  </si>
  <si>
    <t>Innenrinnenwinkel (W3 über 90°)</t>
  </si>
  <si>
    <t>internal gutter corner (W3 over 90°)</t>
  </si>
  <si>
    <t>équerre pour angle rentrant de gouttière (W3 supérieur à 90°)</t>
  </si>
  <si>
    <t>Angolo interno della grondaia (A3 superiore a 90°)</t>
  </si>
  <si>
    <t>Roh žlabu vnitřní (W3 více než 90°)</t>
  </si>
  <si>
    <t>Wewnętrzny narożnik rynny (W3 powyżej 90°)</t>
  </si>
  <si>
    <t>belső ereszcsatorna sarokelem (W3 90° felett)</t>
  </si>
  <si>
    <t>vnútorný roh polkruhového žľabu (W3 nad 90°)</t>
  </si>
  <si>
    <t>Inwendige goothoek (W3 boven 90°)</t>
  </si>
  <si>
    <t>Notranji vogalnik žleba (W3 nad 90°)</t>
  </si>
  <si>
    <t>Invändig rännvinkel (W3 över 90°)</t>
  </si>
  <si>
    <t>Inderrendevinkel (W3 over 90°)</t>
  </si>
  <si>
    <t>Innvendig rennevinkel (W3 over 90°)</t>
  </si>
  <si>
    <t>Kutni element unutarnjeg žlijeba (W3 preko 90°)</t>
  </si>
  <si>
    <t>Innenrinnenwinkel (W3 unter 90°)</t>
  </si>
  <si>
    <t>internal gutter corner (W3 below 90°)</t>
  </si>
  <si>
    <t>équerre pour angle rentrant de gouttière (W3 inférieur à 90°)</t>
  </si>
  <si>
    <t>Angolo interno della grondaia (A3 inferiore a 90°)</t>
  </si>
  <si>
    <t>Roh žlabu vnitřní (W3 méně než 90°)</t>
  </si>
  <si>
    <t>Wewnętrzny narożnik rynny (W3 poniżej 90°)</t>
  </si>
  <si>
    <t>belső ereszcsatorna sarokelem (W3 90° alatt)</t>
  </si>
  <si>
    <t>vnútorný roh polkruhového žľabu (W3 pod 90°)</t>
  </si>
  <si>
    <t>Inwendige goothoek (W3 onder 90°)</t>
  </si>
  <si>
    <t>Notranji vogalnik žleba (W3 pod 90°)</t>
  </si>
  <si>
    <t>Innerrännans vinkel (W3 under 90°)</t>
  </si>
  <si>
    <t>Inderrendevinkel (W3 under 90°)</t>
  </si>
  <si>
    <t>Innvendig rennevinkel (W3 under 90°)</t>
  </si>
  <si>
    <t>Kutni element unutarnjeg žlijeba (W3 ispod 90°)</t>
  </si>
  <si>
    <t>Isolator</t>
  </si>
  <si>
    <t>thermal break</t>
  </si>
  <si>
    <t>cale de rupture de pont thermique</t>
  </si>
  <si>
    <t>Elemento isolante</t>
  </si>
  <si>
    <t>Izolátor</t>
  </si>
  <si>
    <t>Szigetelő</t>
  </si>
  <si>
    <t>izolátor</t>
  </si>
  <si>
    <t>Izolator</t>
  </si>
  <si>
    <t>Isolator (Thermostopper)</t>
  </si>
  <si>
    <t>Szigetelő (hőgátló)</t>
  </si>
  <si>
    <t>izolátor (prerušenie tepelného mostu)</t>
  </si>
  <si>
    <t>Izolator (Thermostop)</t>
  </si>
  <si>
    <t>Isolator (termostopper)</t>
  </si>
  <si>
    <t>Izolator (termički stoper)</t>
  </si>
  <si>
    <t>ja</t>
  </si>
  <si>
    <t>yes</t>
  </si>
  <si>
    <t>oui</t>
  </si>
  <si>
    <t>sì</t>
  </si>
  <si>
    <t>Ano</t>
  </si>
  <si>
    <t>tak</t>
  </si>
  <si>
    <t>igen</t>
  </si>
  <si>
    <t>Áno</t>
  </si>
  <si>
    <t>da</t>
  </si>
  <si>
    <t>Ja</t>
  </si>
  <si>
    <t>Jet-Lüfter</t>
  </si>
  <si>
    <t>ridge vent</t>
  </si>
  <si>
    <t>faîtière ventilée</t>
  </si>
  <si>
    <t>Copricolmo ventilato</t>
  </si>
  <si>
    <t>Gąsior wentylacyjny</t>
  </si>
  <si>
    <t>szellőző gerincelem (Jet Lüfter)</t>
  </si>
  <si>
    <t>odvetrávací hrebenáč Jet-Lüfter</t>
  </si>
  <si>
    <t>Straalventilator</t>
  </si>
  <si>
    <t>Jet zračni slemenjak</t>
  </si>
  <si>
    <t>jetfläkt</t>
  </si>
  <si>
    <t>Jet-ventilator</t>
  </si>
  <si>
    <t>Kanalventilasjon</t>
  </si>
  <si>
    <t>Jet-odzračnik</t>
  </si>
  <si>
    <t>FAÎTIÈRE VENTILÉE</t>
  </si>
  <si>
    <t>GĄSIOR WENTYLACYJNY</t>
  </si>
  <si>
    <t>SZELLŐZŐ GERINCELEM (JET LÜFTER)</t>
  </si>
  <si>
    <t>ODVETRÁVACÍ HREBENÁČ JET-LÜFTER</t>
  </si>
  <si>
    <t>STRAALVENTILATOR</t>
  </si>
  <si>
    <t>JET ZRAČNI SLEMENJAK</t>
  </si>
  <si>
    <t>JETFLÄKT</t>
  </si>
  <si>
    <t>JET-VENTILATOR</t>
  </si>
  <si>
    <t>KANALVENTILASJON</t>
  </si>
  <si>
    <t>JET-ODZRAČNIK</t>
  </si>
  <si>
    <t>Jet-Lüfter (stucco; 1.200 mm); inkl. Niro-Schraube und Dichtscheibe</t>
  </si>
  <si>
    <t>ridge vent, stucco (1,200 mm), including stainless steel screw and sealing washer</t>
  </si>
  <si>
    <t>faîtière ventilée (stucco ; 1 200 mm) ; fournie avec vis inox et rondelle d’étanchéité</t>
  </si>
  <si>
    <t>Copricolmo ventilato (1.200mm) incl. vite inox e rondella di tenuta</t>
  </si>
  <si>
    <t>Jet-Lüfter stucco (1.200mm) včetně nerez. vrutu a těs. podložky</t>
  </si>
  <si>
    <t>gąsior wentylowany, stucco (1,200 mm), z wkrętami ze stali nierdzewnej i uszczelnieniem</t>
  </si>
  <si>
    <t>Jet Lüfter szellőző gerincelem (1.200mm) rozsdamentes csavarral és tömítő alátéttel</t>
  </si>
  <si>
    <t>odvetrávací hrebenáč Jet-Lüfter, stucco (1.200 mm) vrátane nerezovej skrutky s tesniacou podložkou</t>
  </si>
  <si>
    <t>jetventilator stucco (1200 mm) incl. Niro-schr. en afdichtingsch.</t>
  </si>
  <si>
    <t xml:space="preserve">PREfa Jet-zračni slemenjak stucco (1.200 mm) vklj. S kleparskimi nerjavečimi vijaki </t>
  </si>
  <si>
    <t>Jet-ventilation stuckatur (1.200 mm) inkl. Niro-skruv och tätningsbricka</t>
  </si>
  <si>
    <t>jet-ventilator (1.200 mm) inkl. Niro-skrue og tætningsskive.</t>
  </si>
  <si>
    <t>kanalventilasjon stucco (1200 mm) inkl. skrue i rustfritt stål og tetn.skive</t>
  </si>
  <si>
    <t>Jet-odzračnik (stucco; 1.200 mm); uklj. nehrđajući vijak i brtvena podloga</t>
  </si>
  <si>
    <t>Jet-Lüfter (stucco; 3.000 mm); inkl. Niro-Schraube und Dichtscheibe</t>
  </si>
  <si>
    <t>ridge vent, stucco (3,000 mm), including stainless steel screw and sealing washer</t>
  </si>
  <si>
    <t>faîtière ventilée (stucco ; 3 000 mm) ; fournie avec vis inox et rondelle d’étanchéité</t>
  </si>
  <si>
    <t>Copricolmo ventilato (3000mm) incl. vite inox e rondella di tenuta</t>
  </si>
  <si>
    <t>Jet-Lüfter stucco (3.000mm)  včetně nerez. vrutu a těs. podložky</t>
  </si>
  <si>
    <t>gąsior wentylowany, stucco (3,000 mm), z wkrętami ze stali nierdzewnej i uszczelnieniem</t>
  </si>
  <si>
    <t>Jet Lüfter szellőző gerincelem (3.000mm) rozsdamentes csavarral és tömítő alátéttel</t>
  </si>
  <si>
    <t>odvetrávací hrebenáč Jet-Lüfter, stucco (3.000 mm) vrátane nerezovej skrutky s tesniacou podložkou</t>
  </si>
  <si>
    <t>jetventilator stucco (3.000mm) incl. Niro-schr. en afdichtingsch.</t>
  </si>
  <si>
    <t xml:space="preserve">PREfa Jet-zračni slemenjak stucco (3.000 mm) vklj. S kleparskimi nerjavečimi vijaki </t>
  </si>
  <si>
    <t>Jet-ventilation stuckatur (3.000 mm) inkl. Niro-skruv och tätningsbricka</t>
  </si>
  <si>
    <t>jet-ventilator (3.000mm) inkl. Niro-skrue og tætningsskive.</t>
  </si>
  <si>
    <t>kanalventilasjon stucco (3000 mm) inkl. skrue i rustfritt stål og tetn.skive</t>
  </si>
  <si>
    <t>Jet-odzračnik (stucco; 3.000 mm); uklj. nehrđajući vijak i brtvena podloga</t>
  </si>
  <si>
    <t>Jet-Lüfter-Vorkopf (stucco)</t>
  </si>
  <si>
    <t>ridge vent end piece, stucco</t>
  </si>
  <si>
    <t>about de faîtière ventilée (stucco)</t>
  </si>
  <si>
    <t>Testata per copricolmo ventilato, goffrata</t>
  </si>
  <si>
    <t>Ukončovací prvek pro Jet-Lüfter</t>
  </si>
  <si>
    <t>końcówka gąsiora wentylowanego, stucco</t>
  </si>
  <si>
    <t>végelem szellőző gerincelemhez stukkó</t>
  </si>
  <si>
    <t xml:space="preserve">ukončujúci prvok pre odvetrávací hrebenáč Jet-Lüfter </t>
  </si>
  <si>
    <t>jetventilator-eindstuk stucco</t>
  </si>
  <si>
    <t>jet-začetni slemenjak stucco</t>
  </si>
  <si>
    <t>Jet-ventilation ändstycke stuckatur</t>
  </si>
  <si>
    <t>jet-ventilator endestykke stucco</t>
  </si>
  <si>
    <t>kanalventilasjon endestykke stucco</t>
  </si>
  <si>
    <t>Jet-odzračnik-čelo žlijeba (stucco)</t>
  </si>
  <si>
    <t>Kabelführungsrohr</t>
  </si>
  <si>
    <t>cable conduit</t>
  </si>
  <si>
    <t>tube pour le passage de câbles</t>
  </si>
  <si>
    <t>Tubo con condotto per cavi</t>
  </si>
  <si>
    <t>trubka vedení kabelů</t>
  </si>
  <si>
    <t>Przepust kablowy</t>
  </si>
  <si>
    <t>Kábelcsatorna</t>
  </si>
  <si>
    <t>rúrka na vedenie kábla</t>
  </si>
  <si>
    <t>Kabelgeleidingsbuis</t>
  </si>
  <si>
    <t>Cev za napeljavo kablov</t>
  </si>
  <si>
    <t>kabelstyrningsrör</t>
  </si>
  <si>
    <t>Kabelkanal</t>
  </si>
  <si>
    <t>Kabelføringsrør</t>
  </si>
  <si>
    <t>Cijev za vođenje kabela</t>
  </si>
  <si>
    <t>Kabelführungsrohr (Ø 25)</t>
  </si>
  <si>
    <t>cable conduit (diameter 25)</t>
  </si>
  <si>
    <t>tube pour le passage de câbles (⌀ 25)</t>
  </si>
  <si>
    <t>Tubo con condotto per cavi (Ø 25)</t>
  </si>
  <si>
    <t>trubka vedení kabelů Ø 25 mm</t>
  </si>
  <si>
    <t>Przepust kablowy (Ø 25)</t>
  </si>
  <si>
    <t>Kábelcsatorna (Ø 25)</t>
  </si>
  <si>
    <t>rúrka na vedenie kábla (Ø 25)</t>
  </si>
  <si>
    <t>Kabelgeleidingsbuis (Ø 25)</t>
  </si>
  <si>
    <t>Cev za napeljavo kablov (Ø 25)</t>
  </si>
  <si>
    <t>kabelstyrningsrör (Ø 25)</t>
  </si>
  <si>
    <t>Kabelkanal (Ø 25)</t>
  </si>
  <si>
    <t>Kabelføringsrør (Ø 25)</t>
  </si>
  <si>
    <t>Cijev za vođenje kabela (Ø 25)</t>
  </si>
  <si>
    <t>Kabelführungsrohr (z. B. Solar)</t>
  </si>
  <si>
    <t>cable conduit (e.g. Solar)</t>
  </si>
  <si>
    <t>tube pour le passage de câbles (accessoires pour panneaux solaires par exemple)</t>
  </si>
  <si>
    <t>Tubo con condotto per cavi (ad es. solare)</t>
  </si>
  <si>
    <t>trubka vedení kabelů, např. Solar</t>
  </si>
  <si>
    <t>Przepust kablowy (np. do paneli fotowoltaicznych)</t>
  </si>
  <si>
    <t>Kábelcsatorna (pl. Solar)</t>
  </si>
  <si>
    <t>rúrka na vedenie kábla (napr. Solar)</t>
  </si>
  <si>
    <t>Kabelgeleidingsbuis (bijv. zonne-energie)</t>
  </si>
  <si>
    <t>Cev za napeljavo kablov (npr. solarni sistem)</t>
  </si>
  <si>
    <t>kabelstyrningsrör (t.ex. solenergi)</t>
  </si>
  <si>
    <t>Kabelkanal (f.eks. Solar)</t>
  </si>
  <si>
    <t>Kabelføringsrør (f.eks. til solcelle)</t>
  </si>
  <si>
    <t>Cijev za vođenje kabela (npr. solar)</t>
  </si>
  <si>
    <t>Kaminhut (1.000 × 700 mm)</t>
  </si>
  <si>
    <t>chimney cap ( 1,000 × 700 mm)</t>
  </si>
  <si>
    <t>chapeau de cheminée (1 000 × 700 mm)</t>
  </si>
  <si>
    <t>Cappello camino 1.000 x 700 mm</t>
  </si>
  <si>
    <t xml:space="preserve"> Kryt komínu - Napoleon.000 x 700 mm</t>
  </si>
  <si>
    <t>daszek kominowy ( 1,000 × 700 mm)</t>
  </si>
  <si>
    <t>kéményfedél 1000 x 700 mm</t>
  </si>
  <si>
    <t>komínová strieška 1.000 x 700 mm</t>
  </si>
  <si>
    <t>schoorsteenkap 1000 x 700 mm</t>
  </si>
  <si>
    <t>iskrolov za dimnik 1000x700mm</t>
  </si>
  <si>
    <t>skorstenshuv 1.000 x 700 mm</t>
  </si>
  <si>
    <t>skorstenshat 1.000 x 700 mm</t>
  </si>
  <si>
    <t>pipehatt 1000 x 700 mm</t>
  </si>
  <si>
    <t>Dimnjačka kapa (1.000 × 700 mm)</t>
  </si>
  <si>
    <t>Kaminhut (1.100 × 800 mm)</t>
  </si>
  <si>
    <t>chimney cap ( 1,100 × 800 mm)</t>
  </si>
  <si>
    <t>chapeau de cheminée (1 100 × 800 mm)</t>
  </si>
  <si>
    <t>Cappello camino 1.100 x 800 mm</t>
  </si>
  <si>
    <t xml:space="preserve"> Kryt komínu - Napoleon 1.100 x 800 mm</t>
  </si>
  <si>
    <t>daszek kominowy ( 1,100 × 800 mm)</t>
  </si>
  <si>
    <t>kéményfedél 1.100 x 800 mm</t>
  </si>
  <si>
    <t>komínová strieška 1.100 x 800 mm</t>
  </si>
  <si>
    <t>schoorsteenkap 1100 x 800 mm</t>
  </si>
  <si>
    <t>iskrolov za dimnik 1100x800mm</t>
  </si>
  <si>
    <t>skorstenshuv 1 100 x 800 mm</t>
  </si>
  <si>
    <t>skorstenshat 1.100 x 800 mm</t>
  </si>
  <si>
    <t>pipehatt 1100 x 800 mm</t>
  </si>
  <si>
    <t>Dimnjačka kapa (1.100 × 800 mm)</t>
  </si>
  <si>
    <t>Kaminhut (1.500 × 800 mm)</t>
  </si>
  <si>
    <t>chimney cap ( 1,500 × 800 mm)</t>
  </si>
  <si>
    <t>chapeau de cheminée (1 500 × 800 mm)</t>
  </si>
  <si>
    <t>Cappello camino 1.500 x 800 mm</t>
  </si>
  <si>
    <t xml:space="preserve"> Kryt komínu - Napoleon 1.500 x 800 mm</t>
  </si>
  <si>
    <t>daszek kominowy ( 1,500 × 800 mm)</t>
  </si>
  <si>
    <t>kéményfedél 1.500 x 800 mm</t>
  </si>
  <si>
    <t>komínová strieška 1.500 x 800 mm</t>
  </si>
  <si>
    <t>schoorsteenkap 1500 x 800 mm</t>
  </si>
  <si>
    <t>iskrolov za dimnik 1500x800mm</t>
  </si>
  <si>
    <t>skorstenshuv 1.500 x 800 mm</t>
  </si>
  <si>
    <t>skorstenshat 1.500 x 800 mm</t>
  </si>
  <si>
    <t>pipehatt 1500 x 800 mm</t>
  </si>
  <si>
    <t>Dimnjačka kapa (1.500 × 800 mm)</t>
  </si>
  <si>
    <t>Kaminhut (700 × 700 mm)</t>
  </si>
  <si>
    <t>chimney cap ( 700 × 700 mm)</t>
  </si>
  <si>
    <t>chapeau de cheminée (700 × 700 mm)</t>
  </si>
  <si>
    <t>Cappello camino 700 x 700 mm</t>
  </si>
  <si>
    <t>Kryt komínu - Napoleon 700 x 700 mm</t>
  </si>
  <si>
    <t>daszek kominowy ( 700 × 700 mm)</t>
  </si>
  <si>
    <t>kéményfedél 700 x 700 mm</t>
  </si>
  <si>
    <t>komínová strieška 700 x 700 mm</t>
  </si>
  <si>
    <t>schoorsteenkap 700 x 700 mm</t>
  </si>
  <si>
    <t>iskrolov za dimnik 700x700mm</t>
  </si>
  <si>
    <t>skorstenshuv 700 x 700 mm</t>
  </si>
  <si>
    <t>skorstenshat 700 x 700 mm</t>
  </si>
  <si>
    <t>pipehatt 700 x 700 mm</t>
  </si>
  <si>
    <t>Dimnjačka kapa (700 × 700 mm)</t>
  </si>
  <si>
    <t>Kaminhut (800 × 800 mm)</t>
  </si>
  <si>
    <t>chimney cap ( 800 × 800 mm)</t>
  </si>
  <si>
    <t>chapeau de cheminée (800 × 800 mm)</t>
  </si>
  <si>
    <t>Cappello camino 800 x 800 mm</t>
  </si>
  <si>
    <t xml:space="preserve"> Kryt komínu - Napoleon 800 x 800 mm</t>
  </si>
  <si>
    <t>daszek kominowy ( 800 × 800 mm)</t>
  </si>
  <si>
    <t>kéményfedél 800 x 800 mm</t>
  </si>
  <si>
    <t>komínová strieška 800 x 800 mm</t>
  </si>
  <si>
    <t>schoorsteenkap 800 x 800 mm</t>
  </si>
  <si>
    <t>iskrolov za dimnik 800x800mm</t>
  </si>
  <si>
    <t>skorstenshuv 800 x 800 mm</t>
  </si>
  <si>
    <t>skorstenshat 800 x 800 mm</t>
  </si>
  <si>
    <t>pipehatt 800 x 800 mm</t>
  </si>
  <si>
    <t>Dimnjačka kapa (800 × 800 mm)</t>
  </si>
  <si>
    <t>Kaminstrebe gebogen</t>
  </si>
  <si>
    <t>chimney cap leg, bent</t>
  </si>
  <si>
    <t>pied incurvé</t>
  </si>
  <si>
    <t>Staffa cappello camino</t>
  </si>
  <si>
    <t>Vzpěra krytu komínu - ohýbaná</t>
  </si>
  <si>
    <t xml:space="preserve">Profil mocujący daszka kominowego </t>
  </si>
  <si>
    <t>kéményfedél tartó</t>
  </si>
  <si>
    <t>Výstuha komínovej striešky</t>
  </si>
  <si>
    <t>Schoorsteenstrook gebogen</t>
  </si>
  <si>
    <t>opora za dimniški iskrolov</t>
  </si>
  <si>
    <t>Skorstensstötta, böjd</t>
  </si>
  <si>
    <t>Bukket skorstensstøtte</t>
  </si>
  <si>
    <t>Bøyd pipestag</t>
  </si>
  <si>
    <t>Potpora za dimnjak, koljeno</t>
  </si>
  <si>
    <t>Kappleiste (Kittleiste)</t>
  </si>
  <si>
    <t>solin (bande de solin fixée par joint mastic)</t>
  </si>
  <si>
    <t>Coprifuga (striscia stuccata)</t>
  </si>
  <si>
    <t>Poprzeczka (listwa mocowana na kit)</t>
  </si>
  <si>
    <t>fedőléc (gittléc)</t>
  </si>
  <si>
    <t>krycia lišta (tmelová lišta)</t>
  </si>
  <si>
    <t>Snijstrook (stopverfstrook)</t>
  </si>
  <si>
    <t>Odkapna letev (zaključna letvica)</t>
  </si>
  <si>
    <t>kaplist (spackelremsa)</t>
  </si>
  <si>
    <t>Kapliste (spartelliste)</t>
  </si>
  <si>
    <t>Avslutningslist (kittlist)</t>
  </si>
  <si>
    <t>Lajsna s kapom (brtvena lajsna)</t>
  </si>
  <si>
    <t>Kappleiste (Kittputzleiste)</t>
  </si>
  <si>
    <t>counter flashing (plaster sealing strip)</t>
  </si>
  <si>
    <t>solin (bande de solin fixée par joint mastic et enduit de parement)</t>
  </si>
  <si>
    <t>Coprifuga (striscia di stucco)</t>
  </si>
  <si>
    <t>Poprzeczka (listwa mocowana na kit lub gips)</t>
  </si>
  <si>
    <t>fedőszalag (vakolattömítő szalag)</t>
  </si>
  <si>
    <t>krycia lišta (tmelová omietková lišta)</t>
  </si>
  <si>
    <t>Kruissnijstrook (plamuurstrook)</t>
  </si>
  <si>
    <t>Odkapna letev (nadometna zaključna letvica)</t>
  </si>
  <si>
    <t>kaplist (spackelgipslist)</t>
  </si>
  <si>
    <t>Kapliste (pudseliste)</t>
  </si>
  <si>
    <t>Avslutningslist (kittgipslist)</t>
  </si>
  <si>
    <t>Lajsna s kapom (gipsana brtvena lajsna)</t>
  </si>
  <si>
    <t>Karton</t>
  </si>
  <si>
    <t>box</t>
  </si>
  <si>
    <t>carton</t>
  </si>
  <si>
    <t>Cartone</t>
  </si>
  <si>
    <t>Krabice</t>
  </si>
  <si>
    <t>opak.</t>
  </si>
  <si>
    <t>doboz</t>
  </si>
  <si>
    <t>Krabica</t>
  </si>
  <si>
    <t>Doos</t>
  </si>
  <si>
    <t>škatla</t>
  </si>
  <si>
    <t>kartong</t>
  </si>
  <si>
    <t>Kartong</t>
  </si>
  <si>
    <t>Kutija</t>
  </si>
  <si>
    <t>box gutter</t>
  </si>
  <si>
    <t>Canale quadro</t>
  </si>
  <si>
    <t>hranatý žlab</t>
  </si>
  <si>
    <t>Rynna o profilu skrzynkowym</t>
  </si>
  <si>
    <t>négyszögszelvényű ereszcsatorna</t>
  </si>
  <si>
    <t>Bakgoot</t>
  </si>
  <si>
    <t>Pravokotni žleb</t>
  </si>
  <si>
    <t>lådränna</t>
  </si>
  <si>
    <t>Firkantet tagrende</t>
  </si>
  <si>
    <t>Firkantet renne</t>
  </si>
  <si>
    <t>Kastenrinnen-Dila mit Wulst und Blende</t>
  </si>
  <si>
    <t>box gutter expansion joint with bead and cover plate</t>
  </si>
  <si>
    <t>joint de dilatation avec boudin et cache (gouttière carrée)</t>
  </si>
  <si>
    <t>Elemento di dilatazione per canale quadro con ricciolo e scossalina</t>
  </si>
  <si>
    <t>Žlabová dilatace hranatá s návalkou a krytem gumy</t>
  </si>
  <si>
    <t>Dylatacja rynny prostokątnej z wałkiem i przysłoną</t>
  </si>
  <si>
    <t>négyszögszelvényű ereszcsatorna dilatációs elem takaróelemmel</t>
  </si>
  <si>
    <t>dilatačný prvok hranatého zľabu s návalkom a krytom</t>
  </si>
  <si>
    <t>bakgoot-Dila met rand en kap</t>
  </si>
  <si>
    <t>dilatacija za pravokotni žleb z zavitkom in zaslonko</t>
  </si>
  <si>
    <t>expanderingsskarv för lådränna med vulst och täckkåpebleck</t>
  </si>
  <si>
    <t>kasserendeudvidelse med vulst og blænde</t>
  </si>
  <si>
    <t>skjøtestykke for firkantrenne med vulst og dekkplate</t>
  </si>
  <si>
    <t>Dilatacija sandučastog žlijeba s opšavom i blendom</t>
  </si>
  <si>
    <t>Kastenrinnen-Dila ohne Wulst und Blende</t>
  </si>
  <si>
    <t>box gutter expansion joint without bead or cover plate</t>
  </si>
  <si>
    <t>joint de dilatation sans boudin ni cache (gouttière carrée)</t>
  </si>
  <si>
    <t>Elemento di dilatazione per canale quadro senza ricciolo e scossalina</t>
  </si>
  <si>
    <t>négyszögszelvényű ereszcsatorna dilatációs elem takaróelem nélkül</t>
  </si>
  <si>
    <t>dilatačný prvok hranatého zľabu bez návalku a krytu</t>
  </si>
  <si>
    <t>bakgoot-Dila zonder rand en kap</t>
  </si>
  <si>
    <t>dilatacija za pravokotni žleb brez zavitka in zaslonke</t>
  </si>
  <si>
    <t>expanderingsskarv för lådränna utan vulst och täckkåpebleck</t>
  </si>
  <si>
    <t>kasserendeudvidelse uden vulst og blænde</t>
  </si>
  <si>
    <t>skjøtestykke for firkantrenne uten vulst og dekkplate</t>
  </si>
  <si>
    <t>Dilatacija sandučastog žljeba bez opšava i blende</t>
  </si>
  <si>
    <t>Kastenrinnenendboden</t>
  </si>
  <si>
    <t>box gutter end cap</t>
  </si>
  <si>
    <t>fond de gouttière carrée</t>
  </si>
  <si>
    <t>Testata per canale quadro</t>
  </si>
  <si>
    <t>Čelo žlabu pro hranaté žlaby</t>
  </si>
  <si>
    <t>Denko rynny</t>
  </si>
  <si>
    <t>négyszögszelvényű ereszcsatorna végelem</t>
  </si>
  <si>
    <t>čelo hranatého zľabu</t>
  </si>
  <si>
    <t>bakgootbodem</t>
  </si>
  <si>
    <t>zapora za pravokotni žleb</t>
  </si>
  <si>
    <t>lådrännegavel</t>
  </si>
  <si>
    <t>kasserendeendebund</t>
  </si>
  <si>
    <t>endebunn firkantrenne</t>
  </si>
  <si>
    <t>Čelo sandučastog žlijeba</t>
  </si>
  <si>
    <t>Kastenrinnenendboden 500 (links)</t>
  </si>
  <si>
    <t>box gutter end cap 500, left</t>
  </si>
  <si>
    <t>fond de gouttière carrée 500 (gauche)</t>
  </si>
  <si>
    <t>Testata per canale quadro sv. 500 - sinistra</t>
  </si>
  <si>
    <t>Čelo žlabu pro hranaté žlaby 500 levé</t>
  </si>
  <si>
    <t>Denko rynny prostokątnej 500 lewe</t>
  </si>
  <si>
    <t>négyszögszelvényű ereszcsatorna végelem 500 jobbos</t>
  </si>
  <si>
    <t>čelo hranatého žľabu 500 ľavé</t>
  </si>
  <si>
    <t>eindbodem bakgoot 500 links</t>
  </si>
  <si>
    <t>zapora za pravokotni žleb 500 levih</t>
  </si>
  <si>
    <t>lådrännebotten 500 vänster</t>
  </si>
  <si>
    <t>kasserendeendebund 500 venstre</t>
  </si>
  <si>
    <t>endebunn firkantrenne 500 venstre</t>
  </si>
  <si>
    <t>Čelo sandučastog žlijeba 500 (lijevo)</t>
  </si>
  <si>
    <t>Kastenrinnenendboden 500 (rechts)</t>
  </si>
  <si>
    <t>box gutter end cap 500, right</t>
  </si>
  <si>
    <t>fond de gouttière carrée 500 (droite)</t>
  </si>
  <si>
    <t>Testata per canale quadro sv. 500 - destra</t>
  </si>
  <si>
    <t>Čelo žlabu pro hranaté žlaby 500 pravé</t>
  </si>
  <si>
    <t>Denko rynny prostokątnej 500 prawe</t>
  </si>
  <si>
    <t>négyszögszelvényű ereszcsatorna végelem 500 balos</t>
  </si>
  <si>
    <t>čelo hranatého žľabu 500 pravé</t>
  </si>
  <si>
    <t>eindbodem bakgoot 500 rechts</t>
  </si>
  <si>
    <t>zapora za pravokotni žleb, 500 desnih</t>
  </si>
  <si>
    <t>lådrännebotten 500 höger</t>
  </si>
  <si>
    <t>kasserendeendebund 500 højre</t>
  </si>
  <si>
    <t>endebunn firkantrenne 500 høyre</t>
  </si>
  <si>
    <t>Čelo sandučastog žlijeba 500 (desno)</t>
  </si>
  <si>
    <t>Kastenrinnenkessel</t>
  </si>
  <si>
    <t>box gutter outlet</t>
  </si>
  <si>
    <t>naissance de gouttière carrée</t>
  </si>
  <si>
    <t>Bocchetta di scarico per canale quadro</t>
  </si>
  <si>
    <t>Hranatý kotlík</t>
  </si>
  <si>
    <t>Wylot rynny prostokątnej</t>
  </si>
  <si>
    <t>négyszögszelvényű ereszcsatorna betorkoló elem</t>
  </si>
  <si>
    <t>kotlík hranatého zľabu</t>
  </si>
  <si>
    <t>bakgootvergaarbak</t>
  </si>
  <si>
    <t xml:space="preserve">kotliček za pravokotni žleb </t>
  </si>
  <si>
    <t>omvikningskupa rektangulär lådränna till runda rör</t>
  </si>
  <si>
    <t>kasserendefordybning</t>
  </si>
  <si>
    <t>tappstykke for firkantrenne</t>
  </si>
  <si>
    <t>Odvod sandučastog žlijeba</t>
  </si>
  <si>
    <t>Kastenrinnenwinkel 90° (außen)</t>
  </si>
  <si>
    <t>box gutter corner 90° (external)</t>
  </si>
  <si>
    <t>équerre de gouttière carrée 90° (angle sortant)</t>
  </si>
  <si>
    <t>Angolo esterno 90° per canale quadro</t>
  </si>
  <si>
    <t>Roh hranatého žlabu vnější 90°</t>
  </si>
  <si>
    <t>Narożnik rynny prostokątnej zew. 90°</t>
  </si>
  <si>
    <t>négyszögszelvényű ereszcsatorna külső szeglet 90°</t>
  </si>
  <si>
    <t>roh hranatého zľabu vonkajší 90°</t>
  </si>
  <si>
    <t>bakgoothoek buiten 90°</t>
  </si>
  <si>
    <t>vogalnik za pravokotni žleb, zunanji 90o</t>
  </si>
  <si>
    <t>lådränna utvändig vinkel 90°</t>
  </si>
  <si>
    <t>kasserendevinkel udvendig 90°</t>
  </si>
  <si>
    <t>firkantrennevinkel utvendig 90°</t>
  </si>
  <si>
    <t>Kutni element sandučastog žlijeba 90° (vanjski)</t>
  </si>
  <si>
    <t>Kastenrinnenwinkel 90° (innen)</t>
  </si>
  <si>
    <t>box gutter corner 90° (internal)</t>
  </si>
  <si>
    <t>équerre de gouttière carrée 90° (angle rentrant)</t>
  </si>
  <si>
    <t>Angolo interno 90° per canale quadro</t>
  </si>
  <si>
    <t>Roh hranatého žlabu vnitřní 90°</t>
  </si>
  <si>
    <t>Narożnik rynny prostokątnej wew. 90°</t>
  </si>
  <si>
    <t>négyszögszelvényű ereszcsatorna belső szeglet 90°</t>
  </si>
  <si>
    <t>roh hranatého zľabu vnútorný 90°</t>
  </si>
  <si>
    <t>bakgoothoek binnen 90°</t>
  </si>
  <si>
    <t>vogalnik za pravokotni žleb, notranji 90o</t>
  </si>
  <si>
    <t>lådränna invändig vinkel 90°</t>
  </si>
  <si>
    <t>kasserendevinkel indvendig 90°</t>
  </si>
  <si>
    <t>firkantrennevinkel innvendig 90°</t>
  </si>
  <si>
    <t>Kutni element sandučastog žlijeba 90° (unutarnji)</t>
  </si>
  <si>
    <t>Kehlblech</t>
  </si>
  <si>
    <t>valley flashing</t>
  </si>
  <si>
    <t>tôle de noue</t>
  </si>
  <si>
    <t>Lamiera del compluvio</t>
  </si>
  <si>
    <t>úžlabní plech</t>
  </si>
  <si>
    <t>Blacha kosza</t>
  </si>
  <si>
    <t>vápalemez</t>
  </si>
  <si>
    <t>oplechovanie úžľabia</t>
  </si>
  <si>
    <t>Gootplaat</t>
  </si>
  <si>
    <t>Pločevina za žloto</t>
  </si>
  <si>
    <t>kilplåt</t>
  </si>
  <si>
    <t>Kileliste</t>
  </si>
  <si>
    <t>Vinkelrenneplate</t>
  </si>
  <si>
    <t>Lim za uvalu</t>
  </si>
  <si>
    <t>Kehlenausbildung mit einfacher Kehle</t>
  </si>
  <si>
    <t>valley construction with simple valley</t>
  </si>
  <si>
    <t>pose d’une noue — noue simple</t>
  </si>
  <si>
    <t>Raccordo di compluvio con scossalina singola</t>
  </si>
  <si>
    <t>Úžlabí s jednoduchou drážkou</t>
  </si>
  <si>
    <t>Wykonanie kosza z pojedynczym koszem</t>
  </si>
  <si>
    <t>vápakialakítás egyszeres vápával</t>
  </si>
  <si>
    <t>vytvorenie úžľabia pomocou jednoduchého úžľabia</t>
  </si>
  <si>
    <t>Gootstukvorming met enkele gootstuk</t>
  </si>
  <si>
    <t>Oblikovanje žlote z enostavno žloto</t>
  </si>
  <si>
    <t>kilutformning med enkelkil</t>
  </si>
  <si>
    <t>Kiledesign med enkelt kile</t>
  </si>
  <si>
    <t>Vinkelrenneoppbygging med enkel vinkelrenne</t>
  </si>
  <si>
    <t>Konstrukcija uvale s jednostavnom uvalom</t>
  </si>
  <si>
    <t>Kehlenausbildung mit vertiefter Kehle</t>
  </si>
  <si>
    <t>valley construction with recessed valley</t>
  </si>
  <si>
    <t>pose d’une noue — noue encaissée</t>
  </si>
  <si>
    <t>Raccordo di compluvio con scossalina incassata</t>
  </si>
  <si>
    <t>Úžlabí zapuštěné</t>
  </si>
  <si>
    <t>Wykonanie kosza z pogłębionym koszem</t>
  </si>
  <si>
    <t>vápakialakítás mélyített vápával</t>
  </si>
  <si>
    <t>vytvorenie úžľabia pomocou zapusteného úžľabia</t>
  </si>
  <si>
    <t>Gootstuk met verzonken gootstuk</t>
  </si>
  <si>
    <t>Oblikovanje žlote s poglobljeno žloto</t>
  </si>
  <si>
    <t>kilutformning med fördjupad kil</t>
  </si>
  <si>
    <t>Kiledesign med forsænket kile</t>
  </si>
  <si>
    <t>Vinkelrenneoppbygging med fordypet vinkelrenne</t>
  </si>
  <si>
    <t>Konstrukcija uvale s udubljenom uvalom</t>
  </si>
  <si>
    <t>Kehlenausbildung mit Sicherheitskehle</t>
  </si>
  <si>
    <t>valley construction with safety valley</t>
  </si>
  <si>
    <t>pose d’une noue — noue de sécurité</t>
  </si>
  <si>
    <t>Raccordo di compluvio con ripiega di sicurezza</t>
  </si>
  <si>
    <t>Úžlabí s použitím bezpečnostního úžlabí</t>
  </si>
  <si>
    <t>Wykonanie kosza z koszem zabezpieczającym</t>
  </si>
  <si>
    <t>vápakialakítás biztonsági vápával</t>
  </si>
  <si>
    <t>vytvorenie úžľabia pomocou bezpečnostného úžľabia</t>
  </si>
  <si>
    <t>Gootstuk met veiligheidsstuk</t>
  </si>
  <si>
    <t>Oblikovanje žlote z varnostno žloto</t>
  </si>
  <si>
    <t>kilutformning med säkerhetskil</t>
  </si>
  <si>
    <t>Kiledesign med sikkerhedskile</t>
  </si>
  <si>
    <t>Vinkelrenneoppbygging med sikkerhetsvinkelrenne</t>
  </si>
  <si>
    <t>Konstrukcija uvale sa sigurnosnom uvalom</t>
  </si>
  <si>
    <t>Keine Baubreiten mit</t>
  </si>
  <si>
    <t>No visible width</t>
  </si>
  <si>
    <t>Non disponibili larghezze utili con questa combinazione di superficie e colore</t>
  </si>
  <si>
    <t xml:space="preserve"> Žádné stavební šířky s</t>
  </si>
  <si>
    <t>brak szerokości z</t>
  </si>
  <si>
    <t>nincs ilyen szélesség</t>
  </si>
  <si>
    <t>Táto šírka nie je k dispozícii</t>
  </si>
  <si>
    <t>Geen bouwbreedtes met</t>
  </si>
  <si>
    <t>Nobenih širin z</t>
  </si>
  <si>
    <t>Inga byggbredder med</t>
  </si>
  <si>
    <t>Ingen byggebreder med</t>
  </si>
  <si>
    <t>Ingen bredder med</t>
  </si>
  <si>
    <t>Širine bez</t>
  </si>
  <si>
    <t>—</t>
  </si>
  <si>
    <t>nessuno</t>
  </si>
  <si>
    <t>žiadny</t>
  </si>
  <si>
    <t>ništa</t>
  </si>
  <si>
    <t>kg</t>
  </si>
  <si>
    <t>kg/m²</t>
  </si>
  <si>
    <t>Klebeeinfassung</t>
  </si>
  <si>
    <t>adhesive flashing strip</t>
  </si>
  <si>
    <t>raccordement de ventilation à coller</t>
  </si>
  <si>
    <t>Conversa per torretta di aerazione da incollare</t>
  </si>
  <si>
    <t>nalepovací prostup</t>
  </si>
  <si>
    <t>Klejona oprawa</t>
  </si>
  <si>
    <t>ragasztható kivezető elem</t>
  </si>
  <si>
    <t>nalepovací prestupový prvok</t>
  </si>
  <si>
    <t>Zelfklevende randen</t>
  </si>
  <si>
    <t>Lepilni obrobek</t>
  </si>
  <si>
    <t>självhäftande kant</t>
  </si>
  <si>
    <t>Limindfalsning</t>
  </si>
  <si>
    <t>Limefeste</t>
  </si>
  <si>
    <t>Lijepljena podloga</t>
  </si>
  <si>
    <t>Klebeeinfassung für Falzdächer (⌀ 120–170 mm)</t>
  </si>
  <si>
    <t>bonded vent pipe cover for standing seam roofs (⌀ 120–170 mm)</t>
  </si>
  <si>
    <t>raccordement de ventilation à coller pour toitures à joints debout (⌀ 120-170 mm)</t>
  </si>
  <si>
    <t>Conversa per torretta aerazione, da incollare, per coperture aggraffate Ø 120-170 mm</t>
  </si>
  <si>
    <t>Nalepovací prostup pro falcované střechy Ø 120-170 mm</t>
  </si>
  <si>
    <t>Uchwyt przeklejany do dachów na rąbek stojący ⌀ 120–170 mm</t>
  </si>
  <si>
    <t>átvezető elem korcolt fedéshez ragasztós Ø 120-170 mm</t>
  </si>
  <si>
    <t>nalepovací prestupový prvok pre falcované strechy Ø 120-170 mm</t>
  </si>
  <si>
    <t>hechtingomlijsting voor felsdaken ⌀ 120 – 170 mm</t>
  </si>
  <si>
    <t>obroba za lepljenje za zgibne strehe Ø120-170</t>
  </si>
  <si>
    <t>liminfattning för falsade tak ⌀ 120-170 mm</t>
  </si>
  <si>
    <t>klæbeindfatning til falstage ⌀ 120–170 mm</t>
  </si>
  <si>
    <t>limt innfatning for falsede tak ⌀ 120–170 mm</t>
  </si>
  <si>
    <t>Lijepljena podloga za falcane krovove (⌀ 120–170 mm)</t>
  </si>
  <si>
    <t>Klebeeinfassung für Falzdächer (⌀ 170–210 mm)</t>
  </si>
  <si>
    <t>bonded vent pipe cover for standing seam roofs (⌀ 170–210 mm)</t>
  </si>
  <si>
    <t>raccordement de ventilation à coller pour toitures à joints debout (⌀ 170-210 mm)</t>
  </si>
  <si>
    <t>Conversa per torretta aerazione, da incollare, per coperture aggraffate Ø 170-210 mm</t>
  </si>
  <si>
    <t>Nalepovací prostup pro falcované střechy Ø 170-210 mm</t>
  </si>
  <si>
    <t>Uchwyt przeklejany do dachów na rąbek stojący ⌀ 170–210 mm</t>
  </si>
  <si>
    <t>átvezető elem korcolt fedéshez ragasztós Ø 170-210 mm</t>
  </si>
  <si>
    <t>nalepovací prestupový prvok pre falcované strechy Ø 170-210 mm</t>
  </si>
  <si>
    <t>hechtingomlijsting voor felsdaken ⌀ 170 – 210 mm</t>
  </si>
  <si>
    <t>obroba za lepljenje za zgibne strehe Ø170-210</t>
  </si>
  <si>
    <t>liminfattning för falsade tak ⌀ 170-210 mm</t>
  </si>
  <si>
    <t>klæbeindfatning til falstage ⌀ 170-210 mm</t>
  </si>
  <si>
    <t>limt innfatning for falsede tak ⌀ 170-210 mm</t>
  </si>
  <si>
    <t>Lijepljena podloga za falcane krovove (⌀ 170–210 mm)</t>
  </si>
  <si>
    <t>Klebesystem</t>
  </si>
  <si>
    <t>adhesive system</t>
  </si>
  <si>
    <t>système de collage</t>
  </si>
  <si>
    <t>Sistema adesivo</t>
  </si>
  <si>
    <t>Lepicí systém</t>
  </si>
  <si>
    <t>System klejenia</t>
  </si>
  <si>
    <t>ragasztórendszer</t>
  </si>
  <si>
    <t>lepený systém</t>
  </si>
  <si>
    <t>Zelfklevend systeem</t>
  </si>
  <si>
    <t>Lepilni sistem</t>
  </si>
  <si>
    <t>limsystem</t>
  </si>
  <si>
    <t>Klæbesystem</t>
  </si>
  <si>
    <t>Limsystem</t>
  </si>
  <si>
    <t>Sustav za ljepljenje</t>
  </si>
  <si>
    <t>Kleinformat</t>
  </si>
  <si>
    <t>small-format roof elements</t>
  </si>
  <si>
    <t>petits formats</t>
  </si>
  <si>
    <t>Piccolo formato</t>
  </si>
  <si>
    <t>maloformátová krytina</t>
  </si>
  <si>
    <t>Mały format</t>
  </si>
  <si>
    <t>kis formátumú elem</t>
  </si>
  <si>
    <t>maloformát</t>
  </si>
  <si>
    <t>Klein formaat</t>
  </si>
  <si>
    <t>Mali format</t>
  </si>
  <si>
    <t>Produkter i mindre format</t>
  </si>
  <si>
    <t>Mindre format</t>
  </si>
  <si>
    <t>Småformat</t>
  </si>
  <si>
    <t>Knickbildung</t>
  </si>
  <si>
    <t>construction of pitch transition</t>
  </si>
  <si>
    <t>réalisation d’une brisure</t>
  </si>
  <si>
    <t>Cambio di pendenza</t>
  </si>
  <si>
    <t>Střešní zlom</t>
  </si>
  <si>
    <t>Tworzenie zagięć</t>
  </si>
  <si>
    <t>törés kialakítása</t>
  </si>
  <si>
    <t>vytvorenie zlomu</t>
  </si>
  <si>
    <t>Knikken</t>
  </si>
  <si>
    <t>Oblikovanje pregiba</t>
  </si>
  <si>
    <t>buckling</t>
  </si>
  <si>
    <t>Knækdesign</t>
  </si>
  <si>
    <t>Bøydannelse</t>
  </si>
  <si>
    <t>Konstrukcija pregiba</t>
  </si>
  <si>
    <t>Kommission:</t>
  </si>
  <si>
    <t>Order:</t>
  </si>
  <si>
    <t>Référence commande :</t>
  </si>
  <si>
    <t>Riferimento:</t>
  </si>
  <si>
    <t>Zakázka</t>
  </si>
  <si>
    <t>Zamówienie:</t>
  </si>
  <si>
    <t>Komissió:</t>
  </si>
  <si>
    <t>Komisia:</t>
  </si>
  <si>
    <t>Groep:</t>
  </si>
  <si>
    <t>Poslovalnica</t>
  </si>
  <si>
    <t>Kommisjon:</t>
  </si>
  <si>
    <t>Komisija</t>
  </si>
  <si>
    <t>Konstruktionsbeispiele – Dachaufbauten</t>
  </si>
  <si>
    <t>CONSTRUCTION EXAMPLES — ROOF STRUCTURES</t>
  </si>
  <si>
    <t>EXEMPLES DE CONSTRUCTION — CONSTRUCTIONS HORS-COMBLES</t>
  </si>
  <si>
    <t>ESEMPI DI COSTRUZIONI - STRUTTURE DI TETTI</t>
  </si>
  <si>
    <t>PŘÍKLADY KONSTRUKCÍ  STŘEŠNÍ SKLADBY</t>
  </si>
  <si>
    <t>PRZYKŁADY KONSTRUKCJI – KONSTRUKCJE</t>
  </si>
  <si>
    <t>KIVITELEZÉSI PÉLDÁK – TETŐ RÉTEGREND</t>
  </si>
  <si>
    <t>KONŠTRUKČNÉ PRÍKLADY – SKLADBY STRECHY</t>
  </si>
  <si>
    <t>BOUWVOORBEELDEN – DAKSTRUCTUREN</t>
  </si>
  <si>
    <t>PRIMERI KONSTRUKCIJ – STREŠNE KONSTRUKCIJE</t>
  </si>
  <si>
    <t>KONSTRUKTIONSEXEMPEL – TAKUPPBYGGNAD</t>
  </si>
  <si>
    <t>KONSTRUKTIONSEKSEMPLER – TAGKONSTRUKTIONER</t>
  </si>
  <si>
    <t>KONSTRUKSJONSEKSEMPLER – TAKPÅBYGG</t>
  </si>
  <si>
    <t>PRIMJERI GRADNJE – KROVNE KONSTRUKCIJE</t>
  </si>
  <si>
    <t>KONSTRUKTIONSBEISPIELE – DACHAUFBAUTEN</t>
  </si>
  <si>
    <t>Konstruktiver Aufbau</t>
  </si>
  <si>
    <t>structure</t>
  </si>
  <si>
    <t>structure constructive</t>
  </si>
  <si>
    <t>Struttura costruttiva</t>
  </si>
  <si>
    <t>Skladba konstrukce</t>
  </si>
  <si>
    <t>Struktura konstrukcji</t>
  </si>
  <si>
    <t>konstruktív rétegrend</t>
  </si>
  <si>
    <t>konštrukčná skladba</t>
  </si>
  <si>
    <t>Constructieve structuur</t>
  </si>
  <si>
    <t>Konstruktivna struktura</t>
  </si>
  <si>
    <t>Konstruktiv uppbyggnad</t>
  </si>
  <si>
    <t>Struktur</t>
  </si>
  <si>
    <t>Konstruksjonsoppbygging</t>
  </si>
  <si>
    <t>Gradnja konstrukcije</t>
  </si>
  <si>
    <t>Konterlatte</t>
  </si>
  <si>
    <t>counter batten</t>
  </si>
  <si>
    <t>contre-latte</t>
  </si>
  <si>
    <t>Controlistello</t>
  </si>
  <si>
    <t>kontralať</t>
  </si>
  <si>
    <t>Kontrłata</t>
  </si>
  <si>
    <t>ellenléc</t>
  </si>
  <si>
    <t>kontralata</t>
  </si>
  <si>
    <t>Contralat</t>
  </si>
  <si>
    <t>Kontra letev</t>
  </si>
  <si>
    <t>motläkt</t>
  </si>
  <si>
    <t>Modlægte</t>
  </si>
  <si>
    <t>Motlekte</t>
  </si>
  <si>
    <t>Kontra letva</t>
  </si>
  <si>
    <t>Konterlattung (Belüftungsebene)</t>
  </si>
  <si>
    <t>counter battens (ventilated channel)</t>
  </si>
  <si>
    <t>contre-lattage (lame d’air)</t>
  </si>
  <si>
    <t>Controlistellatura (piano di ventilazione)</t>
  </si>
  <si>
    <t>kontralať (úroveň odvětrání)</t>
  </si>
  <si>
    <t>Kontrłaty (poziom wentylacji)</t>
  </si>
  <si>
    <t>ellenlécezés (szellőzési szint)</t>
  </si>
  <si>
    <t>kontralatovanie (prevetrávacia vrstva)</t>
  </si>
  <si>
    <t>Contralatten (ventilatieniveau)</t>
  </si>
  <si>
    <t>Kontra letve (prezračevalni kanal)</t>
  </si>
  <si>
    <t>motläkt (ventilationsnivå)</t>
  </si>
  <si>
    <t>Modlægter (ventilationsniveau)</t>
  </si>
  <si>
    <t>Motlekting (ventilasjonsnivå)</t>
  </si>
  <si>
    <t>Kontra letve (razina ventilacije)</t>
  </si>
  <si>
    <t>Konterlattung (8/5 cm)</t>
  </si>
  <si>
    <t>counter battens (8/5 cm)</t>
  </si>
  <si>
    <t>contre-lattage (8/5 cm)</t>
  </si>
  <si>
    <t>Controlistellatura (8/5 cm)</t>
  </si>
  <si>
    <t>kontralatě 8/5 cm</t>
  </si>
  <si>
    <t>Kontrłaty (8/5 cm)</t>
  </si>
  <si>
    <t>ellenlécezés (8/5 cm)</t>
  </si>
  <si>
    <t>kontralatovanie (8/5 cm)</t>
  </si>
  <si>
    <t>Contralatten (8/5 cm)</t>
  </si>
  <si>
    <t>Kontra letve (8/5 cm)</t>
  </si>
  <si>
    <t>motläkt (8/5 cm)</t>
  </si>
  <si>
    <t>Modlægter (8/5 cm)</t>
  </si>
  <si>
    <t>Motlekting (8/5 cm)</t>
  </si>
  <si>
    <t>Konta letve (8/5 cm)</t>
  </si>
  <si>
    <t>Kugelendboden</t>
  </si>
  <si>
    <t>radius end cap</t>
  </si>
  <si>
    <t>fond de gouttière arrondi</t>
  </si>
  <si>
    <t>Testata sferica</t>
  </si>
  <si>
    <t>Kulaté čelo žlabu</t>
  </si>
  <si>
    <t>Denko rynny kulowe</t>
  </si>
  <si>
    <t>gömbölyített ereszcsatorna végelem</t>
  </si>
  <si>
    <t>guľaté čelo žľabu</t>
  </si>
  <si>
    <t>kogeleindebodem</t>
  </si>
  <si>
    <t>žlebna zapora krogla</t>
  </si>
  <si>
    <t>kuländgavel</t>
  </si>
  <si>
    <t>kugleendebund</t>
  </si>
  <si>
    <t>rund endebunn</t>
  </si>
  <si>
    <t>Kuglasto čelo žlijeba</t>
  </si>
  <si>
    <t>short</t>
  </si>
  <si>
    <t>court</t>
  </si>
  <si>
    <t>corto</t>
  </si>
  <si>
    <t>krátký</t>
  </si>
  <si>
    <t>krótki</t>
  </si>
  <si>
    <t>rövid</t>
  </si>
  <si>
    <t>krátky</t>
  </si>
  <si>
    <t>kort</t>
  </si>
  <si>
    <t>kratko</t>
  </si>
  <si>
    <t>L</t>
  </si>
  <si>
    <t>Labyrinthentlüftung</t>
  </si>
  <si>
    <t>labyrinth ventilation system</t>
  </si>
  <si>
    <t>chemin de sortie d’air</t>
  </si>
  <si>
    <t>Aerazione a labirinto</t>
  </si>
  <si>
    <t>labyrintové odvětrání</t>
  </si>
  <si>
    <t>Wentylacja z układem labiryntowym</t>
  </si>
  <si>
    <t>labirintusszellőztetés</t>
  </si>
  <si>
    <t>labyrintové odvetrávanie</t>
  </si>
  <si>
    <t>Labyrint ventilatie</t>
  </si>
  <si>
    <t>Labirintni zračnik</t>
  </si>
  <si>
    <t>labyrintventil</t>
  </si>
  <si>
    <t>Labyrintventilation</t>
  </si>
  <si>
    <t>Labyrintventilasjon</t>
  </si>
  <si>
    <t>Labirintno odzračivanje</t>
  </si>
  <si>
    <t>Länderspezifische Vorgaben beachten (Unterdach, keine Kehlen oder Durchdringungen usw.).</t>
  </si>
  <si>
    <t>Observe national guidelines (roof underlay, no valleys/penetrations, etc.)</t>
  </si>
  <si>
    <t>Attention à respecter les réglementations nationales (lé de sous-couverture, absence de noues ou de pénétrations, etc.).</t>
  </si>
  <si>
    <t>Osservare i requisiti specifici del paese (sottotetto, niente compluvi o penetrazioni, ecc.).</t>
  </si>
  <si>
    <t>Zohlednit národní technické předpisy (pojistná hydroizolace, úžlabí bez průniků,…)  Těsnění v drážkách</t>
  </si>
  <si>
    <t>Należy przestrzegać wymagań obowiązujących w danym kraju (pokrycie więźby dachowej, brak obróbek blacharskich lub przebić itp.).</t>
  </si>
  <si>
    <t>az országspecifikus követelményeket be kell tartani (alsó tetősík, vápa vagy áttörések nélkül stb.).</t>
  </si>
  <si>
    <t>Rešpektujte pravidlá platné pre danú krajinu (podstrešie, žiadne úžľabia alebo prestupy atď.).</t>
  </si>
  <si>
    <t>Neem de landspecifieke specificaties in acht (onderdak, geen gootstukken of doorvoeren, enz.).</t>
  </si>
  <si>
    <t>Upoštevajte posebne zahteve države (podstreha, brez žlot ali prebojev itd.).</t>
  </si>
  <si>
    <t>Beakta landspecifika krav (undertak, inga kilar eller genomföringar etc.).</t>
  </si>
  <si>
    <t>Overhold landespecifikke krav (undertag, ingen kiler eller gennemtrængninger osv.).</t>
  </si>
  <si>
    <t>Overhold alltid landsspesifikke krav (undertak, ingen vinkelrenner eller gjennomføringer osv.).</t>
  </si>
  <si>
    <t>Poštujte zahtjeve specifične za zemlju (potkrov, bez uvala ili prodora, itd.).</t>
  </si>
  <si>
    <t>long</t>
  </si>
  <si>
    <t>lungo</t>
  </si>
  <si>
    <t>dlouhý</t>
  </si>
  <si>
    <t xml:space="preserve">długi </t>
  </si>
  <si>
    <t>hosszú</t>
  </si>
  <si>
    <t>dĺžka</t>
  </si>
  <si>
    <t>dolgo</t>
  </si>
  <si>
    <t>lång</t>
  </si>
  <si>
    <t>dugo</t>
  </si>
  <si>
    <t>Länge</t>
  </si>
  <si>
    <t>length</t>
  </si>
  <si>
    <t>longueur</t>
  </si>
  <si>
    <t>lunghezza</t>
  </si>
  <si>
    <t>Délka</t>
  </si>
  <si>
    <t>długość</t>
  </si>
  <si>
    <t>hossz</t>
  </si>
  <si>
    <t>Dĺžka</t>
  </si>
  <si>
    <t>Lengte</t>
  </si>
  <si>
    <t>Dolžina</t>
  </si>
  <si>
    <t>Längd</t>
  </si>
  <si>
    <t>Længde</t>
  </si>
  <si>
    <t>Lengde</t>
  </si>
  <si>
    <t>Dužina</t>
  </si>
  <si>
    <t>Länge: 26 mm (3.200 Stk./Karton)</t>
  </si>
  <si>
    <t>Length: 26 mm (3,200 pc./box)</t>
  </si>
  <si>
    <t>Longueur : 26 mm (3 200 par carton)</t>
  </si>
  <si>
    <t>Lunghezza 26 mm (3.200 Pz/Cartone)</t>
  </si>
  <si>
    <t>Délka 26 mm (3.200 ks/krabice)</t>
  </si>
  <si>
    <t>Długość: 26 mm (3,200 szt./opak.)</t>
  </si>
  <si>
    <t>Hossz 26 mm (3.200 db/doboz)</t>
  </si>
  <si>
    <t>Dĺžka 26 mm (3.200 ks/krabica)</t>
  </si>
  <si>
    <t>Lengte 26 mm (3200 stks./doos)</t>
  </si>
  <si>
    <t>dolžina 26 mm (3.200 kos/škatlo)</t>
  </si>
  <si>
    <t>Längd 26 mm (3.200 st./kartong)</t>
  </si>
  <si>
    <t>Længde 26 mm (3.200 stk./karton)</t>
  </si>
  <si>
    <t>Lengde 26 mm (3200 stk./kartong)</t>
  </si>
  <si>
    <t>Duljina: 26 mm (3.200 kom./kutija)</t>
  </si>
  <si>
    <t>Länge: 26 mm (3.200 Stk./Karton); Niro</t>
  </si>
  <si>
    <t>Length: 26 mm (3,200 pc./box), stainless steel</t>
  </si>
  <si>
    <t>Longueur : 26 mm (3 200 par carton) ; inox</t>
  </si>
  <si>
    <t>Lunghezza 26 mm (3.200 Pz/Cartone) in acciaio inox</t>
  </si>
  <si>
    <t>Délka 26 mm (3.200 ks/krabice) NIRO</t>
  </si>
  <si>
    <t>Długość: 26 mm (3,200 szt./opak.), Stal nierdzewna</t>
  </si>
  <si>
    <t>Hossz 26 mm (3.200 db/doboz) rozsdamentes</t>
  </si>
  <si>
    <t>Dĺžka 26 mm (3.200 ks/krabica) NIRO</t>
  </si>
  <si>
    <t>Lengte 26 mm (3200 stks./doos) NIRO</t>
  </si>
  <si>
    <t>dolžina 26 mm (3.200 kos/škatlo) NIRO - nerjaveči</t>
  </si>
  <si>
    <t>Längd 26 mm (3.200 st./kartong) NIRO</t>
  </si>
  <si>
    <t>Længde 26 mm (3.200 stk./karton) NIRO</t>
  </si>
  <si>
    <t>Lengde 26 mm (3200 stk./kartong) RUSTFRITT STÅL</t>
  </si>
  <si>
    <t>Duljina: 26 mm (3.200 kom./kutija), nehrđajuće</t>
  </si>
  <si>
    <t>Länge: 35 mm (2.400 Stk./Karton)</t>
  </si>
  <si>
    <t>Length: 35 mm (2,400 pc./box)</t>
  </si>
  <si>
    <t>Longueur : 35 mm (2 400 par carton)</t>
  </si>
  <si>
    <t>Lunghezza 35 mm (2.400 Pz/Cartone)</t>
  </si>
  <si>
    <t>Délka 35 mm (2.400 ks/krabice)</t>
  </si>
  <si>
    <t>Długość: 35 mm (2,400 szt./opak.)</t>
  </si>
  <si>
    <t>Hossz 35 mm (2.400 db/doboz)</t>
  </si>
  <si>
    <t>Dĺžka 35 mm (2.400 ks/krabica)</t>
  </si>
  <si>
    <t>Lengte 35 mm (2400 stks./doos)</t>
  </si>
  <si>
    <t>dolžina 35 mm (2.400 kos/škatlo)</t>
  </si>
  <si>
    <t>Längd 35 mm (2.400 st./kartong)</t>
  </si>
  <si>
    <t>Længde 35 mm (2.400 stk./karton)</t>
  </si>
  <si>
    <t>Lengde 35 mm (2400 stk./kartong)</t>
  </si>
  <si>
    <t>Duljina: 35 mm (2.400 kom./kutija)</t>
  </si>
  <si>
    <t>Länge wählen:</t>
  </si>
  <si>
    <t>Select length:</t>
  </si>
  <si>
    <t>Sélectionner la longueur :</t>
  </si>
  <si>
    <t>Selezionare la lunghezza</t>
  </si>
  <si>
    <t>Zvolit délku</t>
  </si>
  <si>
    <t>Wybierz długość:</t>
  </si>
  <si>
    <t>Hossz kiválasztása</t>
  </si>
  <si>
    <t>Vyberte dĺžku:</t>
  </si>
  <si>
    <t>Lengte kiezen:</t>
  </si>
  <si>
    <t>Izbrana dolžina:</t>
  </si>
  <si>
    <t>Välj längd:</t>
  </si>
  <si>
    <t>Vælg længde:</t>
  </si>
  <si>
    <t>Velg lengde:</t>
  </si>
  <si>
    <t>Odaberite duljinu:</t>
  </si>
  <si>
    <t>Laubfänger (nur in Braun)</t>
  </si>
  <si>
    <t>strainer (brown only)</t>
  </si>
  <si>
    <t>crapaudine (en brun uniquement)</t>
  </si>
  <si>
    <t>Cipolla fermafoglie (disponibile solo in marrone)</t>
  </si>
  <si>
    <t>Lapač listí (pouze v hnědé barvě)</t>
  </si>
  <si>
    <t>Sito (tylko brązowe)</t>
  </si>
  <si>
    <t>lombkosár (csak barna)</t>
  </si>
  <si>
    <t>lapač lístia (iba hnedý)</t>
  </si>
  <si>
    <t>bladvanger (alleen in bruin)</t>
  </si>
  <si>
    <t>lovilec listja (samo v rjavi barvi)</t>
  </si>
  <si>
    <t>lövfångare (endast i brunt)</t>
  </si>
  <si>
    <t>løvfanger (kun i brun)</t>
  </si>
  <si>
    <t>løvfanger (kun i brunt)</t>
  </si>
  <si>
    <t>Hvatač lišća (samo u smeđoj boji)</t>
  </si>
  <si>
    <t>Laufrost</t>
  </si>
  <si>
    <t>walkway grating</t>
  </si>
  <si>
    <t>chemin de circulation</t>
  </si>
  <si>
    <t>Griglia pedonabile</t>
  </si>
  <si>
    <t>Stoupací plošina</t>
  </si>
  <si>
    <t>Ława kominiarska</t>
  </si>
  <si>
    <t>járórács</t>
  </si>
  <si>
    <t>vodiaci rošt</t>
  </si>
  <si>
    <t>Looprooster</t>
  </si>
  <si>
    <t>Pohodna rešetka</t>
  </si>
  <si>
    <t>gallerdurk</t>
  </si>
  <si>
    <t>Rist</t>
  </si>
  <si>
    <t>Stigrist</t>
  </si>
  <si>
    <t>Rešetka za hodanje</t>
  </si>
  <si>
    <t>Laufroststütze</t>
  </si>
  <si>
    <t>walkway grating support</t>
  </si>
  <si>
    <t>support de chemin de circulation</t>
  </si>
  <si>
    <t>Staffa per griglia pedonabile</t>
  </si>
  <si>
    <t>Držák stoupací plošiny</t>
  </si>
  <si>
    <t>Wspornik ławy kominiarskiej</t>
  </si>
  <si>
    <t>járórácstartó elem</t>
  </si>
  <si>
    <t>držiak vodiaceho roštu</t>
  </si>
  <si>
    <t>Looproosterondersteuning</t>
  </si>
  <si>
    <t>Opornik za pohodno rešetko</t>
  </si>
  <si>
    <t>stöd för gallerdurk</t>
  </si>
  <si>
    <t>Ristholder</t>
  </si>
  <si>
    <t>Stigriststøtte</t>
  </si>
  <si>
    <t>Nosač za rešetku za hodanje</t>
  </si>
  <si>
    <t>Laufsteg (250 × 1.200 mm)</t>
  </si>
  <si>
    <t>walkway ( 250 × 1,200 mm)</t>
  </si>
  <si>
    <t>chemin de circulation (250 × 1 200 mm)</t>
  </si>
  <si>
    <t>Griglia pedonabile (250 x 1.200 mm)</t>
  </si>
  <si>
    <t>Stoupací plošina (250 x 1.200 mm)</t>
  </si>
  <si>
    <t>ława kominiarska ( 250 × 1,200 mm)</t>
  </si>
  <si>
    <t>járórács (250 x 1.200 mm)</t>
  </si>
  <si>
    <t>strešná lávka (250 x 1.200 mm)</t>
  </si>
  <si>
    <t>loopbrug (250 x 1200 mm)</t>
  </si>
  <si>
    <t>pohodna rešetka (250x1.200mm)</t>
  </si>
  <si>
    <t>plattform (250 x 1.200 mm)</t>
  </si>
  <si>
    <t>løbebro (250 x 1.200 mm)</t>
  </si>
  <si>
    <t>plattform (250 x 1200 mm)</t>
  </si>
  <si>
    <t>Stepenica (250 × 1.200 mm)</t>
  </si>
  <si>
    <t>Laufsteg (250 × 420 mm)</t>
  </si>
  <si>
    <t>walkway ( 250 × 420 mm)</t>
  </si>
  <si>
    <t>chemin de circulation (250 × 420 mm)</t>
  </si>
  <si>
    <t>Griglia pedonabile (250 x 420 mm)</t>
  </si>
  <si>
    <t xml:space="preserve"> Stoupací plošina (250 x 420 mm)</t>
  </si>
  <si>
    <t>ława kominiarska ( 250 × 420 mm)</t>
  </si>
  <si>
    <t>járórács (250 x 420 mm)</t>
  </si>
  <si>
    <t>strešná lávka (250 x 420 mm)</t>
  </si>
  <si>
    <t>loopbrug (250 x 420 mm)</t>
  </si>
  <si>
    <t>pohodna rešetka (250x420mm)</t>
  </si>
  <si>
    <t>plattform (250 x 420 mm)</t>
  </si>
  <si>
    <t>løbebro (250 x 420 mm)</t>
  </si>
  <si>
    <t>Stepenica (250 × 420 mm)</t>
  </si>
  <si>
    <t>Laufsteg (250 × 600 mm)</t>
  </si>
  <si>
    <t>walkway ( 250 × 600 mm)</t>
  </si>
  <si>
    <t>chemin de circulation (250 × 600 mm)</t>
  </si>
  <si>
    <t>Griglia pedonabile (250 x 600 mm)</t>
  </si>
  <si>
    <t xml:space="preserve"> Stoupací plošina (250 x 600 mm)</t>
  </si>
  <si>
    <t>ława kominiarska ( 250 × 600 mm)</t>
  </si>
  <si>
    <t>járórács (250 x 600 mm)</t>
  </si>
  <si>
    <t>strešná lávka (250 x 600 mm)</t>
  </si>
  <si>
    <t>loopbrug (250 x 600 mm)</t>
  </si>
  <si>
    <t>pohodna rešetka (250x600mm)</t>
  </si>
  <si>
    <t>plattform (250 x 600 mm)</t>
  </si>
  <si>
    <t>løbebro (250 x 600 mm)</t>
  </si>
  <si>
    <t>Stepenica (250 × 600 mm)</t>
  </si>
  <si>
    <t>Laufsteg (250 × 800 mm)</t>
  </si>
  <si>
    <t>walkway ( 250 × 800 mm)</t>
  </si>
  <si>
    <t>chemin de circulation (250 × 800 mm)</t>
  </si>
  <si>
    <t>Griglia pedonabile (250 x 800 mm)</t>
  </si>
  <si>
    <t xml:space="preserve"> Stoupací plošina (250 x 800 mm)</t>
  </si>
  <si>
    <t>ława kominiarska ( 250 × 800 mm)</t>
  </si>
  <si>
    <t>járórács (250 x 800 mm)</t>
  </si>
  <si>
    <t>strešná lávka (250 x 800 mm)</t>
  </si>
  <si>
    <t>loopbrug (250 x 800 mm)</t>
  </si>
  <si>
    <t>pohodna rešetka (250x800mm)</t>
  </si>
  <si>
    <t>plattform (250 x 800 mm)</t>
  </si>
  <si>
    <t>løbebro (250 x 800 mm)</t>
  </si>
  <si>
    <t>Stepenica (250 × 800 mm)</t>
  </si>
  <si>
    <t>Laufsteg (360 × 1.200 mm)</t>
  </si>
  <si>
    <t>walkway (360 x 1.200 mm)</t>
  </si>
  <si>
    <t>chemin de circulation (360 × 1 200 mm)</t>
  </si>
  <si>
    <t>Griglia pedonabile (360 x 1.200 mm)</t>
  </si>
  <si>
    <t>Stoupací plošina (360 × 1200 mm)</t>
  </si>
  <si>
    <t>Wspornik ławy kominiarskiej (360 × 1200 mm)</t>
  </si>
  <si>
    <t>tetőjárda (360 × 1200 mm)</t>
  </si>
  <si>
    <t>strešná lávka (360 × 1 200 mm)</t>
  </si>
  <si>
    <t>Loopbrug (360 × 1.200 mm)</t>
  </si>
  <si>
    <t>Brv (360 × 1.200 mm)</t>
  </si>
  <si>
    <t>gångbro (360 × 1 200 mm)</t>
  </si>
  <si>
    <t>Løbegang (360 × 1.200 mm)</t>
  </si>
  <si>
    <t>Plattform (360 × 1200 mm)</t>
  </si>
  <si>
    <t>Stepenica (360 × 1.200 mm)</t>
  </si>
  <si>
    <t>Laufsteg (360 × 800 mm)</t>
  </si>
  <si>
    <t>walkway (360 x 800 mm)</t>
  </si>
  <si>
    <t>chemin de circulation (360 × 800 mm)</t>
  </si>
  <si>
    <t>Griglia pedonabile (360 x 800 mm)</t>
  </si>
  <si>
    <t>Stoupací plošina (360 × 800 mm)</t>
  </si>
  <si>
    <t>Wspornik ławy kominiarskiej (360 × 800 mm)</t>
  </si>
  <si>
    <t>tetőjárda (360 × 800 mm)</t>
  </si>
  <si>
    <t>strešná lávka (360 × 800 mm)</t>
  </si>
  <si>
    <t>Loopbrug (360 × 800 mm)</t>
  </si>
  <si>
    <t>Brv (360 × 800 mm)</t>
  </si>
  <si>
    <t>gångbro (360 × 800 mm)</t>
  </si>
  <si>
    <t>Løbegang (360 × 800 mm)</t>
  </si>
  <si>
    <t>Plattform (360 × 800 mm)</t>
  </si>
  <si>
    <t>Stepenica (360 × 800 mm)</t>
  </si>
  <si>
    <t>Laufstegstütze</t>
  </si>
  <si>
    <t>walkway support</t>
  </si>
  <si>
    <t>držák stoupací plošiny</t>
  </si>
  <si>
    <t>tetőjárda-tartó elem</t>
  </si>
  <si>
    <t>držiak strešnej lávky</t>
  </si>
  <si>
    <t>Loopbrugondersteuning</t>
  </si>
  <si>
    <t>Opornik za oder</t>
  </si>
  <si>
    <t>stöd för gångbro</t>
  </si>
  <si>
    <t>Løbegangsholder</t>
  </si>
  <si>
    <t>Plattformstøtte</t>
  </si>
  <si>
    <t>Nosač stepenice</t>
  </si>
  <si>
    <t>Laufstegstütze auf einem Fußteil</t>
  </si>
  <si>
    <t>walkway support on one mount</t>
  </si>
  <si>
    <t>support de chemin de circulation fixé sur une platine</t>
  </si>
  <si>
    <t xml:space="preserve">Staffa per griglia pedonabile con 1 base circolare di fissaggio </t>
  </si>
  <si>
    <t>Držák stoupací plošiny na jedné podložce</t>
  </si>
  <si>
    <t>Wspornik ławy kominiarskiej z jedną częścią stopową</t>
  </si>
  <si>
    <t>tetőjárda-tartó elem egy talppal</t>
  </si>
  <si>
    <t>držiak strešnej lávky s jednou podperou</t>
  </si>
  <si>
    <t>Loopbrugondersteuning op één voetdeel</t>
  </si>
  <si>
    <t>Opornik za oder na eni nogi</t>
  </si>
  <si>
    <t>stöd för gångbro på fotstycke</t>
  </si>
  <si>
    <t>Løbegangsholder med en foddel</t>
  </si>
  <si>
    <t>Plattformstøtte på én fotdel</t>
  </si>
  <si>
    <t>Nosač stepenice na jednoj stopi</t>
  </si>
  <si>
    <t>Laufstegstütze auf zwei Fußteilen</t>
  </si>
  <si>
    <t>walkway support on two mounts</t>
  </si>
  <si>
    <t>support de chemin de circulation fixé sur deux platines</t>
  </si>
  <si>
    <t>Staffa per griglia pedonabile con 2 basi circolari di fissaggio</t>
  </si>
  <si>
    <t>Držák stoupací plošiny na dvou podložkách</t>
  </si>
  <si>
    <t>Wspornik ławy kominiarskiej z dwoma częściami stopowymi</t>
  </si>
  <si>
    <t>tetőjárda-tartó elem két talppal</t>
  </si>
  <si>
    <t>držiak strešnej lávky s dvomi podperami</t>
  </si>
  <si>
    <t>Loopbrugondersteuning op twee voet secties</t>
  </si>
  <si>
    <t>Opornik za oder na dveh nogah</t>
  </si>
  <si>
    <t>stöd för gångbro på två fotstycke</t>
  </si>
  <si>
    <t>Løbegangsholder med to foddele</t>
  </si>
  <si>
    <t>Plattformstøtte på to fotdeler</t>
  </si>
  <si>
    <t>Nosač stepenice na dvije stope</t>
  </si>
  <si>
    <t>Laufstegstütze für Laufsteg</t>
  </si>
  <si>
    <t>Wspornik ławy kominiarskiej do montażu ławy</t>
  </si>
  <si>
    <t>tetőjárda-tartó elem tetőjárdához</t>
  </si>
  <si>
    <t>držiak strešnej lávky pre strešnú lávku</t>
  </si>
  <si>
    <t>Loopbrugondersteuning voor loopbrug</t>
  </si>
  <si>
    <t>Opornik za oder za brv</t>
  </si>
  <si>
    <t>stöd för steg för gångbro</t>
  </si>
  <si>
    <t>Løbegangsholder til løbegang</t>
  </si>
  <si>
    <t>Plattformstøtte til plattform</t>
  </si>
  <si>
    <t>Nosač stepenice za stubu</t>
  </si>
  <si>
    <t>Laufstegstütze für Laufstege</t>
  </si>
  <si>
    <t>Držák stoupací plošiny - pozinkovaný</t>
  </si>
  <si>
    <t>Wspornik ławy kominiarskiej do dachów na rąbek podwójny</t>
  </si>
  <si>
    <t>járórácstartó</t>
  </si>
  <si>
    <t>loopbrugsteun voor loopbruggen</t>
  </si>
  <si>
    <t xml:space="preserve">nosilec pohodne stopnice </t>
  </si>
  <si>
    <t>plattformsstöd för plattformar</t>
  </si>
  <si>
    <t>løbebrostøtte til løbebroer</t>
  </si>
  <si>
    <t>plattformstøtte for plattform</t>
  </si>
  <si>
    <t>Nosač stepenice za stube</t>
  </si>
  <si>
    <t>Laufstegstütze (verzinkt); für Laufstege</t>
  </si>
  <si>
    <t>walkway support (galvanised); for walkways</t>
  </si>
  <si>
    <t>support de chemin de circulation (galvanisé) ; pour chemins de circulation</t>
  </si>
  <si>
    <t>wspornik ław kominiarskich ze stali ocynkowanej</t>
  </si>
  <si>
    <t xml:space="preserve">járórács tartóelem horganyzott </t>
  </si>
  <si>
    <t>držiak strešnej lávky - pozinkovaný</t>
  </si>
  <si>
    <t>loopbrugsteun gegalvaniseerd voor loopbruggen</t>
  </si>
  <si>
    <t>plattformsstöd förzinkat för plattformar</t>
  </si>
  <si>
    <t>løbebrostøtte galvaniseret til løbebroer</t>
  </si>
  <si>
    <t>plattformstøtte galvanisert for plattform</t>
  </si>
  <si>
    <t>Nosač stepenice (pocinčan), za stube</t>
  </si>
  <si>
    <t>Legende:</t>
  </si>
  <si>
    <t>LEGEND:</t>
  </si>
  <si>
    <t>LÉGENDE :</t>
  </si>
  <si>
    <t>LEGENDA:</t>
  </si>
  <si>
    <t>VYSVĚTLIVKA:</t>
  </si>
  <si>
    <t>JELMAGYARÁZAT:</t>
  </si>
  <si>
    <t>LEGENDE:</t>
  </si>
  <si>
    <t>FÖRKLARING:</t>
  </si>
  <si>
    <t>FORKLARING:</t>
  </si>
  <si>
    <t>Laibungsblech</t>
  </si>
  <si>
    <t>jamb flashing</t>
  </si>
  <si>
    <t>habillage de tableau</t>
  </si>
  <si>
    <t>Lamiera di rivestimento</t>
  </si>
  <si>
    <t>Profil ostění</t>
  </si>
  <si>
    <t>Blacha podsufitowa</t>
  </si>
  <si>
    <t>ablakkáva profil</t>
  </si>
  <si>
    <t>plech na ostenie</t>
  </si>
  <si>
    <t>Dakplaat</t>
  </si>
  <si>
    <t>Pločevina za špaleto</t>
  </si>
  <si>
    <t>smygplåt</t>
  </si>
  <si>
    <t>Vinduesplade</t>
  </si>
  <si>
    <t>Åpningsplate</t>
  </si>
  <si>
    <t>Lim za nišu</t>
  </si>
  <si>
    <t>Laibungsblech (Länge: 2.500 mm)</t>
  </si>
  <si>
    <t>jamb flashing; L = 2,500 mm</t>
  </si>
  <si>
    <t>habillage de tableau (longueur : 2 500 mm)</t>
  </si>
  <si>
    <t>stipite in lamiera; L = 2500 mm</t>
  </si>
  <si>
    <t>profil ostění, délka 2500 mm</t>
  </si>
  <si>
    <t>Oścież L=2500 mm</t>
  </si>
  <si>
    <t>ablakkáva profil H = 2.500 mm</t>
  </si>
  <si>
    <t>ostenie, dĺžka 2500 mm</t>
  </si>
  <si>
    <t>kozijnplaat L = 2500 mm</t>
  </si>
  <si>
    <t>Pločevina za špaleto (dolžina: 2.500 mm)</t>
  </si>
  <si>
    <t>smygplåt L = 2.500 mm</t>
  </si>
  <si>
    <t>lysningsplade L = 2.500 mm</t>
  </si>
  <si>
    <t>smygplate L = 2500 mm</t>
  </si>
  <si>
    <t>Limena špaleta L = 2.500 mm</t>
  </si>
  <si>
    <t>Leitersicherung</t>
  </si>
  <si>
    <t>ladder stabilizer</t>
  </si>
  <si>
    <t>stabilisateur d’échelle</t>
  </si>
  <si>
    <t>Sicura per scale</t>
  </si>
  <si>
    <t>Zajištění žebříku</t>
  </si>
  <si>
    <t>Zabezpieczenie drabiny</t>
  </si>
  <si>
    <t>létrabiztosító</t>
  </si>
  <si>
    <t>zaisťovač rebríka</t>
  </si>
  <si>
    <t>Openingsbescherming</t>
  </si>
  <si>
    <t>Varovalo za lestev</t>
  </si>
  <si>
    <t>stegsäkring</t>
  </si>
  <si>
    <t>Stigesikring</t>
  </si>
  <si>
    <t>Osiguranje za ljestve</t>
  </si>
  <si>
    <t>Leitungsdurchführung bei Firstentlüftung</t>
  </si>
  <si>
    <t>cable feed-through on ridge ventilation</t>
  </si>
  <si>
    <t>passage de câbles par la ventilation de faîtière</t>
  </si>
  <si>
    <t>Passaggio cavi per conversa per aerazione di colmo</t>
  </si>
  <si>
    <t>Průchod kabelového vedení hřebenovým odvětráním</t>
  </si>
  <si>
    <t>Przepust kablowy do wentylacji kalenicowej</t>
  </si>
  <si>
    <t>vezetékáthatolás gerincszellőztetés esetén</t>
  </si>
  <si>
    <t>priechodka vedenia pri odvetrávaní hrebeňa</t>
  </si>
  <si>
    <t>Kabeldoorvoer voor nokventilatie</t>
  </si>
  <si>
    <t>Preboj za napeljave pri zračniku slemena</t>
  </si>
  <si>
    <t>kabelgenomföring för nockventilation</t>
  </si>
  <si>
    <t>Ledningsgennemgang ved rygningsventilation</t>
  </si>
  <si>
    <t>Ledningsgjennomføring ved møneventilasjon</t>
  </si>
  <si>
    <t>Prolaz za kabele za odzračivanje sljemena</t>
  </si>
  <si>
    <t>Leitungsdurchführung bei Klebeeinfassung</t>
  </si>
  <si>
    <t>cable feed-through on adhesive flashing</t>
  </si>
  <si>
    <t>passage de câbles par le raccordement de ventilation à coller</t>
  </si>
  <si>
    <t>Passaggio cavi per conversa per torretta di aerazione da incollare</t>
  </si>
  <si>
    <t>Průchod kabelového vedení nalepovacím prostupem</t>
  </si>
  <si>
    <t>Przepust kablowy do klejonej oprawy pokrycia</t>
  </si>
  <si>
    <t>vezetékáthatolás ragasztható kivezető elem esetén</t>
  </si>
  <si>
    <t>priechodka vedenia pri nalepovacom prestupovom prvku</t>
  </si>
  <si>
    <t>Kabeldoorvoer voor lijmbevestiging</t>
  </si>
  <si>
    <t>Preboj za napeljave pri lepilnem robu</t>
  </si>
  <si>
    <t>kabelgenomföring med självhäftande kant</t>
  </si>
  <si>
    <t>Ledningsgennemgang ved limindfalsning</t>
  </si>
  <si>
    <t>Ledningsgjennomføring ved limfeste</t>
  </si>
  <si>
    <t>Prolaz za kabele za lijepljene podloge</t>
  </si>
  <si>
    <t>Leitungsdurchführung bei Solarluke</t>
  </si>
  <si>
    <t>cable feed-through on roof conduit</t>
  </si>
  <si>
    <t>passage de câbles par la chatière pour panneaux solaires</t>
  </si>
  <si>
    <t>Passaggio cavi per conversa per bocchetta Solar</t>
  </si>
  <si>
    <t>Průchod kabelového vedení Solar haubnou</t>
  </si>
  <si>
    <t>Przepust kablowy przewodów instalacji fotowoltaicznej</t>
  </si>
  <si>
    <t>vezetékáthatolás Solar kábelátvezető elem esetén</t>
  </si>
  <si>
    <t>priechodka vedenia pri prestupovom prvku solárnych vedení</t>
  </si>
  <si>
    <t>Kabeldoorvoer voor solarluik</t>
  </si>
  <si>
    <t>Preboj za napeljave pri solarni lini</t>
  </si>
  <si>
    <t>kabelgenomföring vid sollucka</t>
  </si>
  <si>
    <t>Ledningsgennemgang ved tagkanal</t>
  </si>
  <si>
    <t>Ledningsgjennomføring ved solcelleluke</t>
  </si>
  <si>
    <t>Prolaz za kabele za solar uvodnicu</t>
  </si>
  <si>
    <t>m</t>
  </si>
  <si>
    <t>bm</t>
  </si>
  <si>
    <t>mb</t>
  </si>
  <si>
    <t>fm</t>
  </si>
  <si>
    <r>
      <t>m</t>
    </r>
    <r>
      <rPr>
        <vertAlign val="superscript"/>
        <sz val="11"/>
        <color indexed="8"/>
        <rFont val="Arial"/>
        <family val="2"/>
      </rPr>
      <t>1</t>
    </r>
  </si>
  <si>
    <t>tekoči meter</t>
  </si>
  <si>
    <t>lpm</t>
  </si>
  <si>
    <t>lbm</t>
  </si>
  <si>
    <t>lm</t>
  </si>
  <si>
    <t>Lieferadresse:</t>
  </si>
  <si>
    <t>Delivery address:</t>
  </si>
  <si>
    <t>Adresse de livraison :</t>
  </si>
  <si>
    <t>Indirizzo di consegna:</t>
  </si>
  <si>
    <t>Dodací adresa</t>
  </si>
  <si>
    <t>Adres dostawy:</t>
  </si>
  <si>
    <t>Szállítási cím:</t>
  </si>
  <si>
    <t>Dodacia adresa:</t>
  </si>
  <si>
    <t>Leveringsadres:</t>
  </si>
  <si>
    <t>naslov za dostavo</t>
  </si>
  <si>
    <t>Leveransadress:</t>
  </si>
  <si>
    <t>Leveringsadresse:</t>
  </si>
  <si>
    <t>Adresa isporuke:</t>
  </si>
  <si>
    <t>liniert</t>
  </si>
  <si>
    <t>lined</t>
  </si>
  <si>
    <t>ligné</t>
  </si>
  <si>
    <t>rigato</t>
  </si>
  <si>
    <t>linkovaný</t>
  </si>
  <si>
    <t>w linie</t>
  </si>
  <si>
    <t>mikrobordás</t>
  </si>
  <si>
    <t>čiarovaný</t>
  </si>
  <si>
    <t>gelinieerd</t>
  </si>
  <si>
    <t>črtano</t>
  </si>
  <si>
    <t>linjerad</t>
  </si>
  <si>
    <t>linjeret</t>
  </si>
  <si>
    <t>med linjer</t>
  </si>
  <si>
    <t>linirano</t>
  </si>
  <si>
    <t>Lochblech</t>
  </si>
  <si>
    <t>perforated metal plate</t>
  </si>
  <si>
    <t>bande d’aluminium perforée</t>
  </si>
  <si>
    <t>Nastro forato</t>
  </si>
  <si>
    <t>děrovaný plech</t>
  </si>
  <si>
    <t>Blacha perforowana</t>
  </si>
  <si>
    <t>perforált lemez</t>
  </si>
  <si>
    <t>perforovaný plech</t>
  </si>
  <si>
    <t>Geperforeerde plaat</t>
  </si>
  <si>
    <t>Perforirana pločevina</t>
  </si>
  <si>
    <t>perforerad plåt</t>
  </si>
  <si>
    <t>Hulplade</t>
  </si>
  <si>
    <t>Hullplate</t>
  </si>
  <si>
    <t>Perforirani lim</t>
  </si>
  <si>
    <t>Lochblech (⌀ 5 mm) ca. 24 kg/Rolle (0,7 × 1.000 mm)</t>
  </si>
  <si>
    <t>perforated plate (Ø 5 mm)
approx. 24 kg/roll (0.7 × 1,000 mm)</t>
  </si>
  <si>
    <t>bande d’aluminium perforée (⌀ 5 mm) env. 24 kg/bobine (0,7 × 1 000 mm)</t>
  </si>
  <si>
    <t>Nastro forato, fotro ø 5 mm, rotolo da ca. 24Kg (0,7x1000mm)</t>
  </si>
  <si>
    <t>Děrovaný plech, velikost děr 5 mm
cca. 24kg/svitek (0,7x1.000 mm)</t>
  </si>
  <si>
    <t>blacha perforowana (Ø 5 mm) około 24 kg/rolka (0.7 × 1,000 mm)</t>
  </si>
  <si>
    <t>perforált lemez lyukátmérő 5mm, kb 24kg/tekercs (0,7 x 1.000mm)</t>
  </si>
  <si>
    <t>dierovaný plech, veľkosť dier 5 mm
cca 24kg/zvitok (0,7 x 1.000 mm)</t>
  </si>
  <si>
    <t>geperforeerde plaat DM 5 mm
ca. 24 kg/rol (0,7 x 1000 mm)</t>
  </si>
  <si>
    <t>perforirana pločevina DM 5 mm ca. 24 kg/kolut (0,7 x 1.000mm)</t>
  </si>
  <si>
    <t>hålplåt DM 5 mm
cirka 24kg/rulle (0,7 x 1.000 mm)</t>
  </si>
  <si>
    <t>hulplade DM 5 mm
ca. 24 kg/rulle (0,7x1.000 mm)</t>
  </si>
  <si>
    <t>perforert plate DM 5 mm
ca. 24 kg/rull (0,7x1000 mm)</t>
  </si>
  <si>
    <t>Perforirani lim (⌀ 5 mm) cca. 24 kg/kolut (0,7 × 1.000 mm)</t>
  </si>
  <si>
    <t>Lochblech gekantet</t>
  </si>
  <si>
    <t>perforated metal plate (canted)</t>
  </si>
  <si>
    <t>bande d’aluminium perforée (pliée)</t>
  </si>
  <si>
    <t>Nastro forato squadrato</t>
  </si>
  <si>
    <t>Děrovaný plech hraněný</t>
  </si>
  <si>
    <t>Płyta perforowana z obrzeżem</t>
  </si>
  <si>
    <t>perforált lemez, hajtott</t>
  </si>
  <si>
    <t>perforovaný plech ohýbaný</t>
  </si>
  <si>
    <t>Geperforeerde beplating omrand</t>
  </si>
  <si>
    <t>Perforirana pločevina obrobljena</t>
  </si>
  <si>
    <t>kantad perforerad plåt</t>
  </si>
  <si>
    <t>Hulplade kantet</t>
  </si>
  <si>
    <t>Kantet hullplate</t>
  </si>
  <si>
    <t>Perforirani lim, kantiran</t>
  </si>
  <si>
    <t>Luftdichte Schicht (Dampfsperre)</t>
  </si>
  <si>
    <t>air-tight layer (vapour barrier)</t>
  </si>
  <si>
    <t>écran imperméable à l’air (pare-vapeur)</t>
  </si>
  <si>
    <t>Strato ermetico (barriera antivapore)</t>
  </si>
  <si>
    <t>vzduchotěsná vrstva/parozábrana</t>
  </si>
  <si>
    <t>Warstwa powietrznoszczelna (paroizolacja)</t>
  </si>
  <si>
    <t>légtömör réteg (párazáró réteg)</t>
  </si>
  <si>
    <t>vzduchotesná vrstva (parozábrana)</t>
  </si>
  <si>
    <t>Luchtdichte laag (dampscherm)</t>
  </si>
  <si>
    <t>Zračnotesni sloj (parna zapora)</t>
  </si>
  <si>
    <t>lufttätt skikt (ångspärr)</t>
  </si>
  <si>
    <t>Lufttæt lag (dampspærre)</t>
  </si>
  <si>
    <t>Lufttett lag (dampsperre)</t>
  </si>
  <si>
    <t>Nepropusni sloj (parna brana)</t>
  </si>
  <si>
    <t>Lüftungsband</t>
  </si>
  <si>
    <t>ventilation screen</t>
  </si>
  <si>
    <t>bavette ventilée</t>
  </si>
  <si>
    <t>Lamiera forata di ventilazione</t>
  </si>
  <si>
    <t>větrací pás</t>
  </si>
  <si>
    <t xml:space="preserve">Listwa wentylacyjna </t>
  </si>
  <si>
    <t>szellőzőszalag</t>
  </si>
  <si>
    <t>vetrací pás</t>
  </si>
  <si>
    <t>ventilatieband</t>
  </si>
  <si>
    <t xml:space="preserve">perforirani trak </t>
  </si>
  <si>
    <t>ventilationsplåt</t>
  </si>
  <si>
    <t>ventilationsbånd</t>
  </si>
  <si>
    <t>ventilasjonsplate</t>
  </si>
  <si>
    <t>Traka za odzračivanje</t>
  </si>
  <si>
    <t>M10Gewindedorn</t>
  </si>
  <si>
    <t>M10 thread pin</t>
  </si>
  <si>
    <t>goujon fileté M10</t>
  </si>
  <si>
    <t>Chiodo filettato M10</t>
  </si>
  <si>
    <t>Trn se závitem M10</t>
  </si>
  <si>
    <t>M10 Trzpień gwintowany</t>
  </si>
  <si>
    <t>M10 menetes szár</t>
  </si>
  <si>
    <t xml:space="preserve">tŕň so závitom M10 </t>
  </si>
  <si>
    <t>M10 schroefdraaddoorn</t>
  </si>
  <si>
    <t>M10 navojna konica</t>
  </si>
  <si>
    <t>M10 gängad dorn</t>
  </si>
  <si>
    <t>M10 gevinddorn</t>
  </si>
  <si>
    <t>M10 gjengestift</t>
  </si>
  <si>
    <t>M10 navojni trn</t>
  </si>
  <si>
    <t>M10-Gewindedorn</t>
  </si>
  <si>
    <t>m²</t>
  </si>
  <si>
    <t>Mansardenknick</t>
  </si>
  <si>
    <t>mansard crease</t>
  </si>
  <si>
    <t>brisure ou ligne de bris (combles mansardés)</t>
  </si>
  <si>
    <t>Cambio di pendenza della mansarda</t>
  </si>
  <si>
    <t>Mansardový zlom</t>
  </si>
  <si>
    <t>Załamanie mansardowe</t>
  </si>
  <si>
    <t>manzárdtörés</t>
  </si>
  <si>
    <t>manzardové zalomenie</t>
  </si>
  <si>
    <t>Mansarde bocht</t>
  </si>
  <si>
    <t>Mansardni pregib</t>
  </si>
  <si>
    <t>mansardvinkel</t>
  </si>
  <si>
    <t>Mansardknæk</t>
  </si>
  <si>
    <t>Mansardtak</t>
  </si>
  <si>
    <t>Pregib mansarde</t>
  </si>
  <si>
    <t>Maßangaben in mm</t>
  </si>
  <si>
    <t>dimensions in mm</t>
  </si>
  <si>
    <t>dimensions en mm</t>
  </si>
  <si>
    <t>Indicazione misure in mm</t>
  </si>
  <si>
    <t>Rozměry v mm</t>
  </si>
  <si>
    <t>Wymiary w mm</t>
  </si>
  <si>
    <t>méretek mm-ben</t>
  </si>
  <si>
    <t>rozmerové údaje v mm</t>
  </si>
  <si>
    <t>Afmetingen in mm</t>
  </si>
  <si>
    <t>Mere v mm</t>
  </si>
  <si>
    <t>Mått i mm</t>
  </si>
  <si>
    <t>Mål i mm</t>
  </si>
  <si>
    <t>Dimensjoner i mm</t>
  </si>
  <si>
    <t>Dimenzije u mm</t>
  </si>
  <si>
    <t>Maße:</t>
  </si>
  <si>
    <t>Dimensions:</t>
  </si>
  <si>
    <t>wymiary:</t>
  </si>
  <si>
    <t>Rozmery:</t>
  </si>
  <si>
    <t>Afmetingen:</t>
  </si>
  <si>
    <t>Mål:</t>
  </si>
  <si>
    <t>Mauer</t>
  </si>
  <si>
    <t>wall</t>
  </si>
  <si>
    <t>mur</t>
  </si>
  <si>
    <t>Muro</t>
  </si>
  <si>
    <t>zdivo</t>
  </si>
  <si>
    <t>Ściana</t>
  </si>
  <si>
    <t>fal</t>
  </si>
  <si>
    <t>múr</t>
  </si>
  <si>
    <t>Muur</t>
  </si>
  <si>
    <t>Zid</t>
  </si>
  <si>
    <t>murvägg</t>
  </si>
  <si>
    <t>Mur</t>
  </si>
  <si>
    <t>Murvegg</t>
  </si>
  <si>
    <t>Mauerabdeckung</t>
  </si>
  <si>
    <t>wall flashing</t>
  </si>
  <si>
    <t>couvertine (couronnement de muret)</t>
  </si>
  <si>
    <t>Copertura muro</t>
  </si>
  <si>
    <t>Oplechování atiky</t>
  </si>
  <si>
    <t>Pokrycie ścienne</t>
  </si>
  <si>
    <t>falburkolat</t>
  </si>
  <si>
    <t>oplechovanie múru</t>
  </si>
  <si>
    <t>Muurafdekking</t>
  </si>
  <si>
    <t>Pokrov za zid</t>
  </si>
  <si>
    <t>murbeklädnad</t>
  </si>
  <si>
    <t>Murafdækning</t>
  </si>
  <si>
    <t>Veggkledning</t>
  </si>
  <si>
    <t>Zidna obloga</t>
  </si>
  <si>
    <t>Mauerwerk</t>
  </si>
  <si>
    <t>masonry</t>
  </si>
  <si>
    <t>maçonnerie</t>
  </si>
  <si>
    <t>Elemento in muratura</t>
  </si>
  <si>
    <t>Zdivo</t>
  </si>
  <si>
    <t>Murarstwo</t>
  </si>
  <si>
    <t>falazat</t>
  </si>
  <si>
    <t>murivo</t>
  </si>
  <si>
    <t>Metselwerk</t>
  </si>
  <si>
    <t>Zidava</t>
  </si>
  <si>
    <t>murverk</t>
  </si>
  <si>
    <t>Murværk</t>
  </si>
  <si>
    <t>Murverk</t>
  </si>
  <si>
    <t>Zidarstvo</t>
  </si>
  <si>
    <t>max.</t>
  </si>
  <si>
    <t>max</t>
  </si>
  <si>
    <t>maks.</t>
  </si>
  <si>
    <t>najv.</t>
  </si>
  <si>
    <t>Mechanisch befestigt auf Aluminium-Unterkonstruktion</t>
  </si>
  <si>
    <t>fastened mechanically on the aluminium substructure</t>
  </si>
  <si>
    <t>fixation mécanique sur sous-construction en aluminium</t>
  </si>
  <si>
    <t>Fissato meccanicamente su una sottostruttura in alluminio</t>
  </si>
  <si>
    <t>Mechanicky připevněno na hliníkovou spodní konstrukci</t>
  </si>
  <si>
    <t>Mocowanie mechaniczne do aluminiowej konstrukcji nośnej</t>
  </si>
  <si>
    <t>mechanikusan rögzítve az alumínium alátétszerkezetre</t>
  </si>
  <si>
    <t>mechanicky upevnený na hliníkovom nosnom rošte</t>
  </si>
  <si>
    <t>Mechanisch bevestigd aan aluminium onderconstructie</t>
  </si>
  <si>
    <t>Mehanska pritrditev na aluminijasto podkonstrukcijo</t>
  </si>
  <si>
    <t>Mekaniskt fäst på en aluminiumunderkonstruktion</t>
  </si>
  <si>
    <t>Mekanisk fastgjort af aluminium-underkonstruktion</t>
  </si>
  <si>
    <t>Mekanisk festet på underkonstruksjon i aluminium</t>
  </si>
  <si>
    <t>Mehanički pričvršćeno na aluminijsku potkonstrukciju</t>
  </si>
  <si>
    <t>Mechanisch befestigt auf Holz-Unterkonstruktion</t>
  </si>
  <si>
    <t>fastened mechanically on the wood substructure</t>
  </si>
  <si>
    <t>fixation mécanique sur sous-construction bois</t>
  </si>
  <si>
    <t>Fissato meccanicamente su una sottostruttura in legno</t>
  </si>
  <si>
    <t>Mechanicky připevněno na dřevěnou spodní konstrukci</t>
  </si>
  <si>
    <t>Mocowanie mechaniczne do drewnianej konstrukcji nośnej</t>
  </si>
  <si>
    <t>mechanikusan rögzítve fa alátétszerkezetre</t>
  </si>
  <si>
    <t>mechanicky upevnený na drevenom nosnom rošte</t>
  </si>
  <si>
    <t>Mechanisch bevestigd op houten onderconstructie</t>
  </si>
  <si>
    <t>Mehanska pritrditev na leseno podkonstrukcijo</t>
  </si>
  <si>
    <t>Mekaniskt fäst på en träunderkonstruktion</t>
  </si>
  <si>
    <t>Mekanisk fastgjort af træ-underkonstruktion</t>
  </si>
  <si>
    <t>Mekanisk festet på underkonstruksjon i tre</t>
  </si>
  <si>
    <t>Mehanički pričvršćeno na drvenu potkonstrukciju</t>
  </si>
  <si>
    <t>Menge</t>
  </si>
  <si>
    <t>Quantity</t>
  </si>
  <si>
    <t>quantité</t>
  </si>
  <si>
    <t>Quantità</t>
  </si>
  <si>
    <t>Množství</t>
  </si>
  <si>
    <t>Ilość</t>
  </si>
  <si>
    <t>Mennyiségi egység:</t>
  </si>
  <si>
    <t>Množstvo</t>
  </si>
  <si>
    <t>Aantal</t>
  </si>
  <si>
    <t>Količina v :</t>
  </si>
  <si>
    <t>Mängd</t>
  </si>
  <si>
    <t>Mængde</t>
  </si>
  <si>
    <t>Mengde</t>
  </si>
  <si>
    <t>Količina</t>
  </si>
  <si>
    <t>Mengen in:</t>
  </si>
  <si>
    <t>Quantities in:</t>
  </si>
  <si>
    <t>Quantités en :</t>
  </si>
  <si>
    <t>Quantità espresse in:</t>
  </si>
  <si>
    <t>Množství v:</t>
  </si>
  <si>
    <t>Ilość:</t>
  </si>
  <si>
    <t>Množstvo v:</t>
  </si>
  <si>
    <t>Aantallen in:</t>
  </si>
  <si>
    <t>Mängder i:</t>
  </si>
  <si>
    <t>Mængder i:</t>
  </si>
  <si>
    <t>Mengder i:</t>
  </si>
  <si>
    <t>Količina u:</t>
  </si>
  <si>
    <t>Mengenermittlung</t>
  </si>
  <si>
    <t>Quantity estimation</t>
  </si>
  <si>
    <t>calcul des quantités requises</t>
  </si>
  <si>
    <t>Distinta materiali</t>
  </si>
  <si>
    <t>Výpis materiálu</t>
  </si>
  <si>
    <t>Zapytanie ilościowe:</t>
  </si>
  <si>
    <t>mennyiségszámítás</t>
  </si>
  <si>
    <t>Mengenermittlung/Anfrage_SW</t>
  </si>
  <si>
    <t>aanvraag</t>
  </si>
  <si>
    <t>Ocenitev količine</t>
  </si>
  <si>
    <t>Beregning af antal</t>
  </si>
  <si>
    <t>Mengdeangivelse</t>
  </si>
  <si>
    <t>Određivanje količine</t>
  </si>
  <si>
    <t>Mengenermittlung/Anfrage</t>
  </si>
  <si>
    <t>Material quotaion / inquiry</t>
  </si>
  <si>
    <t>Question / Quantités requises</t>
  </si>
  <si>
    <t>Distinta materiali/Richiesta offerta</t>
  </si>
  <si>
    <t>Výpočet množství/Poptávka</t>
  </si>
  <si>
    <t>mennyiségszámítás / árajánlatkérés</t>
  </si>
  <si>
    <t>Výpis materiálu / dopyt</t>
  </si>
  <si>
    <t>Aantallen/aanvraag</t>
  </si>
  <si>
    <t>Ocenitev količine/povpraševanje</t>
  </si>
  <si>
    <t>Mängdberäkning/vid förfrågan</t>
  </si>
  <si>
    <t>Mængdeundersøgelse/Forespørgsel</t>
  </si>
  <si>
    <t>Mengdeberegning/forespørsel</t>
  </si>
  <si>
    <t>Određivanje količine/Upit</t>
  </si>
  <si>
    <t>Metalleindeckung (Kleinformat)</t>
  </si>
  <si>
    <t xml:space="preserve">metal roof covering (small format) </t>
  </si>
  <si>
    <t>couverture métallique (petits formats)</t>
  </si>
  <si>
    <t>Copertura metallica (formato piccolo)</t>
  </si>
  <si>
    <t>hliníková krytina (maloformát)</t>
  </si>
  <si>
    <t>Metalowe pokrycia dachowe (mały format)</t>
  </si>
  <si>
    <t>fémburkolat (kis formátum)</t>
  </si>
  <si>
    <t>kovová krytina (maloformát)</t>
  </si>
  <si>
    <t>Metalen dakbedekking (klein formaat)</t>
  </si>
  <si>
    <t>Kovinska kritina (majhen format)</t>
  </si>
  <si>
    <t>Metalltak (litet format)</t>
  </si>
  <si>
    <t>Metalinddækning (mindre format)</t>
  </si>
  <si>
    <t>Metallkledning (småformat)</t>
  </si>
  <si>
    <t>Metalni krov (mali format)</t>
  </si>
  <si>
    <t>min.</t>
  </si>
  <si>
    <t>min</t>
  </si>
  <si>
    <t>najm.</t>
  </si>
  <si>
    <t>MINDESTDACHNEIGUNG</t>
  </si>
  <si>
    <t>MINIMUM ROOF PITCH</t>
  </si>
  <si>
    <t>PENTE DE TOIT MINIMUM</t>
  </si>
  <si>
    <t>Pendenza minima del tetto</t>
  </si>
  <si>
    <t>MINIMÁLNÍ SKLON</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</si>
  <si>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</si>
  <si>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</si>
  <si>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</si>
  <si>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</si>
  <si>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</si>
  <si>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</si>
  <si>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</si>
  <si>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</si>
  <si>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</si>
  <si>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Mindestdachneigung</t>
  </si>
  <si>
    <t>minimum roof pitch with products</t>
  </si>
  <si>
    <t>pente de toit minimum</t>
  </si>
  <si>
    <t>Minimální střešní sklony u produktů</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</si>
  <si>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</si>
  <si>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</si>
  <si>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</si>
  <si>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</si>
  <si>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</si>
  <si>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</si>
  <si>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</si>
  <si>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</si>
  <si>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</si>
  <si>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Mindestgefälle: 3°</t>
  </si>
  <si>
    <t>minimum gradient 3°</t>
  </si>
  <si>
    <t>inclinaison minimum : 3°</t>
  </si>
  <si>
    <t>Pendenza minima: 3°</t>
  </si>
  <si>
    <t>Minimální sklon 3°</t>
  </si>
  <si>
    <t>Minimalny spadek: 3°</t>
  </si>
  <si>
    <t>minimális lejtés: 3°</t>
  </si>
  <si>
    <t>Minimálny spád: 3°</t>
  </si>
  <si>
    <t>Minimale helling: 3°</t>
  </si>
  <si>
    <t>Najmanjši padec: 3°</t>
  </si>
  <si>
    <t>Lägsta taklutning: 3°</t>
  </si>
  <si>
    <t>Mindste hældning: 3°</t>
  </si>
  <si>
    <t>Minste helling: 3°</t>
  </si>
  <si>
    <t>Minimalni gradijent: 3°</t>
  </si>
  <si>
    <t>Mindestmenge</t>
  </si>
  <si>
    <t>Minimum amount</t>
  </si>
  <si>
    <t>quantité minimum</t>
  </si>
  <si>
    <t>Quantità minima</t>
  </si>
  <si>
    <t>Minimální částka</t>
  </si>
  <si>
    <t>Minimalna kwota</t>
  </si>
  <si>
    <t>Minimális összeg</t>
  </si>
  <si>
    <t>Minimálna suma</t>
  </si>
  <si>
    <t>Minimumbedrag</t>
  </si>
  <si>
    <t>Najmanjši znesek</t>
  </si>
  <si>
    <t>Minsta belopp</t>
  </si>
  <si>
    <t>Minimumsbeløb</t>
  </si>
  <si>
    <t>Minimumsbeløp</t>
  </si>
  <si>
    <t>Najmanja količina</t>
  </si>
  <si>
    <t>MIT Wärmedämmung</t>
  </si>
  <si>
    <t>WITH thermal insulation</t>
  </si>
  <si>
    <t>AVEC isolation thermique</t>
  </si>
  <si>
    <t>CON isolante termico</t>
  </si>
  <si>
    <t>Včetně zateplení</t>
  </si>
  <si>
    <t xml:space="preserve">Z izolacją termiczną </t>
  </si>
  <si>
    <t>hőszigeteléssel</t>
  </si>
  <si>
    <t>vrátane zateplenia</t>
  </si>
  <si>
    <t>MET isolatie</t>
  </si>
  <si>
    <t>S toplotno izolacija</t>
  </si>
  <si>
    <t>MED värmeisolering</t>
  </si>
  <si>
    <t>MED varmeisolering</t>
  </si>
  <si>
    <t>MED varmeisolasjon</t>
  </si>
  <si>
    <t>S toplinskom izolacijom</t>
  </si>
  <si>
    <t>mit Zusatzfalz</t>
  </si>
  <si>
    <t>with additional joint</t>
  </si>
  <si>
    <t>avec joint supplémentaire</t>
  </si>
  <si>
    <t>con aggraffatura supplementare</t>
  </si>
  <si>
    <t>s přídavnou drážkou</t>
  </si>
  <si>
    <t>z dodatkową zakładką</t>
  </si>
  <si>
    <t>kiegészítő korccal</t>
  </si>
  <si>
    <t>s prídavnou drážkou</t>
  </si>
  <si>
    <t>met extra naad</t>
  </si>
  <si>
    <t>z dodatnim zgibom</t>
  </si>
  <si>
    <t>med extra fals</t>
  </si>
  <si>
    <t>med ekstrafals</t>
  </si>
  <si>
    <t>med tilleggsfals</t>
  </si>
  <si>
    <t>s dodatnim falcom</t>
  </si>
  <si>
    <t>Montage mit Unterlagsplatte</t>
  </si>
  <si>
    <t>installation with base plate</t>
  </si>
  <si>
    <t>pose avec plaque de support</t>
  </si>
  <si>
    <t>Montaggio con sottopiastra</t>
  </si>
  <si>
    <t>provedení s montážní podložkou</t>
  </si>
  <si>
    <t>Mocowanie z płytą podkładową</t>
  </si>
  <si>
    <t>szerelés alátétlemezzel</t>
  </si>
  <si>
    <t>montáž so spevňovacou podložkou</t>
  </si>
  <si>
    <t>Montage met steunplaat</t>
  </si>
  <si>
    <t>Montaža s podložko</t>
  </si>
  <si>
    <t>Montering med mellanlägg</t>
  </si>
  <si>
    <t>Montering med underlagsplade</t>
  </si>
  <si>
    <t>Montering med underlagsplate</t>
  </si>
  <si>
    <t>Montaža s osnovnom pločom</t>
  </si>
  <si>
    <t>Montage ohne Unterlagsplatte</t>
  </si>
  <si>
    <t>installation without base plate</t>
  </si>
  <si>
    <t>pose sans plaque de support</t>
  </si>
  <si>
    <t>Montaggio senza sottopiastra</t>
  </si>
  <si>
    <t>provedení bez montážní podložky</t>
  </si>
  <si>
    <t>Mocowanie bez płyty podkładowej</t>
  </si>
  <si>
    <t>szerelés alátétlemez nélkül</t>
  </si>
  <si>
    <t>montáž bez spevňovacej podložky</t>
  </si>
  <si>
    <t>Montage zonder steunplaat</t>
  </si>
  <si>
    <t>Montaža brez podložke</t>
  </si>
  <si>
    <t>Montering utan mellanlägg</t>
  </si>
  <si>
    <t>Montering uden underlagsplade</t>
  </si>
  <si>
    <t>Montering uten underlagsplate</t>
  </si>
  <si>
    <t>Montaža bez osnovne ploče</t>
  </si>
  <si>
    <t>Montagevariante Nieten (zusätzliches Kleben nicht erforderlich)</t>
  </si>
  <si>
    <t>Rivet mounting options
(additional bonding not required)</t>
  </si>
  <si>
    <t>variante de montage — rivetage (aucun collage requis)</t>
  </si>
  <si>
    <t>Variante di montaggio con rivetti (incollaggio aggiuntivo non necessario)</t>
  </si>
  <si>
    <t>Montážní varianta "Nýtování" (s podtěsněním)</t>
  </si>
  <si>
    <t>Wariant montażowy z nitami (dodatkowe klejenie niewymagane)</t>
  </si>
  <si>
    <t>szegecses szerelési változat (további ragasztás nem szükséges)</t>
  </si>
  <si>
    <t>variant montáže nitovanie (dodatočné lepenie nie je potrebné)</t>
  </si>
  <si>
    <t>Montagevariant klinknagels (extra verlijming niet nodig)</t>
  </si>
  <si>
    <t>Varianta montaže kovice (dodatno lepljenje ni potrebno)</t>
  </si>
  <si>
    <t>Monteringsvariant med nitar (extra limning krävs ej)</t>
  </si>
  <si>
    <t>Monteringsvarianter nitter (ekstra klæbning er ikke påkrævet)</t>
  </si>
  <si>
    <t>Monteringsvariant med fastspikring (ekstra liming er ikke nødvendig)</t>
  </si>
  <si>
    <t>Varijanta montaže zakivanje (dodatno lijepljenje nije potrebno)</t>
  </si>
  <si>
    <t>Montagehilfe für Sturmsicherungsclip (für Materialstärke von 1,0 mm)</t>
  </si>
  <si>
    <t>storm-proof clip mounting aid 1,0 mm</t>
  </si>
  <si>
    <t>cale d’espacement pour clip tempête (épaisseur du matériau : 1,0 mm)</t>
  </si>
  <si>
    <t>Dima di ausilio per montaggio della clip antivento (per spessore di 1,0 mm)</t>
  </si>
  <si>
    <t>montážní pomůcka pro clipsy 1,0 mm</t>
  </si>
  <si>
    <t>Przyrząd montażowy klipsu przeciwburzowego 1,0 mm</t>
  </si>
  <si>
    <t>viharkapocs rögzítőelem 1,0mm</t>
  </si>
  <si>
    <t>montážna pomôcka pre antivibračnú svorku 1,0 mm</t>
  </si>
  <si>
    <t>montagehulp stormborgingsclip voor materiaaldikte 1,0 mm</t>
  </si>
  <si>
    <t>Pomoč za montažo za varnostne sponke (za debelino materiala 1,0 mm)</t>
  </si>
  <si>
    <t>monteringshjälp stormsäkringsclips för materialtjocklek 1,0 mm</t>
  </si>
  <si>
    <t>monteringshjælp stormsikringsklips til materialetykkelse 1,0 mm</t>
  </si>
  <si>
    <t>monteringshjelp stormsikringsklips for materialtykkelse 1,0 mm</t>
  </si>
  <si>
    <t>Pomoć kod montaže Sigurnosni clip držač kod nevremena za debljinu materijala 1,0mm</t>
  </si>
  <si>
    <t>Montagehilfe für Sturmsicherungsclip (für Materialstärke von 1,2 mm)</t>
  </si>
  <si>
    <t>storm-proof clip mounting aid 1,2 mm</t>
  </si>
  <si>
    <t>cale d’espacement pour clip tempête (épaisseur du matériau : 1,2 mm)</t>
  </si>
  <si>
    <t>Dima di ausilio per montaggio della clip antivento (per spessore di 1,2 mm)</t>
  </si>
  <si>
    <t>montážní pomůcka pro clipsy 1,2 mm</t>
  </si>
  <si>
    <t>Przyrząd montażowy klipsu przeciwburzowego 1,2 mm</t>
  </si>
  <si>
    <t>viharkapocs rögzítőelem 1,2mm</t>
  </si>
  <si>
    <t>montážna pomôcka pre antivibračnú svorku 1,2 mm</t>
  </si>
  <si>
    <t>montagehulp stormborgingsclip voor materiaaldikte 1,2 mm</t>
  </si>
  <si>
    <t>Pomoč za montažo za varnostne sponke (za debelino materiala 1,2 mm)</t>
  </si>
  <si>
    <t>monteringshjälp stormsäkringsclips för materialtjocklek 1,2 mm</t>
  </si>
  <si>
    <t>monteringshjælp stormsikringsklips til materialetykkelse 1,2mm</t>
  </si>
  <si>
    <t>monteringshjelp stormsikringsklips for materialtykkelse 1,2mm</t>
  </si>
  <si>
    <t>Pomoć kod montaže Sigurnosni clip držač kod nevremena za debljinu materijala 1,2mm</t>
  </si>
  <si>
    <t>Montagelochabdeckung (⌀ 30 mm)</t>
  </si>
  <si>
    <t>mounting hole cover Ø 30 mm</t>
  </si>
  <si>
    <t>cache-trou (⌀ 30 mm)</t>
  </si>
  <si>
    <t>Borchia tappabuchi Ø 30 mm</t>
  </si>
  <si>
    <t>montážní krytka Ø 30 mm</t>
  </si>
  <si>
    <t>Zaślepka ø 30 mm</t>
  </si>
  <si>
    <t>lyuktakaró ø 30 mm</t>
  </si>
  <si>
    <t>montážna krytka  Ø 30 mm</t>
  </si>
  <si>
    <t>montagegatafdekking Ø 30 mm</t>
  </si>
  <si>
    <t>Pokrov montažne luknje (⌀ 30 mm)</t>
  </si>
  <si>
    <t>monteringshålkåpa Ø 30 mm</t>
  </si>
  <si>
    <t>monteringshulafdækning Ø 30 mm</t>
  </si>
  <si>
    <t>monteringshulldeksel Ø 30 mm</t>
  </si>
  <si>
    <t>Pokrov montažne rupe Ø 30 mm</t>
  </si>
  <si>
    <t>Montagevariante Kleben (Klebebereich; zusätzliches Nieten nicht erforderlich)</t>
  </si>
  <si>
    <t>Bonding mounting options
bonding area
(additional riveting not required)</t>
  </si>
  <si>
    <t>variante de montage — collage (surface de collage ; aucun rivetage requis)</t>
  </si>
  <si>
    <t>Variante di montaggio con incollaggio (area adesiva; rivettatura aggiuntiva non necessaria)</t>
  </si>
  <si>
    <t>Montážní varianta "Lepení" (dodatečné nýtování není nutné)</t>
  </si>
  <si>
    <t>Wariant montażowy z klejeniem (obszar klejenia; dodatkowe nitowanie niewymagane)</t>
  </si>
  <si>
    <t>ragasztásos szerelési változat (ragasztott felület, további szegecselés nem szükséges)</t>
  </si>
  <si>
    <t>variant montáže lepenie (lepená oblasť; dodatočné nitovanie nie je potrebné)</t>
  </si>
  <si>
    <t>Montagevariant lijmen (lijmvlak; extra klinknagels niet nodig)</t>
  </si>
  <si>
    <t>Varianta montaže lepljenje (območje lepljenja; dodatno zakovičenje ni potrebno)</t>
  </si>
  <si>
    <t>Monteringsvariant limning (limyta; extra nitar krävs ej)</t>
  </si>
  <si>
    <t>Monteringsvarianter limning (ekstra nitter er ikke påkrævet)</t>
  </si>
  <si>
    <t>Monteringsvariant med liming (ekstra fastspikring er ikke nødvendig)</t>
  </si>
  <si>
    <t>Varijanta montaže lijepljenje (područje lijepljenja; dodatno zakivanje nije potrebno)</t>
  </si>
  <si>
    <t>Moosgrün/Hellgrau</t>
  </si>
  <si>
    <t>moss green/light grey</t>
  </si>
  <si>
    <t>vert mousse/gris souris</t>
  </si>
  <si>
    <t>verde muschio/grigio chiaro</t>
  </si>
  <si>
    <t>mechově zelená/světle šedá</t>
  </si>
  <si>
    <t>zieleń mchu / jasnoszary</t>
  </si>
  <si>
    <t>mohazöld/világosszürke</t>
  </si>
  <si>
    <t>machovozelená/svetlošedá</t>
  </si>
  <si>
    <t>mosgroen/lichtgrijs</t>
  </si>
  <si>
    <t>mahovo zelena/svetlo siva</t>
  </si>
  <si>
    <t>mossgrön/ljusgrå</t>
  </si>
  <si>
    <t>mosgrøn/lys grå</t>
  </si>
  <si>
    <t>mosegrønn/lys grå</t>
  </si>
  <si>
    <t>Boja zelene mahovine/svijetlo siva boja</t>
  </si>
  <si>
    <t>Nachstehend finden Sie einen kurzen Auszug aus der ÖNORM B 4119:2018.</t>
  </si>
  <si>
    <t>Below is a short extract from standard ÖNORM B 4119:2018</t>
  </si>
  <si>
    <t>Vous trouverez ci-dessous un bref extrait de la norme autrichienne ÖNORM B 4119:2018.</t>
  </si>
  <si>
    <t>Di seguito trovi un breve estratto dalla norma ÖNORM B 4119:2018.</t>
  </si>
  <si>
    <t>Níže je uveden krátký výňatek z normy ÖNORM B 4119:2018</t>
  </si>
  <si>
    <t>Poniżej zamieszczamy krótki wyciąg z normy ÖNORM B 4119:2018.</t>
  </si>
  <si>
    <t>Az alábbiakban az ÖNORM B 4119:2018 rövid kivonatát találja.</t>
  </si>
  <si>
    <t>V nasledujúcej časti nájdete krátky výťah z normy ÖNORM B 4119:2018.</t>
  </si>
  <si>
    <t>Hieronder vindt u een kort uittreksel van ÖNORM B 4119:2018.</t>
  </si>
  <si>
    <t>Spodaj boste našli kratek izvleček iz standarda ÖNORM B 4119:2018.</t>
  </si>
  <si>
    <t>Nedan hittar du ett kort utdrag ur ÖNORM B 4119:2018.</t>
  </si>
  <si>
    <t>Nedenfor finder du et kort uddrag fra ÖNORM B 4119:2018.</t>
  </si>
  <si>
    <t>Nedenfor finner du et kort utdrag fra ÖNORM B 4119:2018.</t>
  </si>
  <si>
    <t>U nastavku možete pronaći kratki izvod iz ÖNORM B 4119:2018.</t>
  </si>
  <si>
    <t>Nägel für Bull Tack Power Nagler</t>
  </si>
  <si>
    <t>Nails for Bull Tack Power nail gun</t>
  </si>
  <si>
    <t>clous pour cloueuse Bull Tack Power</t>
  </si>
  <si>
    <t>Chiodi per sparachiodi Bull Tack Power</t>
  </si>
  <si>
    <t>Hřebíky do Bull Tack Power hřebíkovačky</t>
  </si>
  <si>
    <t>Gwoździe do gwoździarki Bull Tack Power.</t>
  </si>
  <si>
    <t>Bordásszeg Bull Tack szögbelövőhöz</t>
  </si>
  <si>
    <t>Klince do Bull Tack Power klincovačky</t>
  </si>
  <si>
    <t>Spijkers voor Bull Tack Power spijkerpistool</t>
  </si>
  <si>
    <t>Žičniki za Bull Tack pištolo</t>
  </si>
  <si>
    <t>Spikar för Bull Tack Power-häftmaskin</t>
  </si>
  <si>
    <t>Søm til Bull Tack Power sømpistol</t>
  </si>
  <si>
    <t>Spiker for Bull Tack Power-spikerpistol</t>
  </si>
  <si>
    <t>Čavli za Bull Tack Power uređaj</t>
  </si>
  <si>
    <t>Nageldichtband (≤ 35°)</t>
  </si>
  <si>
    <t xml:space="preserve">nail sealing tape (≤ 35°) </t>
  </si>
  <si>
    <t>bande d’étanchéité pour clous (≤ 35°)</t>
  </si>
  <si>
    <t>Nastro impermeabilizzazione punto chiodo (≤ 35°)</t>
  </si>
  <si>
    <t>těsnicí páska pod kontralatě ( ≤35°)</t>
  </si>
  <si>
    <t>Taśma uszczelniająca do gwoździ (≤ 35°)</t>
  </si>
  <si>
    <t>szegtömítő szalag (≤ 35°)</t>
  </si>
  <si>
    <t>páska pod kontralatu (≤ 35°)</t>
  </si>
  <si>
    <t>Nagelafdichtingsband (≤ 35°)</t>
  </si>
  <si>
    <t>Tesnilni trak za žeblje (≤ 35°)</t>
  </si>
  <si>
    <t>spikband (≤ 35°)</t>
  </si>
  <si>
    <t>Sømlistetape (≤ 35°)</t>
  </si>
  <si>
    <t>Tetningsbånd for spiker (≤35°)</t>
  </si>
  <si>
    <t>Traka za brtvljenje čavli (≤ 35°)</t>
  </si>
  <si>
    <t>Nähte sind geschweißt und nicht verschliffen.</t>
  </si>
  <si>
    <t>The seams must be welded and unfinished.</t>
  </si>
  <si>
    <t>Les joints sont soudés et non poncés.</t>
  </si>
  <si>
    <t>Le giunture sono saldate e non rettificate.</t>
  </si>
  <si>
    <t>Spoje jsou svařené a nezabroušené.</t>
  </si>
  <si>
    <t>Łączenia są spawane i nie są szlifowane.</t>
  </si>
  <si>
    <t>A varratok hegesztve vannak, csiszolva nincsenek.</t>
  </si>
  <si>
    <t>Švy sú zvárané a nie brúsené.</t>
  </si>
  <si>
    <t>De naden zijn gelast en niet geslepen.</t>
  </si>
  <si>
    <t>Šivi so varjeni in nebrušeni.</t>
  </si>
  <si>
    <t>Sömmarna är svetsade och inte slipade.</t>
  </si>
  <si>
    <t>Sømme er svejset og ikke slebet.</t>
  </si>
  <si>
    <t>Sømmer er sveiset og ikke slipt.</t>
  </si>
  <si>
    <t>Šavovi su zavareni i nisu brušeni.</t>
  </si>
  <si>
    <t>Name:</t>
  </si>
  <si>
    <t>Nom :</t>
  </si>
  <si>
    <t>Nome:</t>
  </si>
  <si>
    <t>Jméno:</t>
  </si>
  <si>
    <t>Nazwa:</t>
  </si>
  <si>
    <t>Név:</t>
  </si>
  <si>
    <t>Meno:</t>
  </si>
  <si>
    <t>Naam:</t>
  </si>
  <si>
    <t>ime</t>
  </si>
  <si>
    <t>Namn:</t>
  </si>
  <si>
    <t>Navn:</t>
  </si>
  <si>
    <t>Ime:</t>
  </si>
  <si>
    <t>Neigung der Kehle: mind. 10°</t>
  </si>
  <si>
    <t>valley inclination: min. 10°</t>
  </si>
  <si>
    <t>Pente de la noue : au moins 10°</t>
  </si>
  <si>
    <t>Pendenza del compluvio: almeno 10°</t>
  </si>
  <si>
    <t>sklon úžlabí min. 10°</t>
  </si>
  <si>
    <t>Nachylenie kosza: min. 10°</t>
  </si>
  <si>
    <t>Vápa lejtése: min. 10°</t>
  </si>
  <si>
    <t>Sklon úžľabia: min. 10°</t>
  </si>
  <si>
    <t>Helling van de goot: min. 10°</t>
  </si>
  <si>
    <t>naklon žlote: najm. 10°</t>
  </si>
  <si>
    <t>Kilens lutning: min. 10°</t>
  </si>
  <si>
    <t>Kilens hældning: mind. 10°</t>
  </si>
  <si>
    <t>Helling på vinkelrenne: min. 10°</t>
  </si>
  <si>
    <t>Nagib uvale: min. 10°</t>
  </si>
  <si>
    <t>Neigung über 30° (58 %)</t>
  </si>
  <si>
    <t>roof pitch over 30° (58%)</t>
  </si>
  <si>
    <t>Pente de toit : supérieure à 30° (soit 58 %)</t>
  </si>
  <si>
    <t>Pendenza superiore a 30° (58%)</t>
  </si>
  <si>
    <t>sklon nad 30° (58%)</t>
  </si>
  <si>
    <t>Nachylenie powyżej 30° (58%)</t>
  </si>
  <si>
    <t>30° feletti lejtés (58 %)</t>
  </si>
  <si>
    <t>sklon viac ako 30° (58 %)</t>
  </si>
  <si>
    <t>Helling boven 30° (58 %)</t>
  </si>
  <si>
    <t>Naklon nad 30°(58 %)</t>
  </si>
  <si>
    <t>lutning över 30° (58 %)</t>
  </si>
  <si>
    <t>Hældning over 30° (58 %)</t>
  </si>
  <si>
    <t>Helling over 30° (58 %)</t>
  </si>
  <si>
    <t>Nagib preko 30° (58 %)</t>
  </si>
  <si>
    <t>nein</t>
  </si>
  <si>
    <t>no</t>
  </si>
  <si>
    <t>non</t>
  </si>
  <si>
    <t>Ne</t>
  </si>
  <si>
    <t>nie</t>
  </si>
  <si>
    <t>nem</t>
  </si>
  <si>
    <t>Nie</t>
  </si>
  <si>
    <t>nee</t>
  </si>
  <si>
    <t>ne</t>
  </si>
  <si>
    <t>Nej</t>
  </si>
  <si>
    <t>nej</t>
  </si>
  <si>
    <t>nei</t>
  </si>
  <si>
    <t>neues, vorbereitetes Siding einsetzen</t>
  </si>
  <si>
    <t>insert the new siding</t>
  </si>
  <si>
    <t>mettre en place le nouveau Siding que vous avez préparé</t>
  </si>
  <si>
    <t>Inserire la nuova Doga preparata</t>
  </si>
  <si>
    <t>Nasadit nový, připravený Siding</t>
  </si>
  <si>
    <t>új, előkészített Siding beillesztése</t>
  </si>
  <si>
    <t>vložiť nový, pripravený Siding</t>
  </si>
  <si>
    <t>plaats nieuwe, voorbereide siding</t>
  </si>
  <si>
    <t>uporabite nov, pripravljen Siding</t>
  </si>
  <si>
    <t>sätt in ny, förberedd siding</t>
  </si>
  <si>
    <t>monter ny og forberedt siding</t>
  </si>
  <si>
    <t>Sett inn ny, klargjort Siding</t>
  </si>
  <si>
    <t>koristiti novu, pripremljenu fasadnu kazetu</t>
  </si>
  <si>
    <t>Niro-Hosenhaft</t>
  </si>
  <si>
    <t>stainless steel fish tailed fixed clip</t>
  </si>
  <si>
    <t>patte inox fixe en V</t>
  </si>
  <si>
    <t>Graffetta a V, fissa, in acciaio inox</t>
  </si>
  <si>
    <t>Kalhotková příponka pevná, nerez</t>
  </si>
  <si>
    <t>NIRO Zaczep spodniowy ze stali nierdzewnej</t>
  </si>
  <si>
    <t>NIRO nadrághafter</t>
  </si>
  <si>
    <t>NIRO nohavicová pevná príponka</t>
  </si>
  <si>
    <t>NIRO V-klem</t>
  </si>
  <si>
    <t>hlačno sidro iz nerjavečega jekla</t>
  </si>
  <si>
    <t>NIRO gaffelfäste</t>
  </si>
  <si>
    <t>NIRO buksespænde</t>
  </si>
  <si>
    <t>RUSTFRITT STÅL gaffelfeste</t>
  </si>
  <si>
    <t>Nehrđajući V učvršćivač</t>
  </si>
  <si>
    <t>Niro-Hosenschiebehaft</t>
  </si>
  <si>
    <t>stainless steel fish tailed sliding clip</t>
  </si>
  <si>
    <t>patte inox coulissante en V</t>
  </si>
  <si>
    <t>Graffetta a V, scorrevole, in acciaio inox</t>
  </si>
  <si>
    <t>Kalhotková příponka posuvná, nerez</t>
  </si>
  <si>
    <t>NIRO Zaczep spodniowy przesuwny ze stali nierdzewnej</t>
  </si>
  <si>
    <t>NIRO csúszó nadrághafter</t>
  </si>
  <si>
    <t>NIRO nohavicová posuvná príponka</t>
  </si>
  <si>
    <t>NIRO V-schuifklem</t>
  </si>
  <si>
    <t>pomično hlačno sidro iz nerjavečega jekla</t>
  </si>
  <si>
    <t>NIRO glidgaffelfäste</t>
  </si>
  <si>
    <t>NIRO bukseskydespænde</t>
  </si>
  <si>
    <t>RUSTFRITT STÅL gaffelformet glidefeste</t>
  </si>
  <si>
    <t>Nehrđajući klizni V učvršćivač</t>
  </si>
  <si>
    <t>Niro-Winkellangschiebehaft (Scharenlänge bis 15 m)</t>
  </si>
  <si>
    <t>stainless steel preformed long sliding clip; tray length up to 15 m</t>
  </si>
  <si>
    <t>patte longue coulissante inox (jusqu’à une longueur de bac de 15 m)</t>
  </si>
  <si>
    <t>Graffetta scorrevole maggiorata, in acciaio inox, llunghezza lastre fino a 15m</t>
  </si>
  <si>
    <t>Posuvná příponka úhlová dlouhá do 15 m, nerez</t>
  </si>
  <si>
    <t>NIRO Zaczep kątowy przesuwny o zwiększonym zakresie ze stali nierdzewnej do 15 m</t>
  </si>
  <si>
    <t>NIRO hosszított csúszóhafter 15 m sarnihosszig</t>
  </si>
  <si>
    <t>NIRO uhlová posuvná dlhá príponka do 15 m</t>
  </si>
  <si>
    <t>Niro hoeklangsschuifhechting, schaarlengte tot 15 m</t>
  </si>
  <si>
    <t>pomično sidro (dolžina trakov do 15 m)</t>
  </si>
  <si>
    <t>NIRO glidfäste för lång stående vinkelfals, plåtlängd upp till 15 m</t>
  </si>
  <si>
    <t>Niro vinklet langt skydespænde skærlængde op til 15 m</t>
  </si>
  <si>
    <t>rustfritt stål langt vinkelformet glidefeste båndlengde inntil 15 m</t>
  </si>
  <si>
    <t>Nehrđajući kutni dugi klizi učvršćivač (duljina do 15 m)</t>
  </si>
  <si>
    <t>Niro-Winkelschiebehaft (Scharenlänge bis 12 m)</t>
  </si>
  <si>
    <t>stainless steel preformed sliding clips; tray length up to 12 m</t>
  </si>
  <si>
    <t>patte longue coulissante inox (jusqu’à une longueur de bac de 12 m)</t>
  </si>
  <si>
    <t>Graffetta scorrevole, in acciaio inox, lunghezza lastre fino a 12 m</t>
  </si>
  <si>
    <t>Posuvná příponka úhlová do 12 m, nerez</t>
  </si>
  <si>
    <t>NIRO Zaczep kątowy przesuwny ze stali nierdzewnej do 12 m</t>
  </si>
  <si>
    <t>NIRO csúszó hafter max. 12 m sarnihosszig</t>
  </si>
  <si>
    <t>NIRO uhlová posuvná dlhá príponka do 12 m</t>
  </si>
  <si>
    <t>Niro hoekschuifhechting, schaarlengte tot 12 m</t>
  </si>
  <si>
    <t>pomično sidro (dolžina trakov do 12 m)</t>
  </si>
  <si>
    <t>NIRO glidfäste för stående vinkelfals, plåtlängd upp till 12 m</t>
  </si>
  <si>
    <t>Niro vinklet skydespænde skærlængde op til 12 m</t>
  </si>
  <si>
    <t>rustfritt stål vinkelformet glidefeste båndlengde inntil 12 m</t>
  </si>
  <si>
    <t>Nehrđajući kutni klizi učvršćivač (duljina do 12 m)</t>
  </si>
  <si>
    <t>Niro-Winkelstehfalzhaft</t>
  </si>
  <si>
    <t>stainless steel preformed fixed clip</t>
  </si>
  <si>
    <t>patte inox fixe</t>
  </si>
  <si>
    <t>Graffetta fissa in acciaio inox</t>
  </si>
  <si>
    <t>Pevná příponka úhlová, nerez</t>
  </si>
  <si>
    <t>NIRO Zaczep kątowy stały ze stali nierdzewnej</t>
  </si>
  <si>
    <t>NIRO derékszögű állóhafter</t>
  </si>
  <si>
    <t>NIRO uhlová pevná príponka</t>
  </si>
  <si>
    <t>NIRO staande felshoekhechting</t>
  </si>
  <si>
    <t>fiksno sidro</t>
  </si>
  <si>
    <t>NIRO fäste för stående vinkelfals</t>
  </si>
  <si>
    <t>NIRO spænde til vinklet stående fals</t>
  </si>
  <si>
    <t>RUSTFRITT STÅL feste for vinkelstående fals</t>
  </si>
  <si>
    <t>Nehrđajući kutni stojeći učvršćivač</t>
  </si>
  <si>
    <t>Niro-Schraube mit Dichtscheibe (4,5 × 25 mm; ohne Bohrspitze)</t>
  </si>
  <si>
    <t>Stainless steel screw with sealing washer 4,5 x 25 mm without drill point</t>
  </si>
  <si>
    <t>vis inox avec rondelle d’étanchéité (4,5 × 25 mm ; sans vis autoperceuse)</t>
  </si>
  <si>
    <t>Vite in acciaio inox 4,5x25mm con rondella di tenuta. Punta non autoforante</t>
  </si>
  <si>
    <t>Nerezový vrut s těsnicí podložkou (4,5 × 25 mm; s předvrtáním)</t>
  </si>
  <si>
    <t>Śruba ze stali nierdzewnej z podkładką uszczelniającą (4,5 × 25 mm; bez wiertła)</t>
  </si>
  <si>
    <t>rozsdamentes csavar tömítő alátéttel (4,5 × 25 mm; fúróhegy nélkül)</t>
  </si>
  <si>
    <t>skrutka z nehrdzavejúcej ocele s tesniacim krúžkom (4,5 × 25 mm; bez vrtného hrotu)</t>
  </si>
  <si>
    <t>Roestvrijstalen schroef met afdichtring (4,5 × 25 mm; zonder boorpunt)</t>
  </si>
  <si>
    <t>Nerjavni vijak s tesnilno podložko (4,5 × 25 mm; brez svedra)</t>
  </si>
  <si>
    <t>Rostfri skruv med tätningsbricka (4,5 × 25 mm; utan borr)</t>
  </si>
  <si>
    <t>Niro-skrue med tætningsskive (4,5 × 25 mm; uden borespids)</t>
  </si>
  <si>
    <t>Niro-skrue med tetningsskive (4,5 × 25 mm; uten borespiss)</t>
  </si>
  <si>
    <t>Nehrđajući vijak s brtvenom podlogom (4,5 × 25 mm; bez oštrog vrha)</t>
  </si>
  <si>
    <t>Niro-Schraube mit Dichtscheibe (für Grat- und Firstreiter)</t>
  </si>
  <si>
    <t>stainless steel screw and sealing washer for hip and ridge cap</t>
  </si>
  <si>
    <t>vis inox et rondelle d’étanchéité (pour faîtières et arêtiers)</t>
  </si>
  <si>
    <t>Vite inox con rondella di tenuta per copricolmo/displuvio</t>
  </si>
  <si>
    <t>Nerezový vrut s těsnící podložkou pro malý hřebenáč</t>
  </si>
  <si>
    <t xml:space="preserve">wkręt ze stali nierdzewnej z uszczelnieniem do gąsiora dachowego </t>
  </si>
  <si>
    <t>Rozsdamentes acél csavar tömítő alátéttel él- és taréjgerinc elemhez</t>
  </si>
  <si>
    <t>Skrutky z nehrdzavejúcej ocele s tesniacim krúžkom pre hrebeň resp. nárožie</t>
  </si>
  <si>
    <t>Niro-schroef met afdichtingschijf voor graat-/vorstafdekking</t>
  </si>
  <si>
    <t>Kleparski nerjaveči vijaki s podložko za grebenske slemenjake</t>
  </si>
  <si>
    <t>Niro-skruv med tätningsbricka för nockpanna</t>
  </si>
  <si>
    <t>Niro-skrue med tætningsskive til rygnings-/mønningsrytter</t>
  </si>
  <si>
    <t>Skrue i rustfritt stål med tetningsskive for mønestein</t>
  </si>
  <si>
    <t>Nehrđajući vijak s brtvenom podlogom (za bridnu i sljemenu kapu)</t>
  </si>
  <si>
    <t>Niro-Schraube mit Dichtscheibe (für Jet-Lüfter)</t>
  </si>
  <si>
    <t>stainless steel screw and sealing washer for ridge vent</t>
  </si>
  <si>
    <t>vis inox et rondelle d’étanchéité (pour faîtières ventilées)</t>
  </si>
  <si>
    <t>Vite inox con rondella di tenuta per copricolmo ventilato</t>
  </si>
  <si>
    <t>Nerezový vrut s těsnící podložkou pr Jet-Lüfter</t>
  </si>
  <si>
    <t>wkręt ze stali nierdzewnej z uszczelnieniem do gąsiora wentylowanego.</t>
  </si>
  <si>
    <t>Rozsdamentes acél csavar tömítő alátéttel szellőző gerincelemhez</t>
  </si>
  <si>
    <t>Skrutky z nehrdzavejúcej ocele s tesniacim krúžkom pre Jet-Lüfter</t>
  </si>
  <si>
    <t>Niro-schroef met afdichtingschijf voor jetventilator</t>
  </si>
  <si>
    <t>Kleparski nerjaveči vijaki s podložko za jet-zračne slemenjake</t>
  </si>
  <si>
    <t>Niro-skruv med tätningsbricka för Jet-ventilation</t>
  </si>
  <si>
    <t>Niro-skrue med tætningsskive til jet-ventilator</t>
  </si>
  <si>
    <t>Skrue i rustfritt stål med tetningsskive for kanalventilasjon</t>
  </si>
  <si>
    <t>Nehrđajući vijak s brtvenom podlogom (za jet-odzračnik)</t>
  </si>
  <si>
    <t>normale</t>
  </si>
  <si>
    <t>normální</t>
  </si>
  <si>
    <t>normalny</t>
  </si>
  <si>
    <t>normál</t>
  </si>
  <si>
    <t>normálne</t>
  </si>
  <si>
    <t>normaal</t>
  </si>
  <si>
    <t>normalna</t>
  </si>
  <si>
    <t>normalno</t>
  </si>
  <si>
    <t>Nur mit Endabkantung und Schattenfuge möglich.</t>
  </si>
  <si>
    <t>Only feasible with edge downstand and shadow gap</t>
  </si>
  <si>
    <t>Réalisable uniquement avec pliure de rebord et joint creux.</t>
  </si>
  <si>
    <t>Disponibile solo con bordi ripiegati e fuga</t>
  </si>
  <si>
    <t>Možné pouze s ohraněním a spárou</t>
  </si>
  <si>
    <t>możliwe tylko z podgięciem końcowym i fugą</t>
  </si>
  <si>
    <t>Csak véglezárással és árnyékfugával rendelhető</t>
  </si>
  <si>
    <t>Je možné len s koncovým ohybom a škárou</t>
  </si>
  <si>
    <t>Alleen met eindafkanting en schaduwvoeg mogelijk</t>
  </si>
  <si>
    <t>Možno le z zaključno obrobo in senčno fugo.</t>
  </si>
  <si>
    <t>Endast möjligt med ändavkantning och skuggfog</t>
  </si>
  <si>
    <t>Kun muligt med endekant og skyggefuge</t>
  </si>
  <si>
    <t>Kun mulig med endefals og skyggefuge</t>
  </si>
  <si>
    <t>Moguće samo sa završnim kantiranjem i naglašenom fugom</t>
  </si>
  <si>
    <t>⌀</t>
  </si>
  <si>
    <t>Ø</t>
  </si>
  <si>
    <t>Oberfläche:</t>
  </si>
  <si>
    <t>Surface:</t>
  </si>
  <si>
    <t>Finition :</t>
  </si>
  <si>
    <t>Finitura superficiale:</t>
  </si>
  <si>
    <t>Povrchová úprava:</t>
  </si>
  <si>
    <t>Powierzchna:</t>
  </si>
  <si>
    <t>Felület:</t>
  </si>
  <si>
    <t>Oppervlak:</t>
  </si>
  <si>
    <t>površinska obdelava</t>
  </si>
  <si>
    <t>Ytbeläggning:</t>
  </si>
  <si>
    <t>Overflade:</t>
  </si>
  <si>
    <t>Overflate:</t>
  </si>
  <si>
    <t>Površina:</t>
  </si>
  <si>
    <t>Oder E-Mail:</t>
  </si>
  <si>
    <t>OR EMAIL:</t>
  </si>
  <si>
    <t>OU PAR COURRIEL :</t>
  </si>
  <si>
    <t>O PER EMAIL:</t>
  </si>
  <si>
    <t>nebo e-mailem</t>
  </si>
  <si>
    <t>Adres EMAIL:</t>
  </si>
  <si>
    <t>VÁLASZ-EMAIL:</t>
  </si>
  <si>
    <t>ALEBO EMAILOM:</t>
  </si>
  <si>
    <t>OF E-MAIL:</t>
  </si>
  <si>
    <t>ali email</t>
  </si>
  <si>
    <t>ELLER E-POST:</t>
  </si>
  <si>
    <t>ELLER E-MAIL:</t>
  </si>
  <si>
    <t>ILI MAIL:</t>
  </si>
  <si>
    <t>Ohne Wärmedämmung</t>
  </si>
  <si>
    <t>WITHOUT thermal insulation</t>
  </si>
  <si>
    <t>SANS isolation thermique</t>
  </si>
  <si>
    <t>SENZA isolante termico</t>
  </si>
  <si>
    <t>Bez zateplení</t>
  </si>
  <si>
    <t xml:space="preserve">BEZ izolacji termicznej </t>
  </si>
  <si>
    <t>hőszigetelés nélkül</t>
  </si>
  <si>
    <t>bez zateplenia</t>
  </si>
  <si>
    <t>ZONDER isolatie</t>
  </si>
  <si>
    <t>BREZ toplotne izolacije</t>
  </si>
  <si>
    <t>UTAN värmeisolering</t>
  </si>
  <si>
    <t>UDEN varmeisolering</t>
  </si>
  <si>
    <t>UTEN varmeisolasjon</t>
  </si>
  <si>
    <t>BEZ toplinske izolacije</t>
  </si>
  <si>
    <t>OHNE Wärmedämmung</t>
  </si>
  <si>
    <t>Ort:</t>
  </si>
  <si>
    <t>City:</t>
  </si>
  <si>
    <t>Ville :</t>
  </si>
  <si>
    <t>Località:</t>
  </si>
  <si>
    <t>Místo:</t>
  </si>
  <si>
    <t>Miasto:</t>
  </si>
  <si>
    <t>Heység:</t>
  </si>
  <si>
    <t>Obec:</t>
  </si>
  <si>
    <t>Plaats:</t>
  </si>
  <si>
    <t>kraj</t>
  </si>
  <si>
    <t>Sted:</t>
  </si>
  <si>
    <t>Mjesto:</t>
  </si>
  <si>
    <t>Ortgangausbildung mit Giebelstreifen</t>
  </si>
  <si>
    <t>roof verge construction with verge flashing</t>
  </si>
  <si>
    <t>réalisation d’une rive avec pose d’une bande de rive</t>
  </si>
  <si>
    <t>Esecuzione della mantovana con strisce sul frontone</t>
  </si>
  <si>
    <t>Štítové lemování se závětrnou lištou</t>
  </si>
  <si>
    <t>Konstrukcja krawędzi z listwą szczytową</t>
  </si>
  <si>
    <t>oromszegélyképzés oromfalszegéllyel</t>
  </si>
  <si>
    <t>vytvorenie štítového ukončenia pomocou záveternej lišty</t>
  </si>
  <si>
    <t>Bermvorming met gevelstrip</t>
  </si>
  <si>
    <t>Oblikovanje čelnega napušča s trakom za zatrep</t>
  </si>
  <si>
    <t>kantutformning med gavelremsor</t>
  </si>
  <si>
    <t>Tagkantdesign med gavllister</t>
  </si>
  <si>
    <t>Vindskioppbygging med gavllister</t>
  </si>
  <si>
    <t>Konstrukcija zabata sa zabatnom trakom</t>
  </si>
  <si>
    <t>Ortgangausbildung mit Stirnbrett</t>
  </si>
  <si>
    <t>roof verge construction with bargeboard</t>
  </si>
  <si>
    <t>réalisation d’une rive avec pose d’une bordure de rive</t>
  </si>
  <si>
    <t>Esecuzione della mantovana con frontalino</t>
  </si>
  <si>
    <t>Štítové lemování s čelním prknem</t>
  </si>
  <si>
    <t>Konstrukcja krawędzi z deską czołową</t>
  </si>
  <si>
    <t>oromszegélyképzés homlokléccel</t>
  </si>
  <si>
    <t>vytvorenie štítového ukončenia pomocou čelnej dosky</t>
  </si>
  <si>
    <t>Bermvorming met boeiboord</t>
  </si>
  <si>
    <t>Oblikovanje čelnega napušča s čelno ploščo</t>
  </si>
  <si>
    <t>kantutformning med frontbräda</t>
  </si>
  <si>
    <t>Tagkantdesign med vindskede</t>
  </si>
  <si>
    <t>Vindskioppbygging med bakbrett</t>
  </si>
  <si>
    <t>Konstrukcija zabata s čeonom daskom</t>
  </si>
  <si>
    <t>Ortgangausbildung vertieft</t>
  </si>
  <si>
    <t>roof verge construction with recess</t>
  </si>
  <si>
    <t>réalisation d’une rive encaissée</t>
  </si>
  <si>
    <t>Esecuzione della mantovana incassata</t>
  </si>
  <si>
    <t>štítové lemování zapuštěné</t>
  </si>
  <si>
    <t>Konstrukcja krawędzi pogłębiona</t>
  </si>
  <si>
    <t>oromszegélyképzés, mélyített</t>
  </si>
  <si>
    <t>vytvorenie štítového ukončenia zapusteného</t>
  </si>
  <si>
    <t>Bermvorming verdiept</t>
  </si>
  <si>
    <t>Oblikovanje čelnega napušča poglobljeno</t>
  </si>
  <si>
    <t>fördjupad kantutformning</t>
  </si>
  <si>
    <t>Tagkantdesign forsænket</t>
  </si>
  <si>
    <t>Vindskioppbygging, fordypet</t>
  </si>
  <si>
    <t>Udubljena konstrukcija zabata</t>
  </si>
  <si>
    <t>Ortgangausbildungen (Varianten 1, 2, 3)</t>
  </si>
  <si>
    <t>roof verge constructions; variants 1, 2, 3</t>
  </si>
  <si>
    <t>réalisation de rives (variantes 1, 2 et 3)</t>
  </si>
  <si>
    <t>Esecuzione di mantovane (varianti 1, 2, 3)</t>
  </si>
  <si>
    <t>Štítové lemování - varianta 1,2,3</t>
  </si>
  <si>
    <t>Konstrukcje krawędzi (warianty 1, 2, 3)</t>
  </si>
  <si>
    <t>oromszegélyképzés (1., 2., 3. változat)</t>
  </si>
  <si>
    <t>vytvorenie štítových ukončení (variant 1, 2, 3)</t>
  </si>
  <si>
    <t>Bermvorming (varianten 1, 2, 3)</t>
  </si>
  <si>
    <t>Oblikovanja čelnega napušča (različice 1, 2, 3)</t>
  </si>
  <si>
    <t>kantutformningar (variant 1, 2, 3)</t>
  </si>
  <si>
    <t>Tagkantdesign (varianter 1, 2, 3)</t>
  </si>
  <si>
    <t>Vindskioppbygginger (variant 1, 2, 3)</t>
  </si>
  <si>
    <t>Konstrukcije zabata (varijante 1, 2, 3)</t>
  </si>
  <si>
    <t>Ortgangstreifen</t>
  </si>
  <si>
    <t>Mantovana</t>
  </si>
  <si>
    <t>Listwy do wykończenia krawędzi</t>
  </si>
  <si>
    <t>oromszegély</t>
  </si>
  <si>
    <t>záveterná lišta</t>
  </si>
  <si>
    <t>Bermvormingsstrips</t>
  </si>
  <si>
    <t>Trak za čelni napušč</t>
  </si>
  <si>
    <t>kantremsor</t>
  </si>
  <si>
    <t>Tagkantlister</t>
  </si>
  <si>
    <t>Vindskibeslag</t>
  </si>
  <si>
    <t>Ortgangstreifen (95 × 2.000 × 0,70 mm)</t>
  </si>
  <si>
    <t>verge flashing (95 × 2,000 × 0.70 mm)</t>
  </si>
  <si>
    <t>bande de rive (95 × 2 000 × 0,70 mm)</t>
  </si>
  <si>
    <t>Mantovana (95 x 2.000 x 0,70 mm)</t>
  </si>
  <si>
    <t>Závětrná lišta (95 x 2.000 x 0,70 mm)</t>
  </si>
  <si>
    <t>wiatrownica (95 × 2,000 × 0.70 mm)</t>
  </si>
  <si>
    <t>oromszegély (95 x 2.000 x 0,70 mm)</t>
  </si>
  <si>
    <t>záveternácia lišta (95 x 2.000 x 0,70 mm)</t>
  </si>
  <si>
    <t>oversteekstroken (95 x 2000 x 0,70 mm)</t>
  </si>
  <si>
    <t>čelna obroba (95x2.000 x 0,7 mm)</t>
  </si>
  <si>
    <t>gavelremsa (95 x 2.000 x 0,70 mm)</t>
  </si>
  <si>
    <t>gavludhængsstrimmel (95 x 2.000 x 0,70 mm)</t>
  </si>
  <si>
    <t>vindskibeslag (95 x 2000 x 0,70 mm)</t>
  </si>
  <si>
    <t>Zabatna traka (95 × 2.000 × 0,70 mm)</t>
  </si>
  <si>
    <t>Passend für Entwässerungsprodukte.</t>
  </si>
  <si>
    <t>Suitable for drainage products.</t>
  </si>
  <si>
    <t>Compatible avec les produits d’évacuation des eaux de pluie.</t>
  </si>
  <si>
    <t>Adatto per prodotti per smaltimento acque.</t>
  </si>
  <si>
    <t>Vhodné pro odvodňovací produkty.</t>
  </si>
  <si>
    <t>Pasuje do produktów do odprowadzania wody.</t>
  </si>
  <si>
    <t>vízelvezető termékekhez alkalmas.</t>
  </si>
  <si>
    <t>Vhodná pre odvodňovacie produkty.</t>
  </si>
  <si>
    <t>Geschikt voor afvoerproducten.</t>
  </si>
  <si>
    <t>Primerno za drenažne izdelke.</t>
  </si>
  <si>
    <t>Lämplig för dräneringsprodukter.</t>
  </si>
  <si>
    <t>Velegnet til drænprodukter.</t>
  </si>
  <si>
    <t>Egnet til dreneringsprodukter.</t>
  </si>
  <si>
    <t>Prikladno za drenažne proizvode.</t>
  </si>
  <si>
    <t>Passschindel DS.19</t>
  </si>
  <si>
    <t>DS.19 fitting shingle</t>
  </si>
  <si>
    <t>bardeau de raccord DS.19</t>
  </si>
  <si>
    <t>Scandola di adattamento DS.19</t>
  </si>
  <si>
    <t>Falcovaný šindel DS.19</t>
  </si>
  <si>
    <t>Dachówka uzupełniająca DS.19</t>
  </si>
  <si>
    <t>DS.19 illesztőzsindely</t>
  </si>
  <si>
    <t>pásový šindeľ DS.19</t>
  </si>
  <si>
    <t>Montage daklei DS.19</t>
  </si>
  <si>
    <t>Skodla DS.19</t>
  </si>
  <si>
    <t>monteringsshingel DS.19</t>
  </si>
  <si>
    <t>Tagspån DS.19</t>
  </si>
  <si>
    <t>Takshingel DS.19</t>
  </si>
  <si>
    <t>Šindra za prilagodbu DS.19</t>
  </si>
  <si>
    <t>Passschindel für Anschlüsse (840 × 240 mm)</t>
  </si>
  <si>
    <t>fitting shingle for connections (840 × 240 mm)</t>
  </si>
  <si>
    <t>bardeau de raccord (840 × 240 mm)</t>
  </si>
  <si>
    <t>Scandola XL per raccordi (840 x 240 mm)</t>
  </si>
  <si>
    <t>Falcovaný šindel pro napojení (840 x 240 mm)</t>
  </si>
  <si>
    <t>Dachówka Łupkowa długa do połączeń (840 × 240 mm)</t>
  </si>
  <si>
    <t>illesztőzsindely csatlakozások kialakításához (840 x 240 mm)</t>
  </si>
  <si>
    <t>pásový šindeľ pre spoje (840 x 240 mm)</t>
  </si>
  <si>
    <t>passchindel voor aansluitingen (840 × 240 mm)</t>
  </si>
  <si>
    <t>skodla za zaključke (840 x 240 mm)</t>
  </si>
  <si>
    <t>passhingel för anslutningar (840 × 240 mm)</t>
  </si>
  <si>
    <t>passpån til tilslutninger (840 × 240 mm)</t>
  </si>
  <si>
    <t>monteringsshingel for sammenføyninger (840 × 240 mm)</t>
  </si>
  <si>
    <t>Šindra za prilagodbu za spojeve (840 × 240 mm)</t>
  </si>
  <si>
    <t>Patenthaft</t>
  </si>
  <si>
    <t>patent clip</t>
  </si>
  <si>
    <t>patte brevetée</t>
  </si>
  <si>
    <t>Graffetta brevettata</t>
  </si>
  <si>
    <t>patentová příponka</t>
  </si>
  <si>
    <t>Zaczep do dachówek klasycznych i łupkowych</t>
  </si>
  <si>
    <t>patenthafter</t>
  </si>
  <si>
    <t>patentovaná príponka</t>
  </si>
  <si>
    <t>Gepatenteerd</t>
  </si>
  <si>
    <t>Patentno sidro</t>
  </si>
  <si>
    <t>patenterbart</t>
  </si>
  <si>
    <t>Patentclips</t>
  </si>
  <si>
    <t>Patentert</t>
  </si>
  <si>
    <t>Patentni učvršćivač</t>
  </si>
  <si>
    <t>Patenthaft für Dachplatte und Dachschindel</t>
  </si>
  <si>
    <t>patent clip for roof tile and shingle</t>
  </si>
  <si>
    <t>patte brevetée pour tuiles et et bardeaux</t>
  </si>
  <si>
    <t>Graffetta per Tegole e Scandole</t>
  </si>
  <si>
    <t>Patentovaná příponka pro falcované tašky a šindele</t>
  </si>
  <si>
    <t xml:space="preserve">zaczep do dachówek klasycznych i łupkowych </t>
  </si>
  <si>
    <t>rögzítő hafter Classic és Zsindely elemhez</t>
  </si>
  <si>
    <t>patentovaná príponka na falcované škridle a šindle</t>
  </si>
  <si>
    <t>gepatenteerd hechtmiddel voor dakplaat en dakschindel</t>
  </si>
  <si>
    <t>patentno sidro za strešne plošče in skodle</t>
  </si>
  <si>
    <t>patenthäftare för takplattor och takshingel</t>
  </si>
  <si>
    <t>patentspænde til tagplade og tagspån</t>
  </si>
  <si>
    <t>patentert festebrakett for takplate og takshingel</t>
  </si>
  <si>
    <t>Patentni učvršćivač za krovnu ploču i šindru</t>
  </si>
  <si>
    <t>Patenthafte</t>
  </si>
  <si>
    <t>patent clips</t>
  </si>
  <si>
    <t>pattes brevetées</t>
  </si>
  <si>
    <t>Graffette brevettate</t>
  </si>
  <si>
    <t>patentové příponky</t>
  </si>
  <si>
    <t>Zaczepy do dachówek klasycznych i łupkowych</t>
  </si>
  <si>
    <t>patentované príponky</t>
  </si>
  <si>
    <t>Patenterte</t>
  </si>
  <si>
    <t>Patentni učvršćivači</t>
  </si>
  <si>
    <t>patent rivet</t>
  </si>
  <si>
    <t>rivet breveté</t>
  </si>
  <si>
    <t>Rivetti</t>
  </si>
  <si>
    <t>Trhací nýt</t>
  </si>
  <si>
    <t>Nit patentowy</t>
  </si>
  <si>
    <t>patentszegecs</t>
  </si>
  <si>
    <t>trhací nit</t>
  </si>
  <si>
    <t>gepatenteerde klinknagels</t>
  </si>
  <si>
    <t>patentne kovice</t>
  </si>
  <si>
    <t>patenterade nitar</t>
  </si>
  <si>
    <t>patentnitte</t>
  </si>
  <si>
    <t>patentert nagle</t>
  </si>
  <si>
    <t>Patentna zakovica</t>
  </si>
  <si>
    <t>Patentnieten (4 × 10 mm)</t>
  </si>
  <si>
    <t>patent rivets 4 × 10 mm</t>
  </si>
  <si>
    <t>rivets brevetés (4 × 10 mm)</t>
  </si>
  <si>
    <t>rivetti 4 × 10 mm</t>
  </si>
  <si>
    <t>trhací nýt 4 x 10 mm</t>
  </si>
  <si>
    <t>Nit fasadowy 4x10 mm</t>
  </si>
  <si>
    <t>patentszegecs 4 10 mm</t>
  </si>
  <si>
    <t>trhací nit 4 x 10 mm</t>
  </si>
  <si>
    <t>gepatenteerde klinknagels 4 x 10 mm</t>
  </si>
  <si>
    <t>Patentne kovice (4 × 10 mm)</t>
  </si>
  <si>
    <t>patenterade nitar 4 x 10 mm</t>
  </si>
  <si>
    <t>patentnitte 4 x 10 mm</t>
  </si>
  <si>
    <t>patenterte nagler 4 x 10 mm</t>
  </si>
  <si>
    <t>Zakovice 4 x 10 mm</t>
  </si>
  <si>
    <t>Patentsaumstreifen</t>
  </si>
  <si>
    <t>patent edge cleat strip</t>
  </si>
  <si>
    <t>bande de départ brevetée</t>
  </si>
  <si>
    <t>Grondalina brevettata</t>
  </si>
  <si>
    <t>patentní zatahovací pás</t>
  </si>
  <si>
    <t>Pasy okapowe</t>
  </si>
  <si>
    <t>patentszegély</t>
  </si>
  <si>
    <t>patentovaný podkladový pás</t>
  </si>
  <si>
    <t>Patent dakrandstroken</t>
  </si>
  <si>
    <t>Patentni začetni trak</t>
  </si>
  <si>
    <t>patentsömremsor</t>
  </si>
  <si>
    <t>Patentkantlister</t>
  </si>
  <si>
    <t>Patentfalslister</t>
  </si>
  <si>
    <t>Patentna početna traka</t>
  </si>
  <si>
    <t>Patentsaumstreifen (Traufstreifen)</t>
  </si>
  <si>
    <t>bande départ brevetée</t>
  </si>
  <si>
    <t>Grondalina brevettata (striscia di gronda)</t>
  </si>
  <si>
    <t>patentní / zatahovací pás</t>
  </si>
  <si>
    <t>Pasy okapowe (Listwy okapowe)</t>
  </si>
  <si>
    <t>patentszegély (ereszszegély)</t>
  </si>
  <si>
    <t>patentovaný podkladový pás (odkvapový pás)</t>
  </si>
  <si>
    <t>Patent dakrandstroken (dakrandstroken)</t>
  </si>
  <si>
    <t>Patentni začetni trak (trak za napušč)</t>
  </si>
  <si>
    <t>patentsömremsor (takfotsremsor)</t>
  </si>
  <si>
    <t>Patentkantlister (tagudhængslister)</t>
  </si>
  <si>
    <t>Patentfalslister (takfotlister)</t>
  </si>
  <si>
    <t>Patentna početna traka (traka za strehu)</t>
  </si>
  <si>
    <t>Pkt</t>
  </si>
  <si>
    <t>package</t>
  </si>
  <si>
    <t>paquet</t>
  </si>
  <si>
    <t>CF</t>
  </si>
  <si>
    <t>Balení</t>
  </si>
  <si>
    <t>csomag</t>
  </si>
  <si>
    <t>Balenie</t>
  </si>
  <si>
    <t>pakiranje</t>
  </si>
  <si>
    <t>paket</t>
  </si>
  <si>
    <t>Pkt.</t>
  </si>
  <si>
    <t>Pakke</t>
  </si>
  <si>
    <t>Paket</t>
  </si>
  <si>
    <t>Plz + Ort:</t>
  </si>
  <si>
    <t>Town, postcode:</t>
  </si>
  <si>
    <t>Code postal + ville :</t>
  </si>
  <si>
    <t>CAP + città</t>
  </si>
  <si>
    <t>PSČ + Obec:</t>
  </si>
  <si>
    <t>Kod pocztowy + miejscowość</t>
  </si>
  <si>
    <t>IRSZ + helység</t>
  </si>
  <si>
    <t>PSČ + Obec</t>
  </si>
  <si>
    <t>Postcode + plaats:</t>
  </si>
  <si>
    <t>Poštna številka + kraj:</t>
  </si>
  <si>
    <t>Postnummer/ort:</t>
  </si>
  <si>
    <t>Postnr. + by:</t>
  </si>
  <si>
    <t>Postnr./-sted:</t>
  </si>
  <si>
    <t xml:space="preserve">Poštanski broj + Mjesto </t>
  </si>
  <si>
    <t>PLZ + Ort:</t>
  </si>
  <si>
    <t>Pos.</t>
  </si>
  <si>
    <t>Item</t>
  </si>
  <si>
    <t>Position :</t>
  </si>
  <si>
    <t>Voce</t>
  </si>
  <si>
    <t>Pozice</t>
  </si>
  <si>
    <t>pozycja</t>
  </si>
  <si>
    <t>Ssz</t>
  </si>
  <si>
    <t>Pozícia</t>
  </si>
  <si>
    <t>Poz.</t>
  </si>
  <si>
    <t>Pos</t>
  </si>
  <si>
    <t>Poz</t>
  </si>
  <si>
    <t>Pos. 1</t>
  </si>
  <si>
    <t>Item 1</t>
  </si>
  <si>
    <t>nº 1</t>
  </si>
  <si>
    <t>Poz. 1</t>
  </si>
  <si>
    <t>Tétel 1</t>
  </si>
  <si>
    <t>Pol. 1</t>
  </si>
  <si>
    <t>Pos. 2</t>
  </si>
  <si>
    <t>Item 2</t>
  </si>
  <si>
    <t>nº 2</t>
  </si>
  <si>
    <t>Poz. 2</t>
  </si>
  <si>
    <t>Tétel 2</t>
  </si>
  <si>
    <t>Pol. 2</t>
  </si>
  <si>
    <t>Pos. 3</t>
  </si>
  <si>
    <t>Item 3</t>
  </si>
  <si>
    <t>nº 3</t>
  </si>
  <si>
    <t>Poz. 3</t>
  </si>
  <si>
    <t>Tétel 3</t>
  </si>
  <si>
    <t>Pol. 3</t>
  </si>
  <si>
    <t>Pos. 4</t>
  </si>
  <si>
    <t>Item 4</t>
  </si>
  <si>
    <t>nº 4</t>
  </si>
  <si>
    <t>Poz. 4</t>
  </si>
  <si>
    <t>Tétel 4</t>
  </si>
  <si>
    <t>Pol. 4</t>
  </si>
  <si>
    <t>Sicherheitskehle</t>
  </si>
  <si>
    <t>safety valley</t>
  </si>
  <si>
    <t>noue de sécurité</t>
  </si>
  <si>
    <t>Compluvio con ripiega di sicurezza</t>
  </si>
  <si>
    <t>bezpečnostní úžlabí</t>
  </si>
  <si>
    <t>Kosz zabezpieczający</t>
  </si>
  <si>
    <t>biztonsági vápa</t>
  </si>
  <si>
    <t>bezpečnostné úžľabie</t>
  </si>
  <si>
    <t>Veiligheidsgoot</t>
  </si>
  <si>
    <t>Varnostna žlota</t>
  </si>
  <si>
    <t>säkerhetskil</t>
  </si>
  <si>
    <t>Sikkerhedskile</t>
  </si>
  <si>
    <t>Sikkerhetsvinkelrenne</t>
  </si>
  <si>
    <t>Sigurnosna uvala</t>
  </si>
  <si>
    <t>Prefalz</t>
  </si>
  <si>
    <t>PREFALZ</t>
  </si>
  <si>
    <t>prefalz</t>
  </si>
  <si>
    <t>Prefalz Doppelstehfalzdeckung</t>
  </si>
  <si>
    <t xml:space="preserve">Prefalz (double-lock standing seam) </t>
  </si>
  <si>
    <t>couverture PREFALZ à joint debout à double agrafe</t>
  </si>
  <si>
    <t>Copertura con doppia aggraffatura PREFALZ</t>
  </si>
  <si>
    <t>PREFALZ krytí na dvojitou stojatou drážku</t>
  </si>
  <si>
    <t>Pokrycie na podwójny rąbek stojący PREFALZ</t>
  </si>
  <si>
    <t>PREFALZ kettős állókorcos fedés</t>
  </si>
  <si>
    <t>PREFALZ krytina na dvojitú stojatú drážku</t>
  </si>
  <si>
    <t>PREFALZ dubbele naaddakbedekking</t>
  </si>
  <si>
    <t>Kritina z dvojnim stoječim zgibom PREFALZ</t>
  </si>
  <si>
    <t>PREFALZ dubbel stående fals</t>
  </si>
  <si>
    <t>PREFALZ dobbeltstående falsafdækning</t>
  </si>
  <si>
    <t>PREFALZ-kledning med stående dobbelfals</t>
  </si>
  <si>
    <t>PREFALZ pokrov s dvostrukim stojećim falcom</t>
  </si>
  <si>
    <t>PREFALZ Doppelstehfalzdeckung</t>
  </si>
  <si>
    <t>Prefalz Ergänzungsband</t>
  </si>
  <si>
    <t>PREFALZ flashing strip</t>
  </si>
  <si>
    <t>bande complémentaire PREFALZ</t>
  </si>
  <si>
    <t>PREFALZ Nastro di complemento</t>
  </si>
  <si>
    <t>PREFALZ Doplňkový svitek</t>
  </si>
  <si>
    <t>PREFALZ Taśma maskująca</t>
  </si>
  <si>
    <t>PREFALZ kiegészítő szalag</t>
  </si>
  <si>
    <t>PREFALZ zvitkový hliníkový plech</t>
  </si>
  <si>
    <t>PREFALZ aanvullingsband</t>
  </si>
  <si>
    <t>dopolnilni trak</t>
  </si>
  <si>
    <t>PREFALZ extrabeslag</t>
  </si>
  <si>
    <t>PREFALZ suppleringsbånd</t>
  </si>
  <si>
    <t>PREFALZ dopunska traka</t>
  </si>
  <si>
    <t>PREFALZ Ergänzungsband</t>
  </si>
  <si>
    <t>Prefalz Ergänzungsband; 0,7 × 1.000 mm (für Zusatzverblechungen)</t>
  </si>
  <si>
    <t>Prefalz flashing strip 0.7 × 1,000 mm (for additional flashings)</t>
  </si>
  <si>
    <t>bande complémentaire PREFALZ ; 0,7 × 1 000 mm (pour raccordements complémentaires)</t>
  </si>
  <si>
    <t>PREFALZ Nastro di complemento 0,7x1.000 mm (per lattonerie)</t>
  </si>
  <si>
    <t>PREFALZ Doplňkový plech 0,7x1.000 mm (na výrobu oplechování)</t>
  </si>
  <si>
    <t>Prefalz listwa 0.7 × 1,000 mm (do wykończeń)</t>
  </si>
  <si>
    <t>PREFALZ kiegészítő szalag 0,7x1.000 mm (kiegészítő bádogos szerkezetekhez)</t>
  </si>
  <si>
    <t>PREFALZ doplnkový pás 0,7 x 1.000 mm (na výrobu oplechovania)</t>
  </si>
  <si>
    <t>PREFALZ aanvullingsband 0,7 x 1000 mm (voor aanvullend plaatwerk)</t>
  </si>
  <si>
    <t>PREFALZ dopolnilna pločevina 0,7 x 1.000 mm (za dopolnjevanje)</t>
  </si>
  <si>
    <t>PREFALZ extrabeslag 0,7 x 1.000 mm (för kompletterande plåtarbeten)</t>
  </si>
  <si>
    <t>PREFALZ suppleringsbånd 0,7x1.000 mm (til ekstra inddækning)</t>
  </si>
  <si>
    <t>PREFALZ suppleringsbånd 0,7x1000 mm (for tilleggsbeslag)</t>
  </si>
  <si>
    <t>PREFALZ dopunska traka; 0,7 × 1.000 mm (za dodatne limove)</t>
  </si>
  <si>
    <t>PREFALZ Ergänzungsband; 0,7 × 1.000 mm (für Zusatzverblechungen)</t>
  </si>
  <si>
    <t>Prefalz Ergänzungsband; 1,0 × 1.000 mm (nur für Saumstreifen)</t>
  </si>
  <si>
    <t>Prefalz flashing strip 1.0 × 1,000 mm (for edge cleat strips only)</t>
  </si>
  <si>
    <t>bande complémentaire PREFALZ ; 1,0 × 1 000 mm (uniquement pour bandes de départ)</t>
  </si>
  <si>
    <t>PREFALZ Nastro di complemento 1,0x1.000 mm (solo per scossaline)</t>
  </si>
  <si>
    <t>PREFALZ Doplňkový plech 1,0x1.000 mm (pouze na okapnice)</t>
  </si>
  <si>
    <t>Prefalz listwa 1.0 × 1,000 mm (do wykończeń krawędziowych)</t>
  </si>
  <si>
    <t>PREFALZ kiegészítő szalag 1,0x1.000 mm (csak rögzítőszegélyhez)</t>
  </si>
  <si>
    <t>PREFALZ doplkový pás 1,0 x 1.000 mm (len pre odkvapový pás)</t>
  </si>
  <si>
    <t>PREFALZ aanvullingsband 1,0 x 1000 mm (alleen voor randstroken)</t>
  </si>
  <si>
    <t>PREFALZ dopolnilna pločevina 1,0 x 1.000 mm (le za začetne trakove)</t>
  </si>
  <si>
    <t>PREFALZ extrabeslag 1,0 x 1.000 mm (endast för kantremsor)</t>
  </si>
  <si>
    <t>PREFALZ suppleringsbånd 1,0x1.000 mm (kun til kantstrimmel)</t>
  </si>
  <si>
    <t>PREFALZ suppleringsbånd 1,0x1000 mm (kun for skjøteplate)</t>
  </si>
  <si>
    <t>PREFALZ dopunska traka (1,0 × 1.000 mm; samo za početne trake)</t>
  </si>
  <si>
    <t>PREFALZ Ergänzungsband; 1,0 × 1.000 mm (nur für Saumstreifen)</t>
  </si>
  <si>
    <t>Prefalz Farbaluminiumband; 0,7 × 1.000 mm</t>
  </si>
  <si>
    <t>Prefalz colour aluminium strip 0.7 × 1,000 mm</t>
  </si>
  <si>
    <t>bande d’aluminium coloré PREFALZ ; 0,7 × 1 000 mm</t>
  </si>
  <si>
    <t>PREFALZ Nastro in alluminio preverniciato 0,7x1.000 mm</t>
  </si>
  <si>
    <t>PREFALZ barevný plech 0,7x1.000 mm</t>
  </si>
  <si>
    <t>Prefalz aluminiowa blacha powlekana 0,7 × 1.000 mm</t>
  </si>
  <si>
    <t>PREFALZ bevonatos alumínium szalag 0,7x1.000 mm</t>
  </si>
  <si>
    <t>PREFALZ farebné hliníkové zvitky 0,7x1.000 mm</t>
  </si>
  <si>
    <t>Prefalz gekleurde aluminium band 0,7 × 1000 mm</t>
  </si>
  <si>
    <t>PREFALZ barvani aluminijasti trak 0,7 x 1.000 mm</t>
  </si>
  <si>
    <t>Prefalz färgytbehandlat aluminiumband 0,7 × 1.000 mm</t>
  </si>
  <si>
    <t>Prefalz farvealuminiumsbånd 0,7 × 1.000 mm</t>
  </si>
  <si>
    <t>Prefalz fargealuminiumsbånd 0,7 × 1000 mm</t>
  </si>
  <si>
    <t>PREFALZ aluminijska traka u boji; 0,7 × 1.000 mm</t>
  </si>
  <si>
    <t>PREFALZ Farbaluminiumband; 0,7 × 1.000 mm</t>
  </si>
  <si>
    <t>Prefalz Farbaluminiumband; 0,7 × 1.000 mm (für Zusatzverblechungen)</t>
  </si>
  <si>
    <t>Prefalz colour aluminium strip 0.7 × 1,000 mm (for additional flashings)</t>
  </si>
  <si>
    <t>bande d’aluminium coloré PREFALZ ; 0,7 × 1 000 mm (pour raccordements complémentaires)</t>
  </si>
  <si>
    <t>PREFALZ Nastro in alluminio preverniciato 0,7x1.000 mm (per esecuzione converse e lattonerie)</t>
  </si>
  <si>
    <t>PREFALZ barevný plech 0,7x1.000 mm (na klempířskou výrobu)</t>
  </si>
  <si>
    <t>Prefalz aluminiowa blacha powlekana 0,7 × 1.000 mm (für Zusatzverblechungen)</t>
  </si>
  <si>
    <t>PREFALZ bevonatos alumínium szalag 0,7x1.000 mm (kiegészítő bádogos szerkezetekhez)</t>
  </si>
  <si>
    <t>PREFALZ farebné hliníkové zvitky 0,7x1.000 mm ( pre oplechovania a lemovky )</t>
  </si>
  <si>
    <t>Prefalz gekleurde aluminium band 0,7 × 1000 mm (voor aanvullend plaatwerk)</t>
  </si>
  <si>
    <t>PREFALZ barvani aluminijasti trak 0,7 x 1.000 mm (za dopolnjevanje)</t>
  </si>
  <si>
    <t>Prefalz färgytbehandlat aluminiumband 0,7 × 1.000 mm (för kompletterande plåtarbeten)</t>
  </si>
  <si>
    <t>Prefalz farvealuminiumsbånd 0,7 × 1.000 mm (til ekstra inddækning)</t>
  </si>
  <si>
    <t>Prefalz fargealuminiumsbånd 0,7 × 1000 mm (for tilleggsbeslag)</t>
  </si>
  <si>
    <t>PREFALZ aluminijska traka u boji; 0,7 × 1.000 mm (za dodatne limove)</t>
  </si>
  <si>
    <t>PREFALZ Farbaluminiumband; 0,7 × 1.000 mm (für Zusatzverblechungen)</t>
  </si>
  <si>
    <t>Prefalz Farbaluminiumband; 0,7 × 500 mm</t>
  </si>
  <si>
    <t>Prefalz colour aluminium strip 0.7 × 500 mm</t>
  </si>
  <si>
    <t>bande d’aluminium coloré PREFALZ ; 0,7 × 500 mm</t>
  </si>
  <si>
    <t>PREFALZ Nastro in alluminio preverniciato 0,7x500 mm</t>
  </si>
  <si>
    <t>PREFALZ barevný plech 0,7x500 mm</t>
  </si>
  <si>
    <t>Prefalz aluminiowa blacha powlekana 0,7 × 500 mm</t>
  </si>
  <si>
    <t>PREFALZ bevonatos alumínium szalag 0,7x500 mm</t>
  </si>
  <si>
    <t>PREFALZ farebné hliníkové zvitky 0,7x500 mm</t>
  </si>
  <si>
    <t>Prefalz gekleurde aluminium band 0,7 × 500 mm</t>
  </si>
  <si>
    <t>PREFALZ barvani aluminijasti trak 0,7 x 500 mm</t>
  </si>
  <si>
    <t>Prefalz färgytbehandlat aluminiumband 0,7 × 500 mm</t>
  </si>
  <si>
    <t>Prefalz farvealuminiumsbånd 0,7 × 500 mm</t>
  </si>
  <si>
    <t>Prefalz fargealuminiumsbånd 0,7 × 500 mm</t>
  </si>
  <si>
    <t>PREFALZ aluminijska traka u boji; 0,7 × 500 mm</t>
  </si>
  <si>
    <t>PREFALZ Farbaluminiumband; 0,7 × 500 mm</t>
  </si>
  <si>
    <t>Prefalz Farbaluminiumband; 0,7 × 650 mm</t>
  </si>
  <si>
    <t>Prefalz colour aluminium strip 0.7 × 650 mm</t>
  </si>
  <si>
    <t>bande d’aluminium coloré PREFALZ ; 0,7 × 650 mm</t>
  </si>
  <si>
    <t>PREFALZ Nastro in allluminio preverniciato 0,7x650 mm</t>
  </si>
  <si>
    <t>PREFALZ barevný plech 0,7x650 mm</t>
  </si>
  <si>
    <t>Prefalz aluminiowa blacha powlekana 0,7 × 650 mm</t>
  </si>
  <si>
    <t>PREFALZ bevonatos alumínium szalag 0,7x650 mm</t>
  </si>
  <si>
    <t>PREFALZ farebné hliníkové zvitky 0,7x650 mm</t>
  </si>
  <si>
    <t>Prefalz gekleurde aluminium band 0,7 × 650 mm</t>
  </si>
  <si>
    <t>PREFALZ barvani aluminijasti trak 0,7 x 650 mm</t>
  </si>
  <si>
    <t>Prefalz färgytbehandlat aluminiumband 0,7 × 650 mm</t>
  </si>
  <si>
    <t>Prefalz farvealuminiumsbånd 0,7 × 650 mm</t>
  </si>
  <si>
    <t>Prefalz fargealuminiumsbånd 0,7 × 650 mm</t>
  </si>
  <si>
    <t>PREFALZ aluminijska traka u boji; 0,7 × 650 mm</t>
  </si>
  <si>
    <t>PREFALZ Farbaluminiumband; 0,7 × 650 mm</t>
  </si>
  <si>
    <t>Prefalz Fassade (horizontal)</t>
  </si>
  <si>
    <t>PREFALZ façade (horizontal)</t>
  </si>
  <si>
    <t>façade PREFALZ (horizontal)</t>
  </si>
  <si>
    <t>Facciata PREFALZ (orizzontale)</t>
  </si>
  <si>
    <t>Fasáda PREFALZ (horizontálně)</t>
  </si>
  <si>
    <t>Elewacja PREFALZ (pozioma)</t>
  </si>
  <si>
    <t>PREFALZ homlokzat (vízszintes)</t>
  </si>
  <si>
    <t>PREFALZ fasáda (horizontálna)</t>
  </si>
  <si>
    <t>PREFALZ-gevel (horizontaal)</t>
  </si>
  <si>
    <t>Fasada PREFALZ (vodoravna)</t>
  </si>
  <si>
    <t>PREFALZ fasad (horisontell)</t>
  </si>
  <si>
    <t>PREFALZ facade (horisontal)</t>
  </si>
  <si>
    <t>PREFALZ-fasade (horisontal)</t>
  </si>
  <si>
    <t>PREFALZ fasada (vodoravno)</t>
  </si>
  <si>
    <t>PREFALZ Fassade (horizontal)</t>
  </si>
  <si>
    <t>Prefalz Fassade (vertikal)</t>
  </si>
  <si>
    <t>PREFALZ façade (vertical)</t>
  </si>
  <si>
    <t>façade PREFALZ (verticale)</t>
  </si>
  <si>
    <t>Facciata PREFALZ (verticale)</t>
  </si>
  <si>
    <t>Fasáda PREFALZ (vertikálně)</t>
  </si>
  <si>
    <t>Elewacja PREFALZ (pionowa)</t>
  </si>
  <si>
    <t>PREFALZ homlokzat (függőleges)</t>
  </si>
  <si>
    <t>PREFALZ fasáda (vertikálna)</t>
  </si>
  <si>
    <t>PREFALZ-gevel (verticaal)</t>
  </si>
  <si>
    <t>Fasada PREFALZ (navpična)</t>
  </si>
  <si>
    <t>PREFALZ fasad (vertikal)</t>
  </si>
  <si>
    <t>PREFALZ facade (vertikal)</t>
  </si>
  <si>
    <t>PREFALZ-fasade (vertikal)</t>
  </si>
  <si>
    <t>PREFALZ fasada (okomito)</t>
  </si>
  <si>
    <t>PREFALZ Fassade (vertikal)</t>
  </si>
  <si>
    <t>Klebeeinfassung (mit Spezialkleber)</t>
  </si>
  <si>
    <t>Prefalz adhesive flashing strip with special adhesive</t>
  </si>
  <si>
    <t>raccordement de ventilation à coller (avec kit d’assemblage)</t>
  </si>
  <si>
    <t>Conversa per torretta di aerazione da incollare (con adesivo speciale)</t>
  </si>
  <si>
    <t>PREFALZ nalepovací prostup + speciální lepidlo</t>
  </si>
  <si>
    <t>Klejona oprawa (z klejem specjalnym)</t>
  </si>
  <si>
    <t>ragasztható kivezető elem (speciális ragasztóval)</t>
  </si>
  <si>
    <t>nalepovací prestupový prvok (so špeciálnym lepidlom)</t>
  </si>
  <si>
    <t>Zelfklevende randen (met speciale lijm)</t>
  </si>
  <si>
    <t>Obroba za lepljenje (s posebnim lepilom)</t>
  </si>
  <si>
    <t>Självhäftande kant (med speciallim)</t>
  </si>
  <si>
    <t>Limindfalsning (med speciallim)</t>
  </si>
  <si>
    <t>Limfeste (med spesiallim)</t>
  </si>
  <si>
    <t>Lijepljena podloga (s posebnim ljepilom)</t>
  </si>
  <si>
    <t>Prefalz Winkelstehfalzfassade (horizontal)</t>
  </si>
  <si>
    <t>PREFALZ single-lock standing seam façade (horizontal)</t>
  </si>
  <si>
    <t>façade PREFALZ à joints angulaires (horizontale)</t>
  </si>
  <si>
    <t>Facciata con aggraffatura angolare PREFALZ (orizzontale)</t>
  </si>
  <si>
    <t>Fasáda PREFALZ s úhlovou stojatou drážkou (horizontálně)</t>
  </si>
  <si>
    <t>Elewacja PREFALZ na stojący rąbek kątowy (pozioma)</t>
  </si>
  <si>
    <t>PREFALZ derékszögű állókorcos homlokzat (vízszintes)</t>
  </si>
  <si>
    <t>PREFALZ fasáda na uhlovú stojatú drážku (horizontálna)</t>
  </si>
  <si>
    <t>PREFALZ-hoeknaadgevel (horizontaal)</t>
  </si>
  <si>
    <t>Fasada z enojnim stoječim vzgibom PREFALZ (vodoravna)</t>
  </si>
  <si>
    <t>PREFALZ vinklad stående sömfasad (horisontell)</t>
  </si>
  <si>
    <t>PREFALZ vinkelstående falsfacade (horisontal)</t>
  </si>
  <si>
    <t>PREFALZ-fasade med vinklet stående fals (horisontal)</t>
  </si>
  <si>
    <t>PREFALZ fasada s kutnim stojećim falcom (vodoravno)</t>
  </si>
  <si>
    <t>PREFALZ Winkelstehfalzfassade (horizontal)</t>
  </si>
  <si>
    <t>Prefalz Winkelstehfalzfassade (vertikal)</t>
  </si>
  <si>
    <t>PREFALZ single-lock standing seam façade (vertical)</t>
  </si>
  <si>
    <t>façade PREFALZ à joints angulaires (verticale)</t>
  </si>
  <si>
    <t>Facciata con aggraffatura angolare PREFALZ (verticale)</t>
  </si>
  <si>
    <t>Fasáda PREFALZ s úhlovou stojatou drážkou (vertikálně)</t>
  </si>
  <si>
    <t>Elewacja PREFALZ na stojący rąbek kątowy (pionowa)</t>
  </si>
  <si>
    <t>PREFALZ derékszögű állókorcos homlokzat (függőleges)</t>
  </si>
  <si>
    <t>PREFALZ fasáda na uhlovú stojatú drážku (vertikálna)</t>
  </si>
  <si>
    <t>PREFALZ-hoeknaadgevel(verticaal)</t>
  </si>
  <si>
    <t>Fasada z enojnim stoječim vzgibom PREFALZ (navpična)</t>
  </si>
  <si>
    <t>PREFALZ vinklad stående sömfasad (vertikal)</t>
  </si>
  <si>
    <t>PREFALZ vinkelstående falsfacade (vertikal)</t>
  </si>
  <si>
    <t>PREFALZ-fasade med vinklet stående fals (vertikal)</t>
  </si>
  <si>
    <t>PREFALZ fasada s kutnim stojećim falcom (okomito)</t>
  </si>
  <si>
    <t>PREFALZ Winkelstehfalzfassade (vertikal)</t>
  </si>
  <si>
    <t>Prefaweiß/Prefaweiß</t>
  </si>
  <si>
    <t>prefa white/prefa white</t>
  </si>
  <si>
    <t>blanc PREFA/blanc PREFA</t>
  </si>
  <si>
    <t>bianco prefa/bianco prefa</t>
  </si>
  <si>
    <t>prefabílá/prefa bílá</t>
  </si>
  <si>
    <t>biały PREFA</t>
  </si>
  <si>
    <t>prefafehér/prefafehér</t>
  </si>
  <si>
    <t>prefa biela/prefa biela</t>
  </si>
  <si>
    <t>prefawit/prefawit</t>
  </si>
  <si>
    <t>prefa bela/prefa bela</t>
  </si>
  <si>
    <t>prefavit/prefavit</t>
  </si>
  <si>
    <t>prefahvid/prefahvid</t>
  </si>
  <si>
    <t>prefahvit/prefahvit</t>
  </si>
  <si>
    <t>Prefa bijela boja / Prefa bijela boja</t>
  </si>
  <si>
    <t>Preisanfrage</t>
  </si>
  <si>
    <t>Quote enquiry</t>
  </si>
  <si>
    <t>demande de prix</t>
  </si>
  <si>
    <t>Richiesta di prezzo</t>
  </si>
  <si>
    <t>Cenová poptávka</t>
  </si>
  <si>
    <t>Zapytanie ofertowe</t>
  </si>
  <si>
    <t>árajánlatkérés</t>
  </si>
  <si>
    <t>cenový dopyt</t>
  </si>
  <si>
    <t>Prijsaanvraag</t>
  </si>
  <si>
    <t>Povpraševanje o ceni</t>
  </si>
  <si>
    <t>Prisförfrågan</t>
  </si>
  <si>
    <t>Prisforespørgsel</t>
  </si>
  <si>
    <t>Prisforespørsel</t>
  </si>
  <si>
    <t>Upit o cijeni</t>
  </si>
  <si>
    <t>Produktübersicht</t>
  </si>
  <si>
    <t>Panoramica dei prodotti</t>
  </si>
  <si>
    <t>Přehled produktů</t>
  </si>
  <si>
    <t>Przegląd produktów</t>
  </si>
  <si>
    <t>termékek áttekintése</t>
  </si>
  <si>
    <t>prehľad produktov</t>
  </si>
  <si>
    <t>Productoverzicht</t>
  </si>
  <si>
    <t>Pregled izdelkov</t>
  </si>
  <si>
    <t>Produktöversikt</t>
  </si>
  <si>
    <t>Produktoversigt</t>
  </si>
  <si>
    <t>Produktoversikt</t>
  </si>
  <si>
    <t>Pregled proizvoda</t>
  </si>
  <si>
    <t>Profilwelle 10/47/2,0</t>
  </si>
  <si>
    <t>ripple profile 10/47/2.0 (PREFA)</t>
  </si>
  <si>
    <t>profil sinus 10/47/2,0</t>
  </si>
  <si>
    <t>Profilo ondulato 10/47/2,0</t>
  </si>
  <si>
    <t>Profil s vlnou 10/47/2,0</t>
  </si>
  <si>
    <t>Profil falisty 10/47/2,0</t>
  </si>
  <si>
    <t>profilhullám 10/47/2,0</t>
  </si>
  <si>
    <t>vlnitý profil 10/47/2,0</t>
  </si>
  <si>
    <t>Golfplaat 10/47/2,0</t>
  </si>
  <si>
    <t>Valoviti profil 10/47/2,0</t>
  </si>
  <si>
    <t>vågprofil 10/47/2,0</t>
  </si>
  <si>
    <t>Profilbølge 10/47/2,0</t>
  </si>
  <si>
    <t>Bølgeprofil 10/47/2,0</t>
  </si>
  <si>
    <t>Profilwelle 10/47/2,0 (horizontal)</t>
  </si>
  <si>
    <t>ripple profile 10/47/2.0 (horizontal)</t>
  </si>
  <si>
    <t>profil sinus 10/47/2,0 (horizontal)</t>
  </si>
  <si>
    <t>Profilo ondulato 10/47/2,0 (orizzontale)</t>
  </si>
  <si>
    <t>Profil s vlnou 10/47/2,0 (horizontální)</t>
  </si>
  <si>
    <t>Profil falisty 10/47/2,0 (poziomy)</t>
  </si>
  <si>
    <t>profilhullám 10/47/2,0 (vízszintes)</t>
  </si>
  <si>
    <t>vlnitý profil 10/47/2,0 (horizontálny)</t>
  </si>
  <si>
    <t>Golfplaat 10/47/2,0 (horizontaal)</t>
  </si>
  <si>
    <t>Valoviti profil 10/47/2,0 (vodoraven)</t>
  </si>
  <si>
    <t>vågprofil 10/47/2.0 (horisontell)</t>
  </si>
  <si>
    <t>Profilbølge 10/47/2,0 (horisontal)</t>
  </si>
  <si>
    <t>Bølgeprofil 10/47/2,0 (horisontal)</t>
  </si>
  <si>
    <t>Valoviti profil 10/47/2,0 (vodoravni)</t>
  </si>
  <si>
    <t>Profilwelle 10/47/2,0 (vertikal)</t>
  </si>
  <si>
    <t>ripple profile 10/47/2.0 (vertical)</t>
  </si>
  <si>
    <t>profil sinus 10/47/2,0 (vertical)</t>
  </si>
  <si>
    <t>Profilo ondulato 10/47/2,0 (verticale)</t>
  </si>
  <si>
    <t>Profil s vlnou 10/47/2,0 (vertikální)</t>
  </si>
  <si>
    <t>Profil falisty 10/47/2,0 (pionowy)</t>
  </si>
  <si>
    <t>profilhullám 10/47/2,0 (függőleges)</t>
  </si>
  <si>
    <t>vlnitý profil 10/47/2,0 (vertikálny)</t>
  </si>
  <si>
    <t>Golfplaat 10/47/2,0 (verticaal)</t>
  </si>
  <si>
    <t>Valoviti profil 10/47/2,0 (navpičen)</t>
  </si>
  <si>
    <t>vågprofil 10/47/2.0 (vertikal)</t>
  </si>
  <si>
    <t>Profilbølge 10/47/2,0 (vertikal)</t>
  </si>
  <si>
    <t>Bølgeprofil 10/47/2,0 (vertikal)</t>
  </si>
  <si>
    <t>Valoviti profil 10/47/2,0 (okomiti)</t>
  </si>
  <si>
    <t>Pultdachabschluss</t>
  </si>
  <si>
    <t>end of mono-pitched roof</t>
  </si>
  <si>
    <t>raccord de faîtage de toit monopente</t>
  </si>
  <si>
    <t>Rivestimento semicolmo</t>
  </si>
  <si>
    <t>Zakończenie dachu jednospadowego</t>
  </si>
  <si>
    <t>félnyeregtetővég</t>
  </si>
  <si>
    <t>ukončenie pultovej strechy</t>
  </si>
  <si>
    <t>Lessenaarsdakafsluiting</t>
  </si>
  <si>
    <t>Zaključna obdelava enokapne strehe</t>
  </si>
  <si>
    <t>avslutning pulpettak</t>
  </si>
  <si>
    <t>Pulttagafslutning</t>
  </si>
  <si>
    <t>Pulttakavslutning</t>
  </si>
  <si>
    <t>Završetak jednostrešnog krova</t>
  </si>
  <si>
    <t>Pultdachabschluss mit Hinterlüftung</t>
  </si>
  <si>
    <t>mono-pitched-roof end with ventilation gap</t>
  </si>
  <si>
    <t>raccord de faîtage pour toit monopente (avec lame d’air ventilée)</t>
  </si>
  <si>
    <t>Rivestimento semicolmo con retroventilazione</t>
  </si>
  <si>
    <t>Hřeben pultové střechy s odvětráním</t>
  </si>
  <si>
    <t>Zakończenie dachu jednospadowego z wentylowaną pustką powietrzną</t>
  </si>
  <si>
    <t>félnyeregtetővég átszellőztetéssel</t>
  </si>
  <si>
    <t>ukončenie pultovej strechy s prevetrávanou medzerou</t>
  </si>
  <si>
    <t>Lessenaarsdakafsluiting met ventilatie achteraan</t>
  </si>
  <si>
    <t>Zaključna obdelava enokapne strehe s prezračevanjem</t>
  </si>
  <si>
    <t>avslutning pulpettak med bakventilation</t>
  </si>
  <si>
    <t>Pulttagafslutning med ventilation</t>
  </si>
  <si>
    <t>Pulttakavslutning med baklufting</t>
  </si>
  <si>
    <t>Završetak jednostrešnog krova sa stražnjom ventilacijom</t>
  </si>
  <si>
    <t>Pultdachabschluss (Variante)</t>
  </si>
  <si>
    <t>mono-pitched-roof end (variant)</t>
  </si>
  <si>
    <t>raccord de faîtage pour toit monopente (variante)</t>
  </si>
  <si>
    <t>Rivestimento semicolmo (variante)</t>
  </si>
  <si>
    <t>Hřeben pultové střechy - Varianta</t>
  </si>
  <si>
    <t>Zakończenie dachu jednospadowego (wariant)</t>
  </si>
  <si>
    <t>félnyeregtetővég (változat)</t>
  </si>
  <si>
    <t>ukončenie pultovej strechy (variant)</t>
  </si>
  <si>
    <t>Lessenaarsdakafsluiting(variant)</t>
  </si>
  <si>
    <t>Zaključna obdelava enokapne strehe (različica)</t>
  </si>
  <si>
    <t>avslutning pulpettak (variant)</t>
  </si>
  <si>
    <t>Pulttagafslutning (variant)</t>
  </si>
  <si>
    <t>Pulttakavslutning (variant)</t>
  </si>
  <si>
    <t>Završetak jednostrešnog krova (varijanta)</t>
  </si>
  <si>
    <t>pulverbeschichtet</t>
  </si>
  <si>
    <t>powder-coated</t>
  </si>
  <si>
    <t>thermolaqué</t>
  </si>
  <si>
    <t>Verniciato a polvere</t>
  </si>
  <si>
    <t xml:space="preserve">práškově lakovaný </t>
  </si>
  <si>
    <t>malowanie proszkowe</t>
  </si>
  <si>
    <t>porszórt</t>
  </si>
  <si>
    <t>farbenie práškovaním</t>
  </si>
  <si>
    <t>geëpoxeerd</t>
  </si>
  <si>
    <t>prašno barvano</t>
  </si>
  <si>
    <t>pulverlackerade</t>
  </si>
  <si>
    <t>pulverbelagt</t>
  </si>
  <si>
    <t>pulverlakkert</t>
  </si>
  <si>
    <t>praškasta presvlaka</t>
  </si>
  <si>
    <t>Putz</t>
  </si>
  <si>
    <t>plaster</t>
  </si>
  <si>
    <t>enduit</t>
  </si>
  <si>
    <t>Intonaco</t>
  </si>
  <si>
    <t>omítka</t>
  </si>
  <si>
    <t>Tynk</t>
  </si>
  <si>
    <t>vakolat</t>
  </si>
  <si>
    <t>omietka</t>
  </si>
  <si>
    <t>Gips</t>
  </si>
  <si>
    <t>Omet</t>
  </si>
  <si>
    <t>puts</t>
  </si>
  <si>
    <t>Puds</t>
  </si>
  <si>
    <t>Gipspuss</t>
  </si>
  <si>
    <t>Žbuka</t>
  </si>
  <si>
    <t>Quadratrohr – Sonderwasserfangkasten</t>
  </si>
  <si>
    <t>SQUARE DOWNPIPE – BESPOKE</t>
  </si>
  <si>
    <t>TUYAU DE DESCENTE CARRÉ — BOÎTE À EAU RÉALISÉE SUR COMMANDE</t>
  </si>
  <si>
    <t>Pluviale quadro - cassetta di raccolta fuori standard</t>
  </si>
  <si>
    <t>HRANATÝ SVOD – SPECIÁLNÍ SBĚRNÝ KOTLÍK</t>
  </si>
  <si>
    <t>RURA KWADRATOWA – KOSZ ZLEWISKOWY</t>
  </si>
  <si>
    <t>SZÖGLETES LEFOLYÓCSŐ – SPECIÁLIS VÍZGYŰJTŐ ÜST</t>
  </si>
  <si>
    <t>ŠTVORCOVÝ ZVOD – ŠPECIÁLNY ZBERNÝ KOTLÍK</t>
  </si>
  <si>
    <t>VIERKANTE BUIS - SPECIALE WATEROPVANGBAK</t>
  </si>
  <si>
    <t>KVADRATNA CEV – POSEBNI ZBIRALNIK VODE</t>
  </si>
  <si>
    <t>FYRKANTSRÖR – SPECIAL VATTENUPPSAMLINGSLÅDA</t>
  </si>
  <si>
    <t>KVADRATRØR – SPECIALVANDOPSAMLINGSKASSE</t>
  </si>
  <si>
    <t>FIRKANTRØR – SPESIELL VANNDRENERING</t>
  </si>
  <si>
    <t>KVADRATNA CIJEV – POSEBNA KUTIJA ZA PRIHVAT VODE</t>
  </si>
  <si>
    <t>QUADRATROHR – SONDERWASSERFANGKASTEN</t>
  </si>
  <si>
    <t>Quadratrohr</t>
  </si>
  <si>
    <t>square downpipe</t>
  </si>
  <si>
    <t>tuyau de descente carré</t>
  </si>
  <si>
    <t>Pluviale quadro</t>
  </si>
  <si>
    <t>Hranatý svod</t>
  </si>
  <si>
    <t>Kwadratowa rura spustowa</t>
  </si>
  <si>
    <t>szögletes lefolyó</t>
  </si>
  <si>
    <t>štvorcový zvod</t>
  </si>
  <si>
    <t>vierkante buis</t>
  </si>
  <si>
    <t>pravokotna cev</t>
  </si>
  <si>
    <t>kvadratrör</t>
  </si>
  <si>
    <t>kvadratrør</t>
  </si>
  <si>
    <t>firkantrør</t>
  </si>
  <si>
    <t>Kvadratna cijev</t>
  </si>
  <si>
    <t>QUADRATROHR</t>
  </si>
  <si>
    <t>SQUARE DOWNPIPE</t>
  </si>
  <si>
    <t>TUYAU DE DESCENTE CARRÉ</t>
  </si>
  <si>
    <t>RURY KWADRATOWE</t>
  </si>
  <si>
    <t>SZÖGLETES LEFOLYÓ</t>
  </si>
  <si>
    <t>ŠTVORCOVÝ ZVOD</t>
  </si>
  <si>
    <t>VIERKANTE BUIS</t>
  </si>
  <si>
    <t>KVADRATRÖR</t>
  </si>
  <si>
    <t>KVADRATRØR</t>
  </si>
  <si>
    <t>FIRKANTRØR</t>
  </si>
  <si>
    <t>KVADRATNA CIJEV</t>
  </si>
  <si>
    <t>Quadratrohr mit Reinigungsöffnung</t>
  </si>
  <si>
    <t>square downpipe with access pipe</t>
  </si>
  <si>
    <t>tuyau de descente carré avec ouverture de nettoyage</t>
  </si>
  <si>
    <t>Pluviale quadro con ispezione</t>
  </si>
  <si>
    <t>Hranatý svod s čistícím otvorem</t>
  </si>
  <si>
    <t>Rura kwadratowa z otworem rewizyjnym</t>
  </si>
  <si>
    <t>szögletes lefolyó tisztítónyílással</t>
  </si>
  <si>
    <t>štvorcový zvod s čistiacim otvoromQuadratrohr mit Reinigungsöffnung</t>
  </si>
  <si>
    <t>vierkante buis met reinigingsopening</t>
  </si>
  <si>
    <t>pravokotna cev z odprtino</t>
  </si>
  <si>
    <t>kvadratrör med rengöringslucka</t>
  </si>
  <si>
    <t>kvadratrør med rengøringsåbning</t>
  </si>
  <si>
    <t>firkantrør med rengjøringsåpning</t>
  </si>
  <si>
    <t>Kvadratna cijev s revizionim otvorom</t>
  </si>
  <si>
    <t>Quadratrohrbogen 72° (kurz)</t>
  </si>
  <si>
    <t>square downpipe elbow 72° (short)</t>
  </si>
  <si>
    <t>coude de tuyau carré 72° (court)</t>
  </si>
  <si>
    <t>Gomito per pluviale quadro, 72°, corto</t>
  </si>
  <si>
    <t>Koleno hranatého svodu 72° krátké</t>
  </si>
  <si>
    <t>Kolano 72° do rury kwadratowej krótkie</t>
  </si>
  <si>
    <t>szögletes lefolyó könyök 72° rövid</t>
  </si>
  <si>
    <t>štvorcové koleno 72° krátke</t>
  </si>
  <si>
    <t>vierkante buisbocht 72° kort</t>
  </si>
  <si>
    <t>koleno 72o - pravokotno kratko</t>
  </si>
  <si>
    <t>kvadratrörsvinkel 72° kort</t>
  </si>
  <si>
    <t>kvadratrørbue 72° kort</t>
  </si>
  <si>
    <t>firkantrørbend 72° kort</t>
  </si>
  <si>
    <t>Koljeno kvadratne cijevi 72° (kratko)</t>
  </si>
  <si>
    <t>Quadratrohrbogen 72° (lang)</t>
  </si>
  <si>
    <t>square downpipe elbow 72° (long)</t>
  </si>
  <si>
    <t>coude de tuyau carré 72° (long)</t>
  </si>
  <si>
    <t>Gomito per pluviale quadro, 72° lungo</t>
  </si>
  <si>
    <t>Koleno hranatého svodu 72° dlouhé</t>
  </si>
  <si>
    <t>Kolano 72° do rury kwadratowej długie</t>
  </si>
  <si>
    <t>szögletes lefolyó 72° hosszú</t>
  </si>
  <si>
    <t>štvorcové koleno 72° dlhé</t>
  </si>
  <si>
    <t>vierkante buisbocht 72° lang</t>
  </si>
  <si>
    <t>koleno 72o - pravokotno dolgo</t>
  </si>
  <si>
    <t>kvadratrörsvinkel 72° lång</t>
  </si>
  <si>
    <t>kvadratrørbue 72° lang</t>
  </si>
  <si>
    <t>firkantrørbend 72° langt</t>
  </si>
  <si>
    <t>Koljeno kvadratne cijevi 72° (dugo)</t>
  </si>
  <si>
    <t>Quadratrohrkessel für Kastenrinne</t>
  </si>
  <si>
    <t>square downpipe outlet for box gutter</t>
  </si>
  <si>
    <t>naissance pour tuyau carré (gouttières carrées)</t>
  </si>
  <si>
    <t>Wylot rynny do rury kwadratowej</t>
  </si>
  <si>
    <t xml:space="preserve">szögletes betorkoló elem </t>
  </si>
  <si>
    <t>hranatý kotlík pre hranatý žľab</t>
  </si>
  <si>
    <t>vierkante buis-vangbak voor bakgoot</t>
  </si>
  <si>
    <t>žlebni izpust pravokotni</t>
  </si>
  <si>
    <t>kvadratrörskupa för lådränna</t>
  </si>
  <si>
    <t>kvadratrørsfordybning til kasserende</t>
  </si>
  <si>
    <t>firkantrørtappstykke for firkantrenne</t>
  </si>
  <si>
    <t>Odvod kvadratne cijevi za sandučasti žlijeb</t>
  </si>
  <si>
    <t>Quadratrohrmuffe</t>
  </si>
  <si>
    <t>square downpipe coupling</t>
  </si>
  <si>
    <t>manchon de jonction pour tuyau carré</t>
  </si>
  <si>
    <t>Riduzione pluviale quadro-scarico HT/KG</t>
  </si>
  <si>
    <t>Hranaté zaústění do kruhového odpadu</t>
  </si>
  <si>
    <t>Mufa do rury kwadratowej</t>
  </si>
  <si>
    <t>szögletes lefolyó átvezető elem</t>
  </si>
  <si>
    <t>prechodka štvorcového zvodu na kruhový zvod</t>
  </si>
  <si>
    <t>vierkante buis-mof</t>
  </si>
  <si>
    <t>povezovalec pravokotnih cevi</t>
  </si>
  <si>
    <t>kvadratrörsmuff</t>
  </si>
  <si>
    <t>kvadratrørsmuffe</t>
  </si>
  <si>
    <t>firkantrør-muffe</t>
  </si>
  <si>
    <t>Kolčak kvadratne cijevi</t>
  </si>
  <si>
    <t>Quadratrohrspeiereinmündung</t>
  </si>
  <si>
    <t>parapet outlet square downpipe connector</t>
  </si>
  <si>
    <t>embranchement d’évacuation carré pour toits plats</t>
  </si>
  <si>
    <t>Bocchettone da incasso per pluviale quadro</t>
  </si>
  <si>
    <t>Hranatý fasádní kotlík se zaústěním</t>
  </si>
  <si>
    <t>Wylot zlewiskowy do rury kwadratowej</t>
  </si>
  <si>
    <t>szögletes attikafal betorkoló elem</t>
  </si>
  <si>
    <t>fasádny kotlík štvorcového zvodu so zaústením pre strešný chrlič</t>
  </si>
  <si>
    <t>vierkante buis-spuwinmonding</t>
  </si>
  <si>
    <t>nastavek za izliv - pravokotni</t>
  </si>
  <si>
    <t>vägganslutning för kvadratrör</t>
  </si>
  <si>
    <t>kvadratrørstagrendetilslutning</t>
  </si>
  <si>
    <t>firkantrør-nedløpsåpning</t>
  </si>
  <si>
    <t>Kvadratna cijev - bočni utok</t>
  </si>
  <si>
    <t>Quadratrohr-Speiereinmündung</t>
  </si>
  <si>
    <t>Quadratrohr-Wasserfangkasten 220/220/330</t>
  </si>
  <si>
    <t>square downpipe leader head 220/220/330</t>
  </si>
  <si>
    <t>boîte à eau pour tuyau de descente carré 220/220/330</t>
  </si>
  <si>
    <t>Cassetta di raccolta per pluviale quadro 220/220/330h</t>
  </si>
  <si>
    <t>Sběrný kotlík hranatý s hranatým vyústěním 220/220/330</t>
  </si>
  <si>
    <t>Kosz zlewiskowy do rury kwadratowej 220/220/330</t>
  </si>
  <si>
    <t>vízgyűjtő üst szögletes lefolyóhoz 220/220/336</t>
  </si>
  <si>
    <t>zberný kotlík na vodu štvorcového zvodu 220/220/330</t>
  </si>
  <si>
    <t>vierkante buis-watervangbak 220/220/330</t>
  </si>
  <si>
    <t>kotliček - pravokotni</t>
  </si>
  <si>
    <t>Kvadratrörsvattenuppsamlare 220/220/330</t>
  </si>
  <si>
    <t>kvadratrørsvandopsamlingskasse 220/220/330</t>
  </si>
  <si>
    <t>firkantrør-vannoppsamler 220/220/330</t>
  </si>
  <si>
    <t>Kvadratna cijev - kutija za prihvat vode 220/220/330</t>
  </si>
  <si>
    <t>Querfalzausbildung</t>
  </si>
  <si>
    <t>Forming transverse seams</t>
  </si>
  <si>
    <t>réalisation d’une agrafure transversale</t>
  </si>
  <si>
    <t>Raccordo dell'aggraffatura diagonale</t>
  </si>
  <si>
    <t>Provedení příčného napojení</t>
  </si>
  <si>
    <t>Konstrukcja z pojedynczą zakładką</t>
  </si>
  <si>
    <t>keresztkorcos kialakítás</t>
  </si>
  <si>
    <t>vytvorenie priečnej drážky</t>
  </si>
  <si>
    <t>Ontwerp met dwarsnaad</t>
  </si>
  <si>
    <t>Oblikovanje prečnega zgiba</t>
  </si>
  <si>
    <t>korsveckutformning</t>
  </si>
  <si>
    <t>Tværfalsdesign</t>
  </si>
  <si>
    <t>Tverrfalsoppbygging</t>
  </si>
  <si>
    <t>Konstrukcija križnog falca</t>
  </si>
  <si>
    <t>Regenklappe</t>
  </si>
  <si>
    <t>downpipe cleanout</t>
  </si>
  <si>
    <t>récupérateur d’eau</t>
  </si>
  <si>
    <t>Deviatore con ispezione</t>
  </si>
  <si>
    <t>Dešťová klapka</t>
  </si>
  <si>
    <t>Rewizja rury spustowej</t>
  </si>
  <si>
    <t>vízlopó</t>
  </si>
  <si>
    <t>klapka zberača vody</t>
  </si>
  <si>
    <t>regenklep</t>
  </si>
  <si>
    <t>lovilec vode z loputo</t>
  </si>
  <si>
    <t>fällbar utkastare</t>
  </si>
  <si>
    <t>regnklap</t>
  </si>
  <si>
    <t>fellbart utkast</t>
  </si>
  <si>
    <t>Kišna klapna</t>
  </si>
  <si>
    <t>Retourhaft</t>
  </si>
  <si>
    <t>double-lock clip</t>
  </si>
  <si>
    <t>patte de maintien</t>
  </si>
  <si>
    <t>Graffetta di ritorno</t>
  </si>
  <si>
    <t>zpětná (věžová) příponka</t>
  </si>
  <si>
    <t>Łącznik kątowy</t>
  </si>
  <si>
    <t>retúrhafter</t>
  </si>
  <si>
    <t>spätná príponka</t>
  </si>
  <si>
    <t>Povratna pritrditev</t>
  </si>
  <si>
    <t>retur</t>
  </si>
  <si>
    <t>Returheft</t>
  </si>
  <si>
    <t>Savijeni učvršćivač</t>
  </si>
  <si>
    <t>Retournierung per Fax:</t>
  </si>
  <si>
    <t>RETURN BY FAX:</t>
  </si>
  <si>
    <t>À RENVOYER PAR FAX :</t>
  </si>
  <si>
    <t>Restituire per fax:</t>
  </si>
  <si>
    <t>Zaslat zpět Faxem</t>
  </si>
  <si>
    <t>Nr zwrotny FAX:</t>
  </si>
  <si>
    <t>VÁLASZFAX:</t>
  </si>
  <si>
    <t>ODOSLAŤ SPÄŤ FAXOM:</t>
  </si>
  <si>
    <t>TERUGZENDEN PER FAX:</t>
  </si>
  <si>
    <t>potrdilo na fax</t>
  </si>
  <si>
    <t>RETURNERING VIA FAX:</t>
  </si>
  <si>
    <t>RETURNERING PR. FAX:</t>
  </si>
  <si>
    <t>RETUR PER FAKS:</t>
  </si>
  <si>
    <t>POVRAT PUTEM FAKSA:</t>
  </si>
  <si>
    <t>Rilleneisen</t>
  </si>
  <si>
    <t>rib tool</t>
  </si>
  <si>
    <t>outil de façonnage des sillons</t>
  </si>
  <si>
    <t>Scanalatrice</t>
  </si>
  <si>
    <t>narzędzie formujące</t>
  </si>
  <si>
    <t>falc hajlító vas</t>
  </si>
  <si>
    <t>ryhovací nástroj</t>
  </si>
  <si>
    <t>groefijzer</t>
  </si>
  <si>
    <t>nakovalo za strešne plošče</t>
  </si>
  <si>
    <t>spårjärn</t>
  </si>
  <si>
    <t>rillejern</t>
  </si>
  <si>
    <t>Željezo s utorima</t>
  </si>
  <si>
    <t>Rillennagel (Niro)</t>
  </si>
  <si>
    <t>stainless steel ring nails</t>
  </si>
  <si>
    <t>clou annelé (inox)</t>
  </si>
  <si>
    <t>Chiodo zigrinato in acciaio inox</t>
  </si>
  <si>
    <t>Vroubkované hřebíky, nerez</t>
  </si>
  <si>
    <t>NIRO Gwóźdź nierdzewny</t>
  </si>
  <si>
    <t>NIRO bordás szeg</t>
  </si>
  <si>
    <t>NIRO ryhované klince</t>
  </si>
  <si>
    <t>groefspijker NIRO</t>
  </si>
  <si>
    <t>narebreni žičniki iz nerjavečega jekla</t>
  </si>
  <si>
    <t>räfflad spik NIRO</t>
  </si>
  <si>
    <t>rillesøm NIRO</t>
  </si>
  <si>
    <t>riflet spiker RUSTFRITT STÅL</t>
  </si>
  <si>
    <t>Čavao s utorima (nehrđajući)</t>
  </si>
  <si>
    <t>Rillennagel (verzinkt)</t>
  </si>
  <si>
    <t>ring nails, galvanised</t>
  </si>
  <si>
    <t>clou annelé (galvanisé)</t>
  </si>
  <si>
    <t>Chiodo zigrinato zincato</t>
  </si>
  <si>
    <t>vroubkované hřebíky, pozinkované</t>
  </si>
  <si>
    <t>Gwoździe, galwanizowane</t>
  </si>
  <si>
    <t>bordásszeg horganyzott</t>
  </si>
  <si>
    <t>ryhované klince, pozinkované</t>
  </si>
  <si>
    <t>groefspijker gegalvaniseerd</t>
  </si>
  <si>
    <t>žičniki pocinkani</t>
  </si>
  <si>
    <t>räfflad spik förzinkad</t>
  </si>
  <si>
    <t>rillesøm galvaniseret</t>
  </si>
  <si>
    <t>riflet spiker galvanisert</t>
  </si>
  <si>
    <t>Čavao s utorima (pocinčani)</t>
  </si>
  <si>
    <t>Rinne (Uginox)</t>
  </si>
  <si>
    <t>gutter (Uginox)</t>
  </si>
  <si>
    <t>gouttière (Uginox)</t>
  </si>
  <si>
    <t>Grondaia (Uginox)</t>
  </si>
  <si>
    <t>žlab (Uginox)</t>
  </si>
  <si>
    <t>Rynna (Uginox)</t>
  </si>
  <si>
    <t>csatorna (Uginox)</t>
  </si>
  <si>
    <t>žľab (Uginox)</t>
  </si>
  <si>
    <t>Goot (Uginox)</t>
  </si>
  <si>
    <t>Žleb (Uginox)</t>
  </si>
  <si>
    <t>ränna (Uginox)</t>
  </si>
  <si>
    <t>Rende (Uginox)</t>
  </si>
  <si>
    <t>Renne (Uginox)</t>
  </si>
  <si>
    <t>Žlijeb (Uginox)</t>
  </si>
  <si>
    <t>Rinnendimension:</t>
  </si>
  <si>
    <t>Gutter dimensions:</t>
  </si>
  <si>
    <t>Développement :</t>
  </si>
  <si>
    <t>Sviluppo canale</t>
  </si>
  <si>
    <t>Rozměr žlabu</t>
  </si>
  <si>
    <t>Rozmiar rynny:</t>
  </si>
  <si>
    <t>Ereszcsatorna méretek:</t>
  </si>
  <si>
    <t>rozmery zľabov:</t>
  </si>
  <si>
    <t>Gootdimensie:</t>
  </si>
  <si>
    <t>Dimenzije žleba</t>
  </si>
  <si>
    <t>Ränndimension:</t>
  </si>
  <si>
    <t>Rendedimension:</t>
  </si>
  <si>
    <t>Takrennedimensjon:</t>
  </si>
  <si>
    <t>Dimenzije žlijeba:</t>
  </si>
  <si>
    <t>Rinnenendboden</t>
  </si>
  <si>
    <t>gutter end cap</t>
  </si>
  <si>
    <t>fond de gouttière</t>
  </si>
  <si>
    <t>Testata per canale di gronda</t>
  </si>
  <si>
    <t>Čelo žlabu</t>
  </si>
  <si>
    <t>ereszcsatorna végelem</t>
  </si>
  <si>
    <t>čelo žľabu</t>
  </si>
  <si>
    <t>gooteindebodem</t>
  </si>
  <si>
    <t xml:space="preserve">žlebna zapora </t>
  </si>
  <si>
    <t>rännändgavel</t>
  </si>
  <si>
    <t>rendeendebund</t>
  </si>
  <si>
    <t>endebunn</t>
  </si>
  <si>
    <t>Čelo žlijeba</t>
  </si>
  <si>
    <t>gutter bracket</t>
  </si>
  <si>
    <t>crochet de gouttière</t>
  </si>
  <si>
    <t>Cicogna per canale di gronda</t>
  </si>
  <si>
    <t>žlabový hák</t>
  </si>
  <si>
    <t>Uchwyt do montażu rynny</t>
  </si>
  <si>
    <t>csatornatartó elem</t>
  </si>
  <si>
    <t>hák polkruhového žľabu</t>
  </si>
  <si>
    <t>Goothaak</t>
  </si>
  <si>
    <t>Kavelj za žleb</t>
  </si>
  <si>
    <t>rännkrok</t>
  </si>
  <si>
    <t>Rendejern</t>
  </si>
  <si>
    <t>Rennekroker</t>
  </si>
  <si>
    <t>Kuka žlijeba</t>
  </si>
  <si>
    <t>Rinnenhaken hochkant (gedreht)</t>
  </si>
  <si>
    <t>upright gutter bracket</t>
  </si>
  <si>
    <t>crochet de chant (chantourné)</t>
  </si>
  <si>
    <t>Cicogna per canale di gronda con ferro in costa (ruotata)</t>
  </si>
  <si>
    <t>žlabový hák zpevněný přetočený</t>
  </si>
  <si>
    <t>Uchwyt do montażu rynny w pozycji pionowej (obrócony)</t>
  </si>
  <si>
    <t>csatornatartó elem, élére hajlított (elforgatva)</t>
  </si>
  <si>
    <t>spevnený hák polkruhového žľabu (otočený)</t>
  </si>
  <si>
    <t>Goothaak rechtop (gedraaid)</t>
  </si>
  <si>
    <t>Kavelj za žleb pokončen (zasukan)</t>
  </si>
  <si>
    <t>rännkrok upprätt (vänd)</t>
  </si>
  <si>
    <t>Rendejern højkant (drejet)</t>
  </si>
  <si>
    <t>Rennekroker med høy kant (dreid)</t>
  </si>
  <si>
    <t>Kuka žlijeba, na kant (okrenuta)</t>
  </si>
  <si>
    <t>Rinnenhaken für Kastenrinne</t>
  </si>
  <si>
    <t>bracket for box gutter</t>
  </si>
  <si>
    <t>crochet pour gouttière carrée</t>
  </si>
  <si>
    <t>Cicogna per canale quadro</t>
  </si>
  <si>
    <t>Žlabový hák pro hranaté žlaby</t>
  </si>
  <si>
    <t>Hak rynnowy połaciowy do rynny kwadratowej</t>
  </si>
  <si>
    <t>négyszögszelvényű ereszcsatorna tartó</t>
  </si>
  <si>
    <t>hák hranatého žľabu</t>
  </si>
  <si>
    <t>goothaak voor bakgoot</t>
  </si>
  <si>
    <t>žlebna kljuka za pravokotni žleb</t>
  </si>
  <si>
    <t>rännkrok för lådränna</t>
  </si>
  <si>
    <t>rendekrog til kasserende</t>
  </si>
  <si>
    <t>takrennefester for firkantrenne</t>
  </si>
  <si>
    <t>Kuka sandučastog žlijeba</t>
  </si>
  <si>
    <t>Rinnenhaken hochkant</t>
  </si>
  <si>
    <t>crochet de chant</t>
  </si>
  <si>
    <t>Cicogna per canale di gronda con ferro in costa</t>
  </si>
  <si>
    <t>Žlabový hák zpevněný</t>
  </si>
  <si>
    <t>Hak wzmocniony do krokwiowy</t>
  </si>
  <si>
    <t>ereszcsatorna tartó elem élére hajlított</t>
  </si>
  <si>
    <t>hák polkruhového žľabu spevnený</t>
  </si>
  <si>
    <t>goothaak op de korte kant</t>
  </si>
  <si>
    <t>žlebna kljuka stranska</t>
  </si>
  <si>
    <t>rännkrok högkant</t>
  </si>
  <si>
    <t>rendekrog højkant</t>
  </si>
  <si>
    <t>takrennefester høykant</t>
  </si>
  <si>
    <t>Kuka žlijeba, na kant</t>
  </si>
  <si>
    <t>Rinnenhaken Schweiz</t>
  </si>
  <si>
    <t>gutter bracket (Switzerland)</t>
  </si>
  <si>
    <t>crochet de gouttière suisse</t>
  </si>
  <si>
    <t>Cicogna svizzera</t>
  </si>
  <si>
    <t>Horský hák přetočený</t>
  </si>
  <si>
    <t>Hak rynnowy wzmocniony nakrokwiowy</t>
  </si>
  <si>
    <t>ereszcsatorna tartó elem svájci</t>
  </si>
  <si>
    <t>hák polkruhového žľabu Švajčiarsko</t>
  </si>
  <si>
    <t>goothaak Zwitserland</t>
  </si>
  <si>
    <t>žlebna kljuka stranska CH</t>
  </si>
  <si>
    <t>rännkrok Schweiz</t>
  </si>
  <si>
    <t>rendekrog Schweiz</t>
  </si>
  <si>
    <t>takrennefester Sveits</t>
  </si>
  <si>
    <t>Kuka žlijeba, Švicarska</t>
  </si>
  <si>
    <t>Rinnenhakennagel (5,0 × 80)</t>
  </si>
  <si>
    <t>gutter bracket nail 5.0 × 80</t>
  </si>
  <si>
    <t>clou pour crochet de gouttière (5,0 × 80)</t>
  </si>
  <si>
    <t>Chiodi per staffe portacanale 5,0 x 80</t>
  </si>
  <si>
    <t>Hřebíky pro žlabové háky 5,0 x 80</t>
  </si>
  <si>
    <t>Gwóźdź do haków rynnowych 5,0 × 80</t>
  </si>
  <si>
    <t>csatornatartó-szeg 5,0 x 86</t>
  </si>
  <si>
    <t>klinec pre žľabový hák 5,0 x 80</t>
  </si>
  <si>
    <t>goothaakspijker 5,0 × 80</t>
  </si>
  <si>
    <t>žičniki za žlebne kljuke 5,0 x 80</t>
  </si>
  <si>
    <t>rännkroksspik 5,0 × 80</t>
  </si>
  <si>
    <t>rendekrogsøm 5,0 × 80</t>
  </si>
  <si>
    <t>nagler for takrennefester 5,0 × 80</t>
  </si>
  <si>
    <t>Čavao za kuku žlijeba (5,0 × 80)</t>
  </si>
  <si>
    <t>Rinnenheizung</t>
  </si>
  <si>
    <t>gutter heating</t>
  </si>
  <si>
    <t>système de chauffage de gouttière</t>
  </si>
  <si>
    <t>Riscaldamento grondaia</t>
  </si>
  <si>
    <t>žlabové vytápění</t>
  </si>
  <si>
    <t>Podgrzewanie rynny</t>
  </si>
  <si>
    <t>csatornafűtés</t>
  </si>
  <si>
    <t>vyhrievanie žľabu</t>
  </si>
  <si>
    <t>Gootverwarming</t>
  </si>
  <si>
    <t>Ogrevanje žleba</t>
  </si>
  <si>
    <t>rännuppvärmning</t>
  </si>
  <si>
    <t>Tagrendeopvarmning</t>
  </si>
  <si>
    <t>Rennevarme</t>
  </si>
  <si>
    <t>Grijanje žlijeba</t>
  </si>
  <si>
    <t>Rinnenkessel</t>
  </si>
  <si>
    <t>gutter outlet</t>
  </si>
  <si>
    <t>naissance</t>
  </si>
  <si>
    <t>Bocchetta svizzera</t>
  </si>
  <si>
    <t>Kulatý kotlík</t>
  </si>
  <si>
    <t>Wylot rynny</t>
  </si>
  <si>
    <t>betorkoló elem</t>
  </si>
  <si>
    <t>kotlík polkruhového žľabu</t>
  </si>
  <si>
    <t>vergaarbak</t>
  </si>
  <si>
    <t>žlebni izpust</t>
  </si>
  <si>
    <t>omvikningskupa</t>
  </si>
  <si>
    <t>rendefordybning</t>
  </si>
  <si>
    <t>tappstykke</t>
  </si>
  <si>
    <t>Odvod žlijeba</t>
  </si>
  <si>
    <t>Rinnenlänge wählen:</t>
  </si>
  <si>
    <t>Select gutter length:</t>
  </si>
  <si>
    <t>Sélectionner la longueur de la gouttière :</t>
  </si>
  <si>
    <t>Selezionare lunghezza canale:</t>
  </si>
  <si>
    <t>Zvolit délku žlabu</t>
  </si>
  <si>
    <t>Wybierz długość rynny:</t>
  </si>
  <si>
    <t>Ereszcsatorna hossza:</t>
  </si>
  <si>
    <t>voľba dĺžky zľabov:</t>
  </si>
  <si>
    <t>Gootlengte kiezen:</t>
  </si>
  <si>
    <t>Izbira dolžine žičnikov</t>
  </si>
  <si>
    <t>Välj rännlängd:</t>
  </si>
  <si>
    <t>Vælg rendelængde:</t>
  </si>
  <si>
    <t>Velg takrennelengde:</t>
  </si>
  <si>
    <t>Odabir duljine žlijeba:</t>
  </si>
  <si>
    <t>Rinnenstutzen</t>
  </si>
  <si>
    <t>naissance de gouttière</t>
  </si>
  <si>
    <t>Bocchetta di scarico</t>
  </si>
  <si>
    <t>žlabové hrdlo</t>
  </si>
  <si>
    <t>Przyłącze rynny</t>
  </si>
  <si>
    <t>csatornacsonk</t>
  </si>
  <si>
    <t>hrdlo polkruhového žľabu</t>
  </si>
  <si>
    <t>Gootaansluiting</t>
  </si>
  <si>
    <t>Nacevnik za žleb</t>
  </si>
  <si>
    <t>rännstöd</t>
  </si>
  <si>
    <t>Tagrendeudløb</t>
  </si>
  <si>
    <t>Rennestøtter</t>
  </si>
  <si>
    <t>Rinnenwinkel 90° (außen)</t>
  </si>
  <si>
    <t>gutter corner 90° (external)</t>
  </si>
  <si>
    <t>équerre de gouttière 90° (angle sortant)</t>
  </si>
  <si>
    <t>Angolo esterno 90° per canale di gronda</t>
  </si>
  <si>
    <t>Roh žlabu vnější 90°</t>
  </si>
  <si>
    <t>Narożnik 90° zew.</t>
  </si>
  <si>
    <t>ereszcsatorna szeglet külső 90°</t>
  </si>
  <si>
    <t>roh polkruhového zľabu vonkajší 90°</t>
  </si>
  <si>
    <t>goothoek buiten 90°</t>
  </si>
  <si>
    <t>vogalnik za polokrogli žleb, zunanji 90o</t>
  </si>
  <si>
    <t>ränna utvändig vinkel 90°</t>
  </si>
  <si>
    <t>rendevinkel udvendig 90°</t>
  </si>
  <si>
    <t>rennevinkel utvendig 90°</t>
  </si>
  <si>
    <t>Kutni element žlijeba 90° (vanjski)</t>
  </si>
  <si>
    <t>Rinnenwinkel 90° (innen)</t>
  </si>
  <si>
    <t>gutter corner 90° (internal)</t>
  </si>
  <si>
    <t>équerre de gouttière 90° (angle rentrant)</t>
  </si>
  <si>
    <t>Angolo interno 90° per canale di gronda</t>
  </si>
  <si>
    <t>Roh žlabu vnitřní 90°</t>
  </si>
  <si>
    <t>Narożnik 90° wew.</t>
  </si>
  <si>
    <t>ereszcsatorna szeglet belső 90°</t>
  </si>
  <si>
    <t>roh polkruhového zľabu vnútorný 90°</t>
  </si>
  <si>
    <t>goothoek binnen 90°</t>
  </si>
  <si>
    <t>vogalnik za polokrogli žleb, notranji 90o</t>
  </si>
  <si>
    <t>ränna invändig vinkel 90°</t>
  </si>
  <si>
    <t>rendevinkel indvendig 90°</t>
  </si>
  <si>
    <t>rennevinkel innvendig 90°</t>
  </si>
  <si>
    <t>Kutni element žlijeba 90° (unutarnji)</t>
  </si>
  <si>
    <t>Rinnenwulstöffner</t>
  </si>
  <si>
    <t>gutter bead opener</t>
  </si>
  <si>
    <t>ouvre-boudin</t>
  </si>
  <si>
    <t>Apriricciolo</t>
  </si>
  <si>
    <t>Otevírač žlabových návalek</t>
  </si>
  <si>
    <t>Przyrząd do rozkręcania rynien</t>
  </si>
  <si>
    <t>ereszcsatorna vulcni nyitó</t>
  </si>
  <si>
    <t>otvárač návalkov</t>
  </si>
  <si>
    <t>Gootkraalopener</t>
  </si>
  <si>
    <t>Odpirač zaobljenega roba žleba</t>
  </si>
  <si>
    <t>öppnare rännfals</t>
  </si>
  <si>
    <t>Tagrendevulståbner</t>
  </si>
  <si>
    <t>Rennekantåpner</t>
  </si>
  <si>
    <t>Otvarač za žlijeb</t>
  </si>
  <si>
    <t>Rohr</t>
  </si>
  <si>
    <t>pipe</t>
  </si>
  <si>
    <t>tuyau</t>
  </si>
  <si>
    <t>Tubo</t>
  </si>
  <si>
    <t>trubka</t>
  </si>
  <si>
    <t>Rura</t>
  </si>
  <si>
    <t>cső</t>
  </si>
  <si>
    <t>rúra</t>
  </si>
  <si>
    <t>Pijp</t>
  </si>
  <si>
    <t>Cev</t>
  </si>
  <si>
    <t>rör</t>
  </si>
  <si>
    <t>Rør</t>
  </si>
  <si>
    <t>Cijev</t>
  </si>
  <si>
    <t>Rohr (28 × 2 × 3.000 mm; inkl. Muffe)</t>
  </si>
  <si>
    <t>pipe 28 × 2 × 3.000 mm, including coupling</t>
  </si>
  <si>
    <t>tube (28 × 2 × 3 000 mm ; avec manchon de jonction)</t>
  </si>
  <si>
    <t>Tubo 28 x 2 x 3.000 mm incluso giunto da 100mm</t>
  </si>
  <si>
    <t>Trubka sněhové zábrany včetně spojky 28 x 2 x 3.000 mm</t>
  </si>
  <si>
    <t>Rura bariery śniegowej 28 × 2 × 3.000 mm, z mufą</t>
  </si>
  <si>
    <t>hófogócső 28 x 2 x 3.000 mmtoldóelemmel</t>
  </si>
  <si>
    <t>rúrka snehového zachytávača 28 x 2 x 3.000 mm vrátane spojky</t>
  </si>
  <si>
    <t>buis 28 × 2 × 3000 mm, incl. mof</t>
  </si>
  <si>
    <t>cev za snegolov 28 x 2 x 3.000 mm vklj. S spojno pušo</t>
  </si>
  <si>
    <t>rör 28 × 2 × 3.000 mm, inkl. muff</t>
  </si>
  <si>
    <t>rør 28 × 2 × 3.000 mm, inkl. muffe</t>
  </si>
  <si>
    <t>rør 28 × 2 × 3000 mm, inkl. muffe</t>
  </si>
  <si>
    <t>Cijev (28 × 2 × 3.000 mm; uklj. kolčak)</t>
  </si>
  <si>
    <t>Rohrbogen</t>
  </si>
  <si>
    <t>downpipe elbow</t>
  </si>
  <si>
    <t>coude</t>
  </si>
  <si>
    <t>Curva per tubo</t>
  </si>
  <si>
    <t>koleno</t>
  </si>
  <si>
    <t>Kolanko</t>
  </si>
  <si>
    <t>csőkönyök</t>
  </si>
  <si>
    <t>Pijpbocht</t>
  </si>
  <si>
    <t>Cevno koleno</t>
  </si>
  <si>
    <t>rörböj</t>
  </si>
  <si>
    <t>Rørvinkel</t>
  </si>
  <si>
    <t>Rørknær</t>
  </si>
  <si>
    <t>Koljeno</t>
  </si>
  <si>
    <t>Rohrbogen 40°</t>
  </si>
  <si>
    <t>downpipe elbow 40°</t>
  </si>
  <si>
    <t>coude 40°</t>
  </si>
  <si>
    <t>Gomito 40°</t>
  </si>
  <si>
    <t>Koleno 40°</t>
  </si>
  <si>
    <t>Kolano 40°</t>
  </si>
  <si>
    <t>lefolyócső-ív 40°</t>
  </si>
  <si>
    <t>koleno kruhového zvodu 40°</t>
  </si>
  <si>
    <t>kniestuk 40°</t>
  </si>
  <si>
    <t>cevno koleno 40o</t>
  </si>
  <si>
    <t>rörvinkel 40°</t>
  </si>
  <si>
    <t>rørbøjning 40°</t>
  </si>
  <si>
    <t>bend 40°</t>
  </si>
  <si>
    <t>Koljeno 40°</t>
  </si>
  <si>
    <t>Rohrbogen 72°</t>
  </si>
  <si>
    <t>downpipe elbow 72°</t>
  </si>
  <si>
    <t>coude 72°</t>
  </si>
  <si>
    <t>Gomito 72°</t>
  </si>
  <si>
    <t>Koleno 72°</t>
  </si>
  <si>
    <t>Kolano 72°</t>
  </si>
  <si>
    <t>lefolyócső-ív 72°</t>
  </si>
  <si>
    <t>koleno kruhového zvodu 72°</t>
  </si>
  <si>
    <t>kniestuk 72°</t>
  </si>
  <si>
    <t>Prefa cevno koleno 72o</t>
  </si>
  <si>
    <t>rörvinkel 72°</t>
  </si>
  <si>
    <t>rørbøjning 72°</t>
  </si>
  <si>
    <t>bend 72°</t>
  </si>
  <si>
    <t>Koljeno 72°</t>
  </si>
  <si>
    <t>Rohrbogen 85°</t>
  </si>
  <si>
    <t>downpipe elbow 85°</t>
  </si>
  <si>
    <t>coude 85°</t>
  </si>
  <si>
    <t>Gomito 85°</t>
  </si>
  <si>
    <t>Koleno 85°</t>
  </si>
  <si>
    <t>Kolano 85°</t>
  </si>
  <si>
    <t>lefolyócső-ív 85°</t>
  </si>
  <si>
    <t>koleno kruhového zvodu 85°</t>
  </si>
  <si>
    <t>kniestuk 85°</t>
  </si>
  <si>
    <t>Prefa cevno koleno 85o</t>
  </si>
  <si>
    <t>rörvinkel 85°</t>
  </si>
  <si>
    <t>rørbøjning 85°</t>
  </si>
  <si>
    <t>bend 85°</t>
  </si>
  <si>
    <t>Koljeno 85°</t>
  </si>
  <si>
    <t>Quadratrohrbogen</t>
  </si>
  <si>
    <t>SQUARE DOWNPIPE ELBOW</t>
  </si>
  <si>
    <t>COUDE DE TUYAU CARRÉ</t>
  </si>
  <si>
    <t>Gomito per pluviale quadro</t>
  </si>
  <si>
    <t>KOLENO HRANATÉHO SVODU</t>
  </si>
  <si>
    <t>Kolanko kwadratowe</t>
  </si>
  <si>
    <t>SZÖGLETES LEFOLYÓCSŐ</t>
  </si>
  <si>
    <t>KOLENO ŠTVORCOVÉHO ZVODU</t>
  </si>
  <si>
    <t>VIERKANTE PIJPBOCHT</t>
  </si>
  <si>
    <t>KOLENO KVADRATNE CEVI</t>
  </si>
  <si>
    <t>FYRKANTIG RÖRBÖJ</t>
  </si>
  <si>
    <t>KVARDRATRØRS BØJNING</t>
  </si>
  <si>
    <t>FIRKANTET RØRKNE</t>
  </si>
  <si>
    <t>KOLJENO KVADRATNE CIJEVI</t>
  </si>
  <si>
    <t>Rohreinbindung</t>
  </si>
  <si>
    <t>pipe connection</t>
  </si>
  <si>
    <t>raccordement de tuyaux</t>
  </si>
  <si>
    <t>Integrazione tubo</t>
  </si>
  <si>
    <t xml:space="preserve">Trubní prostup </t>
  </si>
  <si>
    <t>Łącznik do rur</t>
  </si>
  <si>
    <t>csőbekötés</t>
  </si>
  <si>
    <t>napojenie rúry</t>
  </si>
  <si>
    <t>PIJPINRICHTING</t>
  </si>
  <si>
    <t>Vdelava cevi</t>
  </si>
  <si>
    <t>röranslutning</t>
  </si>
  <si>
    <t>Rørmuffe</t>
  </si>
  <si>
    <t>Rørforbindelse</t>
  </si>
  <si>
    <t>Priključak cijevi</t>
  </si>
  <si>
    <t>Rohreinmündung</t>
  </si>
  <si>
    <t>downpipe branch</t>
  </si>
  <si>
    <t>embranchement</t>
  </si>
  <si>
    <t>Braga</t>
  </si>
  <si>
    <t>Odbočka kruhového svodu</t>
  </si>
  <si>
    <t>Trójnik</t>
  </si>
  <si>
    <t>csőbecsatlakozás</t>
  </si>
  <si>
    <t>odbočka kruhového zvodu</t>
  </si>
  <si>
    <t>buisinmonding</t>
  </si>
  <si>
    <t>cevni priključek</t>
  </si>
  <si>
    <t>grenrör</t>
  </si>
  <si>
    <t>rørudmunding</t>
  </si>
  <si>
    <t>grenrør</t>
  </si>
  <si>
    <t>Cijevni utok</t>
  </si>
  <si>
    <t>Rohreinmündung konisch</t>
  </si>
  <si>
    <t>tapered downpipe branch</t>
  </si>
  <si>
    <t>embranchement conique</t>
  </si>
  <si>
    <t>Braga con innesto conico</t>
  </si>
  <si>
    <t>Odbočka kruhového svodu kónická</t>
  </si>
  <si>
    <t>Trójnik stożkowy</t>
  </si>
  <si>
    <t>kónikus csőbecsatlakozás</t>
  </si>
  <si>
    <t>odbočka kruhového zvodu kónická</t>
  </si>
  <si>
    <t>buisinmonding conisch</t>
  </si>
  <si>
    <t>konični cevni priključek</t>
  </si>
  <si>
    <t>grenrör koniskt</t>
  </si>
  <si>
    <t>rørudmunding konisk</t>
  </si>
  <si>
    <t>konisk grenrør</t>
  </si>
  <si>
    <t>Konusni cijevni utok</t>
  </si>
  <si>
    <t>Rohreinmündung (Quadratisch; Zweifach)</t>
  </si>
  <si>
    <t>DUAL SQUARE DOWNPIPE BRANCH</t>
  </si>
  <si>
    <t>EMBRANCHEMENT (carré ; double)</t>
  </si>
  <si>
    <t>Braga (quadrato; doppio)</t>
  </si>
  <si>
    <t>ODBOČKA SVODU (hranatá; dvojitá)</t>
  </si>
  <si>
    <t>RURA Z ODGAŁĘZIENIEM (przekrój kwadratowy; podwójna)</t>
  </si>
  <si>
    <t>CSŐBECSATLAKOZÁS (négyszögletes, kétszeres)</t>
  </si>
  <si>
    <t>ZVODOVÁ ODBOČKA (štvorcová; dvojitá)</t>
  </si>
  <si>
    <t>PIJPINRICHTING (vierkant; dubbel)</t>
  </si>
  <si>
    <t>CEVNI PRIKLJUČEK (kvadraten; dvakratni)</t>
  </si>
  <si>
    <t>RÖRANSLUTNING (fyrkantig; dubbel)</t>
  </si>
  <si>
    <t>RØRTILSLUTNING (firkantet; dobbelt)</t>
  </si>
  <si>
    <t>GRENRØR (firkantet, dobbel)</t>
  </si>
  <si>
    <t>CIJEVNI UTOK (kvadratan, dvostruki)</t>
  </si>
  <si>
    <t>Rohreinmündung (Quadratisch; Einfach)</t>
  </si>
  <si>
    <t>SINGLE SQUARE DOWNPIPE BRANCH</t>
  </si>
  <si>
    <t>EMBRANCHEMENT (carré ; simple)</t>
  </si>
  <si>
    <t>Braga (quadrato; singolo)</t>
  </si>
  <si>
    <t>ODBOČKA SVODU (hranatá; jednoduchá)</t>
  </si>
  <si>
    <t>RURA Z ODGAŁĘZIENIEM (przekrój kwadratowy; pojedyncza)</t>
  </si>
  <si>
    <t>CSŐBECSATLAKOZÁS (négyszögletes, egyszeres)</t>
  </si>
  <si>
    <t>ZVODOVÁ ODBOČKA (štvorcová; jednoduchá)</t>
  </si>
  <si>
    <t>PIJPINRICHTING (vierkant; enkel)</t>
  </si>
  <si>
    <t>CEVNI PRIKLJUČEK (kvadraten; enkratni)</t>
  </si>
  <si>
    <t>RÖRANSLUTNING (fyrkantig; enkel)</t>
  </si>
  <si>
    <t>RØRTILSLUTNING (firkantet; enkelt)</t>
  </si>
  <si>
    <t>GRENRØR (firkantet, enkel)</t>
  </si>
  <si>
    <t>CIJEVNI UTOK (kvadratan, jednostruki)</t>
  </si>
  <si>
    <t>Rohreinmündung (Rund; Einfach)</t>
  </si>
  <si>
    <t>SINGLE DOWNPIPE BRANCH ROUND</t>
  </si>
  <si>
    <t>EMBRANCHEMENT (rond ; simple)</t>
  </si>
  <si>
    <t>Braga (rotondo; singolo)</t>
  </si>
  <si>
    <t>ODBOČKA SVODU (kulatá; jednoduchá)</t>
  </si>
  <si>
    <t>RURA Z ODGAŁĘZIENIEM (przekrój okrągły; pojedyncza)</t>
  </si>
  <si>
    <t>CSŐBECSATLAKOZÁS (kerek, egyszeres)</t>
  </si>
  <si>
    <t>ZVODOVÁ ODBOČKA (kruhová; jednoduchá)</t>
  </si>
  <si>
    <t>PIJPINRICHTING (rond; enkel)</t>
  </si>
  <si>
    <t>CEVNI PRIKLJUČEK (okrogel; enkratni)</t>
  </si>
  <si>
    <t>RÖRANSLUTNING (rund; enkel)</t>
  </si>
  <si>
    <t>RØRTILSLUTNING (rund; enkel)</t>
  </si>
  <si>
    <t>GRENRØR (rund, enkel)</t>
  </si>
  <si>
    <t>CIJEVNI UTOK (okrugli, jednostruki)</t>
  </si>
  <si>
    <t>Rohreinmündung (Rund; Zweifach)</t>
  </si>
  <si>
    <t>DUAL DOWNPIPE BRANCH ROUND</t>
  </si>
  <si>
    <t>EMBRANCHEMENT (rond ; double)</t>
  </si>
  <si>
    <t>Braga (rotondo; doppio)</t>
  </si>
  <si>
    <t>ODBOČKA SVODU (kulatá; dvojitá)</t>
  </si>
  <si>
    <t>RURA Z ODGAŁĘZIENIEM (przekrój okrągły; podwójna)</t>
  </si>
  <si>
    <t>CSŐBECSATLAKOZÁS (kerek, kétszeres)</t>
  </si>
  <si>
    <t>ZVODOVÁ ODBOČKA (kruhová; dvojitá)</t>
  </si>
  <si>
    <t>PIJPVERBINDING (rond; dubbel)</t>
  </si>
  <si>
    <t>CEVNI PRIKLJUČEK (okrogel; dvakratni)</t>
  </si>
  <si>
    <t>RÖRANSLUTNING (rund; dubbel)</t>
  </si>
  <si>
    <t>RØRTILSLUTNING (rund; dobbelt)</t>
  </si>
  <si>
    <t>GRENRØR (rund, dobbel)</t>
  </si>
  <si>
    <t>CIJEVNI UTOK (okrugli, dvostruki)</t>
  </si>
  <si>
    <t>Rohrkappe</t>
  </si>
  <si>
    <t>pipe cap</t>
  </si>
  <si>
    <t>collerette</t>
  </si>
  <si>
    <t>Copribicchiere</t>
  </si>
  <si>
    <t>přechodka</t>
  </si>
  <si>
    <t>Zaślepka do rur</t>
  </si>
  <si>
    <t>csőfedél</t>
  </si>
  <si>
    <t>prechodka dažďového zvodu</t>
  </si>
  <si>
    <t>PIJPKAP</t>
  </si>
  <si>
    <t>Pokrovček cevi</t>
  </si>
  <si>
    <t>rörlock</t>
  </si>
  <si>
    <t>Rørkappe</t>
  </si>
  <si>
    <t>Rørhette</t>
  </si>
  <si>
    <t>Kapa za cijev</t>
  </si>
  <si>
    <t>Rohrlänge wählen:</t>
  </si>
  <si>
    <t>Select downpipe length:</t>
  </si>
  <si>
    <t>Sélectionner la longueur du tuyau de descente :</t>
  </si>
  <si>
    <t>Selezionare lunghezza pluviale</t>
  </si>
  <si>
    <t>Zvolit délku svodu</t>
  </si>
  <si>
    <t>Wybierz długość rury:</t>
  </si>
  <si>
    <t>Lefolyócső hossza:</t>
  </si>
  <si>
    <t>voľba dĺžky zvodov:</t>
  </si>
  <si>
    <t>Buislengte kiezen:</t>
  </si>
  <si>
    <t>Izbira dolžine cevi</t>
  </si>
  <si>
    <t>Välj rörlängd:</t>
  </si>
  <si>
    <t>Vælg rørlængde:</t>
  </si>
  <si>
    <t>Velg rørlengde:</t>
  </si>
  <si>
    <t>Odaberite duljinu cijevi:</t>
  </si>
  <si>
    <t>Rohrmanschette</t>
  </si>
  <si>
    <t>pipe collar</t>
  </si>
  <si>
    <t>manchon</t>
  </si>
  <si>
    <t>Guarnizione per tubo</t>
  </si>
  <si>
    <t>manžeta</t>
  </si>
  <si>
    <t>Kołnierz rurowy</t>
  </si>
  <si>
    <t>csőkarmantyú</t>
  </si>
  <si>
    <t>rúrová manžeta</t>
  </si>
  <si>
    <t>Pijpkraag</t>
  </si>
  <si>
    <t>Manšeta cevi</t>
  </si>
  <si>
    <t>rörkrage</t>
  </si>
  <si>
    <t>Rørmanchet</t>
  </si>
  <si>
    <t>Rørmansjett</t>
  </si>
  <si>
    <t>Manšeta za cijev</t>
  </si>
  <si>
    <t>Rohrschelle für Standrohr</t>
  </si>
  <si>
    <t>pipe bracket for straight downpipes</t>
  </si>
  <si>
    <t>collier pour dauphin</t>
  </si>
  <si>
    <t>Collare per terminali</t>
  </si>
  <si>
    <t>Přechodka na zaústění svodu</t>
  </si>
  <si>
    <t>Obejma do rur stojakowych</t>
  </si>
  <si>
    <t>lefolyócsőbilincs állványcsőhöz</t>
  </si>
  <si>
    <t>objímka pre zaústenie na ležatú kanalizáciu</t>
  </si>
  <si>
    <t>klembeugel voor staande buizen</t>
  </si>
  <si>
    <t>objemka za izlivno cev</t>
  </si>
  <si>
    <t>rörsvep för stuprör</t>
  </si>
  <si>
    <t>rørbøjle til standrør</t>
  </si>
  <si>
    <t>rørklemme for nedløpsrør</t>
  </si>
  <si>
    <t>Obujmica za stojeću cijev</t>
  </si>
  <si>
    <t>Rohrschelle (mit M10 Gewinde; ohne Dorn)</t>
  </si>
  <si>
    <t>pipe bracket – with M10 thread without pin</t>
  </si>
  <si>
    <t>collier (filetage M10 ; sans goujon)</t>
  </si>
  <si>
    <t>Collare con filetto M10 senza chiodo</t>
  </si>
  <si>
    <t>Objímka se závitem M10 bez trnu</t>
  </si>
  <si>
    <t>Obejma rury z gwintem M10 bez trzpienia</t>
  </si>
  <si>
    <t>csőbilincs M10 menettel szár nélkül</t>
  </si>
  <si>
    <t>objímka zvodu so závitom M10 bez tŕňa</t>
  </si>
  <si>
    <t>klembeugel met M10-schroefdraad zonder doorn</t>
  </si>
  <si>
    <t>objemka za iztočno cev z matico z navojem M10</t>
  </si>
  <si>
    <t>rörsvep med M10-gänga utan dorn</t>
  </si>
  <si>
    <t>rørbøjle med M10 gevind uden dorn</t>
  </si>
  <si>
    <t>rørklemme med M10 gjenger uten stift</t>
  </si>
  <si>
    <t>Obujmica za cijev (s M10 navojem, bez trna)</t>
  </si>
  <si>
    <t>Rohrschellendorn</t>
  </si>
  <si>
    <t>pipe bracket pin</t>
  </si>
  <si>
    <t>goujon de collier</t>
  </si>
  <si>
    <t>Chiodo per collare</t>
  </si>
  <si>
    <t>Trn k objímce</t>
  </si>
  <si>
    <t>Trzpień wbijany</t>
  </si>
  <si>
    <t>csőbilincs tartó csavar</t>
  </si>
  <si>
    <t>oceľový tŕň zvodu s krytom</t>
  </si>
  <si>
    <t>klembeugeldoorn</t>
  </si>
  <si>
    <t xml:space="preserve">konica za zabijanje </t>
  </si>
  <si>
    <t>rörsvepsdorn</t>
  </si>
  <si>
    <t>rørbøjledorn</t>
  </si>
  <si>
    <t>stift for rørklemme</t>
  </si>
  <si>
    <t>Trn cijevne obujmice</t>
  </si>
  <si>
    <t>Rohrschellendorn für WDVS-Rohrschellendübel ⌀ 10</t>
  </si>
  <si>
    <t>pipe bracket for ETICS pipe bracket plug Ø 10</t>
  </si>
  <si>
    <t>goujon de collier pour cheville d’isolation ⌀ 10 pour collier (ITE)</t>
  </si>
  <si>
    <t>Chiodo per collare per facciate retroventilate - Tassello Ø 10</t>
  </si>
  <si>
    <t>Trn k objímce pro hmoždinku pro prostup tepelnou izolací ⌀ 10</t>
  </si>
  <si>
    <t>Trzpień zaciskowy do kotwy zaciskowej ETICS ⌀ 10</t>
  </si>
  <si>
    <t>csőbilincs szár homlokzati hőszigetelésen keresztül történő rögzítéshez való dübelhez ∅ 10</t>
  </si>
  <si>
    <t>tŕň s krytkou pre hmoždinky do kontaktného zatepľovacieho systému ⌀ 10</t>
  </si>
  <si>
    <t>Buisdoorn voor ETICS-buisanker ⌀ 10</t>
  </si>
  <si>
    <t>Konica za zabijanje z navojem za vložek za fasade iz EPS ⌀ 10</t>
  </si>
  <si>
    <t>Rörklämdorn för WDVS-rörklämdubb ⌀ 10</t>
  </si>
  <si>
    <t>Rørbøjledorn til WDVS-rørbøjledyvel ⌀ 10</t>
  </si>
  <si>
    <t>Takrenneskrue til EIFS-takrenneplugg ⌀ 10</t>
  </si>
  <si>
    <t>Trn cijevne obujmice za WDVS tiplu ⌀ 10</t>
  </si>
  <si>
    <t>WDVS-Rohrschellendübel ⌀ 10</t>
  </si>
  <si>
    <t>ETICS pipe bracket plug Ø 10</t>
  </si>
  <si>
    <t>cheville d’isolation ⌀ 10 pour collier (ITE)</t>
  </si>
  <si>
    <t>Tassello per taglio termico con chiodo</t>
  </si>
  <si>
    <t>Hmoždinka pro prostup tepelnou izolací</t>
  </si>
  <si>
    <t>Element mocujący obejmy dla pełnej izolacji cieplnej z trzpieniem</t>
  </si>
  <si>
    <t>lefolyócsőbilincs-szár dübellel passzívházhoz</t>
  </si>
  <si>
    <t>oceľová hmoždinka s tŕňom do zatepľovacieho systému</t>
  </si>
  <si>
    <t>klembeugelplug met doorn (voor WDVS)</t>
  </si>
  <si>
    <t>konica za zabijanje s pokrivno kapo za EPS</t>
  </si>
  <si>
    <t>rörsvepsdymling med dorn (för enstegstätad fasad)</t>
  </si>
  <si>
    <t>rørbøjledybel med dorn (til WDVS)</t>
  </si>
  <si>
    <t>plugg for rørklemme med stift (for WDVS)</t>
  </si>
  <si>
    <t>WDVS tipla ⌀ 10</t>
  </si>
  <si>
    <t>Rohrschellenhalter für WDVS</t>
  </si>
  <si>
    <t>pipe bracket support (for ETICS)</t>
  </si>
  <si>
    <t>console pour collier (ITE)</t>
  </si>
  <si>
    <t>Piastra per taglio termico</t>
  </si>
  <si>
    <t>Držák hmoždinky pro zateplovací systémy</t>
  </si>
  <si>
    <t>Element mocujący obejmy dla pełnej izolacji cieplnej</t>
  </si>
  <si>
    <t>lefolyócső tartó bilincs passzívházhoz</t>
  </si>
  <si>
    <t>držiak objímky pre zatepľovacie systémy</t>
  </si>
  <si>
    <t>klembeugelhouder (voor WDVS)</t>
  </si>
  <si>
    <t>pritrdilo za fasade iz EPS</t>
  </si>
  <si>
    <t>rörssvepsfäste (för enstegstätad fasad)</t>
  </si>
  <si>
    <t>rørbøjleholder (til WDVS)</t>
  </si>
  <si>
    <t>feste for rørklemme (for WDVS)</t>
  </si>
  <si>
    <t>Držač za WDVS</t>
  </si>
  <si>
    <t>Rohrverbinder</t>
  </si>
  <si>
    <t>downpipe connector</t>
  </si>
  <si>
    <t>réduction de tuyau</t>
  </si>
  <si>
    <t>Bicchiere per pluviale</t>
  </si>
  <si>
    <t>Hrdlový spoj</t>
  </si>
  <si>
    <t>Złącze rury</t>
  </si>
  <si>
    <t>csőtoldó</t>
  </si>
  <si>
    <t>spojka zvodu</t>
  </si>
  <si>
    <t>buisverbinding</t>
  </si>
  <si>
    <t>povezovalec cevi</t>
  </si>
  <si>
    <t>rørforbinder</t>
  </si>
  <si>
    <t>rørkobling</t>
  </si>
  <si>
    <t>Spojni element cijevi</t>
  </si>
  <si>
    <t>Rolle</t>
  </si>
  <si>
    <t>roll</t>
  </si>
  <si>
    <t>bobine</t>
  </si>
  <si>
    <t>Rotolo</t>
  </si>
  <si>
    <t>Svitek</t>
  </si>
  <si>
    <t>rolka</t>
  </si>
  <si>
    <t>tekercs</t>
  </si>
  <si>
    <t>Zvitok</t>
  </si>
  <si>
    <t>Rol</t>
  </si>
  <si>
    <t>kolut</t>
  </si>
  <si>
    <t>rulle</t>
  </si>
  <si>
    <t>Rulle</t>
  </si>
  <si>
    <t>Rull</t>
  </si>
  <si>
    <t>Kolut</t>
  </si>
  <si>
    <t>Rollen</t>
  </si>
  <si>
    <t>rolls</t>
  </si>
  <si>
    <t>bobines</t>
  </si>
  <si>
    <t>Rotoli</t>
  </si>
  <si>
    <t>Svitky</t>
  </si>
  <si>
    <t>rolki</t>
  </si>
  <si>
    <t>tekercsek</t>
  </si>
  <si>
    <t>Zvitky</t>
  </si>
  <si>
    <t>koluti</t>
  </si>
  <si>
    <t>rullar</t>
  </si>
  <si>
    <t>Ruller</t>
  </si>
  <si>
    <t>Koluti</t>
  </si>
  <si>
    <t>Rundholz (Ø 140 mm)</t>
  </si>
  <si>
    <t>log (diameter 140 mm)</t>
  </si>
  <si>
    <t>rondin (⌀ 140 mm)</t>
  </si>
  <si>
    <t>Legno tondo (Ø 140 mm)</t>
  </si>
  <si>
    <t>dřevěná kulatina Ø 140 mm</t>
  </si>
  <si>
    <t>Okrągły element drewniany (Ø 140 mm)</t>
  </si>
  <si>
    <t>rönkfa (Ø 140 mm)</t>
  </si>
  <si>
    <t>guľatina (Ø 140 mm)</t>
  </si>
  <si>
    <t>Rond gat (Ø 140 mm)</t>
  </si>
  <si>
    <t>Okrogli les (Ø 140 mm)</t>
  </si>
  <si>
    <t>Rundträ (Ø 140 mm)</t>
  </si>
  <si>
    <t>Rundtræ (Ø 140 mm)</t>
  </si>
  <si>
    <t>Rundt trevirke (Ø 140 mm)</t>
  </si>
  <si>
    <t>Oblo drvo (Ø 140 mm)</t>
  </si>
  <si>
    <t>Rundlochung</t>
  </si>
  <si>
    <t>round perforations</t>
  </si>
  <si>
    <t>perforations circulaires</t>
  </si>
  <si>
    <t>Foro rotondo</t>
  </si>
  <si>
    <t>kruhové děrování</t>
  </si>
  <si>
    <t>Perforacja okrągła</t>
  </si>
  <si>
    <t>kör profilú lyukasztás</t>
  </si>
  <si>
    <t>kruhový otvor</t>
  </si>
  <si>
    <t>Ronde perforatie</t>
  </si>
  <si>
    <t>Okrogla perforacija</t>
  </si>
  <si>
    <t>rundperforering</t>
  </si>
  <si>
    <t>Runde huller</t>
  </si>
  <si>
    <t>Runde perforeringer</t>
  </si>
  <si>
    <t>Okrugla rupa</t>
  </si>
  <si>
    <t>Rundstäbe (Ø 15 mm)</t>
  </si>
  <si>
    <t>pipes (diameter 15 mm)</t>
  </si>
  <si>
    <t>tubes (⌀ 15 mm)</t>
  </si>
  <si>
    <t>Barre rotonde (Ø 15 mm)</t>
  </si>
  <si>
    <t>kulatina Ø 15 mm</t>
  </si>
  <si>
    <t>Pręty okrągłe (Ø 15 mm)</t>
  </si>
  <si>
    <t>körrudak (Ø 15 mm)</t>
  </si>
  <si>
    <t>kruhové tyče (Ø 15 mm)</t>
  </si>
  <si>
    <t>Ronde staven (Ø 15 mm)</t>
  </si>
  <si>
    <t>Okrogle palice (Ø 15 mm)</t>
  </si>
  <si>
    <t>runda stavar (Ø 15 mm)</t>
  </si>
  <si>
    <t>Rundstav (Ø 15 mm)</t>
  </si>
  <si>
    <t>Runde staver (Ø 15 mm)</t>
  </si>
  <si>
    <t>Okrugli štapovi (Ø 15 mm)</t>
  </si>
  <si>
    <t>Rundstange (⌀ 15 × 3.000 mm; für Schneerechenhaken)</t>
  </si>
  <si>
    <t>pipe (Ø 15 × 3,000 mm) for pipe-style snow guard brackets</t>
  </si>
  <si>
    <t>tube pare-neige (⌀ 15 × 3 000 mm ; pour les crochets de tubes pare-neige)</t>
  </si>
  <si>
    <t>Tubo fermaneve (Ø15 x 3.000 mm) per Staffa fermaneve</t>
  </si>
  <si>
    <t>Tyč sněhové zábrany (15 Ø x 3.000 mm) pro držák sněhové zábrany</t>
  </si>
  <si>
    <t>pręt okrągły (Ø 15 × 3,000 mm) do wspornika bariery śniegowej prętowej</t>
  </si>
  <si>
    <t>hófogórúd 15 Ø x 3.000 mm)</t>
  </si>
  <si>
    <t>rúrka zachytávača snehu (15 Ø x 3.000 mm) do rúrkových zachytávačov snehu</t>
  </si>
  <si>
    <t>ronde stang (15 Ø x 3000 mm) voor sneeuwharkhaak</t>
  </si>
  <si>
    <t>cev (15Ø x 3.000 mm), za snegolov</t>
  </si>
  <si>
    <t>rundstång (15 Ø x 3.000 mm) för konsol för snöräcke</t>
  </si>
  <si>
    <t>rundstang (15 Ø x 3.000 mm) til snegitterkrog</t>
  </si>
  <si>
    <t>rund stang (15 Ø x 3000 mm) for snøfangerfester</t>
  </si>
  <si>
    <t>Okrugla šipka (⌀ 15 × 3.000 mm; za kuku za rešetkasti snjegobran)</t>
  </si>
  <si>
    <t>Sailerklemme (doppelt)</t>
  </si>
  <si>
    <t>two-pipe seam clamp</t>
  </si>
  <si>
    <t>bride double</t>
  </si>
  <si>
    <t>Piastra fermaneve a doppio tubo</t>
  </si>
  <si>
    <t>Svěrka trubky sněhové zábrany dvojitá</t>
  </si>
  <si>
    <t>Mocowanie podwójne do bariery śniegowej</t>
  </si>
  <si>
    <t>kétcsöves hófogótartó</t>
  </si>
  <si>
    <t>dvojitá svorka rúrky zachytávača snehu</t>
  </si>
  <si>
    <t>Sailerklem dubbel</t>
  </si>
  <si>
    <t>dvojno držalo</t>
  </si>
  <si>
    <t>sailer-klämma dubbel</t>
  </si>
  <si>
    <t>sailer-klemme dobbelt</t>
  </si>
  <si>
    <t>dobbel falseklemme</t>
  </si>
  <si>
    <t>Obujmica (dvostruka)</t>
  </si>
  <si>
    <t>Sailerklemme (doppelt; mit Eisfänger)</t>
  </si>
  <si>
    <t>two-pipe seam clamp with ice stopper</t>
  </si>
  <si>
    <t>bride double (avec crochet à glace)</t>
  </si>
  <si>
    <t>Piastra fermaneve (a doppio tubo, con rompighiaccio)</t>
  </si>
  <si>
    <t>Svěrka trubky sněholamu dvojitá se zachytávačem ledu</t>
  </si>
  <si>
    <t>Zacisk do bariery śniegowej (podwójny; z elementem zbierającym lód)</t>
  </si>
  <si>
    <t>hófogótartó (kétcsöves, jégkarommal)</t>
  </si>
  <si>
    <t>svorka rúrky zachytávača snehu (dvojitá; so zachytávačom ľadu)</t>
  </si>
  <si>
    <t>Zeilklem (dubbel; met ijsvanger)</t>
  </si>
  <si>
    <t>Držalo za cevi (dvojno; lovilec ledu)</t>
  </si>
  <si>
    <t>seglarklämma (dubbel; med isfångare)</t>
  </si>
  <si>
    <t>Sailerklemme (dobbelt; med isstopper)</t>
  </si>
  <si>
    <t>Falseklemme (dobbel; med isfanger)</t>
  </si>
  <si>
    <t>Obujmica (dvostruka, s hvatačem leda)</t>
  </si>
  <si>
    <t>Sailerklemme (einfach)</t>
  </si>
  <si>
    <t>one-pipe seam clamp</t>
  </si>
  <si>
    <t>bride simple</t>
  </si>
  <si>
    <t>Piastra fermaneve a tubo singolo</t>
  </si>
  <si>
    <t>Svěrka trubky sněhové zábrany jednoduchá</t>
  </si>
  <si>
    <t>Mocowanie pojedyncze do bariery śniegowej</t>
  </si>
  <si>
    <t>egycsöves hófogótartó</t>
  </si>
  <si>
    <t>jednoduchá svorka rúrky zachytávača snehu</t>
  </si>
  <si>
    <t>Sailerklem enkel</t>
  </si>
  <si>
    <t>enojno držalo</t>
  </si>
  <si>
    <t>sailer-klämma enkel</t>
  </si>
  <si>
    <t>sailer-klemme enkelt</t>
  </si>
  <si>
    <t>enkel falseklemme</t>
  </si>
  <si>
    <t>Obujmica (jednostruka)</t>
  </si>
  <si>
    <t>Sailerklemme (einfach; mit Eisfänger)</t>
  </si>
  <si>
    <t>one-pipe seam clamp with ice stopper</t>
  </si>
  <si>
    <t>bride simple (avec crochet à glace)</t>
  </si>
  <si>
    <t>Piastra fermaneve (a tubo singolo, con rompighiaccio)</t>
  </si>
  <si>
    <t>Svěrka trubky sněholamu jednoduchá se zachytávačem ledu</t>
  </si>
  <si>
    <t>Zacisk do bariery śniegowej (pojedynczy; z elementem zbierającym lód)</t>
  </si>
  <si>
    <t>hófogótartó (egycsöves, jégkarommal)</t>
  </si>
  <si>
    <t>svorka rúrky zachytávača snehu (jednoduchá; so zachytávačom ľadu)</t>
  </si>
  <si>
    <t>Zeilklem (enkel; met ijsvanger)</t>
  </si>
  <si>
    <t>Držalo za cevi (enojno; lovilec ledu)</t>
  </si>
  <si>
    <t>seglarklämma (enkel; med isfångare)</t>
  </si>
  <si>
    <t>Sailerklemme (enkelt; med isstopper)</t>
  </si>
  <si>
    <t>Falseklemme (enkel; med isfanger)</t>
  </si>
  <si>
    <t>Obujmica (jednostruka, s hvatačem leda)</t>
  </si>
  <si>
    <t>Sailerklemme (für Schrägfalze)</t>
  </si>
  <si>
    <t>seam clamp for diagonal seams</t>
  </si>
  <si>
    <t>bride de maintien (pour agrafes en biais)</t>
  </si>
  <si>
    <t>Piastra fermaneve con asola per aggraffatura diagonale</t>
  </si>
  <si>
    <t>Svěrka trubky sněhové zábrany pro šikmý falc</t>
  </si>
  <si>
    <t>Mocowanie pojedyncze z otworem podłużnym</t>
  </si>
  <si>
    <t>hófogótartó ovális lyukkal srégfalchoz</t>
  </si>
  <si>
    <t>svorka rúrky zachytávača snehu s predĺženým otvorom na šikmé drážky</t>
  </si>
  <si>
    <t>Sailerklem voor schuine felsen</t>
  </si>
  <si>
    <t>držalo z ovalno luknjo</t>
  </si>
  <si>
    <t>sailer-klämma för snedfals</t>
  </si>
  <si>
    <t>sailer-klemme til skråfalse</t>
  </si>
  <si>
    <t>falseklemme for skråfals</t>
  </si>
  <si>
    <t>Obujmica (za kose falce)</t>
  </si>
  <si>
    <t>Sailerklemmen</t>
  </si>
  <si>
    <t>seam clamps</t>
  </si>
  <si>
    <t>brides de maintien</t>
  </si>
  <si>
    <t>Piastre fermaneve</t>
  </si>
  <si>
    <t>Svěrky trubek sněholamu</t>
  </si>
  <si>
    <t>Zaciski do bariery śniegowej</t>
  </si>
  <si>
    <t>hófogórúd-tartók</t>
  </si>
  <si>
    <t>svorka rúrky zachytávača snehu</t>
  </si>
  <si>
    <t>Zeilklemmen</t>
  </si>
  <si>
    <t>Držalo za cevi</t>
  </si>
  <si>
    <t>segelklämmor</t>
  </si>
  <si>
    <t>Sailerklemmer</t>
  </si>
  <si>
    <t>Falseklemmer</t>
  </si>
  <si>
    <t>Obujmice</t>
  </si>
  <si>
    <t>Saumblech</t>
  </si>
  <si>
    <t>edge flashing</t>
  </si>
  <si>
    <t>Lamiera di gronda</t>
  </si>
  <si>
    <t>spodní oplechování</t>
  </si>
  <si>
    <t>Okapnik</t>
  </si>
  <si>
    <t>alátétlemez</t>
  </si>
  <si>
    <t>nástrešný plech</t>
  </si>
  <si>
    <t>Randplaat</t>
  </si>
  <si>
    <t>Začetna pločevina</t>
  </si>
  <si>
    <t>sömplåt</t>
  </si>
  <si>
    <t>Drypplade</t>
  </si>
  <si>
    <t>Falsplate</t>
  </si>
  <si>
    <t>Ležeći lim</t>
  </si>
  <si>
    <t>Saumbrett (Traufbohle)</t>
  </si>
  <si>
    <t>edge board</t>
  </si>
  <si>
    <t>chanlatte</t>
  </si>
  <si>
    <t>Tavola di gronda</t>
  </si>
  <si>
    <t>prkno okapní hrany</t>
  </si>
  <si>
    <t>Deska szczytowa (Deska okapowa)</t>
  </si>
  <si>
    <t>alátétléc (ereszdeszka)</t>
  </si>
  <si>
    <t>nástrešná doska (odkvapová fošňa)</t>
  </si>
  <si>
    <t>Randplank (dakrandplank)</t>
  </si>
  <si>
    <t>Kapna deska (deska za konec strehe)</t>
  </si>
  <si>
    <t>sömbräda (takbräda)</t>
  </si>
  <si>
    <t>Kantbræt</t>
  </si>
  <si>
    <t>Falsbrett (kantbrett)</t>
  </si>
  <si>
    <t>Ležeći lim (greda za strehu)</t>
  </si>
  <si>
    <t>Saumrinne</t>
  </si>
  <si>
    <t>on-roof gutter</t>
  </si>
  <si>
    <t>gouttière havraise</t>
  </si>
  <si>
    <t>Grondaia cornicione</t>
  </si>
  <si>
    <t>nástřešní žlab</t>
  </si>
  <si>
    <t>Rynna leżąca</t>
  </si>
  <si>
    <t>fekvő ereszcsatorna</t>
  </si>
  <si>
    <t>nástrešný žľab</t>
  </si>
  <si>
    <t>Ležeči žleb</t>
  </si>
  <si>
    <t>sömränna</t>
  </si>
  <si>
    <t>Fodrende</t>
  </si>
  <si>
    <t>Falsrenne</t>
  </si>
  <si>
    <t>Ležeći žlijeb</t>
  </si>
  <si>
    <t>Saumrinne (mit Schutzfolie außen)</t>
  </si>
  <si>
    <t>on-roof gutter with protective film on the outside</t>
  </si>
  <si>
    <t>gouttière havraise (avec film de protection sur face extérieure)</t>
  </si>
  <si>
    <t>Grondaia cornicione con pellicola protettiva esterna</t>
  </si>
  <si>
    <t>Nástřešní žlab s ochrannou folií</t>
  </si>
  <si>
    <t>Rynna leżąca z folią ochronną na zewnątrz</t>
  </si>
  <si>
    <t>fekvő ereszcsatorna külső oldali védőfóliával</t>
  </si>
  <si>
    <t>nástrešný žľab s ochrannou fóliou na vonkajšej strane</t>
  </si>
  <si>
    <t>randgoot met beschermfolie buiten</t>
  </si>
  <si>
    <t>ležeči žleb z zaščitno folijo na zun. Strani</t>
  </si>
  <si>
    <t>kantränna med utvändig skyddsfolie</t>
  </si>
  <si>
    <t>kantrende med beskyttelsesfolie udvendigt</t>
  </si>
  <si>
    <t>fotrenne med utvendig beskyttelsesfolie</t>
  </si>
  <si>
    <t>Ležeći žlijeb (s vanjskom zaštitnom folijom)</t>
  </si>
  <si>
    <t>Saumrinnenendboden</t>
  </si>
  <si>
    <t>on-roof gutter end cap</t>
  </si>
  <si>
    <t>fond de gouttière havraise</t>
  </si>
  <si>
    <t>Testata per grondaia cornicione</t>
  </si>
  <si>
    <t>Čelo nástřešního žlabu</t>
  </si>
  <si>
    <t>Końcówka do rynny leżącej</t>
  </si>
  <si>
    <t>fekvő ereszcsatorna végelem</t>
  </si>
  <si>
    <t>čelo nástrešného žľabu</t>
  </si>
  <si>
    <t>randgoot-eindbodem</t>
  </si>
  <si>
    <t>zapora za ležeči žleb</t>
  </si>
  <si>
    <t>kantrännändgavel</t>
  </si>
  <si>
    <t>kantrendeendebund</t>
  </si>
  <si>
    <t>endebunn for fotrenne</t>
  </si>
  <si>
    <t>Čelo ležećeg žlijeba</t>
  </si>
  <si>
    <t>Saumrinnenhaken</t>
  </si>
  <si>
    <t>on-roof gutter bracket</t>
  </si>
  <si>
    <t>crochet de gouttière havraise</t>
  </si>
  <si>
    <t>Gancio per grondaia cornicione</t>
  </si>
  <si>
    <t>hák nástřešního žlabu</t>
  </si>
  <si>
    <t>Uchwyty do montażu rynny leżącej</t>
  </si>
  <si>
    <t>fekvő ereszcsatorna tartóelem</t>
  </si>
  <si>
    <t>hák nástrešného žľabu</t>
  </si>
  <si>
    <t>Dakgoothaak</t>
  </si>
  <si>
    <t>Kavelj za ležeči žleb</t>
  </si>
  <si>
    <t>sömrännkrok</t>
  </si>
  <si>
    <t>Fodrende rendejern</t>
  </si>
  <si>
    <t>Falsrennekroker</t>
  </si>
  <si>
    <t>Kuka ležećeg žlijeba</t>
  </si>
  <si>
    <t>Saumrinnenstutzen</t>
  </si>
  <si>
    <t>outlet</t>
  </si>
  <si>
    <t>naissance de gouttière havraise</t>
  </si>
  <si>
    <t>Scarico per grondaia cornicione</t>
  </si>
  <si>
    <t>Vyústění nástřešního žlabu</t>
  </si>
  <si>
    <t>Wylot</t>
  </si>
  <si>
    <t>fekvő ereszcsatorna betorkoló elem</t>
  </si>
  <si>
    <t>hrdlo</t>
  </si>
  <si>
    <t>randgootsteunen</t>
  </si>
  <si>
    <t>povezovalec</t>
  </si>
  <si>
    <t>kantrännestötta</t>
  </si>
  <si>
    <t>kantrendestuds</t>
  </si>
  <si>
    <t>stuss for fotrenne</t>
  </si>
  <si>
    <t>Odvod ležećeg žlijeba</t>
  </si>
  <si>
    <t>Saumstreifen</t>
  </si>
  <si>
    <t>edge cleat strip</t>
  </si>
  <si>
    <t>bande de départ</t>
  </si>
  <si>
    <t>Grondalina</t>
  </si>
  <si>
    <t>podkladní pás</t>
  </si>
  <si>
    <t>Listwy okapowe</t>
  </si>
  <si>
    <t>párkányelem</t>
  </si>
  <si>
    <t>podkladový pás</t>
  </si>
  <si>
    <t>Dakgootstrips</t>
  </si>
  <si>
    <t>Začetni trak</t>
  </si>
  <si>
    <t>sömremsa</t>
  </si>
  <si>
    <t>Fodlister</t>
  </si>
  <si>
    <t>Falslister</t>
  </si>
  <si>
    <t>Početna traka</t>
  </si>
  <si>
    <t>Saumstreifen (1.800 × 158 × 1,00 mm)</t>
  </si>
  <si>
    <t>edge cleat strip (1,800 × 158 × 1.00 mm)</t>
  </si>
  <si>
    <t>bande de départ (1 800 × 158 × 1,00 mm)</t>
  </si>
  <si>
    <t>Grondalina di partenza (1.800 x 158 x 1.00 mm)_IT</t>
  </si>
  <si>
    <t>Podkladní pás pro falcované šablony, šindele a panely FX.12 a R.16 (1.800 x 158 x 1.00 mm)</t>
  </si>
  <si>
    <t>Pas okapowy dla dachówek łupkowych rombów (1.800 × 158 × 1,00 mm)</t>
  </si>
  <si>
    <t>párkányelem (1.800 x 158 x 1.00 mm)</t>
  </si>
  <si>
    <t>okrajový podkladový pás (1.800 x 158 x 1.00 mm)</t>
  </si>
  <si>
    <t>randstroken (1800 × 158 × 1,00 mm)</t>
  </si>
  <si>
    <t>začetni trak (1.800 x 158 x 1.00 mm)</t>
  </si>
  <si>
    <t>kantremsa (1.800 × 158 × 1,00 mm)</t>
  </si>
  <si>
    <t>kantstrimmel (1.800 × 158 × 1,00 mm)</t>
  </si>
  <si>
    <t>skjøteplate (1800 × 158 × 1,00 mm)</t>
  </si>
  <si>
    <t>Početna traka (1.800 × 158 × 1,00 mm)</t>
  </si>
  <si>
    <t>Saumstreifen (Traufstreifen)</t>
  </si>
  <si>
    <t>Grondalina (striscia di gronda)</t>
  </si>
  <si>
    <t>párkányelem (ereszszegély)</t>
  </si>
  <si>
    <t>podkladový pás (odkvapový pás)</t>
  </si>
  <si>
    <t>Dakgootstrips (dakrandstrips)</t>
  </si>
  <si>
    <t>Začetni trak (trak za napušč)</t>
  </si>
  <si>
    <t>sömremsor (takfotsremsor)</t>
  </si>
  <si>
    <t>Fodlister (tagudhængslister)</t>
  </si>
  <si>
    <t>Falslister (takfotlister)</t>
  </si>
  <si>
    <t>Početna traka (traka za strehu)</t>
  </si>
  <si>
    <t>Saumstreifen (braun; vorgelocht; 1.806 × 150 × 1,20 mm)</t>
  </si>
  <si>
    <t>edge cleat strip, brown, pre-drilled (1,806 × 150 × 1.20 mm)</t>
  </si>
  <si>
    <t>bande de départ (couleur : brun ; préperforée ; 1 806 × 150 × 1,20 mm)</t>
  </si>
  <si>
    <t>Grondalina di partenza, marrone, preforata (1.806x150x1,20 mm)</t>
  </si>
  <si>
    <t>Podkladní pás pro falcované tašky, hnědý, předvrtané otvory(1.806x150x1,20 mm)</t>
  </si>
  <si>
    <t>pas okapowy, brązowy, przewiercony (1,806 × 150 × 1.20 mm)</t>
  </si>
  <si>
    <t>párkányelem barna, előlyukasztott (1.806x150x1,20 mm)</t>
  </si>
  <si>
    <t>odkvapový podkladový pás k falcovaným škridliam, hnedý, predvŕtané otvory (1.806 x 150 x 1,20 mm)</t>
  </si>
  <si>
    <t>randstroken bruin, geperforeerd (1806 x 150 x 1,20 mm)</t>
  </si>
  <si>
    <t>začetni trak, anodik rjava, predhodno perforiran (1.806x150x1,20mm)</t>
  </si>
  <si>
    <t>kantremsa brun, förperforerad (1,806x150x1,20 mm)</t>
  </si>
  <si>
    <t>kantstrimmel, brun, forhullet (1.806x150x1,20 mm)</t>
  </si>
  <si>
    <t>skjøteplate brun, forboret (1806x150x1,20 mm)</t>
  </si>
  <si>
    <t>Početna traka (smeđa; s rupama; 1.806 × 150 × 1,20 mm)</t>
  </si>
  <si>
    <t>Saumstreifen für Dachpaneel FX.12</t>
  </si>
  <si>
    <t>edge cleat strip for FX.12 roof panel</t>
  </si>
  <si>
    <t>bande de départ pour panneaux de toiture FX.12</t>
  </si>
  <si>
    <t>Grondalina per pannello per tetto FX.12</t>
  </si>
  <si>
    <t>podkladní pás pro STŘEŠNÍ PANEL FX.12</t>
  </si>
  <si>
    <t>Pas okapowy do panelu dachowego FX.12</t>
  </si>
  <si>
    <t>párkányelem FX.12 tetőfedő panelhez</t>
  </si>
  <si>
    <t>podkladový pás pre strešný panel FX.12</t>
  </si>
  <si>
    <t>Dakgootstrips voor dakpaneel FX.12</t>
  </si>
  <si>
    <t>Začetni trak za strešni panel FX.12</t>
  </si>
  <si>
    <t>sömremsor för takpanel FX.12</t>
  </si>
  <si>
    <t>Fodlister til tagpanel FX.12</t>
  </si>
  <si>
    <t>Falslister til takpanel FX.12</t>
  </si>
  <si>
    <t>Početna traka za krovni panel FX.12</t>
  </si>
  <si>
    <t>Saumstreifen für Dachplatte</t>
  </si>
  <si>
    <t xml:space="preserve">edge cleat strip for roof tile </t>
  </si>
  <si>
    <t>bande de départ pour tuile</t>
  </si>
  <si>
    <t>Grondalina per tegola</t>
  </si>
  <si>
    <t>podkladní pás pro FALCOVANOU TAŠKU</t>
  </si>
  <si>
    <t>Pas okapowy do dachówki klasycznej</t>
  </si>
  <si>
    <t>párkányelem Classic elemhez</t>
  </si>
  <si>
    <t>podkladový pás pre falcovanú škridlu</t>
  </si>
  <si>
    <t>Dakgootstrips voor dakpaneel</t>
  </si>
  <si>
    <t>Začetni trak za strešno ploščo</t>
  </si>
  <si>
    <t>sömremsor för takpanel</t>
  </si>
  <si>
    <t>Fodlister til tagplade</t>
  </si>
  <si>
    <t>Falslister til takplate</t>
  </si>
  <si>
    <t>Početna traka za krovnu ploču</t>
  </si>
  <si>
    <t>Saumstreifen für Dachplatte R.16</t>
  </si>
  <si>
    <t>edge cleat strip for R.16 roof tile</t>
  </si>
  <si>
    <t>bande de départ pour R.16</t>
  </si>
  <si>
    <t>Grondalina per tegola R,16</t>
  </si>
  <si>
    <t>podkladní pás pro STŘEŠNÍ PANEL R.16</t>
  </si>
  <si>
    <t>Pas okapowy do dachówki R.16</t>
  </si>
  <si>
    <t>párkányelem R.16 Classic elemhez</t>
  </si>
  <si>
    <t>podkladový pás pre falcovanú škridlu R.16</t>
  </si>
  <si>
    <t>Dakgootstrips voor dakpaneel R.16</t>
  </si>
  <si>
    <t>Začetni trak za strešno ploščo R.16</t>
  </si>
  <si>
    <t>sömremsor för takpanel R.16</t>
  </si>
  <si>
    <t>Fodlister til tagplade R.16</t>
  </si>
  <si>
    <t>Falslister til takplate R.16</t>
  </si>
  <si>
    <t>Početna traka za krovnu ploču R.16</t>
  </si>
  <si>
    <t>Saumstreifen für Dachraute 29 × 29</t>
  </si>
  <si>
    <t>edge cleat strip for rhomboid roof tile 29 × 29</t>
  </si>
  <si>
    <t>bande de départ pour losange de toiture 29 × 29</t>
  </si>
  <si>
    <t>Grondalina per scaglia 29 × 29</t>
  </si>
  <si>
    <t>podkladní pás pro FALCOVANOU ŠABLONU 29x29</t>
  </si>
  <si>
    <t>Pas okapowy do dachówki romb 29 × 29</t>
  </si>
  <si>
    <t>párkányelem 29 × 29-es tetőfedő rombuszhoz</t>
  </si>
  <si>
    <t>podkladový pás pre strešnú šablónu 29 × 29</t>
  </si>
  <si>
    <t>Dakgootstrips voor daklosange 29 × 29</t>
  </si>
  <si>
    <t>Začetni trak za strešni romb 29 × 29</t>
  </si>
  <si>
    <t>sömremsor för takdiamant 29 × 29</t>
  </si>
  <si>
    <t>Fodlister til tagrombe 29 × 29</t>
  </si>
  <si>
    <t>Falslister til takrombe 29 × 29</t>
  </si>
  <si>
    <t>Početna traka za krovni romb 29 × 29</t>
  </si>
  <si>
    <t>Saumstreifen für Dachraute 44 × 44</t>
  </si>
  <si>
    <t>edge cleat strip for rhomboid roof tile 44 × 44</t>
  </si>
  <si>
    <t>bande de départ pour losange de toiture 44 × 44</t>
  </si>
  <si>
    <t>Grondalina per scaglia 44 × 44</t>
  </si>
  <si>
    <t>podkladní pás pro STŘEŠNÍ ŠABLONU 44x44</t>
  </si>
  <si>
    <t>Pas okapowy do dachówki romb 44 × 44</t>
  </si>
  <si>
    <t>párkányelem 44 × 44-es tetőfedő rombuszhoz</t>
  </si>
  <si>
    <t>podkladový pás pre strešnú šablónu 44 × 44</t>
  </si>
  <si>
    <t>Dakgootstrips voor daklosange 44 × 44</t>
  </si>
  <si>
    <t>Začetni trak za strešni romb 44 × 44</t>
  </si>
  <si>
    <t>sömremsor för takdiamant 44 × 44</t>
  </si>
  <si>
    <t>Fodlister til tagrombe 44 × 44</t>
  </si>
  <si>
    <t>Falslister til takrombe 44 × 44</t>
  </si>
  <si>
    <t>Početna traka za krovni romb 44 × 44</t>
  </si>
  <si>
    <t>Saumstreifen für Dachschindel</t>
  </si>
  <si>
    <t xml:space="preserve">edge cleat strip for shingle </t>
  </si>
  <si>
    <t>bande de départ pour bardeau</t>
  </si>
  <si>
    <t>Grondalina per scandola</t>
  </si>
  <si>
    <t>podkladní pás pro FALCOVANÝ ŠINDEL</t>
  </si>
  <si>
    <t>Pas okapowy do dachówki łupkowej</t>
  </si>
  <si>
    <t>párkányelem tetőfedő zsindelyhez</t>
  </si>
  <si>
    <t>podkladový pás pre strešný šindeľ</t>
  </si>
  <si>
    <t>Dakgootstrips voor daklei</t>
  </si>
  <si>
    <t>Začetni trak za strešno skodlo</t>
  </si>
  <si>
    <t>sömremsor för takshingel</t>
  </si>
  <si>
    <t>Fodlister til tagspån</t>
  </si>
  <si>
    <t>Falslister til takshingel</t>
  </si>
  <si>
    <t>Početna traka za krovnu šindru</t>
  </si>
  <si>
    <t>Saumstreifen für FX.12</t>
  </si>
  <si>
    <t>starter strip for FX.12 (PREFA)</t>
  </si>
  <si>
    <t>bande de départ pour panneau FX.12</t>
  </si>
  <si>
    <t>Grondalina per FX.12</t>
  </si>
  <si>
    <t>Podkladní pás pro FX.12</t>
  </si>
  <si>
    <t>Listwy okapowe do FX.12</t>
  </si>
  <si>
    <t>párkányelem FX.12-höz</t>
  </si>
  <si>
    <t>podkladový pás pre FX.12</t>
  </si>
  <si>
    <t>Dakgootstrips voor FX.12</t>
  </si>
  <si>
    <t>Začetni trak za FX.12</t>
  </si>
  <si>
    <t>sömremsor för FX.12</t>
  </si>
  <si>
    <t>Fodlister til FX.12</t>
  </si>
  <si>
    <t>Falslister til FX.12</t>
  </si>
  <si>
    <t>Početna traka za FX.12</t>
  </si>
  <si>
    <t>Saumstreifen für Wandraute</t>
  </si>
  <si>
    <t>starter strip for rhomboid façade tile (PREFA)</t>
  </si>
  <si>
    <t>bande de départ pour losanges de façade</t>
  </si>
  <si>
    <t>Grondalina per scaglia</t>
  </si>
  <si>
    <t>Podkladní pás pro fasádní šablonu</t>
  </si>
  <si>
    <t>Listwy okapowe do rombu ściennego</t>
  </si>
  <si>
    <t>párkányelem homlokzatburkoló rombuszhoz</t>
  </si>
  <si>
    <t>podkladový pás pre fasádnu šablónu</t>
  </si>
  <si>
    <t>Dakgootstrips voor muur ruit</t>
  </si>
  <si>
    <t>Robni trak za stenski romb</t>
  </si>
  <si>
    <t>sömremsor för väggdiamant</t>
  </si>
  <si>
    <t>Fodlister til vægrombe</t>
  </si>
  <si>
    <t>Falslister til veggrombe</t>
  </si>
  <si>
    <t>Početna traka za zidni romb</t>
  </si>
  <si>
    <t>Saumstreifen gerillt (für Abtreppung; 600 × 150 mm)</t>
  </si>
  <si>
    <t>starter strip grooved (for step work; 600 × 150 mm)</t>
  </si>
  <si>
    <t>bande de départ rainurée (pour décrochements ; 600 × 150 mm)</t>
  </si>
  <si>
    <t>Grondalina di ripartenza, con scanalatura (per terrazzamenti, 600 x 150 mm)</t>
  </si>
  <si>
    <t>Podkladní pás pro falcované tašky-krátký 600 x 150 mm)</t>
  </si>
  <si>
    <t>pas okapowy, żłobkowany  (600 × 150 mm)</t>
  </si>
  <si>
    <t>toldó elem (lépcsős eresz kialakításhoz 600 x 150 mm)</t>
  </si>
  <si>
    <t>odkvapový podkladový pás k falcovaným škridliam, krátký, tvarovaný (600 x 150 mm)</t>
  </si>
  <si>
    <t>randstroken gerild (voor trappen 600 x 150 mm)</t>
  </si>
  <si>
    <t>začetni trak, žlebasti, za stopničaste presledke (600 x 150 mm)</t>
  </si>
  <si>
    <t>kantremsa räfflad (för stegning 600 x 150 mm)</t>
  </si>
  <si>
    <t>kantstrimmel, rillet (til aftrapning 600 x 150 mm)</t>
  </si>
  <si>
    <t>skjøteplate med spor (for avtrapping 600 x 150 mm)</t>
  </si>
  <si>
    <t>Početna traka, užlijebljena (za stepenasti prijelaz; 600 × 150 mm)</t>
  </si>
  <si>
    <t>Saumstutzen</t>
  </si>
  <si>
    <t>eaves outlet fitting</t>
  </si>
  <si>
    <t>moignon</t>
  </si>
  <si>
    <t>průchodka</t>
  </si>
  <si>
    <t>Zabezpieczenie okapu</t>
  </si>
  <si>
    <t>párkánycsonk</t>
  </si>
  <si>
    <t>nástrešné hrdlo</t>
  </si>
  <si>
    <t>Dakgootstukken</t>
  </si>
  <si>
    <t>Robni nacevnik</t>
  </si>
  <si>
    <t>sömkant</t>
  </si>
  <si>
    <t>Kantbeslag</t>
  </si>
  <si>
    <t>Falsstøtter</t>
  </si>
  <si>
    <t>Ležeći odvod</t>
  </si>
  <si>
    <t>Schäden an den Dacheindeckungsmaterialien (z. B. durch Sturm, Hagel oder Schneedruck)</t>
  </si>
  <si>
    <t>damage to roof covering materials (e.g. caused by a storm, hail, snow pressure)</t>
  </si>
  <si>
    <t>dommages subis par les matériaux de la couverture (dommages dus par exemple à la tempête, à la grêle ou à la pression exercée par le poids de la neige)</t>
  </si>
  <si>
    <t>Danni ai materiali della copertura (per esempio a causa di vento forte, grandine o pressione della neve)</t>
  </si>
  <si>
    <t>škody na materiálu střešní krytiny (např. po kroupách, vichřici, tlaku sněhu)</t>
  </si>
  <si>
    <t>Uszkodzenia pokrycia dachowego (np. wskutek wichury, gradu lub nacisku śniegu)</t>
  </si>
  <si>
    <t>tetőfedő anyagok sérülései (pl. vihar, jégeső vagy hónyomás miatt)</t>
  </si>
  <si>
    <t>Škody na materiáloch strešnej krytiny (napr. v dôsledku víchrice, ľadovca alebo tlaku snehu)</t>
  </si>
  <si>
    <t>Schade aan dakbedekkingsmateriaal (bijv. door storm, hagel of sneeuwdruk)</t>
  </si>
  <si>
    <t>Poškodbe strešnega materiala (npr. zaradi neurja, toče ali snežnega pritiska)</t>
  </si>
  <si>
    <t>Skador på takbeläggningsmaterial (t.ex. på grund av storm, hagel eller snötryck)</t>
  </si>
  <si>
    <t>Skader på tagdækningsmaterialerne (f.eks. på grund af storm, hagl eller sne)</t>
  </si>
  <si>
    <t>Skader på taktekkingsmaterialene (f.eks. på grunn av storm, hagl eller snøbelastning)</t>
  </si>
  <si>
    <t>Oštećenja materijala za pokrivanje krova (npr. zbog oluje, tuče ili pritiska snijega)</t>
  </si>
  <si>
    <t>Schalungsbrett</t>
  </si>
  <si>
    <t>sheathing board</t>
  </si>
  <si>
    <t>volige</t>
  </si>
  <si>
    <t>Asse del tavolato</t>
  </si>
  <si>
    <t>Boční napojení na stěnu s napojovacím profilem</t>
  </si>
  <si>
    <t>Deska szalunkowa</t>
  </si>
  <si>
    <t>zsalutábla</t>
  </si>
  <si>
    <t>doska debnenia</t>
  </si>
  <si>
    <t>Bekistingsbord</t>
  </si>
  <si>
    <t>Opažna deska</t>
  </si>
  <si>
    <t>formsättningsbräda</t>
  </si>
  <si>
    <t>Forskallingsplade</t>
  </si>
  <si>
    <t>Forskalingsbrett</t>
  </si>
  <si>
    <t>Daska za oplatu</t>
  </si>
  <si>
    <t>Schattenfuge (Breite: 15 mm; Tiefe: 7 mm)</t>
  </si>
  <si>
    <t>shadow gap (width: 15 mm; depth: 7 mm)</t>
  </si>
  <si>
    <t>joint creux (largeur : 15 mm ; profondeur : 7 mm)</t>
  </si>
  <si>
    <t>Fuga (larghezza: 15 mm; profondità: 7 mm)</t>
  </si>
  <si>
    <t>Spára (šířka: 15 mm; hloubka: 7 mm)</t>
  </si>
  <si>
    <t>Fuga cieniowa (szerokość: 15 mm; głębokość: 7 mm)</t>
  </si>
  <si>
    <t>árnyékfuga (szélesség: 15 mm; mélység: 7 mm)</t>
  </si>
  <si>
    <t>Schaduwvoeg (breedte: 15 mm; diepte: 7 mm)</t>
  </si>
  <si>
    <t>Senčna fuga (širina: 15 mm; globina: 7 mm)</t>
  </si>
  <si>
    <t>skuggfog (bredd: 15 mm; djup: 7 mm)</t>
  </si>
  <si>
    <t>Skyggefuge (bredde: 15 mm; dybde: 7 mm)</t>
  </si>
  <si>
    <t>Skyggespalte (bredde: 15 mm; dybde: 7 mm)</t>
  </si>
  <si>
    <t>Fuga (širina: 15 mm; dubina: 7 mm)</t>
  </si>
  <si>
    <t>Schattenfuge (Breite: 15 mm; Tiefe: 7 mm)</t>
  </si>
  <si>
    <t>Shadow gap (15 mm wide, 7 mm deep):</t>
  </si>
  <si>
    <t>larghezza della fuga15 mm, profondità 7 mm:</t>
  </si>
  <si>
    <t>Spára 15 mm šířka, 7 mm hloubka:</t>
  </si>
  <si>
    <t>Fuga podłużna szerokość 15 mm, głębokość 7 mm:</t>
  </si>
  <si>
    <t>Árnyékfuga 15 mm széles, 7 mm mély</t>
  </si>
  <si>
    <t>Tieňová škára - šírka 15 mm, hĺbka 7 mm:</t>
  </si>
  <si>
    <t>Schaduwvoeg breedte 15 mm, diepte 7 mm:</t>
  </si>
  <si>
    <t>Skuggfog 15 mm bred, 7 mm djup:</t>
  </si>
  <si>
    <t>Skyggefuge 15 mm bred, 7 mm dyb:</t>
  </si>
  <si>
    <t>Skyggefuge 15 mm bred, 7 mm dyp:</t>
  </si>
  <si>
    <t>Naglašena fuga 15 mm široka, 7 mm  duboka</t>
  </si>
  <si>
    <t>Schattenfuge:</t>
  </si>
  <si>
    <t>Shadow gap:</t>
  </si>
  <si>
    <t>Joint creux :</t>
  </si>
  <si>
    <t xml:space="preserve">Spára: </t>
  </si>
  <si>
    <t>Fuga podłużna:</t>
  </si>
  <si>
    <t>Áryékfuga:</t>
  </si>
  <si>
    <t>Tieňová škára:</t>
  </si>
  <si>
    <t>Schaduwvoeg:</t>
  </si>
  <si>
    <t>Senčna fuga:</t>
  </si>
  <si>
    <t>Skuggfog:</t>
  </si>
  <si>
    <t>Skyggefuge:</t>
  </si>
  <si>
    <t>Naglašena fuga:</t>
  </si>
  <si>
    <t>Schaumstoffkeil (selbstklebend)</t>
  </si>
  <si>
    <t>self-adhesive foam wedge</t>
  </si>
  <si>
    <t>cale en mousse autoadhésive</t>
  </si>
  <si>
    <t>Cuneo in schiuma (autoadesivo)</t>
  </si>
  <si>
    <t>Pěnový klín (samolepící)</t>
  </si>
  <si>
    <t>Klin piankowy (samoprzylepny)</t>
  </si>
  <si>
    <t>habszivacs ék (öntapadós)</t>
  </si>
  <si>
    <t>penový klin (samolepiaci)</t>
  </si>
  <si>
    <t>Schuimrubberen spie (zelfklevend)</t>
  </si>
  <si>
    <t>Penasti klin (samolepilni)</t>
  </si>
  <si>
    <t>skumkil (självhäftande)</t>
  </si>
  <si>
    <t>Skumkile (selvklæbende)</t>
  </si>
  <si>
    <t>Skumstoffkile (selvklebende)</t>
  </si>
  <si>
    <t>Mekani klin (samoljepljiv)</t>
  </si>
  <si>
    <t>Schenkellänge</t>
  </si>
  <si>
    <t>Leg length</t>
  </si>
  <si>
    <t>longueur de chacun des côtés</t>
  </si>
  <si>
    <t>Lunghezza del lato</t>
  </si>
  <si>
    <t>Délka ramena</t>
  </si>
  <si>
    <t>Długość boku kątownika</t>
  </si>
  <si>
    <t>szárhossz</t>
  </si>
  <si>
    <t>dĺžka ramena</t>
  </si>
  <si>
    <t>Beenlengte</t>
  </si>
  <si>
    <t>Dolžina noge</t>
  </si>
  <si>
    <t>benlängd</t>
  </si>
  <si>
    <t>Sidelængde</t>
  </si>
  <si>
    <t>Sidelengde</t>
  </si>
  <si>
    <t>Duljina strane</t>
  </si>
  <si>
    <t>Schiebemuffe</t>
  </si>
  <si>
    <t>sliding sleeve</t>
  </si>
  <si>
    <t>manchon coulissant</t>
  </si>
  <si>
    <t>Manicotto scorrevole</t>
  </si>
  <si>
    <t>Posuvná spojka</t>
  </si>
  <si>
    <t>Mufa przesuwna</t>
  </si>
  <si>
    <t>csúszó átvezető elem</t>
  </si>
  <si>
    <t>posuvná spojka</t>
  </si>
  <si>
    <t>Schuifmof</t>
  </si>
  <si>
    <t>Drsna obojka</t>
  </si>
  <si>
    <t>glidhylsa</t>
  </si>
  <si>
    <t>Skydemuffe</t>
  </si>
  <si>
    <t>Skyvemuffe</t>
  </si>
  <si>
    <t>Klizni kolčak</t>
  </si>
  <si>
    <t>Schneerechenhaken</t>
  </si>
  <si>
    <t>pipe-style snow guard bracket</t>
  </si>
  <si>
    <t>crochet pour tubes pare-neige</t>
  </si>
  <si>
    <t>Staffa fermaneve</t>
  </si>
  <si>
    <t>Držák sněhové zábrany</t>
  </si>
  <si>
    <t>wspornik bariery śniegowej prętowej</t>
  </si>
  <si>
    <t>hófogótartó</t>
  </si>
  <si>
    <t>držiak rúrkového zachytávača snehu</t>
  </si>
  <si>
    <t>sneeuwharkhaken</t>
  </si>
  <si>
    <t>sistem za linijski snegolov</t>
  </si>
  <si>
    <t>konsol för snöräcke</t>
  </si>
  <si>
    <t>snegitterkrog</t>
  </si>
  <si>
    <t>snøfangerfester</t>
  </si>
  <si>
    <t>Kuka za rešetkasti snjegobran</t>
  </si>
  <si>
    <t>Schneerechensystem (205 × 66 × 303 mm)</t>
  </si>
  <si>
    <t>pipe-style snow guard system (205 × 66 × 303 mm)</t>
  </si>
  <si>
    <t>système pare-neige (205 × 66 × 303 mm)</t>
  </si>
  <si>
    <t>Sistema fermaneve a triplo tubolare esagonale (205 x 66 x 303 mm)</t>
  </si>
  <si>
    <t>Držák sněhové zábrany profilované trubky (205 x 66 x 303 mm)</t>
  </si>
  <si>
    <t>rurowy system ochrony przed śniegiem (205 × 66 × 303 mm)</t>
  </si>
  <si>
    <t>hófogórendszer (205 x 66 x 303 mm)</t>
  </si>
  <si>
    <t>systémový rúrkový zachytávač snehu pre profilované rúrky (205 x 66 x 303 mm)</t>
  </si>
  <si>
    <t>sneeuwharksysteem (205 x 66 x 303 mm)</t>
  </si>
  <si>
    <t>sistem za linijski snegolov (205x66x303 mm)</t>
  </si>
  <si>
    <t>snöräckessystem (205 x 66 x 303 mm)</t>
  </si>
  <si>
    <t>snegittersystem (205 x 66 x 303 mm)</t>
  </si>
  <si>
    <t>snøfangersystem (205 x 66 x 303 mm)</t>
  </si>
  <si>
    <t>Sustav rešetkastog snjegobrana (205 × 66 × 303 mm)</t>
  </si>
  <si>
    <t>Abschluss für Schneerechensystem</t>
  </si>
  <si>
    <t>end piece for pipe-style snow guard system</t>
  </si>
  <si>
    <t>embout pour système pare-neige</t>
  </si>
  <si>
    <t>Testata per tubolare fermaneve</t>
  </si>
  <si>
    <t>Ukončení zábrany profilované trubky</t>
  </si>
  <si>
    <t xml:space="preserve">element wykończeniowy do barier śniegowych </t>
  </si>
  <si>
    <t>hófogórúd rendszer záróelem</t>
  </si>
  <si>
    <t>ukončovací prvok zachytávača snehu pre profilované rúrky</t>
  </si>
  <si>
    <t>sneeuwharksysteem afsluiting</t>
  </si>
  <si>
    <t>snöräckessystem slutstycke</t>
  </si>
  <si>
    <t>snegittersystem afslutning</t>
  </si>
  <si>
    <t>snøfangersystem endestykke</t>
  </si>
  <si>
    <t>Završetak za sustav rešetkastog snjegobrana</t>
  </si>
  <si>
    <t>Einlegeprofil</t>
  </si>
  <si>
    <t>insert profiles for pipe-style snow guard system</t>
  </si>
  <si>
    <t>barre pare-neige</t>
  </si>
  <si>
    <t>Tubolare a sezione esagonale</t>
  </si>
  <si>
    <t>vkládaný profil sněhové zábrany</t>
  </si>
  <si>
    <t>Profil wsuwany</t>
  </si>
  <si>
    <t>hófogóprofil</t>
  </si>
  <si>
    <t>profilovaná rúrka zachytávača snehu</t>
  </si>
  <si>
    <t>Invoegprofiel</t>
  </si>
  <si>
    <t>Vstavitveni profil</t>
  </si>
  <si>
    <t>insättningsprofil</t>
  </si>
  <si>
    <t>Monteringsprofil</t>
  </si>
  <si>
    <t>Innleggsprofil</t>
  </si>
  <si>
    <t>Unutarnji profil</t>
  </si>
  <si>
    <t>Einlegeprofil (3.000 mm)</t>
  </si>
  <si>
    <t>insert profiles for pipe-style snow guard system (3,000 mm)</t>
  </si>
  <si>
    <t>barre pare-neige (3.000 mm)</t>
  </si>
  <si>
    <t>Tubolare fermaneve a sezione esagonale (3.000 mm)</t>
  </si>
  <si>
    <t>Profilovaná trubka sněhové zábrany (3.000 mm)</t>
  </si>
  <si>
    <t>wyjmowana rura dla rurowego systemu ochrony przed śniegiem (3,000 mm)</t>
  </si>
  <si>
    <t>hófogórúd hófogórendszerhez (3.000 mm)</t>
  </si>
  <si>
    <t>profilovaná rúrka zachytávača snehu (3.000 mm)</t>
  </si>
  <si>
    <t>sneeuwharksysteem inlegprofiel (3000 mm)</t>
  </si>
  <si>
    <t>palice za snegolovni sistem (3.000 mmm)</t>
  </si>
  <si>
    <t>snöräckessystem inläggningsprofil (3.000 mm)</t>
  </si>
  <si>
    <t>snegittersystem ilægningsprofil (3.000 mm)</t>
  </si>
  <si>
    <t>snøfangersystem innleggingsprofil (3000 mm)</t>
  </si>
  <si>
    <t>Unutarnji profil (3.000 mm)</t>
  </si>
  <si>
    <t>Eiskralle</t>
  </si>
  <si>
    <t>ice-retention bracket for pipe-style snow guard system</t>
  </si>
  <si>
    <t>arrêt-glace</t>
  </si>
  <si>
    <t>Artigio rompighiaggio per tubolare fermaneve</t>
  </si>
  <si>
    <t>Držák ledu</t>
  </si>
  <si>
    <t xml:space="preserve">łamacz lodu do prętowych barier przeciw śniegowych </t>
  </si>
  <si>
    <t>hófogórúd rendszer jégkarom</t>
  </si>
  <si>
    <t>sneeuwharksysteem ijsklauw</t>
  </si>
  <si>
    <t>snöräckessystem isklo</t>
  </si>
  <si>
    <t>snegittersystem isklo</t>
  </si>
  <si>
    <t>snøfangersystem isklo</t>
  </si>
  <si>
    <t>Kuka za led</t>
  </si>
  <si>
    <t>Schneestopper für Dachpaneel FX.12</t>
  </si>
  <si>
    <t>snow guard for FX.12 roof panel</t>
  </si>
  <si>
    <t>arrêts de neige pour panneau de toiture FX.12</t>
  </si>
  <si>
    <t>Naso fermaneve per FX.12</t>
  </si>
  <si>
    <t>sněhový hák pro STŘEŠNÍPANEL FX.12</t>
  </si>
  <si>
    <t>Stoper śniegowy do panelu dachowego FX.12</t>
  </si>
  <si>
    <t>hófogó FX.12 tetőfedő panelhez</t>
  </si>
  <si>
    <t>zachytávač snehu pre strešný panel FX.12</t>
  </si>
  <si>
    <t>Sneeuwstopper voor dakpaneel FX.12</t>
  </si>
  <si>
    <t>Snegolov za strešni panel FX.12</t>
  </si>
  <si>
    <t>snöstopp för takpanel FX.12</t>
  </si>
  <si>
    <t>Snestopper til tagpanel FX.12</t>
  </si>
  <si>
    <t>Snøstopper til takpanel FX-12</t>
  </si>
  <si>
    <t>Točkasti snjegobran za krovni panel FX.12</t>
  </si>
  <si>
    <t>Schneestopper für Dachplatte</t>
  </si>
  <si>
    <t xml:space="preserve">snow guard for roof tile </t>
  </si>
  <si>
    <t>arrêt de neige pour tuiles</t>
  </si>
  <si>
    <t>Naso fermaneve per tegola</t>
  </si>
  <si>
    <t>sněhový hák pro FALCOVANOU TAŠKU</t>
  </si>
  <si>
    <t>Stoper śniegowy do płyty dachowej</t>
  </si>
  <si>
    <t>hófogó Classic elemhez</t>
  </si>
  <si>
    <t>zachytávač snehu pre falcovanú škridlu</t>
  </si>
  <si>
    <t>Sneeuwstopper voor dakpaneel</t>
  </si>
  <si>
    <t>Snegolov za strešno ploščo</t>
  </si>
  <si>
    <t>snöstopp för takpanel</t>
  </si>
  <si>
    <t>Snestopper til tagplade</t>
  </si>
  <si>
    <t>Snøstopper til takplate</t>
  </si>
  <si>
    <t>Točkasti snjegobran za krovnu ploču</t>
  </si>
  <si>
    <t>Schneestopper für Dachplatte R.16</t>
  </si>
  <si>
    <t>snow guard for R.16 roof tile</t>
  </si>
  <si>
    <t>arrêts de neige pour R.16</t>
  </si>
  <si>
    <t>Naso fermaneve per tegola R.16</t>
  </si>
  <si>
    <t>sněhový hák pro STŘEŠNÍ PANEL R.16</t>
  </si>
  <si>
    <t>Stoper śniegowy do dachówki R.16</t>
  </si>
  <si>
    <t>hófogó R.16 Classic elemhez</t>
  </si>
  <si>
    <t>zachytávač snehu pre strešný panel R.16</t>
  </si>
  <si>
    <t>Sneeuwstopper voor dakpaneel R.16</t>
  </si>
  <si>
    <t>Snegolov za strešno ploščo R.16</t>
  </si>
  <si>
    <t>snöstopp för takpanel R.16</t>
  </si>
  <si>
    <t>Snestopper til tagplade R.16</t>
  </si>
  <si>
    <t>Snøstopper til takplate R.16</t>
  </si>
  <si>
    <t>Točkasti snjegobran za krovnu ploču R.16</t>
  </si>
  <si>
    <t>Schneestopper für Dachplatte R.16, FX.12 und DS.19</t>
  </si>
  <si>
    <t>snow guard for R.16 roof tile, FX.12 and DS.19</t>
  </si>
  <si>
    <t>arrêt de neige pour R.16, FX.12 et DS.19</t>
  </si>
  <si>
    <t>Naso fermaneve per Tegola R.16 e FX.12</t>
  </si>
  <si>
    <t>Sněhý hák pro panely R.16, FX.12, DS.19</t>
  </si>
  <si>
    <t>Bariera śniegowa Dachówka R.16, FX.12 i DS.19</t>
  </si>
  <si>
    <t>hóvágó R.16, FX.12 tetőfedő elemekhez, DS.19</t>
  </si>
  <si>
    <t>zachytávač snehu na škridlu R.16, panel FX.12 a DS.19</t>
  </si>
  <si>
    <t>sneeuwstopper voor dakplaat R.16, FX.12 en DS.19</t>
  </si>
  <si>
    <t>snegolov za strešne plošče R.16, FX.12 in DS.19</t>
  </si>
  <si>
    <t>snöstoppare för takplatta R.16, FX.12 och DS.19</t>
  </si>
  <si>
    <t>snestopper til tagplade R.16, FX.12 og DS.19</t>
  </si>
  <si>
    <t>snøstopper for takplate R.16, FX.12 og DS.19</t>
  </si>
  <si>
    <t>Točkasti snjegobran za krovnu ploču R.16, FX.12 i DS.19</t>
  </si>
  <si>
    <t>Schneestopper für Dachplatte und Dachraute 29 × 29</t>
  </si>
  <si>
    <t>snow guard for roof tile and rhomboid roof tile 29 × 29</t>
  </si>
  <si>
    <t>arrêt de neige pour tuile et losange de toiture 29 × 29</t>
  </si>
  <si>
    <t>Nasi fermaneve per Tegola e Scaglia 29</t>
  </si>
  <si>
    <t>Sněhový hák pro falcované tašky a šablony 29x29</t>
  </si>
  <si>
    <t>bariera śniegowa do dachówki klasycznej i romb 29 x 29</t>
  </si>
  <si>
    <t>hóvágó Classic és Rombusz elemhez 29x29</t>
  </si>
  <si>
    <t>zachytávač snehu na falcované škridle a šablóny 29x29</t>
  </si>
  <si>
    <t>sneeuwstopper voor dakplaat en DAKLOSANGE 29 × 29</t>
  </si>
  <si>
    <t>snegolov za strešne plošče in strešne rombe 29x29</t>
  </si>
  <si>
    <t>snöstoppare för takplatta och TAKROMB 29 x 29</t>
  </si>
  <si>
    <t>snestopper til tagplade og RUDEFORMET TAGPLADE 29 × 29</t>
  </si>
  <si>
    <t>snøstopper for takplate og TAKSTEIN 29 × 29</t>
  </si>
  <si>
    <t>Točkasti snjegobran za krovnu ploču i krovni romb 29 × 29</t>
  </si>
  <si>
    <t>Schneestopper für Dachraute 29 × 29</t>
  </si>
  <si>
    <t>snow guard for rhomboid roof tile 29 × 29</t>
  </si>
  <si>
    <t>arrêts de neige pour losange de toiture 29 × 29</t>
  </si>
  <si>
    <t>Naso fermaneve per Scaglia 29</t>
  </si>
  <si>
    <t>Sněhový hák pro falcované šablony 29x29</t>
  </si>
  <si>
    <t>Bariera śniegowa Dachówka romb 29 × 29</t>
  </si>
  <si>
    <t>hóvágó 29x29 tetőfedő rombuszhoz</t>
  </si>
  <si>
    <t>zachytávač snehu na šablónu 29x29</t>
  </si>
  <si>
    <t>sneeuwstopper voor daklosange 29 × 29</t>
  </si>
  <si>
    <t>snegolov za strešni romb 29x29</t>
  </si>
  <si>
    <t>snöstoppare för takromb 29 × 29</t>
  </si>
  <si>
    <t>snestopper til rudeformet tagplade 29 × 29</t>
  </si>
  <si>
    <t>snøstopper for takstein 29 × 29</t>
  </si>
  <si>
    <t>Točkasti snjegobran za krovni romb 29 × 29</t>
  </si>
  <si>
    <t>snow guard for rhomboid roof tile 29 × 29</t>
  </si>
  <si>
    <t>sněhový hák pro FALCOVANOU ŠABLONU 29x29</t>
  </si>
  <si>
    <t>Stoper śniegowy do dachówki romb 29 × 29</t>
  </si>
  <si>
    <t>hófogó 29 × 29-es tetőfedő rombuszhoz</t>
  </si>
  <si>
    <t>zachytávač snehu pre strešnú šablónu 29 × 29</t>
  </si>
  <si>
    <t>Sneeuwstopper voor daklosange 29 × 29</t>
  </si>
  <si>
    <t>Snegolov za strešni romb 29 × 29</t>
  </si>
  <si>
    <t>snöstopp för takdiamant 29 × 29</t>
  </si>
  <si>
    <t>Snestopper til tagrombe 29 × 29</t>
  </si>
  <si>
    <t>Snøstopper til takrombe 29 × 29</t>
  </si>
  <si>
    <t>Schneestopper für Dachraute 44 × 44</t>
  </si>
  <si>
    <t>snow guard for rhomboid roof tile 44 × 44</t>
  </si>
  <si>
    <t>arrêts de neige pour losange de toiture 44 × 44</t>
  </si>
  <si>
    <t>Naso fermaneve per Scaglia 44</t>
  </si>
  <si>
    <t>Sněhový hák  44x44</t>
  </si>
  <si>
    <t>Bariera śniegowa Dachówka romb 44 × 44</t>
  </si>
  <si>
    <t>hóvágó 44x44 tetőfedő rombuszhoz</t>
  </si>
  <si>
    <t>zachytávač snehu na šablónu 44x44</t>
  </si>
  <si>
    <t>sneeuwstopper voor daklosange 44 × 44</t>
  </si>
  <si>
    <t>snegolov za strešni romb 44x44</t>
  </si>
  <si>
    <t>snöstoppare för takromb 44 × 44</t>
  </si>
  <si>
    <t>snestopper til rudeformet tagplade 44 × 44</t>
  </si>
  <si>
    <t>snøstopper for takstein 44 × 44</t>
  </si>
  <si>
    <t>Točkasti snjegobran za krovni romb 44 × 44</t>
  </si>
  <si>
    <t>snow guard for rhomboid roof tile 44 × 44</t>
  </si>
  <si>
    <t>sněhový hák pro Střešní šablonu 44x44</t>
  </si>
  <si>
    <t>Bariera śniegowa do dachówki romb 44 × 44</t>
  </si>
  <si>
    <t>hófogó 44 × 44-es tetőfedő rombuszhoz</t>
  </si>
  <si>
    <t>zachytávač snehu pre strešnú šablónu 44 × 44</t>
  </si>
  <si>
    <t>Sneeuwstopper voor daklosange 44 × 44</t>
  </si>
  <si>
    <t>Snegolov za strešni romb 44 × 44</t>
  </si>
  <si>
    <t>snöstopp för takdiamant 44 × 44</t>
  </si>
  <si>
    <t>Snestopper til tagrombe 44 × 44</t>
  </si>
  <si>
    <t>Snøstopper til takrombe 44 × 44</t>
  </si>
  <si>
    <t>sněhový hák pro STŘEŠNÍ ŠABLONU 44x44</t>
  </si>
  <si>
    <t>Stoper śniegowy do dachówki romb 44 × 44</t>
  </si>
  <si>
    <t>Schneestopper für Dachschindel</t>
  </si>
  <si>
    <t>snow guard for shingle</t>
  </si>
  <si>
    <t>arrêt de neige pour bardeaux</t>
  </si>
  <si>
    <t>Naso fermaneve per Scandola</t>
  </si>
  <si>
    <t>Sněhový hák pro panely R.16 und FX.12</t>
  </si>
  <si>
    <t>Bariera śniegowa Dachówka łupkowa</t>
  </si>
  <si>
    <t>hóvágó tetőfedő zsindelyhez</t>
  </si>
  <si>
    <t>zachytávač snehu na šindeľ</t>
  </si>
  <si>
    <t>sneeuwstopper voor dakschindel</t>
  </si>
  <si>
    <t>snegolov za strešno skodlo</t>
  </si>
  <si>
    <t>snöstoppare för takshingel</t>
  </si>
  <si>
    <t>snestopper til tagspån</t>
  </si>
  <si>
    <t>snøstopper for takshingel</t>
  </si>
  <si>
    <t>Točkasti snjegobran za krovnu šindru</t>
  </si>
  <si>
    <t xml:space="preserve">snow guard for shingle </t>
  </si>
  <si>
    <t>sněhový hák pro FALCOVANÝ ŠINDEL</t>
  </si>
  <si>
    <t>Stoper śniegowy do gontu dachowego</t>
  </si>
  <si>
    <t>hófogó tetőfedő zsindelyhez</t>
  </si>
  <si>
    <t>zachytávač snehu pre strešný šindeľ</t>
  </si>
  <si>
    <t>Sneeuwstopper voor daklei</t>
  </si>
  <si>
    <t>Snegolov za strešno skodlo</t>
  </si>
  <si>
    <t>Snöstopp för takshingel</t>
  </si>
  <si>
    <t>Snestopper til tagspån</t>
  </si>
  <si>
    <t>Snøstopper til takshingel</t>
  </si>
  <si>
    <t>Schneestopper – Verlegeschema</t>
  </si>
  <si>
    <t>Snow guards — installation diagram</t>
  </si>
  <si>
    <t>arrêt de neige — schéma de pose</t>
  </si>
  <si>
    <t>Naso fermaneve - Schema di posa</t>
  </si>
  <si>
    <t>Boční napojení na stěnu s zásuvnou krycí lištou</t>
  </si>
  <si>
    <t>Stoper śniegowy – schemat montażowy</t>
  </si>
  <si>
    <t>hófogó – fektetési séma</t>
  </si>
  <si>
    <t>zachytávač snehu – schéma montáže</t>
  </si>
  <si>
    <t>Sneeuwstopper - installatieschema</t>
  </si>
  <si>
    <t>Snegolov – shema polaganja</t>
  </si>
  <si>
    <t>snöstopp - installationsschema</t>
  </si>
  <si>
    <t>Snestopper – læggediagram</t>
  </si>
  <si>
    <t>Snøstopper – leggeskjema</t>
  </si>
  <si>
    <t>Točkasti snjegobran – shema postavljanja</t>
  </si>
  <si>
    <t>Schnitt – Attika- und Mauerabdeckung</t>
  </si>
  <si>
    <t>cross-section – wall flashing and roof parapet</t>
  </si>
  <si>
    <t>section — couverture d’acrotère</t>
  </si>
  <si>
    <t>Sezione - Copertina muro perimetrale</t>
  </si>
  <si>
    <t>Řez – Oplechování atiky a zdi</t>
  </si>
  <si>
    <t>Cięcie – obróbka attyki i murów</t>
  </si>
  <si>
    <t>metszet – attika- és falburkolat</t>
  </si>
  <si>
    <t>rez – oplechovanie atiky a muriva</t>
  </si>
  <si>
    <t>Sectie - Attika- en wandbekleding</t>
  </si>
  <si>
    <t>Rez – pokrov za atiko in zid</t>
  </si>
  <si>
    <t>Sektion – parapet och murbeklädnad</t>
  </si>
  <si>
    <t>Snit – Attika- og murafdækning</t>
  </si>
  <si>
    <t>Tegning – lofts- og veggbekledning</t>
  </si>
  <si>
    <t>Presjek – Obloga parapeta i zidova</t>
  </si>
  <si>
    <t>Schnittlochblende</t>
  </si>
  <si>
    <t>perforated plate (PREFA)</t>
  </si>
  <si>
    <t>cache de départ perforé</t>
  </si>
  <si>
    <t>Canaletta di ventilazione</t>
  </si>
  <si>
    <t>Ukončovací profil perforovaný</t>
  </si>
  <si>
    <t>Płyta maskująca</t>
  </si>
  <si>
    <t>szellőző profil</t>
  </si>
  <si>
    <t>perforovaná krycia lišta</t>
  </si>
  <si>
    <t>Gesneden diafragma</t>
  </si>
  <si>
    <t>Perforirana zaslonka</t>
  </si>
  <si>
    <t>skärhålsmembran</t>
  </si>
  <si>
    <t>Hullrenne</t>
  </si>
  <si>
    <t>Perforirana blenda</t>
  </si>
  <si>
    <t>Schnittlochblende (Länge: 2.500 mm)</t>
  </si>
  <si>
    <t>perforated plate; L = 2,500 mm</t>
  </si>
  <si>
    <t>cache de départ perforé (longueur : 2 500 mm)</t>
  </si>
  <si>
    <t>canaletta di ventilazione; L = 2500 mm</t>
  </si>
  <si>
    <t>ukončovací profil perforovaný, délka 2500 mm</t>
  </si>
  <si>
    <t>Przysłona L=2500 mm</t>
  </si>
  <si>
    <t>szellőző profil H = 2.500 mm</t>
  </si>
  <si>
    <t>ukončovací profil perforovaný, dĺžka 2500 mm</t>
  </si>
  <si>
    <t>snijgatkap L = 2500 mm</t>
  </si>
  <si>
    <t>Perforirana zaslonka (dolžina: 2.500 mm)</t>
  </si>
  <si>
    <t>sektionshålslist L = 2.500 mm</t>
  </si>
  <si>
    <t>snithulsblænde L = 2.500 mm</t>
  </si>
  <si>
    <t>perforert plate L = 2500 mm</t>
  </si>
  <si>
    <t>Perforirana blenda L = 2.500 mm</t>
  </si>
  <si>
    <t>Schraffierten Bereich bei Montage abdichten.</t>
  </si>
  <si>
    <t>seal off shaded area during installation</t>
  </si>
  <si>
    <t>Lors de la pose, réaliser un joint étanche au niveau de la partie en grisé.</t>
  </si>
  <si>
    <t>Sigillare l'area tratteggiata durante l'installazione.</t>
  </si>
  <si>
    <t>šrafovanou oblast při montáži těsnit</t>
  </si>
  <si>
    <t>Podczas montażu uszczelnić zakreskowany obszar.</t>
  </si>
  <si>
    <t>csíkozott terület szigetelése szerelés során.</t>
  </si>
  <si>
    <t>Šrafovanú oblasť pri montáži utesniť.</t>
  </si>
  <si>
    <t>Dicht het gearceerde gebied af tijdens de montage.</t>
  </si>
  <si>
    <t>Med montažo zatesnite senčeno območje.</t>
  </si>
  <si>
    <t>Försegla det streckade området under monteringen.</t>
  </si>
  <si>
    <t>Det skraverede område skal tætnes under montering.</t>
  </si>
  <si>
    <t>Skravert område skal tettes ved montering.</t>
  </si>
  <si>
    <t>Zabrtvite šrafirano područje tijekom montaže.</t>
  </si>
  <si>
    <t>Schrägmaß*</t>
  </si>
  <si>
    <t>Diagonal dimensions*</t>
  </si>
  <si>
    <t>longueur de la diagonale*</t>
  </si>
  <si>
    <t>Dimensione dello smusso*</t>
  </si>
  <si>
    <t>Zkosení*</t>
  </si>
  <si>
    <t>Wymiar fazowania*</t>
  </si>
  <si>
    <t>ferde méret*</t>
  </si>
  <si>
    <t>šikmý rozmer*</t>
  </si>
  <si>
    <t>Afmeting afschuining*</t>
  </si>
  <si>
    <t>Poševna mera*</t>
  </si>
  <si>
    <t>lutningsmått*</t>
  </si>
  <si>
    <t>Smigvinkel*</t>
  </si>
  <si>
    <t>Vinkelmåler*</t>
  </si>
  <si>
    <t>Kutomjer*</t>
  </si>
  <si>
    <t>Schrägmaß* [mm]</t>
  </si>
  <si>
    <t>Diagonal dimensions* [mm]</t>
  </si>
  <si>
    <t>longueur de la diagonale* [mm]</t>
  </si>
  <si>
    <t>Dimensione dello smusso* [mm]</t>
  </si>
  <si>
    <t>Zkosení* [mm]</t>
  </si>
  <si>
    <t>Wymiar fazowania* [mm]</t>
  </si>
  <si>
    <t>ferde méret* [mm]</t>
  </si>
  <si>
    <t>šikmý rozmer* [mm]</t>
  </si>
  <si>
    <t>Afmeting afschuining* [mm]</t>
  </si>
  <si>
    <t>Poševna mera* [mm]</t>
  </si>
  <si>
    <t>Smigvinkel* [mm]</t>
  </si>
  <si>
    <t>Vinkelmåler* [mm]</t>
  </si>
  <si>
    <t>Kutomjer* [mm]</t>
  </si>
  <si>
    <t>Schrägstutzen</t>
  </si>
  <si>
    <t>diagonal outlet</t>
  </si>
  <si>
    <t>naissance inclinée</t>
  </si>
  <si>
    <t>Bocchetta di scarico con innesto inclinato</t>
  </si>
  <si>
    <t>Šikmé vyústění žlabu</t>
  </si>
  <si>
    <t>Wylot rynny boczny</t>
  </si>
  <si>
    <t xml:space="preserve">ferde betorkoló </t>
  </si>
  <si>
    <t>šikmé hrdlo</t>
  </si>
  <si>
    <t>schuine steunen</t>
  </si>
  <si>
    <t>stranski izpust</t>
  </si>
  <si>
    <t>vinkelbar omvikningskupa</t>
  </si>
  <si>
    <t>skråstuds</t>
  </si>
  <si>
    <t>skråstuss</t>
  </si>
  <si>
    <t>Kosi odvod</t>
  </si>
  <si>
    <t>seitlicher Wandanschluss</t>
  </si>
  <si>
    <t>lateral wall connection</t>
  </si>
  <si>
    <t>raccordement de couloir latéral</t>
  </si>
  <si>
    <t>Raccordo a parete laterale</t>
  </si>
  <si>
    <t>Boční napojení na stěnu</t>
  </si>
  <si>
    <t>połączenie ściany bocznej</t>
  </si>
  <si>
    <t>oldalsó falcsatlakozás</t>
  </si>
  <si>
    <t>bočné napojenie na stenu</t>
  </si>
  <si>
    <t>zijdelingse wandaansluiting</t>
  </si>
  <si>
    <t>stranski stenski priključek</t>
  </si>
  <si>
    <t>sidoväggsanslutning</t>
  </si>
  <si>
    <t>vægtilslutning i siden</t>
  </si>
  <si>
    <t>Sideveis veggavslutning</t>
  </si>
  <si>
    <t>bočni zidni spoj</t>
  </si>
  <si>
    <t>seitlicher Wandanschluss mit Blechanschlussprofil</t>
  </si>
  <si>
    <t>lateral wall connection with metal sheet connection profile</t>
  </si>
  <si>
    <t>raccordement de couloir latéral avec bande de solin métallique</t>
  </si>
  <si>
    <t>Raccordo a parete laterale con profilo di raccordo in lamiera</t>
  </si>
  <si>
    <t>Boční připojení stěny s profilovým plechovým zakončením.</t>
  </si>
  <si>
    <t>połączenie ściany bocznej z blaszanym profilem łączącym</t>
  </si>
  <si>
    <t>oldalsó falcsatlakozás lemezcsatlakozó profil</t>
  </si>
  <si>
    <t>bočné napojenie na stenu pomocou plechového pripojovacieho profilu</t>
  </si>
  <si>
    <t>Zijdelingse wandaansluiting met plaataansluitprofiel</t>
  </si>
  <si>
    <t>stranski stenski priključek s pločevinastim priključnim profilom</t>
  </si>
  <si>
    <t>sidoväggsanslutning med anslutningsprofil i plåt</t>
  </si>
  <si>
    <t>vægtilslutning i siden med tilslutningsprofil for metalplade</t>
  </si>
  <si>
    <t>Sideveis veggavslutning med koblingsprofil i metall</t>
  </si>
  <si>
    <t>bočni zidni spoj s priključnim profilom od lima</t>
  </si>
  <si>
    <t>seitlicher Wandanschluss mit Kittputzleiste</t>
  </si>
  <si>
    <t>lateral wall connection with plaster sealing strip</t>
  </si>
  <si>
    <t>raccordement de couloir latéral avec bande de solin fixée par joint mastic et enduit de parement</t>
  </si>
  <si>
    <t>Raccordo a parete laterale con coprifuga</t>
  </si>
  <si>
    <t>Boční napojení na stěnu s omítkovou krycí lištou</t>
  </si>
  <si>
    <t>połączenie ściany bocznej listwą mocowaną na kit lub tynk</t>
  </si>
  <si>
    <t>oldalsó falcsatlakozás vakolattömítő szalaggal</t>
  </si>
  <si>
    <t>bočné napojenie na stenu pomocou tmelovej omietkovej lišty</t>
  </si>
  <si>
    <t>Zijdelingse wandaansluiting met plamuurstrip</t>
  </si>
  <si>
    <t>stranski stenski priključek z zaključno letvico</t>
  </si>
  <si>
    <t>sidoväggsanslutning med kittputslist</t>
  </si>
  <si>
    <t>vægtilslutning i siden med pudseliste</t>
  </si>
  <si>
    <t>Sideveis veggavslutning med kittgipslist</t>
  </si>
  <si>
    <t>bočni zidni spoj s gipsanom brtvenom lajsnom</t>
  </si>
  <si>
    <t>seitlicher Wandanschluss mit Steckputzleiste</t>
  </si>
  <si>
    <t>lateral wall connection with insertable sealing strip</t>
  </si>
  <si>
    <t>raccordement de couloir latéral avec profil de jonction fixé par enduit de parement</t>
  </si>
  <si>
    <t>Raccordo a parete laterale con striscia di stucco</t>
  </si>
  <si>
    <t>połączenie ściany bocznej listwą mocowaną na tynku</t>
  </si>
  <si>
    <t>oldalsó falcsatlakozás betétléccel</t>
  </si>
  <si>
    <t>bočné napojenie na stenu pomocou zásuvnej omietkovej lišty</t>
  </si>
  <si>
    <t>Zijdelingse wandaansluiting met plug-in pleisterlijst</t>
  </si>
  <si>
    <t>stranski stenski priključek z vtično letvico</t>
  </si>
  <si>
    <t>sidoväggsanslutning med insticksgipslist</t>
  </si>
  <si>
    <t>vægtilslutning i siden med indsætningspudseliste</t>
  </si>
  <si>
    <t>Sideveis veggavslutning med gipslist til innstikk</t>
  </si>
  <si>
    <t>bočni zidni spoj s utičnom brtvenom lajsnom</t>
  </si>
  <si>
    <t>seitlicher Wandanschluss bei Prefalz</t>
  </si>
  <si>
    <t>Prefalz lateral wall connection with Prefalz</t>
  </si>
  <si>
    <t>raccordement de couloir latéral pour couvertures PREFALZ</t>
  </si>
  <si>
    <t>Raccordo a parete laterale con PREFALZ</t>
  </si>
  <si>
    <t xml:space="preserve">Boční napojení PREFALZ na stěnu </t>
  </si>
  <si>
    <t>połączenie ze ścianą boczną PREFALZ</t>
  </si>
  <si>
    <t>oldalsó falcsatlakozás PREFALZ esetén</t>
  </si>
  <si>
    <t>bočné napojenie na stenu pri PREFALZ-i</t>
  </si>
  <si>
    <t>zijdelingse wandaansluiting bij PREFALZ</t>
  </si>
  <si>
    <t>stranski stenski priključek pri PREFALZ</t>
  </si>
  <si>
    <t>sidoväggsanslutning med PREFALZ</t>
  </si>
  <si>
    <t>vægtilslutning i siden med PREFALZ</t>
  </si>
  <si>
    <t>Sideveis veggavslutning med PREFALZ</t>
  </si>
  <si>
    <t>bočni zidni spoj kod PREFALZ-a</t>
  </si>
  <si>
    <t>seitlicher Wandanschluss bei PREFALZ</t>
  </si>
  <si>
    <t>Service:</t>
  </si>
  <si>
    <t>Service :</t>
  </si>
  <si>
    <t>Servizio richiesto:</t>
  </si>
  <si>
    <t>Servis</t>
  </si>
  <si>
    <t>Serwis:</t>
  </si>
  <si>
    <t>szolgáltatás:</t>
  </si>
  <si>
    <t>Servis:</t>
  </si>
  <si>
    <t>servis</t>
  </si>
  <si>
    <t>Usluga:</t>
  </si>
  <si>
    <t>Set</t>
  </si>
  <si>
    <t>kit</t>
  </si>
  <si>
    <t>Kit</t>
  </si>
  <si>
    <t>Sada</t>
  </si>
  <si>
    <t>set</t>
  </si>
  <si>
    <t>sats</t>
  </si>
  <si>
    <t>Sæt</t>
  </si>
  <si>
    <t>Sett</t>
  </si>
  <si>
    <t>Sicherheitsdachhaken</t>
  </si>
  <si>
    <t>roof anchor hook</t>
  </si>
  <si>
    <t>crochet de sécurité</t>
  </si>
  <si>
    <t>Staffa di sicurezza anticaduta</t>
  </si>
  <si>
    <t>bezpečnostní hák</t>
  </si>
  <si>
    <t>Zabezpieczające haki dachowe</t>
  </si>
  <si>
    <t>tetőbiztonsági kampó</t>
  </si>
  <si>
    <t>bezpečnostný strešný hák</t>
  </si>
  <si>
    <t>Veiligheidsdakhaak</t>
  </si>
  <si>
    <t>Varnostni strešni kavelj</t>
  </si>
  <si>
    <t>säkerhetstakkrok</t>
  </si>
  <si>
    <t>Sikkerhedstagkrog</t>
  </si>
  <si>
    <t>Sikkerhetstakkroker</t>
  </si>
  <si>
    <t>Sigurnosna krovna kuka</t>
  </si>
  <si>
    <t>Sicherheitskehle (stucco; Länge: 3.000 mm)</t>
  </si>
  <si>
    <t>safety valley, stucco (length: 3,000 mm)</t>
  </si>
  <si>
    <t>noue de sécurité (stucco ; longueur : 3 000 mm)</t>
  </si>
  <si>
    <t>Compluvio con ripiega di sicurezza, goffrato (l= 3.000 mm)</t>
  </si>
  <si>
    <t>Bezpečnostní úžlabí stucco (3.000 mm délka)_CZ</t>
  </si>
  <si>
    <t>rynna koszowa stucco (Długość: 3,000 mm)</t>
  </si>
  <si>
    <t>biztonsági vápa stukkó (3.000 mm hossz)</t>
  </si>
  <si>
    <t>bezpečnostné úžľabie stucco (dĺžka 3.000 mm)</t>
  </si>
  <si>
    <t>veiligheidskiel stucco (lengte 3000 mm)</t>
  </si>
  <si>
    <t>varnostna žlota, stucco (3.000 mm dolžine)</t>
  </si>
  <si>
    <t>säkerhetskäl stuckatur (3.000 mm lång)</t>
  </si>
  <si>
    <t>sikkerhedskel stucco (3.000 mm lang)</t>
  </si>
  <si>
    <t>vinkelrenne stucco (3000 mm lang)</t>
  </si>
  <si>
    <t>Sigurnosna uvala (stucco; duljina: 3.000 mm)</t>
  </si>
  <si>
    <t>Sicherheitsrinne geflämmt (oder EDPM-Folie)</t>
  </si>
  <si>
    <t>flame-scarfed overflow gutter (or with EPDM coating)</t>
  </si>
  <si>
    <t>gouttière de sécurité soudée (ou film EPDM)</t>
  </si>
  <si>
    <t>Canale di sicurezza fiammato (o lamina EDPM)</t>
  </si>
  <si>
    <t>Pojistný žlab lepený plamenem ( nebo EPDM fólie)</t>
  </si>
  <si>
    <t>Rynna zabezpieczająca, zgrzewana (lub folia EDPM)</t>
  </si>
  <si>
    <t>biztonsági eresz, hegesztett (vagy EDPM-fólia)</t>
  </si>
  <si>
    <t>poistný žľab zváraný (alebo EPDM fólia)</t>
  </si>
  <si>
    <t>Veiligheidsgoot gevlamd (of EDPM-folie)</t>
  </si>
  <si>
    <t>Varnostni žleb plamensko čiščen (ali folija EDPM)</t>
  </si>
  <si>
    <t>flammad säkerhetskanal (eller EDPM-folie)</t>
  </si>
  <si>
    <t>Sikkerhedsrende skærebrænder (eller EDPM-folie)</t>
  </si>
  <si>
    <t>Sikkerhetsrenne, flammet (eller EDPM-folie)</t>
  </si>
  <si>
    <t>Sigurnosni žlijeb, obrađen vatrom (ili EDPM folija)</t>
  </si>
  <si>
    <t>Sicherungsmutter (M10)</t>
  </si>
  <si>
    <t>lock nut M10</t>
  </si>
  <si>
    <t>contre-écrou M10 (écrou de blocage)</t>
  </si>
  <si>
    <t>Dado di bloccaggio (M10)</t>
  </si>
  <si>
    <t>samojistná matka M10</t>
  </si>
  <si>
    <t>Nakrętka zabezpieczająca (M10)</t>
  </si>
  <si>
    <t>rögzítőanya (M10)</t>
  </si>
  <si>
    <t>poistná matica (M10)</t>
  </si>
  <si>
    <t>Veiligheidsmoer (M10)</t>
  </si>
  <si>
    <t>Varnostna matica (M10)</t>
  </si>
  <si>
    <t>låsmutter (M10)</t>
  </si>
  <si>
    <t>Sikringsmøtrik (M10)</t>
  </si>
  <si>
    <t>Sikringsmutter (M10)</t>
  </si>
  <si>
    <t>Sigurnosna matica (M10)</t>
  </si>
  <si>
    <t>Sichtschalung</t>
  </si>
  <si>
    <t xml:space="preserve">visible sheathing </t>
  </si>
  <si>
    <t>finition visible type lambris</t>
  </si>
  <si>
    <t>Tavolato a vista</t>
  </si>
  <si>
    <t>pohledové bednění</t>
  </si>
  <si>
    <t>Odsłonięte deskowanie</t>
  </si>
  <si>
    <t>látható zsaluzat</t>
  </si>
  <si>
    <t>pohľadové debnenie</t>
  </si>
  <si>
    <t>Zichtbare bekisting</t>
  </si>
  <si>
    <t>Vidni opaž</t>
  </si>
  <si>
    <t>exponerad formning</t>
  </si>
  <si>
    <t>Forskalling</t>
  </si>
  <si>
    <t>Eksponert forskaling</t>
  </si>
  <si>
    <t>Vidljiva oplata</t>
  </si>
  <si>
    <t>SIDING</t>
  </si>
  <si>
    <t>SIDINGS</t>
  </si>
  <si>
    <t>Fasadpanel</t>
  </si>
  <si>
    <t>KLEDNING</t>
  </si>
  <si>
    <t xml:space="preserve">SIDING </t>
  </si>
  <si>
    <t>Siding (horizontal)</t>
  </si>
  <si>
    <t>siding (horizontal) – PREFA</t>
  </si>
  <si>
    <t>Doga (orizzontale)</t>
  </si>
  <si>
    <t>Siding (horizontální)</t>
  </si>
  <si>
    <t>Siding (poziomy)</t>
  </si>
  <si>
    <t>Siding (vízszintes)</t>
  </si>
  <si>
    <t>Siding (horizontálny)</t>
  </si>
  <si>
    <t>Siding (horizontaal)</t>
  </si>
  <si>
    <t>Siding (vodoraven)</t>
  </si>
  <si>
    <t>siding (horisontell)</t>
  </si>
  <si>
    <t>Siding (horisontal)</t>
  </si>
  <si>
    <t>Fasadna kazeta (vodoravna)</t>
  </si>
  <si>
    <t>Siding (horizontal; auf Aluminium-Unterkonstruktion)</t>
  </si>
  <si>
    <t>siding (horizontal; on aluminium substructure) – PREFA</t>
  </si>
  <si>
    <t>Siding (horizontal ; sur sous-construction en aluminium)</t>
  </si>
  <si>
    <t>Doga (orizzontale; su sottostruttura in alluminio)</t>
  </si>
  <si>
    <t>Siding (horizontální; na hliníkové spodní konstrukci)</t>
  </si>
  <si>
    <t>Siding (poziomy; na aluminiowej konstrukcji nośnej)</t>
  </si>
  <si>
    <t>Siding (vízszintes, alumínium alátétszerkezeten)</t>
  </si>
  <si>
    <t>Siding (horizontálny; na hliníkovom nosnom rošte)</t>
  </si>
  <si>
    <t>Siding (horizontaal; op aluminium onderconstructie)</t>
  </si>
  <si>
    <t>Siding (vodoraven; na aluminijasti podkonstrukciji)</t>
  </si>
  <si>
    <t>siding (horisontell); på en aluminiumunderkonstruktion</t>
  </si>
  <si>
    <t>Siding (horisontal; af aluminium-underkonstruktion)</t>
  </si>
  <si>
    <t>Siding (horisontal, på underkonstruksjon i aluminium)</t>
  </si>
  <si>
    <t>Fasadna kazeta (vodoravna; na aluminijskoj potkonstrukciji)</t>
  </si>
  <si>
    <t>Siding – Produktübersicht</t>
  </si>
  <si>
    <t>Siding — Product overview</t>
  </si>
  <si>
    <t>Siding — Aperçu du produit</t>
  </si>
  <si>
    <t>Doga - Panoramica dei prodotti</t>
  </si>
  <si>
    <t>Siding – Přehled produktů</t>
  </si>
  <si>
    <t>Siding – przegląd produktów</t>
  </si>
  <si>
    <t>Siding – termékek áttekintése</t>
  </si>
  <si>
    <t>Siding – prehľad produktov</t>
  </si>
  <si>
    <t>Siding - productoverzicht</t>
  </si>
  <si>
    <t>Siding – Pregled izdelkov</t>
  </si>
  <si>
    <t>siding – produktöversikt</t>
  </si>
  <si>
    <t>Siding – produktoversigt</t>
  </si>
  <si>
    <t>Siding – produktoversikt</t>
  </si>
  <si>
    <t>Fasadna kazeta – Pregled proizvoda</t>
  </si>
  <si>
    <t>Siding (vertikal)</t>
  </si>
  <si>
    <t>siding (vertical) – PREFA</t>
  </si>
  <si>
    <t>Siding (vertical)</t>
  </si>
  <si>
    <t>Doga (verticale)</t>
  </si>
  <si>
    <t>Siding (vertikální)</t>
  </si>
  <si>
    <t>Siding (pionowy)</t>
  </si>
  <si>
    <t>Siding (függőleges)</t>
  </si>
  <si>
    <t>Siding (vertikálny)</t>
  </si>
  <si>
    <t>Siding (verticaal)</t>
  </si>
  <si>
    <t>Siding (navpičen)</t>
  </si>
  <si>
    <t>siding (vertikal)</t>
  </si>
  <si>
    <t>Fasadna kazeta (okomita)</t>
  </si>
  <si>
    <t>Siding (vertikal; auf Aluminium-Unterkonstruktion)</t>
  </si>
  <si>
    <t>siding (vertical; on aluminium substructure) – PREFA</t>
  </si>
  <si>
    <t>Siding (vertical ; sur sous-construction en aluminium)</t>
  </si>
  <si>
    <t>Doga (verticale; su sottostruttura in alluminio)</t>
  </si>
  <si>
    <t>Siding (vertikální; na hliníkové spodní konstrukci)</t>
  </si>
  <si>
    <t>Siding (pionowy; na aluminiowej konstrukcji nośnej)</t>
  </si>
  <si>
    <t>Siding (függőleges, alumínium alátétszerkezeten)</t>
  </si>
  <si>
    <t>Siding (vertikálny; na hliníkovom nosnom rošte)</t>
  </si>
  <si>
    <t>Siding (verticaal; op aluminium onderconstructie)</t>
  </si>
  <si>
    <t>Siding (navpičen; na aluminijasti podkonstrukciji)</t>
  </si>
  <si>
    <t>siding (vertikal; på aluminiumunderkonstruktion)</t>
  </si>
  <si>
    <t>Siding (vertikal; af aluminium-underkonstruktion)</t>
  </si>
  <si>
    <t>Siding (vertikal, på underkonstruksjon i aluminium)</t>
  </si>
  <si>
    <t>Fasadna kazeta (okomita; na aluminijskoj potkonstrukciji)</t>
  </si>
  <si>
    <t>Siding – Zubehör</t>
  </si>
  <si>
    <t>SIDING ACCESSORIES</t>
  </si>
  <si>
    <t>ACCESSOIRES POUR SIDINGS</t>
  </si>
  <si>
    <t>Accessori per Doghe</t>
  </si>
  <si>
    <t>SIDING doplňky</t>
  </si>
  <si>
    <t>Akcesoria SIDING</t>
  </si>
  <si>
    <t>SIDING KIEGÉSZÍTŐK</t>
  </si>
  <si>
    <t>SIDINGS doplnky</t>
  </si>
  <si>
    <t>SIDING TOEBEHOREN</t>
  </si>
  <si>
    <t>SIDING – DODATKI</t>
  </si>
  <si>
    <t>Fasadpanel - tillbehör</t>
  </si>
  <si>
    <t>SIDING TILBEHØR</t>
  </si>
  <si>
    <t>KLEDNINGSTILBEHØR</t>
  </si>
  <si>
    <t>SIDING PRIBOR</t>
  </si>
  <si>
    <t>Siding.X</t>
  </si>
  <si>
    <t>Doga.X</t>
  </si>
  <si>
    <t>Siding X</t>
  </si>
  <si>
    <t>Fasadpanel.X</t>
  </si>
  <si>
    <t>Kledning.X</t>
  </si>
  <si>
    <t>Spezialsilikon</t>
  </si>
  <si>
    <t>silicone cartridge</t>
  </si>
  <si>
    <t>silicone spécial</t>
  </si>
  <si>
    <t>Cartuccia silicone</t>
  </si>
  <si>
    <t>Silikon kartuše</t>
  </si>
  <si>
    <t>kartusz silikonu</t>
  </si>
  <si>
    <t>szilikon tubus</t>
  </si>
  <si>
    <t>silikón, kartuša</t>
  </si>
  <si>
    <t>siliconen cartouche</t>
  </si>
  <si>
    <t>silikonska kartuša</t>
  </si>
  <si>
    <t>silikonpatron</t>
  </si>
  <si>
    <t>silikonepatron</t>
  </si>
  <si>
    <t>silikontube</t>
  </si>
  <si>
    <t>Posebni silikon</t>
  </si>
  <si>
    <t>Sockelknie (Ausladung: 60 mm)</t>
  </si>
  <si>
    <t>swan neck, 60 mm projection</t>
  </si>
  <si>
    <t>coude étage (projection : 60 mm)</t>
  </si>
  <si>
    <t>Spostamento, disassamento 60mm</t>
  </si>
  <si>
    <t>Soklové koleno, přesah 60mm</t>
  </si>
  <si>
    <t>Kolano podwójne 60 mm</t>
  </si>
  <si>
    <t>lábazati elem 60mm előállással</t>
  </si>
  <si>
    <t>soklové koleno, vybočenie 60 mm</t>
  </si>
  <si>
    <t>sokkelknie 60 mm reikwijdte</t>
  </si>
  <si>
    <t>izogibno koleno 60 mm grlo</t>
  </si>
  <si>
    <t>sockelknä 60 mm utladdning</t>
  </si>
  <si>
    <t>sokkelknæ 60 mm udhæng</t>
  </si>
  <si>
    <t>sokkelkne 60 mm radius</t>
  </si>
  <si>
    <t>Cijev s koljenom (izbočina: 60 mm)</t>
  </si>
  <si>
    <t>Sockelknie (Quadratisch)</t>
  </si>
  <si>
    <t>SWAN NECK square downpipe</t>
  </si>
  <si>
    <t>COUDE ÉTAGE (carré)</t>
  </si>
  <si>
    <t>Spostamento (quadrato)</t>
  </si>
  <si>
    <t>SOKLOVÉ KOLENO (hranaté)</t>
  </si>
  <si>
    <t>LÁBAZATI ELEM (négyszögletes)</t>
  </si>
  <si>
    <t>SOKLOVÉ KOLENO (štvorcové)</t>
  </si>
  <si>
    <t>KNIESCHOT (vierkant)</t>
  </si>
  <si>
    <t>KOLENO ZA PODZIDEK (kvadratno)</t>
  </si>
  <si>
    <t>SOCKELKNÄ (fyrkantigt)</t>
  </si>
  <si>
    <t>SOKKELKNÆ (kvadratisk)</t>
  </si>
  <si>
    <t>SOKKELKNE (firkantet)</t>
  </si>
  <si>
    <t>CIJEV S KOLJENOM (kvadratna)</t>
  </si>
  <si>
    <t>Sockelknie (Rund)</t>
  </si>
  <si>
    <t>SWAN NECK round downpipe</t>
  </si>
  <si>
    <t>COUDE ÉTAGE (rond)</t>
  </si>
  <si>
    <t>Spostamento (rotondo)</t>
  </si>
  <si>
    <t>SOKLOVÉ KOLENO (kulaté)</t>
  </si>
  <si>
    <t>Kolano podwójne (przekrój kwadratowy)</t>
  </si>
  <si>
    <t>LÁBAZATI ELEM (kerek)</t>
  </si>
  <si>
    <t>SOKLOVÉ KOLENO (okrúhly)</t>
  </si>
  <si>
    <t>KNIESCHOT (rond)</t>
  </si>
  <si>
    <t>KOLENO ZA PODZIDEK (okroglo)</t>
  </si>
  <si>
    <t>SOCKELKNÄ (runt)</t>
  </si>
  <si>
    <t>SOKKELKNÆ (rund)</t>
  </si>
  <si>
    <t>SOKKELKNE (rund)</t>
  </si>
  <si>
    <t>CIJEV S KOLJENOM (okrugla)</t>
  </si>
  <si>
    <t>Sockelprofil (Länge: 2.500 mm)</t>
  </si>
  <si>
    <t>base profile; L = 2,500 mm</t>
  </si>
  <si>
    <t>profil de soubassement (longueur : 2 500 mm)</t>
  </si>
  <si>
    <t>Zoccolo; L = 2500 mm</t>
  </si>
  <si>
    <t>soklový profil, délka 2500 mm</t>
  </si>
  <si>
    <t>Profil cokołowy L=2500 mm</t>
  </si>
  <si>
    <t>párkányprofil H = 2.500 mm</t>
  </si>
  <si>
    <t>soklový profil, dĺžka 2500 mm</t>
  </si>
  <si>
    <t>sokkelprofiel L = 2500 mm</t>
  </si>
  <si>
    <t>Profil za podzidek (dolžina: 2.500 mm)</t>
  </si>
  <si>
    <t>sockelprofil L = 2.500 mm</t>
  </si>
  <si>
    <t>sokkelprofil L = 2.500 mm</t>
  </si>
  <si>
    <t>sokkelprofil L = 2500 mm</t>
  </si>
  <si>
    <t>Profil sokla L = 2.500 mm</t>
  </si>
  <si>
    <t>Solarhalter Vario (oder Fix)</t>
  </si>
  <si>
    <t>Vario (or Fix) solar bracket</t>
  </si>
  <si>
    <t>support solaire Vario (ou Fix)</t>
  </si>
  <si>
    <t>Staffa per pannelli solari Vario (o Fix)</t>
  </si>
  <si>
    <t>Solární držák Vario (nebo Fix)</t>
  </si>
  <si>
    <t>Uchwyt paneli fotowoltaicznych Vario (lub Fix)</t>
  </si>
  <si>
    <t>Vario (vagy Fix) napelemtartó</t>
  </si>
  <si>
    <t>solárny držiak Vario (alebo Fix)</t>
  </si>
  <si>
    <t>Solarhouder Vario (of Fix)</t>
  </si>
  <si>
    <t>Držalo za solarni panel Vario (ali Fix)</t>
  </si>
  <si>
    <t>solhållare Vario (eller Fix)</t>
  </si>
  <si>
    <t>Solcelleholder Vario (eller Fix)</t>
  </si>
  <si>
    <t>Holder for solcellepanel, variabel (eller fast)</t>
  </si>
  <si>
    <t>Solar držač Vario (ili Fix)</t>
  </si>
  <si>
    <t>Solarluke</t>
  </si>
  <si>
    <t>roof conduit without protective sleeve
with protective sleeve: max. diameter 35 mm/10 mm</t>
  </si>
  <si>
    <t>chatière pour panneaux solaires</t>
  </si>
  <si>
    <t>Bocchetta Solar</t>
  </si>
  <si>
    <t>Solar kábelátvezető elem</t>
  </si>
  <si>
    <t>prestupový prvok solárnych vedení</t>
  </si>
  <si>
    <t>Solarluik</t>
  </si>
  <si>
    <t>Solarna lina</t>
  </si>
  <si>
    <t>sollucka</t>
  </si>
  <si>
    <t>Solcelleluke</t>
  </si>
  <si>
    <t>Solar uvodnica</t>
  </si>
  <si>
    <t>Sonderfarbe</t>
  </si>
  <si>
    <t>Bespoke color</t>
  </si>
  <si>
    <t>couleur spéciale</t>
  </si>
  <si>
    <t>Colore speciale</t>
  </si>
  <si>
    <t>Speciální barva</t>
  </si>
  <si>
    <t>Kolor specjalny</t>
  </si>
  <si>
    <t>egyedi szín</t>
  </si>
  <si>
    <t>špeciálna farba</t>
  </si>
  <si>
    <t>Speciale kleur</t>
  </si>
  <si>
    <t>Posebna barva</t>
  </si>
  <si>
    <t>specialfärg</t>
  </si>
  <si>
    <t>Specialfarve</t>
  </si>
  <si>
    <t>Spesialfarge</t>
  </si>
  <si>
    <t>Posebna boja</t>
  </si>
  <si>
    <t>Sonderrinnenwinkel – 2D</t>
  </si>
  <si>
    <t>CUSTOM MADE GUTTER CORNER – 2D</t>
  </si>
  <si>
    <t>ÉQUERRE DE GOUTTIÈRE RÉALISÉE SUR COMMANDE (2D)</t>
  </si>
  <si>
    <t>Angolo di gronda fuori standard - 2D</t>
  </si>
  <si>
    <t>SPECIÁLNÍ ROH ŽLABU – 2D</t>
  </si>
  <si>
    <t>SPECJALNY NAROŻNIK RYNNY – 2D</t>
  </si>
  <si>
    <t>SPECIÁLIS ERESZIDOM - 2D</t>
  </si>
  <si>
    <t>ŠPECIÁLNY ROH POLKRUHOVÉHO ŽĽABU – 2D</t>
  </si>
  <si>
    <t>SPECIALE BINNENHOEK - 2D</t>
  </si>
  <si>
    <t>POSEBNI VOGALNIK ŽLEBA – 2D</t>
  </si>
  <si>
    <t>SPECIAL RÄNNVINKEL – 2D</t>
  </si>
  <si>
    <t>SPECIALRENDEVINKEL – 2D</t>
  </si>
  <si>
    <t>SPESIALRENNEVINKEL – 2D</t>
  </si>
  <si>
    <t>POSEBAN KUT ŽLIJEBA – 2D</t>
  </si>
  <si>
    <t>Sonderwasserfangkasten</t>
  </si>
  <si>
    <t>CUSTOM MADE LEADER HEAD</t>
  </si>
  <si>
    <t>BOÎTE À EAU RÉALISÉE SUR COMMANDE</t>
  </si>
  <si>
    <t>Cassetta di raccolta fuori standard</t>
  </si>
  <si>
    <t>SPECIÁLNÍ SBĚRNÝ KOTLÍK</t>
  </si>
  <si>
    <t>SPECJALNY KOSZ ZLEWISKOWY</t>
  </si>
  <si>
    <t>SPECIÁLIS VÍZGYŰJTŐ ÜST</t>
  </si>
  <si>
    <t>ŠPECIÁLNY ZBERNÝ KOTLÍK</t>
  </si>
  <si>
    <t>SPECIALE WATEROPVANGBAK</t>
  </si>
  <si>
    <t>POSEBNI ZBIRALNIK VODE</t>
  </si>
  <si>
    <t>SPECIAL VATTENUPPSAMLINGSLÅDA</t>
  </si>
  <si>
    <t>SPECIALVANDOPSAMLINGSKASSE</t>
  </si>
  <si>
    <t>SPESIELL VANNDRENERING</t>
  </si>
  <si>
    <t>POSEBNA KUTIJA ZA PRIHVAT VODE</t>
  </si>
  <si>
    <t>Sparren</t>
  </si>
  <si>
    <t>rafter</t>
  </si>
  <si>
    <t>chevron</t>
  </si>
  <si>
    <t>Travi</t>
  </si>
  <si>
    <t>Krokwie</t>
  </si>
  <si>
    <t>szarufa</t>
  </si>
  <si>
    <t>Spanten</t>
  </si>
  <si>
    <t>Špirovci</t>
  </si>
  <si>
    <t>Spær</t>
  </si>
  <si>
    <t>Sperrer</t>
  </si>
  <si>
    <t>Roženice</t>
  </si>
  <si>
    <t>Sparrenabdeckung</t>
  </si>
  <si>
    <t>rafter cover</t>
  </si>
  <si>
    <t>tôle de protection pour chevron</t>
  </si>
  <si>
    <t>Rivestimento travi</t>
  </si>
  <si>
    <t>zakrytí krokve</t>
  </si>
  <si>
    <t>Pokrycie krokwi</t>
  </si>
  <si>
    <t>szarufaburkolat</t>
  </si>
  <si>
    <t>krycí profil krokvy</t>
  </si>
  <si>
    <t>Spantafdekking</t>
  </si>
  <si>
    <t>Prevleka za špirovce</t>
  </si>
  <si>
    <t>takstolsbeklädnad</t>
  </si>
  <si>
    <t>Spærafdækning</t>
  </si>
  <si>
    <t>Sperrekledning</t>
  </si>
  <si>
    <t>Pokrov roženica</t>
  </si>
  <si>
    <t>Speiereinmündung</t>
  </si>
  <si>
    <t>parapet outlet downpipe connector</t>
  </si>
  <si>
    <t>embranchement d’évacuation rond pour toits plats</t>
  </si>
  <si>
    <t>Bocchettone da incasso troncoconico</t>
  </si>
  <si>
    <t>Fasádní kotlík se zaústěním</t>
  </si>
  <si>
    <t>Wylot zlewiskowy</t>
  </si>
  <si>
    <t>attikafal vízgyűjtő üst</t>
  </si>
  <si>
    <t>fasádny kotlík so zaústením pre strešný chrlič</t>
  </si>
  <si>
    <t>spuwinmonding</t>
  </si>
  <si>
    <t xml:space="preserve">Nastavek za izliv </t>
  </si>
  <si>
    <t>vägganslutning</t>
  </si>
  <si>
    <t>tagrendetilslutning</t>
  </si>
  <si>
    <t>nedløpsåpning</t>
  </si>
  <si>
    <t>Bočni uljev</t>
  </si>
  <si>
    <t>Spezialkleber</t>
  </si>
  <si>
    <t>special adhesive</t>
  </si>
  <si>
    <t>colle spéciale</t>
  </si>
  <si>
    <t>Adesivo speciale</t>
  </si>
  <si>
    <t>speciální lepidlo</t>
  </si>
  <si>
    <t>Klej specjalny</t>
  </si>
  <si>
    <t>speciális ragasztó</t>
  </si>
  <si>
    <t>špeciálne lepidlo</t>
  </si>
  <si>
    <t>Speciale lijm</t>
  </si>
  <si>
    <t>Posebno lepilo</t>
  </si>
  <si>
    <t>speciallim</t>
  </si>
  <si>
    <t>Speciallim</t>
  </si>
  <si>
    <t>Spesiallim</t>
  </si>
  <si>
    <t>Posebno ljepilo</t>
  </si>
  <si>
    <t>Spezialkleberset</t>
  </si>
  <si>
    <t>special adhesive kit</t>
  </si>
  <si>
    <t>kit d’assemblage</t>
  </si>
  <si>
    <t>Set di colla speciale</t>
  </si>
  <si>
    <t>Speziální lepící sada</t>
  </si>
  <si>
    <t>specjalny zestaw klejący</t>
  </si>
  <si>
    <t>speciális ragasztó készlet</t>
  </si>
  <si>
    <t>špeciálna lepiaca súprava</t>
  </si>
  <si>
    <t>speciale lijmset</t>
  </si>
  <si>
    <t>specialni lepilni set</t>
  </si>
  <si>
    <t>speciallimsats</t>
  </si>
  <si>
    <t>specialklæbersæt</t>
  </si>
  <si>
    <t>spesiallimsett</t>
  </si>
  <si>
    <t>Set posebnog ljepila</t>
  </si>
  <si>
    <t>Sprache</t>
  </si>
  <si>
    <t>Language</t>
  </si>
  <si>
    <t>langue</t>
  </si>
  <si>
    <t>Lingua</t>
  </si>
  <si>
    <t>jazyk</t>
  </si>
  <si>
    <t>Polski</t>
  </si>
  <si>
    <t>Nyelv</t>
  </si>
  <si>
    <t>Jazyk</t>
  </si>
  <si>
    <t>Taal</t>
  </si>
  <si>
    <t>jezik</t>
  </si>
  <si>
    <t>Språk</t>
  </si>
  <si>
    <t>Sprog</t>
  </si>
  <si>
    <t>Jezik</t>
  </si>
  <si>
    <t>Spreizring</t>
  </si>
  <si>
    <t>expander ring</t>
  </si>
  <si>
    <t>anneau d’écartement (circlip)</t>
  </si>
  <si>
    <t>Anello di diffusione</t>
  </si>
  <si>
    <t>rozpěrný kruh</t>
  </si>
  <si>
    <t>Pierścień rozprężny</t>
  </si>
  <si>
    <t>feszítőgyűrű</t>
  </si>
  <si>
    <t>rozperný krúžok</t>
  </si>
  <si>
    <t>Spreidring</t>
  </si>
  <si>
    <t>Razširitveni obroč</t>
  </si>
  <si>
    <t>spridarring</t>
  </si>
  <si>
    <t>Låsering</t>
  </si>
  <si>
    <t>Ekspansjonsring</t>
  </si>
  <si>
    <t>Klipni prsten</t>
  </si>
  <si>
    <t>Stahlblech (verzinkt; Stärke: 0,8 mm)</t>
  </si>
  <si>
    <t>galvanised steel sheet (s = 0,8 mm)</t>
  </si>
  <si>
    <t>tôle en acier galvanisée (épaisseur : 0,8 mm)</t>
  </si>
  <si>
    <t>Lamiera di acciaio (zincata; spessore: 0,8 mm)</t>
  </si>
  <si>
    <t>Ocelový plech (pozinkovaný, tloušťka: 0,8 mm)</t>
  </si>
  <si>
    <t>Blacha stalowa (ocynkowana; grubość: 0,8 mm)</t>
  </si>
  <si>
    <t>acéllemez (horganyzott; vastagság: 0,8 mm)</t>
  </si>
  <si>
    <t>Oceľový plech (pozinkovaný; hrúbka: 0,8 mm)</t>
  </si>
  <si>
    <t>Plaatstaal (gegalvaniseerd; dikte: 0,8 mm)</t>
  </si>
  <si>
    <t>Jeklena pločevina (pocinkana; debelina: 0,8 mm)</t>
  </si>
  <si>
    <t>stålplåt (galvaniserad; tjocklek: 0,8 mm)</t>
  </si>
  <si>
    <t>Stålplade (forzinket; tykkelse: 0,8 mm)</t>
  </si>
  <si>
    <t>Stålplate (forsinket; tykkelse: 0,8 mm)</t>
  </si>
  <si>
    <t>Čelični lim (pocinčani; debljina: 0,8 mm)</t>
  </si>
  <si>
    <t>Stand:</t>
  </si>
  <si>
    <t>Version:</t>
  </si>
  <si>
    <t>Version :</t>
  </si>
  <si>
    <t>Aggiornato:</t>
  </si>
  <si>
    <t>Stav:</t>
  </si>
  <si>
    <t>Wersja:</t>
  </si>
  <si>
    <t>Állapot:</t>
  </si>
  <si>
    <t>Versie:</t>
  </si>
  <si>
    <t>Različica:</t>
  </si>
  <si>
    <t>Uppdaterad:</t>
  </si>
  <si>
    <t>Stanje:</t>
  </si>
  <si>
    <t>STAND:</t>
  </si>
  <si>
    <t>VERSION:</t>
  </si>
  <si>
    <t>STAV:</t>
  </si>
  <si>
    <t>STAN:</t>
  </si>
  <si>
    <t>ÁLLAPOT:</t>
  </si>
  <si>
    <t>POSITIE:</t>
  </si>
  <si>
    <t>STÄLLNING:</t>
  </si>
  <si>
    <t>VERZIJA:</t>
  </si>
  <si>
    <t>Stand:_SW</t>
  </si>
  <si>
    <t>stand:</t>
  </si>
  <si>
    <t>Verzija:</t>
  </si>
  <si>
    <t>Standardfarbe</t>
  </si>
  <si>
    <t>standard color</t>
  </si>
  <si>
    <t>couleur standard</t>
  </si>
  <si>
    <t>colore standard</t>
  </si>
  <si>
    <t>Standardní barva</t>
  </si>
  <si>
    <t>standardowym kolorem</t>
  </si>
  <si>
    <t>standard szín</t>
  </si>
  <si>
    <t>Štandardná farba</t>
  </si>
  <si>
    <t>Standaardkleur</t>
  </si>
  <si>
    <t>Standardna barva</t>
  </si>
  <si>
    <t>Standardfärg</t>
  </si>
  <si>
    <t>Standardfarve</t>
  </si>
  <si>
    <t>Standardfarge</t>
  </si>
  <si>
    <t>Standardna boja</t>
  </si>
  <si>
    <t>reinforced downpipe with access pipe</t>
  </si>
  <si>
    <t>dauphin avec porte de nettoyage</t>
  </si>
  <si>
    <t>Terminale con apertura di ispezione</t>
  </si>
  <si>
    <t>Zaústění svodu do kanalizace s otvorem na čištění</t>
  </si>
  <si>
    <t>Rura stojakowa z otworem rewizyjnym</t>
  </si>
  <si>
    <t>állványcső tisztítónyílással</t>
  </si>
  <si>
    <t>zvod s čistiacim otvorom</t>
  </si>
  <si>
    <t>staande buis met reinigingsopening</t>
  </si>
  <si>
    <t>jeklena izlivna cev z odprtino za čiščenje</t>
  </si>
  <si>
    <t>stuprör med rengöringslucka</t>
  </si>
  <si>
    <t>standrør med rengøringsåbning</t>
  </si>
  <si>
    <t>nedløpsrør med rengjøringsåpning</t>
  </si>
  <si>
    <t>Stojeća cijev s revizionim otvorom</t>
  </si>
  <si>
    <t>Standrohrkappe</t>
  </si>
  <si>
    <t>standpipe cap</t>
  </si>
  <si>
    <t>Copribicchiere per terminale</t>
  </si>
  <si>
    <t>Rozeta</t>
  </si>
  <si>
    <t>állványcső-csőkarika</t>
  </si>
  <si>
    <t>zvodová prechodka</t>
  </si>
  <si>
    <t>staande buiskap</t>
  </si>
  <si>
    <t>rozeta s svitkom</t>
  </si>
  <si>
    <t>krage till brunnsutkastare</t>
  </si>
  <si>
    <t>standrørkappe</t>
  </si>
  <si>
    <t>krage til nedløpsrør</t>
  </si>
  <si>
    <t>Kapa stojeće cijevi</t>
  </si>
  <si>
    <t>Startplatte (1,48 Stk./m; 40 Stk./Karton)</t>
  </si>
  <si>
    <t>leading plate (1.48 pc./m, 40 pc./box)</t>
  </si>
  <si>
    <t>demi-losange de départ (1,48 par mètre ; 40 par carton)</t>
  </si>
  <si>
    <t>Scaglia 44 di partenza (1,48 pz./m, 40 pz./cf.)</t>
  </si>
  <si>
    <t>Startovací šablona (1,48 ks./bm, 40 ks./balení)</t>
  </si>
  <si>
    <t>Dachówka początkowa (1,48 szt./mb, 40 szt./opak.)</t>
  </si>
  <si>
    <t>indítóelem (1,48 db./fm, 40 db/doboz)</t>
  </si>
  <si>
    <t>štartovacia šablóna (1,48 ks/bm, 40 ks/kart.)</t>
  </si>
  <si>
    <t>beginplaat (1,48 stks./m1, 40 stks./doos)</t>
  </si>
  <si>
    <t>začetna plošča (1,48 kos/tm, 40 kos/škatlo)</t>
  </si>
  <si>
    <t>startplatta (1,48 st./lpm, 40 st./kart.)</t>
  </si>
  <si>
    <t>startplade (1,48 stk./lbm, 40 stk./kart.)</t>
  </si>
  <si>
    <t>startplate (1,48 stk./lm, 40 stk./kart.)</t>
  </si>
  <si>
    <t>Početna ploča (1,48 kom./m; 40 kom./kutija)</t>
  </si>
  <si>
    <t>Startplatte (2,2 Stk./m; 100 Stk./Karton)</t>
  </si>
  <si>
    <t>leading plate (2.2 pc./m, 100 pc./box)</t>
  </si>
  <si>
    <t>demi-losange de départ (2,2 par mètre ; 100 par carton)</t>
  </si>
  <si>
    <t>Scaglia 29 di partenza (2,2 pz./m, 100 pz./cf.)</t>
  </si>
  <si>
    <t>Startovací šablona (2,2 ks./bm, 100 ks./balení)</t>
  </si>
  <si>
    <t>Dachówka początkowa (2,2 szt./mb, 100 szt./opak.)</t>
  </si>
  <si>
    <t>indítóelem (2,2 db./fm, 100 db/doboz)</t>
  </si>
  <si>
    <t>štartovacia šablóna (2,2 ks/bm, 100 ks/kart.)</t>
  </si>
  <si>
    <t>beginplaat (2,2 stks./m1, 100 stks./doos)</t>
  </si>
  <si>
    <t>začetna plošča (2,2 kos/tm, 100 kos/škatlo)</t>
  </si>
  <si>
    <t>startplatta (2,2 st./lpm, 100 st./kart.)</t>
  </si>
  <si>
    <t>startplade (2,2 stk./lbm, 100 stk./kart.)</t>
  </si>
  <si>
    <t>startplate (2,2 stk./lm, 100 stk./kart.)</t>
  </si>
  <si>
    <t>Početna ploča (2,2 kom./m; 100 kom./kutija)</t>
  </si>
  <si>
    <t>Startplatte für Dachraute</t>
  </si>
  <si>
    <t>leading plate for rhomboid roof tile</t>
  </si>
  <si>
    <t>demi-losange de départ</t>
  </si>
  <si>
    <t>Scaglia di partenza per scaglia</t>
  </si>
  <si>
    <t>startovací šablona</t>
  </si>
  <si>
    <t>Dachówka początkowa dla dachówki romb</t>
  </si>
  <si>
    <t>indítóelem tetőfedő rombuszhoz</t>
  </si>
  <si>
    <t>štartovacia šablóna pre strešnú šablónu</t>
  </si>
  <si>
    <t>Startplaat voor daklosange</t>
  </si>
  <si>
    <t>Začetna plošča za strešni romb</t>
  </si>
  <si>
    <t>startplåt för takdiamant</t>
  </si>
  <si>
    <t>Startplade til tagrombe</t>
  </si>
  <si>
    <t>Startplate for takrombe</t>
  </si>
  <si>
    <t>Početna ploča za krovni romb</t>
  </si>
  <si>
    <t>Startplatte für Dachraute 29 × 29</t>
  </si>
  <si>
    <t>leading plate for rhomboid roof tile 29 × 29</t>
  </si>
  <si>
    <t>demi-losange de départ 29 × 29</t>
  </si>
  <si>
    <t>Scaglia di partenza per scaglia 29</t>
  </si>
  <si>
    <t>startovací šablona 29x29</t>
  </si>
  <si>
    <t>Dachówka początkowa dla dachówki romb 29 × 29</t>
  </si>
  <si>
    <t>indítóelem 29 × 29-es tetőfedő rombuszhoz</t>
  </si>
  <si>
    <t>štartovacia šablóna pre strešnú šablónu 29 × 29</t>
  </si>
  <si>
    <t>Startplaat voor daklosange 29 x 29</t>
  </si>
  <si>
    <t>Začetna plošča za strešni romb 29 × 29</t>
  </si>
  <si>
    <t>startplåt för takdiamant 29 × 29</t>
  </si>
  <si>
    <t>Startplade til tagrombe 29 × 29</t>
  </si>
  <si>
    <t>Startplate for takrombe 29 × 29</t>
  </si>
  <si>
    <t>Početna ploča za krovni romb 29 × 29</t>
  </si>
  <si>
    <t>Startplatte für Dachraute 44 × 44</t>
  </si>
  <si>
    <t>leading plate for rhomboid roof tile 44 × 44</t>
  </si>
  <si>
    <t>demi-losange de départ 44 × 44</t>
  </si>
  <si>
    <t>Scaglia di partenza per scaglia 44</t>
  </si>
  <si>
    <t>startovací šablona 44x44</t>
  </si>
  <si>
    <t>Dachówka początkowa dla dachówki romb 44 × 44</t>
  </si>
  <si>
    <t>indítóelem 44 × 44-es tetőfedő rombuszhoz</t>
  </si>
  <si>
    <t>štartovacia šablóna pre strešnú šablónu 44 × 44</t>
  </si>
  <si>
    <t>Startplaat voor daklosange 44 x 44</t>
  </si>
  <si>
    <t>Začetna plošča za strešni romb 44 × 44</t>
  </si>
  <si>
    <t>startplåt för takdiamant 44 × 44</t>
  </si>
  <si>
    <t>Startplade til tagrombe 44 × 44</t>
  </si>
  <si>
    <t>Startplate for takrombe 44 × 44</t>
  </si>
  <si>
    <t>Početna ploča za krovni romb 44 × 44</t>
  </si>
  <si>
    <t>Startplatte für Wandraute</t>
  </si>
  <si>
    <t>leading plate for rhomboid façade tile</t>
  </si>
  <si>
    <t>demi-losange de départ (façade)</t>
  </si>
  <si>
    <t>Scaglia di partenza per scaglia per facciata</t>
  </si>
  <si>
    <t>Startovací fasádní šablona</t>
  </si>
  <si>
    <t>Dachówka początkowa dla rombu ściennego</t>
  </si>
  <si>
    <t>indítóelem homlokzatburkoló rombuszhoz</t>
  </si>
  <si>
    <t>štartovacia šablóna pre fasádnu šablónu</t>
  </si>
  <si>
    <t>Startplaat voor wandspant</t>
  </si>
  <si>
    <t>Začetna plošča za stenski romb</t>
  </si>
  <si>
    <t>startplåt för väggdiamant</t>
  </si>
  <si>
    <t>Startplade til vægrombe</t>
  </si>
  <si>
    <t>Startplate for veggrombe</t>
  </si>
  <si>
    <t>Početna ploča za zidni romb</t>
  </si>
  <si>
    <t>Startprofil (Länge: 2.000 mm)</t>
  </si>
  <si>
    <t>starter profile; L = 2,000 mm</t>
  </si>
  <si>
    <t>profil de départ (longueur : 2 000 mm)</t>
  </si>
  <si>
    <t>Profilo di partenza; L = 2000 mm</t>
  </si>
  <si>
    <t>Startovací profil, délka 2000 mm</t>
  </si>
  <si>
    <t>Profil początkowy L=2000 mm</t>
  </si>
  <si>
    <t>indítóprofil H = 2.000 mm</t>
  </si>
  <si>
    <t>štartovací profil dĺžka 2000 mm</t>
  </si>
  <si>
    <t>Startprofiel L = 2000 mm</t>
  </si>
  <si>
    <t>Začetni profil (dolžina: 2.000 mm)</t>
  </si>
  <si>
    <t>startprofil L = 2.000 mm</t>
  </si>
  <si>
    <t>Startprofil L = 2.000 mm</t>
  </si>
  <si>
    <t>Startprofil L = 2000 mm</t>
  </si>
  <si>
    <t>Početni profil L = 2.000 mm</t>
  </si>
  <si>
    <t>Startprofil für Profilwelle</t>
  </si>
  <si>
    <t>starter profile for ripple profile (PREFA)</t>
  </si>
  <si>
    <t>profil de départ pour profil sinus</t>
  </si>
  <si>
    <t>Profilo di partenza per profilo ondulato</t>
  </si>
  <si>
    <t>Startovací profil pro profil s vlnou</t>
  </si>
  <si>
    <t>Profil początkowy do profilu falistego</t>
  </si>
  <si>
    <t>Indítóprofil profilhullámhoz</t>
  </si>
  <si>
    <t>štartovací profil pre vlnitý profil</t>
  </si>
  <si>
    <t>Startprofiel voor golfplaat</t>
  </si>
  <si>
    <t>Začetni profil za valoviti profil</t>
  </si>
  <si>
    <t>startprofil för vågprofil</t>
  </si>
  <si>
    <t>Startprofil til profilbølge</t>
  </si>
  <si>
    <t>Startprofil for bølgeprofil</t>
  </si>
  <si>
    <t>Početni profil za valoviti profil</t>
  </si>
  <si>
    <t>Startprofil für Zackenprofil</t>
  </si>
  <si>
    <t>starter profile for serrated profile (PREFA)</t>
  </si>
  <si>
    <t>profil de départ pour profil triangle</t>
  </si>
  <si>
    <t>Profilo di partenza per profilo a zeta</t>
  </si>
  <si>
    <t>Startovací profil pro pilový profil</t>
  </si>
  <si>
    <t>Profil początkowy do profilu trójkątnego</t>
  </si>
  <si>
    <t>Indítóprofil fogazott profilhoz</t>
  </si>
  <si>
    <t>štartovací profil pre prelamovaný profil</t>
  </si>
  <si>
    <t>Startprofiel voor gekarteld profiel</t>
  </si>
  <si>
    <t>Začetni profil za zobčast profil</t>
  </si>
  <si>
    <t>startprofil för spikprofil</t>
  </si>
  <si>
    <t>Startprofil til takket profil</t>
  </si>
  <si>
    <t>Startprofil for sikksakkprofil</t>
  </si>
  <si>
    <t>Početni profil za zupčasti profil</t>
  </si>
  <si>
    <t>startovací profil, délka 2000 mm</t>
  </si>
  <si>
    <t>štartovací, vonkajší profil, dĺžka 2000 mm</t>
  </si>
  <si>
    <t>beginprofiel L = 2000 mm</t>
  </si>
  <si>
    <t>startprofil L = 2000 mm</t>
  </si>
  <si>
    <t>Steckleiste</t>
  </si>
  <si>
    <t>pocket flashing (PREFA)</t>
  </si>
  <si>
    <t>profil de jonction</t>
  </si>
  <si>
    <t>Profilo a inserto</t>
  </si>
  <si>
    <t>Zásuvná lišta</t>
  </si>
  <si>
    <t>Listwa przyłączeniowa</t>
  </si>
  <si>
    <t>csatlakozó léc</t>
  </si>
  <si>
    <t>násuvná lišta</t>
  </si>
  <si>
    <t>Aansluitstrip</t>
  </si>
  <si>
    <t>Vtična letev</t>
  </si>
  <si>
    <t>strömlist</t>
  </si>
  <si>
    <t>Stikliste</t>
  </si>
  <si>
    <t>Stikklist</t>
  </si>
  <si>
    <t>Utična lajsna</t>
  </si>
  <si>
    <t>Steckleiste (Länge: 2.000 mm)</t>
  </si>
  <si>
    <t>pocket flashing; L = 2,000 mm</t>
  </si>
  <si>
    <t>profil de jonction (longueur : 2 000 mm)</t>
  </si>
  <si>
    <t>Listello a innesto; L = 2000 mm</t>
  </si>
  <si>
    <t>příponka ostění, délka 2000 mm</t>
  </si>
  <si>
    <t>Listwa L=2000 mm</t>
  </si>
  <si>
    <t>csatlakozó léc H = 2.000 mm</t>
  </si>
  <si>
    <t>plech na ostenie, dĺžka 2000 mm</t>
  </si>
  <si>
    <t>steekframe L = 2000 mm</t>
  </si>
  <si>
    <t>Vtična letev (dolžina: 2.000 mm)</t>
  </si>
  <si>
    <t>instickslist L = 2.000 mm</t>
  </si>
  <si>
    <t>stikliste L = 2.000 mm</t>
  </si>
  <si>
    <t>innstikkslist L = 2000 mm</t>
  </si>
  <si>
    <t>Utična lajsna L = 2.000 mm</t>
  </si>
  <si>
    <t>Stiefelfalz</t>
  </si>
  <si>
    <t>Swiss seam</t>
  </si>
  <si>
    <t>agrafe grisonne</t>
  </si>
  <si>
    <t>Aggraffatura a gradini</t>
  </si>
  <si>
    <t>koutová drážka (kapsa)</t>
  </si>
  <si>
    <t>Rąbek przełamany</t>
  </si>
  <si>
    <t>csizmakorc</t>
  </si>
  <si>
    <t>stlačená drážka (kapsa)</t>
  </si>
  <si>
    <t>Felsnaad</t>
  </si>
  <si>
    <t>Spojni zgib</t>
  </si>
  <si>
    <t>stövelfals</t>
  </si>
  <si>
    <t>Stiefel-fals</t>
  </si>
  <si>
    <t>Stående vinkelfals</t>
  </si>
  <si>
    <t>Podni falc</t>
  </si>
  <si>
    <t>Stirnbrett</t>
  </si>
  <si>
    <t>bargeboard</t>
  </si>
  <si>
    <t>bordure de rive</t>
  </si>
  <si>
    <t>Frontalino</t>
  </si>
  <si>
    <t>čelní prkno</t>
  </si>
  <si>
    <t>Deska czołowa</t>
  </si>
  <si>
    <t>homlokléc</t>
  </si>
  <si>
    <t>čelná doska</t>
  </si>
  <si>
    <t>Hoofdbord</t>
  </si>
  <si>
    <t>Čelna deska</t>
  </si>
  <si>
    <t>fasadbräda</t>
  </si>
  <si>
    <t>Vindskede</t>
  </si>
  <si>
    <t>Bakbrett</t>
  </si>
  <si>
    <t>Čeona daska</t>
  </si>
  <si>
    <t>Stirnbretthaken für Dachrinnen</t>
  </si>
  <si>
    <t>fascia bracket for gutters</t>
  </si>
  <si>
    <t>crochet de larmier pour gouttières</t>
  </si>
  <si>
    <t>Staffa portacanale per montaggio su frontalino</t>
  </si>
  <si>
    <t>Žlabový hák římsový</t>
  </si>
  <si>
    <t>Hak rynnowy doczołowy</t>
  </si>
  <si>
    <t>szár nélküli csatornatartó</t>
  </si>
  <si>
    <t>rímsový hák pre polkruhové zľaby</t>
  </si>
  <si>
    <t>kopplaathaak voor dakgoten</t>
  </si>
  <si>
    <t>žlebna kljuka za čelno desko</t>
  </si>
  <si>
    <t>PREFA-rännhake för takränna</t>
  </si>
  <si>
    <t>sternbrætkrog til tagrender</t>
  </si>
  <si>
    <t>vindski-fester for takrenner</t>
  </si>
  <si>
    <t>Kuka čeone daske za krovni žlijeb</t>
  </si>
  <si>
    <t>Stirnbretthaken für Kastenrinnen</t>
  </si>
  <si>
    <t>fascia bracket for box gutters</t>
  </si>
  <si>
    <t>crochet de larmier pour gouttières carrées</t>
  </si>
  <si>
    <t>Staffa portacanale quadro per fissaggio su frontalino</t>
  </si>
  <si>
    <t>Žlabový hák římsový pro hranaté žlaby</t>
  </si>
  <si>
    <t>Hak rynnowy połaciowy</t>
  </si>
  <si>
    <t>szár nélküli csatornatartó négyszögszelvényű csatornához</t>
  </si>
  <si>
    <t>rímsový hák pre hranaté zľaby</t>
  </si>
  <si>
    <t>kopplaathaak voor bakgoten</t>
  </si>
  <si>
    <t>kljuka pravokotna za čelno desko</t>
  </si>
  <si>
    <t>PREFA-rännhake för lådränna</t>
  </si>
  <si>
    <t>sternbrætkrog til kasserende</t>
  </si>
  <si>
    <t>vindski-fester for firkantrenne</t>
  </si>
  <si>
    <t>Kuka čeone daske za sandučasti žlijeb</t>
  </si>
  <si>
    <t>Stk.</t>
  </si>
  <si>
    <t>pc.</t>
  </si>
  <si>
    <t>Pz</t>
  </si>
  <si>
    <t>KS</t>
  </si>
  <si>
    <t>szt.</t>
  </si>
  <si>
    <t>db</t>
  </si>
  <si>
    <t>ks</t>
  </si>
  <si>
    <t>STKS</t>
  </si>
  <si>
    <t>kos</t>
  </si>
  <si>
    <t>st.</t>
  </si>
  <si>
    <t>STK.</t>
  </si>
  <si>
    <t>KOM</t>
  </si>
  <si>
    <t>Stockschraube M12 (350 mm)</t>
  </si>
  <si>
    <t>hanger bolt M12 × 350 mm</t>
  </si>
  <si>
    <t>vis M12 à double filetage (350 mm)</t>
  </si>
  <si>
    <t>Vite a doppia filettatura M12 (350 mm)</t>
  </si>
  <si>
    <t>vrutošroub M12x 350 mm</t>
  </si>
  <si>
    <t>Śruba dwugwintowa M12 (350 mm)</t>
  </si>
  <si>
    <t>tőcsavar M12 (350 mm)</t>
  </si>
  <si>
    <t>kombinovaná skrutka M12 (350 mm)</t>
  </si>
  <si>
    <t>Ophangbout M12 (350 mm)</t>
  </si>
  <si>
    <t>Lesni vijak M12 (350 mm)</t>
  </si>
  <si>
    <t>stockskruv M12 (350 mm)</t>
  </si>
  <si>
    <t>Bøjlebolt M12 (350 mm)</t>
  </si>
  <si>
    <t>Stokkskrue M12 (350 mm)</t>
  </si>
  <si>
    <t>Vijak s dva navoja M12 (350 mm)</t>
  </si>
  <si>
    <t>Stoßblech</t>
  </si>
  <si>
    <t>joint connection (PREFA)</t>
  </si>
  <si>
    <t>profil de raccord T</t>
  </si>
  <si>
    <t>Profilo di battuta</t>
  </si>
  <si>
    <t>Dělící profil</t>
  </si>
  <si>
    <t>Blacha dociskowa</t>
  </si>
  <si>
    <t>illesztő lemez</t>
  </si>
  <si>
    <t>stykový plech</t>
  </si>
  <si>
    <t>Duwplaat</t>
  </si>
  <si>
    <t>Spojna pločevina</t>
  </si>
  <si>
    <t>stötplåt</t>
  </si>
  <si>
    <t>Stødplade</t>
  </si>
  <si>
    <t>Støtplate</t>
  </si>
  <si>
    <t>Ploča za zaštitu od udaraca</t>
  </si>
  <si>
    <t>Stoßblech (Länge: 2.000 mm)</t>
  </si>
  <si>
    <t>joint connection; L = 2,000 mm</t>
  </si>
  <si>
    <t>profil de raccord T (longueur : 2 000 mm)</t>
  </si>
  <si>
    <t>profilo di battuta; L = 2000 mm</t>
  </si>
  <si>
    <t>dělící profil, délka 2000 mm</t>
  </si>
  <si>
    <t>Blacha stykowa L=2000 mm</t>
  </si>
  <si>
    <t>illesztőprofil H = 2.000 mm</t>
  </si>
  <si>
    <t>stykový plech, dĺžka 2000 mm</t>
  </si>
  <si>
    <t>stootplaat L = 2000 mm</t>
  </si>
  <si>
    <t>Spojna pločevina (dolžina: 2.000 mm)</t>
  </si>
  <si>
    <t>skarvplåt L = 2.000 mm</t>
  </si>
  <si>
    <t>stødplade L = 2.000 mm</t>
  </si>
  <si>
    <t>laskeplate L = 2000 mm</t>
  </si>
  <si>
    <t>Sudarni lim L = 2.000 mm</t>
  </si>
  <si>
    <t>Stoßverbinder</t>
  </si>
  <si>
    <t>joint connector</t>
  </si>
  <si>
    <t>profil de liaison</t>
  </si>
  <si>
    <t>Giunto per gocciolatoio</t>
  </si>
  <si>
    <t>Styková spojka</t>
  </si>
  <si>
    <t>Złącze czołowe</t>
  </si>
  <si>
    <t>hossztoldó elem</t>
  </si>
  <si>
    <t>panelová spojka</t>
  </si>
  <si>
    <t>Koppeling</t>
  </si>
  <si>
    <t>Konektor za spoj</t>
  </si>
  <si>
    <t>skarvdon</t>
  </si>
  <si>
    <t>Stik</t>
  </si>
  <si>
    <t>Butt skjøtkobling</t>
  </si>
  <si>
    <t>Čeoni konektor</t>
  </si>
  <si>
    <t>Stoßverbinder (Länge: 150 mm)</t>
  </si>
  <si>
    <t>joint connector; L = 150 mm</t>
  </si>
  <si>
    <t>profil de liaison (longueur : 150 mm)</t>
  </si>
  <si>
    <t>giunto per gocciolatoio; L = 150 mm</t>
  </si>
  <si>
    <t>spojka okapnic, délka 150 mm</t>
  </si>
  <si>
    <t>Łącznik czołowy do elementu fasady L=150 mm</t>
  </si>
  <si>
    <t>illesztőlemez H = 150 mm</t>
  </si>
  <si>
    <t>panelová spojka, dĺžka 150 mm</t>
  </si>
  <si>
    <t>stootverbinding L = 150 mm</t>
  </si>
  <si>
    <t>Konektor za spoj (dolžina: 150 mm)</t>
  </si>
  <si>
    <t>stötanslutning L = 150 mm</t>
  </si>
  <si>
    <t>stødforbinder L = 150 mm</t>
  </si>
  <si>
    <t>støtforbinder L = 150 mm</t>
  </si>
  <si>
    <t>Spojni element L=150mm</t>
  </si>
  <si>
    <t>Straße:</t>
  </si>
  <si>
    <t>Street:</t>
  </si>
  <si>
    <t>Adresse :</t>
  </si>
  <si>
    <t>Via:</t>
  </si>
  <si>
    <t>Ulice:</t>
  </si>
  <si>
    <t>Ulica:</t>
  </si>
  <si>
    <t>Utca:</t>
  </si>
  <si>
    <t>Straat:</t>
  </si>
  <si>
    <t>Ulica</t>
  </si>
  <si>
    <t>Gatuadress:</t>
  </si>
  <si>
    <t>Gade:</t>
  </si>
  <si>
    <t>Gate:</t>
  </si>
  <si>
    <t>Strukturmatte</t>
  </si>
  <si>
    <t>structural matting</t>
  </si>
  <si>
    <t>natte structurée</t>
  </si>
  <si>
    <t>Strato separatore a filamento 3D</t>
  </si>
  <si>
    <t>strukturní rohož</t>
  </si>
  <si>
    <t>Mata strukturalna</t>
  </si>
  <si>
    <t>alátétszőnyeg</t>
  </si>
  <si>
    <t>štruktúrovaná rohož</t>
  </si>
  <si>
    <t>Structuurmat</t>
  </si>
  <si>
    <t>Strukturna blazina</t>
  </si>
  <si>
    <t>texturmatta</t>
  </si>
  <si>
    <t>Strukturmåtte</t>
  </si>
  <si>
    <t>Podloga s teksturom</t>
  </si>
  <si>
    <t>goffrata</t>
  </si>
  <si>
    <t>stukkó</t>
  </si>
  <si>
    <t>stuckatur</t>
  </si>
  <si>
    <t>Stückliste – Siding</t>
  </si>
  <si>
    <t>Parts list – siding</t>
  </si>
  <si>
    <t>Nomenclature —Siding</t>
  </si>
  <si>
    <t>Elenco pezzi Doga</t>
  </si>
  <si>
    <t>Kusovník Stavební šířka</t>
  </si>
  <si>
    <t>Lista elementów szerokość</t>
  </si>
  <si>
    <t>Darablista szélességenként</t>
  </si>
  <si>
    <t>Kusovník podľa stavebnej šířky</t>
  </si>
  <si>
    <t>Stuklijst Siding</t>
  </si>
  <si>
    <t>Kosovni seznam – Siding</t>
  </si>
  <si>
    <t>Komponentlista fasadpanel</t>
  </si>
  <si>
    <t>stykliste siding</t>
  </si>
  <si>
    <t>Deleliste kledning</t>
  </si>
  <si>
    <t>Komadna lista Siding</t>
  </si>
  <si>
    <t>Sturmsicherung</t>
  </si>
  <si>
    <t>storm-proof clip</t>
  </si>
  <si>
    <t>clip tempête</t>
  </si>
  <si>
    <t>Protezione antivento</t>
  </si>
  <si>
    <t>Pojistka proti větru</t>
  </si>
  <si>
    <t>Instalacja odgromowa</t>
  </si>
  <si>
    <t>viharrögzítés</t>
  </si>
  <si>
    <t>kotvenie proti búrke</t>
  </si>
  <si>
    <t>Stormbescherming</t>
  </si>
  <si>
    <t>Varovalo pred nevihto</t>
  </si>
  <si>
    <t>stormsäkring</t>
  </si>
  <si>
    <t>Stormsikring</t>
  </si>
  <si>
    <t>Zaštita od oluja</t>
  </si>
  <si>
    <t>Sturmsicherungsclip</t>
  </si>
  <si>
    <t>clip antivento</t>
  </si>
  <si>
    <t>pojistný clips proti větru</t>
  </si>
  <si>
    <t>Klips przeciwburzowy</t>
  </si>
  <si>
    <t xml:space="preserve">viharkapocs   </t>
  </si>
  <si>
    <t>antivibračná svorka</t>
  </si>
  <si>
    <t>stormborgingsclip</t>
  </si>
  <si>
    <t>Varnostna sponka za nevihto</t>
  </si>
  <si>
    <t>stormsäkringsclips</t>
  </si>
  <si>
    <t>stormsikringsklips</t>
  </si>
  <si>
    <t>Sigurnosni clip držač kod nevremena</t>
  </si>
  <si>
    <t>Sturzprofil</t>
  </si>
  <si>
    <t>lintel profile</t>
  </si>
  <si>
    <t>profil de linteau</t>
  </si>
  <si>
    <t>Profilo di sostegno</t>
  </si>
  <si>
    <t>Nosný profil</t>
  </si>
  <si>
    <t>Profil nadproża</t>
  </si>
  <si>
    <t>ablakpárkány profil</t>
  </si>
  <si>
    <t>profil na ochranu proti pádu</t>
  </si>
  <si>
    <t>Lateiprofiel</t>
  </si>
  <si>
    <t>Previsni profil</t>
  </si>
  <si>
    <t>profil överstycke</t>
  </si>
  <si>
    <t>Topprofil</t>
  </si>
  <si>
    <t>Overliggerprofil</t>
  </si>
  <si>
    <t>Izbočeni profil</t>
  </si>
  <si>
    <t>Stutzen</t>
  </si>
  <si>
    <t>Staffa</t>
  </si>
  <si>
    <t>Króciec</t>
  </si>
  <si>
    <t>betorkolló csonk</t>
  </si>
  <si>
    <t>Aansluiting</t>
  </si>
  <si>
    <t>Nacevnik</t>
  </si>
  <si>
    <t>stöd</t>
  </si>
  <si>
    <t>Studs</t>
  </si>
  <si>
    <t>Støtter</t>
  </si>
  <si>
    <t>Stutzen mit Grundplatte</t>
  </si>
  <si>
    <t>outlet with base plate</t>
  </si>
  <si>
    <t>moignon avec bordure d’appui</t>
  </si>
  <si>
    <t>Staffa con piastra di base</t>
  </si>
  <si>
    <t>hrdlo s přírubou</t>
  </si>
  <si>
    <t>Króciec z płytą bazową</t>
  </si>
  <si>
    <t>betorkolló csonk alaplemezzel</t>
  </si>
  <si>
    <t>hrdlo so spodnou platňou</t>
  </si>
  <si>
    <t>Aansluiting met grondplaat</t>
  </si>
  <si>
    <t>Nacevnik z osnovno ploščo</t>
  </si>
  <si>
    <t>stöd med bottenplatta</t>
  </si>
  <si>
    <t>Studs med grundplade</t>
  </si>
  <si>
    <t>Støtter med grunnplate</t>
  </si>
  <si>
    <t>Odvod s osnovnom pločom</t>
  </si>
  <si>
    <t>Stutzen mit Klebeflansch (passend für Ablaufrohr ⌀ 60)</t>
  </si>
  <si>
    <t>Outlet with bonding flange, suitable for ∅ 60 downpipes</t>
  </si>
  <si>
    <t>moignon plat (pour tuyaux de descente ⌀ 60)</t>
  </si>
  <si>
    <t>Manicotto con flangia ad incollaggio per pluviale Ø 60</t>
  </si>
  <si>
    <t>Hrdlo s lepicí přírubou (vhodné pro svod 60)</t>
  </si>
  <si>
    <t>Króciec z kołnierzem przyklejanym (pasuje do rury spustowej ⌀ 60)</t>
  </si>
  <si>
    <t>betorkolló csonk ragasztható peremmel (⌀ 60 lefolyócsőhöz)</t>
  </si>
  <si>
    <t>hrdlo s lemom pre lepenie (vhodné pre dažďový zvod ⌀ 60)</t>
  </si>
  <si>
    <t>Aansluiting met zelfklevende flens (geschikt voor afvoerbuis ⌀ 60)</t>
  </si>
  <si>
    <t>Nacevnik z lepilno prirobnico (ustreza odtočni cevi ⌀ 60)</t>
  </si>
  <si>
    <t>stöd med självhäftande fläns (lämplig för avloppsrör ⌀ 60)</t>
  </si>
  <si>
    <t>Studs med klæbeflange (passende til afløbsrør ⌀ 60)</t>
  </si>
  <si>
    <t>Støtter med limflens (passer til nedløpsrør ⌀ 60)</t>
  </si>
  <si>
    <t>Odvod s ljepljivom prirubnicom (prikladno za odvodnu cijev ⌀ 60)</t>
  </si>
  <si>
    <t>Sunny</t>
  </si>
  <si>
    <t>T</t>
  </si>
  <si>
    <t>Tafelbreite (1.100 mm)</t>
  </si>
  <si>
    <t>panel width (1,100 mm)</t>
  </si>
  <si>
    <t>largeur de la feuille (1 100 mm)</t>
  </si>
  <si>
    <t>Larghezza dell'asse (1.100 mm)</t>
  </si>
  <si>
    <t>Šířka tabule (1100 mm)</t>
  </si>
  <si>
    <t>Szerokość arkusza (1100 mm)</t>
  </si>
  <si>
    <t>táblaszélesség (1100 mm)</t>
  </si>
  <si>
    <t>Šírka tabule: (1 100 mm)</t>
  </si>
  <si>
    <t>Paneelbreedte (1.100 mm)</t>
  </si>
  <si>
    <t>Širina panela (1.100 mm)</t>
  </si>
  <si>
    <t>panelbredd (1 100 mm)</t>
  </si>
  <si>
    <t>Pladebredde (1.100 mm)</t>
  </si>
  <si>
    <t>Tavlebredde (1100 mm)</t>
  </si>
  <si>
    <t>Taschenprofil</t>
  </si>
  <si>
    <t>channel profile</t>
  </si>
  <si>
    <t>profil replié</t>
  </si>
  <si>
    <t>Profilo ripiegato</t>
  </si>
  <si>
    <t>Ukončovací profil pro Siding</t>
  </si>
  <si>
    <t>Profil kieszeniowy</t>
  </si>
  <si>
    <t>zsebes profil</t>
  </si>
  <si>
    <t>kapsový profil</t>
  </si>
  <si>
    <t>Zakprofiel</t>
  </si>
  <si>
    <t>Žepni profil</t>
  </si>
  <si>
    <t>fickprofil</t>
  </si>
  <si>
    <t>Taskeprofil</t>
  </si>
  <si>
    <t>Lommeprofil</t>
  </si>
  <si>
    <t>C profil</t>
  </si>
  <si>
    <t>Taschenprofil gekantet</t>
  </si>
  <si>
    <t>channel profile (canted)</t>
  </si>
  <si>
    <t>Profilo ripiegato squadrato</t>
  </si>
  <si>
    <t>Ukončovací profil pro Siding hraněný</t>
  </si>
  <si>
    <t>Profil kieszeniowy z krawędzią</t>
  </si>
  <si>
    <t>zsebes profil, hajtott</t>
  </si>
  <si>
    <t>kapsový profil ohýbaný</t>
  </si>
  <si>
    <t>Zakprofiel gevoegd</t>
  </si>
  <si>
    <t>Žepni profil obrobljen</t>
  </si>
  <si>
    <t>kantad fickprofil</t>
  </si>
  <si>
    <t>Taskeprofil kantet</t>
  </si>
  <si>
    <t>Kantet lommeprofil</t>
  </si>
  <si>
    <t>C profil, kantiran</t>
  </si>
  <si>
    <t>Taschenprofil (Länge: 2.500 mm)</t>
  </si>
  <si>
    <t>channel profile; L = 2,500 mm</t>
  </si>
  <si>
    <t>profil replié (longueur : 2 500 mm)</t>
  </si>
  <si>
    <t>profilo ripiegato; L = 2500 mm</t>
  </si>
  <si>
    <t>ukončovací profil pro Sidings, délka 2500 mm</t>
  </si>
  <si>
    <t>Profil kantowany L=2500 mm</t>
  </si>
  <si>
    <t>takaróprofil H = 2.500 mm</t>
  </si>
  <si>
    <t>kryt režných otvorov, dĺžka 2500 mm</t>
  </si>
  <si>
    <t>zakprofiel L = 2500 mm</t>
  </si>
  <si>
    <t>Žepni profil (dolžina: 2.500 mm)</t>
  </si>
  <si>
    <t>fickprofil L = 2.500 mm</t>
  </si>
  <si>
    <t>lommeprofil L = 2.500 mm</t>
  </si>
  <si>
    <t>lommeprofil L = 2500 mm</t>
  </si>
  <si>
    <t>C-Profil L = 2.500 mm</t>
  </si>
  <si>
    <t>Technische Änderungen und Druckfehler vorbehalten.</t>
  </si>
  <si>
    <t>Subject to technical modifications and printing errors.</t>
  </si>
  <si>
    <t>Sous réserve de modifications techniques et d’erreurs d’impression.</t>
  </si>
  <si>
    <t>Con riserva di modifiche tecniche ed errori di stampa.</t>
  </si>
  <si>
    <t>Technické změny a tiskové chyby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</si>
  <si>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</si>
  <si>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</si>
  <si>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</si>
  <si>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</si>
  <si>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</si>
  <si>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</si>
  <si>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Der tages forbehold for tekniske ændringer og trykfejl.</t>
  </si>
  <si>
    <t>Med forbehold om tekniske endringer og trykkfeil.</t>
  </si>
  <si>
    <t>Podložno tehničkim promjenama i tiskarskim pogreškama.</t>
  </si>
  <si>
    <t>Telefon:</t>
  </si>
  <si>
    <t>Phone:</t>
  </si>
  <si>
    <t>Téléphone :</t>
  </si>
  <si>
    <t>Telefono:</t>
  </si>
  <si>
    <t>Telefón:</t>
  </si>
  <si>
    <t>Telefoon:</t>
  </si>
  <si>
    <t>telefon</t>
  </si>
  <si>
    <t>Teleskoprohrbogen; längenverstellbar von 700 bis 1.000 mm; DN 100</t>
  </si>
  <si>
    <t>telescopic downpipe elbow, adjustable from 700 to 1,000 mm, nominal size 100</t>
  </si>
  <si>
    <t>coude télescopique ; longueur réglable : entre 700 et 1 000 mm ; DN 100</t>
  </si>
  <si>
    <t>Voluta allungabile da 700 a 1.000 mm DN 100</t>
  </si>
  <si>
    <t>Teleskop-koleno od 700 do 1.000 mm DN 100</t>
  </si>
  <si>
    <t>Teleskop 700 - 1.000 mm, DN 100</t>
  </si>
  <si>
    <t>teleszkópos hattyúnyak 700 - 1.000 mm DN 106</t>
  </si>
  <si>
    <t>teleskopické koleno nastaviteľná dĺžka od 700 do 1.000 mm DN 100</t>
  </si>
  <si>
    <t>telescopisch kniestuk, in lengte verstelbaar van 700 tot 1000 mm, DN 100</t>
  </si>
  <si>
    <t>teleskopsko koleno 72o od 700 do 1.000 mm DN 100</t>
  </si>
  <si>
    <t>teleskoprörvinkel, inställningsbar i längsled på mellan 700 och 1.000 mm, DN 100</t>
  </si>
  <si>
    <t>teleskoprørbøjning, længdejusterbar fra 700 til 1.000 mm, DN 100</t>
  </si>
  <si>
    <t>teleskopbend, justerbar lengde fra 700 til 1000 mm, DN 100</t>
  </si>
  <si>
    <t>Koljeno teleskopske cijevi, podesiva duljina od 700 do 1.000 mm; DN 100</t>
  </si>
  <si>
    <t>Total</t>
  </si>
  <si>
    <t>Totale</t>
  </si>
  <si>
    <t>Celkem</t>
  </si>
  <si>
    <t>Suma</t>
  </si>
  <si>
    <t>összesen</t>
  </si>
  <si>
    <t>Celkom</t>
  </si>
  <si>
    <t>Totaal</t>
  </si>
  <si>
    <t>skupaj</t>
  </si>
  <si>
    <t>Totalt</t>
  </si>
  <si>
    <t>I alt</t>
  </si>
  <si>
    <t>Ukupno</t>
  </si>
  <si>
    <t>tragender Untergrund</t>
  </si>
  <si>
    <t>supporting structure</t>
  </si>
  <si>
    <t>structure porteuse</t>
  </si>
  <si>
    <t>Substrato portante</t>
  </si>
  <si>
    <t>nosný podklad</t>
  </si>
  <si>
    <t>Podłoże nośne</t>
  </si>
  <si>
    <t>teherhordó falszerkezet</t>
  </si>
  <si>
    <t>dragende ondergrond</t>
  </si>
  <si>
    <t>nosilna podlaga</t>
  </si>
  <si>
    <t>stödjande undergrund</t>
  </si>
  <si>
    <t>bærende underlag</t>
  </si>
  <si>
    <t>Bærende undergrunn</t>
  </si>
  <si>
    <t>noseča podloga</t>
  </si>
  <si>
    <t>Tragprofil</t>
  </si>
  <si>
    <t>support profile</t>
  </si>
  <si>
    <t>profil porteur</t>
  </si>
  <si>
    <t>Profilo portante</t>
  </si>
  <si>
    <t>Profil nośny</t>
  </si>
  <si>
    <t>tartósín</t>
  </si>
  <si>
    <t>nosný profil</t>
  </si>
  <si>
    <t>Draagprofiel</t>
  </si>
  <si>
    <t>Nosilni profil</t>
  </si>
  <si>
    <t>supportprofil</t>
  </si>
  <si>
    <t>Bæreprofil</t>
  </si>
  <si>
    <t>Støtteprofil</t>
  </si>
  <si>
    <t>Nosivi profil</t>
  </si>
  <si>
    <t>Trapezleiste</t>
  </si>
  <si>
    <t>trapezoidal strip</t>
  </si>
  <si>
    <t>tasseau trapézoïdal</t>
  </si>
  <si>
    <t>Striscia a trapezio</t>
  </si>
  <si>
    <t>trapézová lať</t>
  </si>
  <si>
    <t>Belka trapezowa</t>
  </si>
  <si>
    <t>trapézléc</t>
  </si>
  <si>
    <t>trapézová lišta</t>
  </si>
  <si>
    <t>Trapezebalk</t>
  </si>
  <si>
    <t>Trapezna letev</t>
  </si>
  <si>
    <t>trapetslist</t>
  </si>
  <si>
    <t>Trapezliste</t>
  </si>
  <si>
    <t>Trapeslist</t>
  </si>
  <si>
    <t>Trapezna lajsna</t>
  </si>
  <si>
    <t>Traufenabschluss (gerade)</t>
  </si>
  <si>
    <t>straight eaves termination</t>
  </si>
  <si>
    <t>bordure de toit à angle droit</t>
  </si>
  <si>
    <t>Terminazione di gronda (dritta)</t>
  </si>
  <si>
    <t>Ukončení okapnice kolmé</t>
  </si>
  <si>
    <t>Zakończenie okapu (proste)</t>
  </si>
  <si>
    <t>ereszzáró (egyenes)</t>
  </si>
  <si>
    <t>ukončenie odkvapu (rovné)</t>
  </si>
  <si>
    <t>Afsluiting dakrand (recht)</t>
  </si>
  <si>
    <t>Zaključek napušča (raven)</t>
  </si>
  <si>
    <t>takfotsände (rak)</t>
  </si>
  <si>
    <t>Tagudhæng (lige)</t>
  </si>
  <si>
    <t>Takskjeggavslutning (rett)</t>
  </si>
  <si>
    <t>Završetak strehe (ravni)</t>
  </si>
  <si>
    <t>Traufenausbildung</t>
  </si>
  <si>
    <t>eaves construction</t>
  </si>
  <si>
    <t>réalisation d’un égout</t>
  </si>
  <si>
    <t>Raccordo alla gronda</t>
  </si>
  <si>
    <t>Detail okapní hrany</t>
  </si>
  <si>
    <t>Konstrukcja okapu</t>
  </si>
  <si>
    <t>ereszkialakítás</t>
  </si>
  <si>
    <t>vytvorenie odkvapu</t>
  </si>
  <si>
    <t>Dakrandvorming</t>
  </si>
  <si>
    <t>Oblikovanje napušča</t>
  </si>
  <si>
    <t>takfotsutformning</t>
  </si>
  <si>
    <t>Tagudhængsdesign</t>
  </si>
  <si>
    <t>Takskjeggoppbygging</t>
  </si>
  <si>
    <t>Konstrukcija strehe</t>
  </si>
  <si>
    <t>Traufenausbildung mit Kastenrinne</t>
  </si>
  <si>
    <t>eaves construction with box gutter</t>
  </si>
  <si>
    <t>réalisation d’un égout avec gouttière carrée</t>
  </si>
  <si>
    <t>Raccordo alla gronda con canale quadro</t>
  </si>
  <si>
    <t>Detail okapní hrany s hranatým žlabem</t>
  </si>
  <si>
    <t>Konstrukcja okapu z rynną skrzynkową</t>
  </si>
  <si>
    <t>ereszkialakítás négyszögszelvényű ereszcsatornával</t>
  </si>
  <si>
    <t>vytvorenie odkvapu pomocou hranatého žľabu</t>
  </si>
  <si>
    <t>Dakrandvorming met bakgoot</t>
  </si>
  <si>
    <t>Oblikovanje napušča s pravokotnim žlebom</t>
  </si>
  <si>
    <t>takfotsutformning med lådränna</t>
  </si>
  <si>
    <t>Tagudhængsdesign med kasserende</t>
  </si>
  <si>
    <t>Takskjeggoppbygging med firkantet renne</t>
  </si>
  <si>
    <t>Konstrukcija strehe sa sandučastim žlijebom</t>
  </si>
  <si>
    <t>Traufenausbildung mit Rinne</t>
  </si>
  <si>
    <t>eaves construction with gutter</t>
  </si>
  <si>
    <t>réalisation d’un égout avec gouttière</t>
  </si>
  <si>
    <t>Raccordo alla gronda con canale</t>
  </si>
  <si>
    <t>Detail okapní hrany s půlkulatým žlabem</t>
  </si>
  <si>
    <t>Konstrukcja okapu z rynną</t>
  </si>
  <si>
    <t>ereszkialakítás csatornával</t>
  </si>
  <si>
    <t>vytvorenie odkvapu pomocou polkruhového žľabu</t>
  </si>
  <si>
    <t>Dakrandvorming met goot</t>
  </si>
  <si>
    <t>Oblikovanje napušča z žlebom</t>
  </si>
  <si>
    <t>takfotsutformning med ränna</t>
  </si>
  <si>
    <t>Tagudhængsdesign med rende</t>
  </si>
  <si>
    <t>Takskjeggoppbygging med renne</t>
  </si>
  <si>
    <t>Konstrukcija strehe sa žlijebom</t>
  </si>
  <si>
    <t>Traufenausbildung mit Rinnenhaken hochkant (gedreht)</t>
  </si>
  <si>
    <t>eaves construction with upright gutter bracket</t>
  </si>
  <si>
    <t>réalisation d’un égout avec crochet de chant (chantourné)</t>
  </si>
  <si>
    <t>Raccordo alla gronda con cicogne con ferro in costa (ruotati)</t>
  </si>
  <si>
    <t>Detail okapní hrany se zpevněným hákem přetočeným</t>
  </si>
  <si>
    <t>Konstrukcja okapu z uchwytem do montażu rynny w pozycji pionowej (obróconym)</t>
  </si>
  <si>
    <t>ereszkialakítás függőleges csatornatartó elemmel (fordított)</t>
  </si>
  <si>
    <t>vytvorenie odkvapu pomocou spevneného háku polkruhového žľabu (stočeného)</t>
  </si>
  <si>
    <t>Dakrandvorming met goothaak aan de rand (gedraaid)</t>
  </si>
  <si>
    <t>Oblikovanje napušča s kavljem za žleb z visokim robom (obrnjen)</t>
  </si>
  <si>
    <t>takfotsutformning med rännkrokar högkant (vriden)</t>
  </si>
  <si>
    <t>Tagudhængsdesign med rendejern højkant (drejet)</t>
  </si>
  <si>
    <t>Takskjeggoppbygging med rennekroker med høy kant (dreid)</t>
  </si>
  <si>
    <t>Konstrukcija strehe s kukom žlijeba, na kant (okrenuta)</t>
  </si>
  <si>
    <t>Traufenausbildung mit Rinnenhaken hochkant (Variante 1)</t>
  </si>
  <si>
    <t>eaves construction with upright gutter bracket (variant 1)</t>
  </si>
  <si>
    <t>réalisation d’un égout avec crochet de chant (variante 1)</t>
  </si>
  <si>
    <t>Raccordo alla gronda con cicogne con ferro in costa (variante 1)</t>
  </si>
  <si>
    <t>Detail okapní hrany se zpevněným hákem Var.1</t>
  </si>
  <si>
    <t>Konstrukcja okapu z uchwytem do montażu rynny w pozycji pionowej (wariant 1)</t>
  </si>
  <si>
    <t>ereszkialakítás függőleges csatornatartó elemmel (1. változat)</t>
  </si>
  <si>
    <t>vytvorenie odkvapu pomocou spevneného háku polkruhového žľabu (variant 1)</t>
  </si>
  <si>
    <t>Dakrandvorming met goothaak aan de rand (variant 1)</t>
  </si>
  <si>
    <t>Oblikovanje napušča s kavljem za žleb z visokim robom (različica 1)</t>
  </si>
  <si>
    <t>takfotsutformning med rännkrokar högkant (variant 1)</t>
  </si>
  <si>
    <t>Tagudhængsdesign med rendejern højkant (variant 1)</t>
  </si>
  <si>
    <t>Takskjeggoppbygging med rennekroker med høy kant (variant 1)</t>
  </si>
  <si>
    <t>Konstrukcija strehe s kukom žlijeba, na kant (varijanta 1)</t>
  </si>
  <si>
    <t>Traufenausbildung mit Rinnenhaken hochkant (Variante 2)</t>
  </si>
  <si>
    <t>eaves construction with upright gutter bracket (variant 2)</t>
  </si>
  <si>
    <t>réalisation d’un égout avec crochet de chant (variante 2)</t>
  </si>
  <si>
    <t>Raccordo alla gronda con cicogne con ferro in costa (variante 2)</t>
  </si>
  <si>
    <t>Detail okapní hrany se zpevněným hákem Var.2</t>
  </si>
  <si>
    <t>Konstrukcja okapu z uchwytem do montażu rynny w pozycji pionowej (wariant 2)</t>
  </si>
  <si>
    <t>ereszkialakítás függőleges csatornatartó elemmel (2. változat)</t>
  </si>
  <si>
    <t>vytvorenie odkvapu pomocou spevneného háku polkruhového žľabu (variant 2)</t>
  </si>
  <si>
    <t>Dakrandvorming met goothaak aan de rand (variant 2)</t>
  </si>
  <si>
    <t>Oblikovanje napušča s kavljem za žleb z visokim robom (različica 2)</t>
  </si>
  <si>
    <t>takfotsutformning med rännkrokar högkant (variant 2)</t>
  </si>
  <si>
    <t>Tagudhængsdesign med rendejern højkant (variant 2)</t>
  </si>
  <si>
    <t>Takskjeggoppbygging med rennekroker med høy kant (variant 2)</t>
  </si>
  <si>
    <t>Konstrukcija strehe s kukom žlijeba, na kant (varijanta 2)</t>
  </si>
  <si>
    <t>Traufenausbildung mit Saumrinne</t>
  </si>
  <si>
    <t>eaves construction with on-roof gutter</t>
  </si>
  <si>
    <t>réalisation d’un égout avec gouttière havraise</t>
  </si>
  <si>
    <t>Raccordo alla gronda con grondaia cornicione</t>
  </si>
  <si>
    <t>Detail okapní hrany s nástřešním žlabem</t>
  </si>
  <si>
    <t>Konstrukcja okapu z rynną leżącą</t>
  </si>
  <si>
    <t>ereszkialakítás fekvő eresszel</t>
  </si>
  <si>
    <t>vytvorenie odkvapu pomocou nástrešného žľabu</t>
  </si>
  <si>
    <t>Dakrandvorming met dakgoot</t>
  </si>
  <si>
    <t>Oblikovanje napušča z robnim žlebom</t>
  </si>
  <si>
    <t>takfotsutformning med sömränna</t>
  </si>
  <si>
    <t>Tagudhængsdesign med fodrende</t>
  </si>
  <si>
    <t>Takskjeggoppbygging med falsrenne</t>
  </si>
  <si>
    <t>Konstrukcija strehe s ležećim žlijebom</t>
  </si>
  <si>
    <t>Traufenausbildung bei Saumrinne</t>
  </si>
  <si>
    <t>eaves construction — on-roof gutter</t>
  </si>
  <si>
    <t>réalisation d’un égout pour gouttière havraise</t>
  </si>
  <si>
    <t>Raccordo alla gronda per grondaia cornicione</t>
  </si>
  <si>
    <t>Konstrukcja okapu przy rynnie leżącej</t>
  </si>
  <si>
    <t>ereszkialakítás fekvő eresz esetén</t>
  </si>
  <si>
    <t>vytvorenie odkvapu pri nástrešnom žľabe</t>
  </si>
  <si>
    <t>Dakrandvorming bij dakgoot</t>
  </si>
  <si>
    <t>Oblikovanje napušča pri robnem žlebu</t>
  </si>
  <si>
    <t>takfotsutformning vid sömrännan</t>
  </si>
  <si>
    <t>Tagudhængsdesign ved fodrende</t>
  </si>
  <si>
    <t>Takskjeggoppbygging ved falsrenne</t>
  </si>
  <si>
    <t>Konstrukcija strehe kod ležećeg žlijeba</t>
  </si>
  <si>
    <t>Traufenausbildung bei Saumrinne (mit Hinterlüftung)</t>
  </si>
  <si>
    <t>eaves construction — on-roof gutter with ventilation gap</t>
  </si>
  <si>
    <t>réalisation d’un égout pour gouttière havraise (avec lame d’air ventilée)</t>
  </si>
  <si>
    <t>Raccordo alla gronda per grondaia cornicione (con retroventilazione)</t>
  </si>
  <si>
    <t>Detail okapní hrany s nástřešním žlabem s odvětráním</t>
  </si>
  <si>
    <t>Konstrukcja okapu przy rynnie leżącej (z wentylowaną pustką powietrzną)</t>
  </si>
  <si>
    <t>ereszkialakítás fekvő eresz esetén (átszellőztetéssel)</t>
  </si>
  <si>
    <t>vytvorenie odkvapu pri nástrešnom žľabe (s prevetrávanou medzerou)</t>
  </si>
  <si>
    <t>Dakrandvorming bij dakgoot (met ventilatie via achterkant)</t>
  </si>
  <si>
    <t>Oblikovanje napušča pri robnem žlebu (s prezračevanjem)</t>
  </si>
  <si>
    <t>takfotsutformning vid sömrännan (med bakventilation)</t>
  </si>
  <si>
    <t>Tagudhængsdesign ved fodrende (med ventilation)</t>
  </si>
  <si>
    <t>Takskjeggoppbygging ved falsrenne (med baklufting)</t>
  </si>
  <si>
    <t>Konstrukcija strehe kod ležećeg žlijeba (sa stražnjom ventilacijom)</t>
  </si>
  <si>
    <t>Traufenstreifen</t>
  </si>
  <si>
    <t>Listwa okapowa</t>
  </si>
  <si>
    <t>ereszszalag</t>
  </si>
  <si>
    <t>odkvapové pásy</t>
  </si>
  <si>
    <t>Dakrandstrips</t>
  </si>
  <si>
    <t>Napuščni trak</t>
  </si>
  <si>
    <t>takfotsrand</t>
  </si>
  <si>
    <t>Tagudhængsliste</t>
  </si>
  <si>
    <t>Takskjegglister</t>
  </si>
  <si>
    <t>Traka za strehe</t>
  </si>
  <si>
    <t>Traufstreifen</t>
  </si>
  <si>
    <t>Pas okapowy</t>
  </si>
  <si>
    <t>odkvapový pás</t>
  </si>
  <si>
    <t>Dakrandstrip</t>
  </si>
  <si>
    <t>takfotsremsa</t>
  </si>
  <si>
    <t>Takfotlister</t>
  </si>
  <si>
    <t>Traka za strehu</t>
  </si>
  <si>
    <t>Trennlage (bituminöse Unterdeckbahn)</t>
  </si>
  <si>
    <t>separating layer (bitumen roof underlay)</t>
  </si>
  <si>
    <t>couche de séparation (lé de sous-couverture bitumineux)</t>
  </si>
  <si>
    <t>Strato separatore (membrana sottomanto bituminosa)</t>
  </si>
  <si>
    <t>Warstwa rozdzielająca (bitumiczna membrana szalunkowa)</t>
  </si>
  <si>
    <t>elválasztóréteg (bitumenes tetőalátét)</t>
  </si>
  <si>
    <t>separačná vrstva (bitúmenový podkladový pás)</t>
  </si>
  <si>
    <t>Scheidingslaag (bitumineus schoorsteenmembraan)</t>
  </si>
  <si>
    <t>Ločilni sloj (bitumenski podstrešni trak)</t>
  </si>
  <si>
    <t>separationsskikt (bituminöst underlagsmembran)</t>
  </si>
  <si>
    <t>Skillelag (bituminøst undertag)</t>
  </si>
  <si>
    <t>Skillelag (underliggende dekklag i bitumenpapp)</t>
  </si>
  <si>
    <t>Razdvojni sloj (bitumenska podloga)</t>
  </si>
  <si>
    <t>Tropfblech</t>
  </si>
  <si>
    <t>drip flashing</t>
  </si>
  <si>
    <t>larmier</t>
  </si>
  <si>
    <t>Gocciolatoio</t>
  </si>
  <si>
    <t>okapnice</t>
  </si>
  <si>
    <t>Blacha ociekowa</t>
  </si>
  <si>
    <t>csepegtető lemez</t>
  </si>
  <si>
    <t>odkvapkávací plech</t>
  </si>
  <si>
    <t>Lekbak</t>
  </si>
  <si>
    <t>Odkapna pločevina</t>
  </si>
  <si>
    <t>droppbricka</t>
  </si>
  <si>
    <t>Drypplate</t>
  </si>
  <si>
    <t>Lim za zaustavljanje vode</t>
  </si>
  <si>
    <t>Überbügel</t>
  </si>
  <si>
    <t>reinforcement hanger</t>
  </si>
  <si>
    <t>bride de renfort</t>
  </si>
  <si>
    <t>Tirante</t>
  </si>
  <si>
    <t>Zpevňující prvek žlabu</t>
  </si>
  <si>
    <t>wieszak zbrojeniowy</t>
  </si>
  <si>
    <t>merevítő elem</t>
  </si>
  <si>
    <t>prípravok na vŕtanie</t>
  </si>
  <si>
    <t>bovenbeugel</t>
  </si>
  <si>
    <t>Vrhnji nosilec</t>
  </si>
  <si>
    <t>överbygel</t>
  </si>
  <si>
    <t>overbøjle</t>
  </si>
  <si>
    <t>stagbånd</t>
  </si>
  <si>
    <t>Prečka</t>
  </si>
  <si>
    <t>Übergangsverblechung</t>
  </si>
  <si>
    <t>transition flashing</t>
  </si>
  <si>
    <t>bande de recouvrement de la ligne de bris</t>
  </si>
  <si>
    <t>Conversa di raccordo</t>
  </si>
  <si>
    <t>přechodové oplechování</t>
  </si>
  <si>
    <t>Obudowa przejściowa</t>
  </si>
  <si>
    <t>átmeneti lemez</t>
  </si>
  <si>
    <t>prechodové oplechovanie</t>
  </si>
  <si>
    <t>Overgangsbeplating</t>
  </si>
  <si>
    <t>Opločevinjenje prehoda</t>
  </si>
  <si>
    <t>övergångsplåt</t>
  </si>
  <si>
    <t>Overgangsplade</t>
  </si>
  <si>
    <t>Overgangsplate</t>
  </si>
  <si>
    <t>Prijelazni lim</t>
  </si>
  <si>
    <t>Überlappung: 100 mm</t>
  </si>
  <si>
    <t>overlap: 100 mm</t>
  </si>
  <si>
    <t>chevauchement : 100 mm</t>
  </si>
  <si>
    <t>Sovrapposizione: 100 mm</t>
  </si>
  <si>
    <t>Přeložení 100 mm</t>
  </si>
  <si>
    <t>Nakładanie się: 100 mm</t>
  </si>
  <si>
    <t>átfedés: 100 mm</t>
  </si>
  <si>
    <t>Preloženie: 100 mm</t>
  </si>
  <si>
    <t>Overlapping: 100 mm</t>
  </si>
  <si>
    <t>Prekrivanje: 100 mm</t>
  </si>
  <si>
    <t>överlappning: 100 mm</t>
  </si>
  <si>
    <t>Overlapning: 100 mm</t>
  </si>
  <si>
    <t>Preklapanje: 100 mm</t>
  </si>
  <si>
    <t>Überschubteil mit Rohr zum First</t>
  </si>
  <si>
    <t>protective cap with pipe to ridge</t>
  </si>
  <si>
    <t>manchon de protection avec tuyau orienté vers le faîte</t>
  </si>
  <si>
    <t>Parte in sovrapposizione con il tubo fino al colmo</t>
  </si>
  <si>
    <t>kabelový kanál s vývodem ke hřebeni</t>
  </si>
  <si>
    <t>Kształtka dokręcana z rurą do kalenicy</t>
  </si>
  <si>
    <t>védősapka csővel a gerincre</t>
  </si>
  <si>
    <t>zásuvný diel s rúrou k hrebeňu</t>
  </si>
  <si>
    <t>Overlappend deel met pijp naar de nok</t>
  </si>
  <si>
    <t>Narivni del s cevjo na greben</t>
  </si>
  <si>
    <t>Överskjutande del med rör till nock</t>
  </si>
  <si>
    <t>Beskyttelsesdel med rør til rygning</t>
  </si>
  <si>
    <t>Overskyvningsdel med rør til mønet</t>
  </si>
  <si>
    <t>Poklopac s cijevi do sljemena</t>
  </si>
  <si>
    <t>Umbau und Sanierungsarbeiten an der Dacheindeckung</t>
  </si>
  <si>
    <t>renovation work on the roof covering</t>
  </si>
  <si>
    <t>modifications et travaux de rénovation de la couverture</t>
  </si>
  <si>
    <t>Lavori di conversione e ristrutturazione della copertura del tetto</t>
  </si>
  <si>
    <t>rekonstrukce nebo sanace střešní krytiny</t>
  </si>
  <si>
    <t>Prace związane z przebudową i renowacją pokrycia dachowego</t>
  </si>
  <si>
    <t>átalakítási és felújítási munkálatok a tetőfedésen</t>
  </si>
  <si>
    <t>prestavba a rekonštručné práce na strešnej krytine</t>
  </si>
  <si>
    <t>Verbouwings- en renovatiewerkzaamheden aan de dakbedekking</t>
  </si>
  <si>
    <t>Preureditev in sanacija strešne kritine</t>
  </si>
  <si>
    <t>Ombyggnad och renovering av takbeläggning</t>
  </si>
  <si>
    <t>Ombygnings- og renoveringsarbejder på tagdækningen</t>
  </si>
  <si>
    <t>Ombygging og renoveringsarbeid på takbelegget</t>
  </si>
  <si>
    <t>Radovi na prenamjeni i sanaciji krovnog pokrova</t>
  </si>
  <si>
    <t>Ein Unterdach ist in folgenden Fällen erforderlich:</t>
  </si>
  <si>
    <t>At all events, underlay must be installed:</t>
  </si>
  <si>
    <t>Dans les cas suivants, la pose de lés de sous-couverture est requise :</t>
  </si>
  <si>
    <t>Un sottotetto è necessario nei seguenti casi:</t>
  </si>
  <si>
    <t>Pojistné hydroizolace se vždy navrhují</t>
  </si>
  <si>
    <t>Pokrycie więźby dachowej (krycie wstępne) jest wymagane w następujących przypadkach:</t>
  </si>
  <si>
    <t>a következő esetekben van szükség alsó tetősíkra:</t>
  </si>
  <si>
    <t>Podstrešie je potrebné v nasledujúcich prípadoch:</t>
  </si>
  <si>
    <t>Een onderdak is vereist in de volgende gevallen:</t>
  </si>
  <si>
    <t>Podstreha je potrebna v naslednjih primerih:</t>
  </si>
  <si>
    <t>Ett undertak krävs i följande fall:</t>
  </si>
  <si>
    <t>Et undertag er påkrævet i følgende tilfælde:</t>
  </si>
  <si>
    <t>Det kreves undertak i følgende tilfeller:</t>
  </si>
  <si>
    <t>Potkrov je potreban u sljedećim slučajevima:</t>
  </si>
  <si>
    <t>Unterdach-Traufenstreifen</t>
  </si>
  <si>
    <t>underlayment eaves apron strip</t>
  </si>
  <si>
    <t>bande de départ de lé de sous-couverture</t>
  </si>
  <si>
    <t>Scossalina sottotetto</t>
  </si>
  <si>
    <t>okapnička</t>
  </si>
  <si>
    <t>Listwa okapowa pokrycia więźby dachowej</t>
  </si>
  <si>
    <t>ereszszalag az alsó tetősíkhoz</t>
  </si>
  <si>
    <t>podstrešný odkvapový pás</t>
  </si>
  <si>
    <t>Onderdak-dakrandstrips</t>
  </si>
  <si>
    <t>Napuščni trak za podstreho</t>
  </si>
  <si>
    <t>takfotsremsa undertak</t>
  </si>
  <si>
    <t>Undertag- tagudhængsliste</t>
  </si>
  <si>
    <t>Takskjegglister undertak</t>
  </si>
  <si>
    <t>Potkrovna traka za strehu</t>
  </si>
  <si>
    <t>Unterdeckbahn</t>
  </si>
  <si>
    <t>roof underlay</t>
  </si>
  <si>
    <t>lé de sous-couverture</t>
  </si>
  <si>
    <t>Membrana sottomanto</t>
  </si>
  <si>
    <t>pojistná hydroizolace</t>
  </si>
  <si>
    <t>Membrana szalunkowa</t>
  </si>
  <si>
    <t>tetőalátét</t>
  </si>
  <si>
    <t>Schoorsteenmembraan</t>
  </si>
  <si>
    <t>Podstrešni trak</t>
  </si>
  <si>
    <t>underlagsmembran</t>
  </si>
  <si>
    <t>Undertag</t>
  </si>
  <si>
    <t>Underliggende dekklag</t>
  </si>
  <si>
    <t>Podloga</t>
  </si>
  <si>
    <t>Unterdeckbahn erhöht regensicher (mit BauderTOP UDS 3 NK)</t>
  </si>
  <si>
    <t>roof underlay with enhanced rain-proofing (with BauderTOP UDS 3 NK)</t>
  </si>
  <si>
    <t>lé de sous-couverture pour une résistance accrue à la pénétration d’eau (avec BauderTOP UDS 3 NK)</t>
  </si>
  <si>
    <t>Membrana sottomanto con aumento dell'impermeabilità alla pioggia (con BauderTOP UDS 3 NK)</t>
  </si>
  <si>
    <t>pojistná hydroizolace deštitěsná (BauderTOP UDS 3)</t>
  </si>
  <si>
    <t>Membrana szalunkowa o podwyższonej odporności na deszcz (z BauderTOP UDS 3 NK)</t>
  </si>
  <si>
    <t>tetőalátét fokozott esővédelemmel (BauderTOP UDS 3 NK-val)</t>
  </si>
  <si>
    <t>Podkladový pás zvyšuje ochranu proti dažďovej vode (s BauderTOP UDS 3 NSK)</t>
  </si>
  <si>
    <t>Schoorsteenmembraan verhoogt regendichtheid (met BauderTOP UDS 3 NK)</t>
  </si>
  <si>
    <t>Podstrešni trak poveča odpornost na dež (z BauderTOP UDS 3 NK)</t>
  </si>
  <si>
    <t>Extra regntätt underlagsmembran (med BauderTOP UDS 3 NK)</t>
  </si>
  <si>
    <t>Undertag øget regnsikkerhed (med BauderTOP UDS 3 NK)</t>
  </si>
  <si>
    <t>Et underliggende dekklag øker regnsikkerheten (med BauderTOP UDS 3 NK)</t>
  </si>
  <si>
    <t>Povišena podloga otporna na kišu (s BauderTOP UDS 3 NK)</t>
  </si>
  <si>
    <t>Unterdeckbahn (lt. Tabelle)</t>
  </si>
  <si>
    <t xml:space="preserve">roof underlay (according to table)  </t>
  </si>
  <si>
    <t>lé de sous-couverture (cf. tableau)</t>
  </si>
  <si>
    <t>Membrana sottomanto (secondo la tabella)</t>
  </si>
  <si>
    <t>pojistná hydroizolace dle tabulky</t>
  </si>
  <si>
    <t>Membrana szalunkowa (patrz tabela)</t>
  </si>
  <si>
    <t>tetőalátét (táblázat szerint)</t>
  </si>
  <si>
    <t>podkladový pás (podľa tabuľky)</t>
  </si>
  <si>
    <t>Schoorsteenmembraan (volgens tabel)</t>
  </si>
  <si>
    <t>Podstrešni trak (v skladu s tabelo)</t>
  </si>
  <si>
    <t>underlagsmembran (enl. tabell)</t>
  </si>
  <si>
    <t>Undertag (iht. tabel)</t>
  </si>
  <si>
    <t>Underliggende dekklag (iht. tabell)</t>
  </si>
  <si>
    <t>Podloga (prema tablici)</t>
  </si>
  <si>
    <t>Unterdeckbahn (lt. Tabelle; senkrecht zur Traufe verlegt)</t>
  </si>
  <si>
    <t>roof underlay (according to table; installed vertically to eaves)</t>
  </si>
  <si>
    <t>lé de sous-couverture (cf. tableau ; posé verticalement par rapport à l’égout)</t>
  </si>
  <si>
    <t>Membrana sottomanto (secondo la tabella; posata perpendicolarmente rispetto alla grondaia)</t>
  </si>
  <si>
    <t>pojistná hydroizolace dle tabulky (položená kolmo na okapní hranu)</t>
  </si>
  <si>
    <t>Membrana szalunkowa (patrz tabela; ułożona prostopadle do okapu)</t>
  </si>
  <si>
    <t>tetőalátét (táblázat szerint; az ereszre merőlegesen fektetve)</t>
  </si>
  <si>
    <t>podkladový pás (podľa tabuľka; položený kolmo k odkvapu)</t>
  </si>
  <si>
    <t>Schoorsteenmembraan (volgens tabel; loodrecht op de dakrand gelegd)</t>
  </si>
  <si>
    <t>Podstrešni trak (v skladu s tabelo; položena navpično proti napušču)</t>
  </si>
  <si>
    <t>underlagsmembran (enl. tabell; installerat vinkelrätt mot takfoten)</t>
  </si>
  <si>
    <t>Undertag (iht. tabel; monteret vinkelret på tagudhænget)</t>
  </si>
  <si>
    <t>Underliggende dekklag (iht. tabell; lagt vinkelrett mot takskjegget)</t>
  </si>
  <si>
    <t>Podloga (prema tablici, postavljena okomito na strehu)</t>
  </si>
  <si>
    <t>Unterlage für Laufroststützen</t>
  </si>
  <si>
    <t>underlay for walkway grating supports</t>
  </si>
  <si>
    <t>plaque de calage pour support de chemin de circulation</t>
  </si>
  <si>
    <t>Supporto per le staffe della griglia pedonabile</t>
  </si>
  <si>
    <t>podložka pod držák stoupací plošiny</t>
  </si>
  <si>
    <t>Podkład pod wspornik podestu</t>
  </si>
  <si>
    <t>járórácstartó elem alátéte</t>
  </si>
  <si>
    <t>podložka pre držiaky vodiaceho roštu</t>
  </si>
  <si>
    <t>Onderlaag voor looproosterdragers</t>
  </si>
  <si>
    <t>Podloga za opornike pohodne rešetke</t>
  </si>
  <si>
    <t>underlag för gallerdurkstöd</t>
  </si>
  <si>
    <t>Underlag til ristholder</t>
  </si>
  <si>
    <t>Underlag for stigriststøtter</t>
  </si>
  <si>
    <t>Podloga za nosače za rešetku za hodanje</t>
  </si>
  <si>
    <t>Unterlagsbahn</t>
  </si>
  <si>
    <t>underlay</t>
  </si>
  <si>
    <t>Membrana di supporto</t>
  </si>
  <si>
    <t>separační vrstva</t>
  </si>
  <si>
    <t>Podkład</t>
  </si>
  <si>
    <t>alátét</t>
  </si>
  <si>
    <t>Onderlaagmembraan</t>
  </si>
  <si>
    <t>Podložna membrana</t>
  </si>
  <si>
    <t>underlag</t>
  </si>
  <si>
    <t>Underlagsbane</t>
  </si>
  <si>
    <t>Osnovni sloj</t>
  </si>
  <si>
    <t>Unterlagsplatte</t>
  </si>
  <si>
    <t>base plate</t>
  </si>
  <si>
    <t>plaque de support</t>
  </si>
  <si>
    <t>Piastra di supporto</t>
  </si>
  <si>
    <t>Montážní podložka</t>
  </si>
  <si>
    <t>Blacha podkładowa</t>
  </si>
  <si>
    <t>spevňovacia podložka</t>
  </si>
  <si>
    <t>Steunplaat</t>
  </si>
  <si>
    <t>Podložna plošča</t>
  </si>
  <si>
    <t>underlagsplatta</t>
  </si>
  <si>
    <t>Underlagsplade</t>
  </si>
  <si>
    <t>Underlagsplate</t>
  </si>
  <si>
    <t>Osnovna ploča</t>
  </si>
  <si>
    <t>Unterlagsplatte (540 × 125 mm [Länge × Breite]; stucco)</t>
  </si>
  <si>
    <t>base plate (length = 540 × width = 125 mm), stucco</t>
  </si>
  <si>
    <t>plaque de support (540 × 125 mm [longueur × largeur] ; stucco)</t>
  </si>
  <si>
    <t>Sottopiastra L=540 x B=125 mm, goffrata</t>
  </si>
  <si>
    <t>Montážní podložka D=540 x Š=125 mm, stucco</t>
  </si>
  <si>
    <t>element podkładowy (długość = 540 × szerokość = 125 mm), stucco</t>
  </si>
  <si>
    <t>alátétlemez H=540 x SZ=125mm, stukkó</t>
  </si>
  <si>
    <t>montážna podložka D=540 x Š=125 mm, stucco</t>
  </si>
  <si>
    <t>steunplaat L=540 x B=125 mm, stucco</t>
  </si>
  <si>
    <t>podložna plošča L=540 x B=125 mm, stucco</t>
  </si>
  <si>
    <t>underlagsskiva L = 540 x B = 125 mm, stuckatur</t>
  </si>
  <si>
    <t>underlagsplade L=540 x B=125 mm, stucco</t>
  </si>
  <si>
    <t>underlagsplate L=540 x B=125 mm, stucco</t>
  </si>
  <si>
    <t>Osnovna ploča (540 × 125 mm [duljina × širina]; stucco)</t>
  </si>
  <si>
    <t>Unterlagsplatte (680 × 125 mm [Länge × Breite]; stucco)</t>
  </si>
  <si>
    <t>base plate (length = 680 × width = 125 mm), stucco</t>
  </si>
  <si>
    <t>plaque de support (680 × 125 mm [longueur × largeur] ; stucco)</t>
  </si>
  <si>
    <t>Sottopiastra L=680 x B=125 mm, goffrata</t>
  </si>
  <si>
    <t>Montážní podložka D=680 x Š=125 mm, stucco</t>
  </si>
  <si>
    <t>element podkładowy (długość = 680 × szerokość = 125 mm), stucco</t>
  </si>
  <si>
    <t>alátétlemez H=680 x SZ=125mm, stukkó</t>
  </si>
  <si>
    <t>montážna podložka D=680 x Š=125 mm, stucco</t>
  </si>
  <si>
    <t>steunplaat L=680 x B=125 mm, stucco</t>
  </si>
  <si>
    <t>podložna plošča L=680 x B=125 mm, stucco</t>
  </si>
  <si>
    <t>underlagsskiva L = 680 x B = 125 mm, stuckatur</t>
  </si>
  <si>
    <t>underlagsplade L=680 x B=125 mm, stucco</t>
  </si>
  <si>
    <t>underlagsplate L=680 x B=125 mm, stucco</t>
  </si>
  <si>
    <t>Osnovna ploča (680 × 125 mm [duljina × širina]; stucco)</t>
  </si>
  <si>
    <t>Unterschreitung der Regeldachneigung</t>
  </si>
  <si>
    <t>reference roof pitch is less than the recommended regulations</t>
  </si>
  <si>
    <t>pente de toit inférieure à l’inclinaison prescrite par les réglementations</t>
  </si>
  <si>
    <t>Superamento della pendenza standard del tetto</t>
  </si>
  <si>
    <t>nedodržení bezpečného sklonu střechy</t>
  </si>
  <si>
    <t>Spadek poniżej standardowego kąta nachylenia dachu</t>
  </si>
  <si>
    <t>szabványos tetőhajlásszög kisebb, mint az ajánlott érték</t>
  </si>
  <si>
    <t>nedosiahnutie predpísaného sklonu strechy</t>
  </si>
  <si>
    <t>Onder de standaard dakhelling</t>
  </si>
  <si>
    <t>Padec pod standardni naklon strehe</t>
  </si>
  <si>
    <t>underskridning standard taklutning</t>
  </si>
  <si>
    <t>Taghældning under standard</t>
  </si>
  <si>
    <t>Underskridelse av standard takhelling</t>
  </si>
  <si>
    <t>Ispod standardnog nagiba krova</t>
  </si>
  <si>
    <t>UZ-Profil</t>
  </si>
  <si>
    <t>UZ-profile</t>
  </si>
  <si>
    <t>profil UZ</t>
  </si>
  <si>
    <t>Profilo UZ</t>
  </si>
  <si>
    <t>Profil UZ</t>
  </si>
  <si>
    <t>UZ-profil</t>
  </si>
  <si>
    <t>UZ-profiel</t>
  </si>
  <si>
    <t>UZ profil</t>
  </si>
  <si>
    <t>Variante</t>
  </si>
  <si>
    <t>variant</t>
  </si>
  <si>
    <t>variante</t>
  </si>
  <si>
    <t>Varianta</t>
  </si>
  <si>
    <t>Wariant</t>
  </si>
  <si>
    <t>változat</t>
  </si>
  <si>
    <t>Varianten</t>
  </si>
  <si>
    <t>Različica</t>
  </si>
  <si>
    <t>Variant</t>
  </si>
  <si>
    <t>Varijanta</t>
  </si>
  <si>
    <t>Variante 1 – Fuge offen (Wärmedämmung sichtbar)</t>
  </si>
  <si>
    <t>variant 1 – open joint (thermal insulation is visible)</t>
  </si>
  <si>
    <t>variante 1 — joint creux ouvert (isolation thermique visible)</t>
  </si>
  <si>
    <t>Variante 1 - Fuga aperta (coibentazione visibile)</t>
  </si>
  <si>
    <t>Varianta 1 – otevřená spára (tepelná izolace je vidět)</t>
  </si>
  <si>
    <t>Wariant 1 – Spoina otwarta (widoczna izolacja termiczna)</t>
  </si>
  <si>
    <t>1. változat – nyitott fuga (látható hőszigetelés)</t>
  </si>
  <si>
    <t>variant 1 – škára otvorená (tepelná izolácia viditeľná)</t>
  </si>
  <si>
    <t>Variant 1 - voegen open (thermische isolatie zichtbaar)</t>
  </si>
  <si>
    <t>Različica 1 – odprta fuga (vidna toplotna izolacija)</t>
  </si>
  <si>
    <t>Variant 1 – öppen fog (synlig isolering )</t>
  </si>
  <si>
    <t>Variant 1 – åben fuge (isolering synlig)</t>
  </si>
  <si>
    <t>Variant 1 – åpen fuge (varmeisolasjon er synlig)</t>
  </si>
  <si>
    <t>Varijanta 1 – otvorena fuga (toplinska izolacija vidljiva)</t>
  </si>
  <si>
    <t>Variante 2</t>
  </si>
  <si>
    <t>variant 2</t>
  </si>
  <si>
    <t>variante 2</t>
  </si>
  <si>
    <t>Varianta 2</t>
  </si>
  <si>
    <t>Wariant 2</t>
  </si>
  <si>
    <t>2. változat</t>
  </si>
  <si>
    <t>Variant 2</t>
  </si>
  <si>
    <t>Različica 2</t>
  </si>
  <si>
    <t>Varijanta 2</t>
  </si>
  <si>
    <t>Variante 2 – Fugenabdeckung (genietet)</t>
  </si>
  <si>
    <t>variant 2 – joint cover (riveted)</t>
  </si>
  <si>
    <t>variante 2 — couvre-joint (riveté)</t>
  </si>
  <si>
    <t>Variante 2 - Copertura fughe (rivettata)</t>
  </si>
  <si>
    <t>Varianta 2 – zakrytí spáry (nýtované)</t>
  </si>
  <si>
    <t>Wariant 2 – Osłona na spoinę (nitowana)</t>
  </si>
  <si>
    <t>2. változat – fugatakaró (szegecselt)</t>
  </si>
  <si>
    <t>variant 2 – krycí profil škáry (nitovaný)</t>
  </si>
  <si>
    <t>Variant 2 - voegafdekking (geklonken)</t>
  </si>
  <si>
    <t>Različica 2 – pokrita fuga (zakovičena)</t>
  </si>
  <si>
    <t>Variant 2 – fogskydd (nitat)</t>
  </si>
  <si>
    <t>Variant 2 – fugeafdækning (nittet)</t>
  </si>
  <si>
    <t>Variant 2 – fugedekke (spikret)</t>
  </si>
  <si>
    <t>Varijanta 2 – pokrov za fuge (zakovan)</t>
  </si>
  <si>
    <t>Variante mit Doppelstehfalz:</t>
  </si>
  <si>
    <t>double-lock standing seam variant:</t>
  </si>
  <si>
    <t>variante avec joint debout à double agrafe :</t>
  </si>
  <si>
    <t>Variante con aggraffatura doppia:</t>
  </si>
  <si>
    <t>Varianta dvojitá stojatá drážka:</t>
  </si>
  <si>
    <t>Wariant ze stojącym rąbkiem podwójnym:</t>
  </si>
  <si>
    <t>kettős állókorcos változat:</t>
  </si>
  <si>
    <t>Variant s dvojitou stojatou drážkou:</t>
  </si>
  <si>
    <t>Variant met dubbele naad</t>
  </si>
  <si>
    <t>Različica z dvojnim stoječim zgibom:</t>
  </si>
  <si>
    <t>Variant med dubbel stående fals:</t>
  </si>
  <si>
    <t>Varianter med dobbeltstående fals:</t>
  </si>
  <si>
    <t>Variant med stående dobbelfals:</t>
  </si>
  <si>
    <t>Varijanta s dvostrukim stojećim falcom:</t>
  </si>
  <si>
    <t>Variante mit Kittputzleiste</t>
  </si>
  <si>
    <t>variant with plaster sealing strip</t>
  </si>
  <si>
    <t>variante avec bande de solin fixée par joint mastic et enduit de parement</t>
  </si>
  <si>
    <t>Variante con coprifuga</t>
  </si>
  <si>
    <t>Varianta s omítkovou krycí lištou</t>
  </si>
  <si>
    <t>Wariant z listwą mocowaną na kit lub tynk</t>
  </si>
  <si>
    <t>változat vakolattömítő szalaggal</t>
  </si>
  <si>
    <t>variant s tmelovou omietkovou lištou</t>
  </si>
  <si>
    <t>Variant met plamuurstrip</t>
  </si>
  <si>
    <t>Različica z zaključno letvico</t>
  </si>
  <si>
    <t>Variant med kittputslist</t>
  </si>
  <si>
    <t>Variant med pudseliste</t>
  </si>
  <si>
    <t>Variant med gipslist til kitt</t>
  </si>
  <si>
    <t>Varijanta s gipsanom brtvenom lajsnom</t>
  </si>
  <si>
    <t>Variante mit Kittsteckleiste</t>
  </si>
  <si>
    <t>variant with hemmed plaster sealing strip</t>
  </si>
  <si>
    <t>variante avec profil de jonction fixé par joint mastic</t>
  </si>
  <si>
    <t>Variante con profilo a inserto stuccato</t>
  </si>
  <si>
    <t>Varianta s zásuvnou krycí lištou</t>
  </si>
  <si>
    <t>Wariant z listwą nasadkową</t>
  </si>
  <si>
    <t>változat viharléccel</t>
  </si>
  <si>
    <t>variant s tmelovou násuvnou lištou</t>
  </si>
  <si>
    <t>Variant met plamuurstaaf</t>
  </si>
  <si>
    <t>Različica z vtično letvico</t>
  </si>
  <si>
    <t>Variant med spackellist</t>
  </si>
  <si>
    <t>Variant med hullet gipstætningsliste</t>
  </si>
  <si>
    <t>Variant med stikklist til kitt</t>
  </si>
  <si>
    <t>Varijanta s obrubljenom gipsanom brtvenom lajsnom</t>
  </si>
  <si>
    <t>Variante nur bei Aluminium blank möglich; Einfalzen mit Sicke; zusätzlich löten.</t>
  </si>
  <si>
    <t>variant only possible with uncoated aluminium
fold in with ridge
perform additional soldering</t>
  </si>
  <si>
    <t>Variante disponible uniquement pour aluminium naturel ; agrafage avec moulure ; brasage supplémentaire à effectuer.</t>
  </si>
  <si>
    <t>Variante possibile solo con alluminio grezzo; aggraffatura con nervatura; in aggiunta saldatura.</t>
  </si>
  <si>
    <t>Varianta možná pouze u přírodního hliníku, zadrážkování do obruby, dodatečné letování</t>
  </si>
  <si>
    <t>Wariant możliwy tylko z niepowlekanym aluminium; zakładanie z ożebrowaniem; dodatkowo lutowanie.</t>
  </si>
  <si>
    <t>A változat csak bevonat nélküli alumíniummal lehetséges; korcolás bordával; további forrasztás.</t>
  </si>
  <si>
    <t>Variant možný len pri prírodnom hliníku; napojenie drážkovaním s prelisom; dodatočne spájkovať.</t>
  </si>
  <si>
    <t>Variant alleen mogelijk met blank aluminium; sponning met kraal; bijkomend solderen.</t>
  </si>
  <si>
    <t>Različica možna samo z golim aluminijem; kleparsko zgibanje z zaobljenim robom; dodatno spajkanje.</t>
  </si>
  <si>
    <t>Variant endast möjlig med blankt aluminium; vikning med rännfals; ytterligare lödning.</t>
  </si>
  <si>
    <t>Variant kun mulig med blankt aluminium; indfalsning med flange; ekstra lodning.</t>
  </si>
  <si>
    <t>Variant kun mulig med blankt aluminium; innfalsing med fordypning; ekstra lodding.</t>
  </si>
  <si>
    <t>Varijanta moguća samo s golim aluminijem; falc s užljebljenjem; dodatno lemljenje.</t>
  </si>
  <si>
    <t>Variante mit Stoßausführung</t>
  </si>
  <si>
    <t>variant with joint</t>
  </si>
  <si>
    <t>variante avec jointure</t>
  </si>
  <si>
    <t>Variante con giunto di testa</t>
  </si>
  <si>
    <t>Varianta se stykovým provedením</t>
  </si>
  <si>
    <t>Wariant z pierścieniami</t>
  </si>
  <si>
    <t>illesztéses kivitel</t>
  </si>
  <si>
    <t>variant s vyhotovením styku</t>
  </si>
  <si>
    <t>Variant met stootvoeg</t>
  </si>
  <si>
    <t>Različica z izvedbo spoja</t>
  </si>
  <si>
    <t>Variant med stötutförande</t>
  </si>
  <si>
    <t>Variant med samling</t>
  </si>
  <si>
    <t>Variant med butt utførelse</t>
  </si>
  <si>
    <t>Varijanta sa zglobom</t>
  </si>
  <si>
    <t>Variante mit Überschubleiste:</t>
  </si>
  <si>
    <t>coulisseau variant:</t>
  </si>
  <si>
    <t>variante avec coulisseau :</t>
  </si>
  <si>
    <t>Variante con striscia di copertura:</t>
  </si>
  <si>
    <t>Varianta suvná lišta:</t>
  </si>
  <si>
    <t>Wariant z listwą maskującą:</t>
  </si>
  <si>
    <t>csúsztatható szalagos változat:</t>
  </si>
  <si>
    <t>Variant s násuvnou lištou:</t>
  </si>
  <si>
    <t>Variant met omslagstrook:</t>
  </si>
  <si>
    <t>Različica z narivno letvijo:</t>
  </si>
  <si>
    <t>Variant med överföringslist:</t>
  </si>
  <si>
    <t>Variant med overdækningsliste:</t>
  </si>
  <si>
    <t>Variant med overskyvningslist:</t>
  </si>
  <si>
    <t>Varijanta s kliznom lajsnom:</t>
  </si>
  <si>
    <t>Varianten mit Dehnungsausbildung bei Mauerabdeckungen</t>
  </si>
  <si>
    <t>expansion formation variants on wall flashings</t>
  </si>
  <si>
    <t>variantes avec mise en œuvre des jeux de dilatation pour la réalisation de couvertines [couronnements de murets]</t>
  </si>
  <si>
    <t>Varianti con raccordo ad espansione per le coperture dei muri</t>
  </si>
  <si>
    <t>Varianty dilatačních spojů krytí atik</t>
  </si>
  <si>
    <t>Warianty z konstrukcją rozprężną do osłon ściennych</t>
  </si>
  <si>
    <t>változatok tágulási kialakítással a falburkolatok esetében</t>
  </si>
  <si>
    <t>varianty s dilatačným vytvorením oplechovania muriva</t>
  </si>
  <si>
    <t>Varianten met expansievorming voor muurafdekkingen</t>
  </si>
  <si>
    <t>Različica s tvorbo raztezanja v stenskih pokrovih</t>
  </si>
  <si>
    <t>varianter med expansionsutformning i murbeklädnader</t>
  </si>
  <si>
    <t>Varianter med ekspansionsdannelse i murafdækninger</t>
  </si>
  <si>
    <t>Varianter med forlengelsesoppbygging for veggbekledning</t>
  </si>
  <si>
    <t>Varijante s ekspanzijskim dijelom u zidnim oblogama</t>
  </si>
  <si>
    <t>Varianten Design (Welle; 5 mm oder 9 mm)</t>
  </si>
  <si>
    <t>design variants:
(wave: 5 mm or 9 mm)</t>
  </si>
  <si>
    <t>variantes pour design (onde ; 5 mm ou 9 mm)</t>
  </si>
  <si>
    <t>Varianti di design (onda; 5 mm o 9 mm)</t>
  </si>
  <si>
    <t>Varianty Design: (vlna 5 mm nebo 9 mm)</t>
  </si>
  <si>
    <t>Warianty projektu (fala, 5 mm lub 9 mm)</t>
  </si>
  <si>
    <t>dizájnváltozatok (hullám; 5 mm vagy 9 mm)</t>
  </si>
  <si>
    <t>dizajnové varianty (vlna; 5 mm alebo 9 mm)</t>
  </si>
  <si>
    <t>Varianten design (plaat; 5 mm of 9 mm)</t>
  </si>
  <si>
    <t>Različica dizajn (valovito; 5 mm ali 9 mm)</t>
  </si>
  <si>
    <t>utformningsvariant (våg; 5 mm eller 9 mm)</t>
  </si>
  <si>
    <t>Varianter design (bølge; 5 mm eller 9 mm)</t>
  </si>
  <si>
    <t>Variant Design (bølge; 5 mm eller 9 mm)</t>
  </si>
  <si>
    <t>Dizajn varijante (val; 5 mm ili 9 mm)</t>
  </si>
  <si>
    <t>Varianten für First- und Gratausbildung</t>
  </si>
  <si>
    <t>Variants for hip and ridge construction</t>
  </si>
  <si>
    <t>variantes de réalisation pour faîtières et arêtiers</t>
  </si>
  <si>
    <t>Varianti per raccordo del colmo e della cresta</t>
  </si>
  <si>
    <t>Varianty detailu hřebene/nároží</t>
  </si>
  <si>
    <t>Warianty do konstrukcji kalenicy lub konstrukcji naroży</t>
  </si>
  <si>
    <t>gerinc és élkialakítás változatai</t>
  </si>
  <si>
    <t>varianty na vytvorenie hrebeňa a nárožia</t>
  </si>
  <si>
    <t>Varianten voor nok- en panvorming</t>
  </si>
  <si>
    <t>Različice za oblikovanje slemena in grebena</t>
  </si>
  <si>
    <t>varianter för nock- och valmningsutformning</t>
  </si>
  <si>
    <t>Varianter for rygnings- og gratdesign</t>
  </si>
  <si>
    <t>Varianter med møne- og gradoppbygging</t>
  </si>
  <si>
    <t>Varijante za konstrukcije sljemena i brida</t>
  </si>
  <si>
    <t>Varianten mit Stoßausbildung</t>
  </si>
  <si>
    <t>joint connection variants</t>
  </si>
  <si>
    <t>variantes avec réalisation des joints</t>
  </si>
  <si>
    <t>Varianti con giunto di testa</t>
  </si>
  <si>
    <t>Varianty provedení styku</t>
  </si>
  <si>
    <t>Warianty z formowaniem połączeń</t>
  </si>
  <si>
    <t>illesztéses változatok</t>
  </si>
  <si>
    <t>varianty s vytvorením styku</t>
  </si>
  <si>
    <t>Varianten met stootvoeg</t>
  </si>
  <si>
    <t>Različice z oblikovanjem spoja</t>
  </si>
  <si>
    <t>varianter med stötutformning</t>
  </si>
  <si>
    <t>Varianter med samling</t>
  </si>
  <si>
    <t>Varianter med falsoppbygging</t>
  </si>
  <si>
    <t>Varijante sa zglobnim spojem</t>
  </si>
  <si>
    <t>Verbinder (verzinkt; für Laufsteg)</t>
  </si>
  <si>
    <t>connector (galvanised); for walkways</t>
  </si>
  <si>
    <t>élément d’assemblage (galvanisé ; pour chemin de circulation)</t>
  </si>
  <si>
    <t>Giunto zincato per griglia pedonabile</t>
  </si>
  <si>
    <t>Spojka pro stoupací plošiny, pozinkovaná</t>
  </si>
  <si>
    <t>łącznik ław kominiarskich ze stali ocynkowanej</t>
  </si>
  <si>
    <t>járórács összekötő elem horganyzott</t>
  </si>
  <si>
    <t>spojka strešnej lávky, pozinkovaná</t>
  </si>
  <si>
    <t>verbindingsstuk gegalvaniseerd voor loopbrug</t>
  </si>
  <si>
    <t>povezovalec pohodnih rešetk, pocinkan</t>
  </si>
  <si>
    <t>anslutning förzinkat för plattform</t>
  </si>
  <si>
    <t>forbinder galvaniseret til løbebro</t>
  </si>
  <si>
    <t>tilkobling galvanisert for plattform</t>
  </si>
  <si>
    <t>Spojni element (pocinčani; za stubu)</t>
  </si>
  <si>
    <t>Verbinder (verzinkt; für Laufsteg; Breite: 250 mm)</t>
  </si>
  <si>
    <t>walkway connector - width of 250 mm</t>
  </si>
  <si>
    <t>élément d’assemblage (galvanisé ; pour chemin de circulation ; largeur : 250 mm)</t>
  </si>
  <si>
    <t>Giunto zincato per griglia pedonabile larghezza 250 mm</t>
  </si>
  <si>
    <t>Spojka pro stoupací plošiny (pozinkovaná, šířka: 250 mm)</t>
  </si>
  <si>
    <t>Łącznik (ocynkowany; do ławy kominiarskiej; szerokość: 250 mm)</t>
  </si>
  <si>
    <t>csatlakozó (horganyzott; járórács; szélesség: 250 mm)</t>
  </si>
  <si>
    <t>Spojka (pozinkovaná; pre strešnú lávku; šírka: 250 mm)</t>
  </si>
  <si>
    <t>Verbindingsstuk (gegalvaniseerd; voor loopbrug; breedte: 250 mm)</t>
  </si>
  <si>
    <t>Konektor (pocinkan; za pohodno brv; širina: 250 mm)</t>
  </si>
  <si>
    <t>förbindelse (galvaniserad; för gångbro; bredd: 250 mm)</t>
  </si>
  <si>
    <t>Forbinder (forzinket; til løbegang; bredde: 250 mm)</t>
  </si>
  <si>
    <t>Tilkobling (forsinket; til plattform; bredde: 250 mm)</t>
  </si>
  <si>
    <t>Spojni element (pocinčani; za stubu; širina: 250 mm)</t>
  </si>
  <si>
    <t>Verbinder (verzinkt; für Laufsteg; Breite: 360 mm)</t>
  </si>
  <si>
    <t>walkway connector - width of 360 mm</t>
  </si>
  <si>
    <t>élément d’assemblage (galvanisé ; pour chemin de circulation ; largeur : 360 mm)</t>
  </si>
  <si>
    <t>Giunto zincato per griglia pedonabile larghezza 360 mm</t>
  </si>
  <si>
    <t>Spojka pro stoupací plošiny (pozinkovaná, šířka: 360 mm)</t>
  </si>
  <si>
    <t>Łącznik (ocynkowany; do ławy kominiarskiej; szerokość: 360 mm)</t>
  </si>
  <si>
    <t>csatlakozó (horganyzott; járórács; szélesség: 360 mm)</t>
  </si>
  <si>
    <t>Spojka (pozinkovaná; pre strešnú lávku; šírka: 360 mm)</t>
  </si>
  <si>
    <t>Verbindingsstuk (gegalvaniseerd; voor loopbrug; breedte: 360 mm)</t>
  </si>
  <si>
    <t>Konektor (pocinkan; za pohodno brv; širina: 360 mm)</t>
  </si>
  <si>
    <t>förbindelse (galvaniserad; för gångbro; bredd: 360 mm)</t>
  </si>
  <si>
    <t>Forbinder (forzinket; til løbegang; bredde: 360 mm)</t>
  </si>
  <si>
    <t>Tilkobling (forsinket; til plattform; bredde: 360 mm)</t>
  </si>
  <si>
    <t>Spojni element (pocinčani; za stubu; širina: 360 mm)</t>
  </si>
  <si>
    <t>Verbindungsschraube</t>
  </si>
  <si>
    <t>connection screw</t>
  </si>
  <si>
    <t>vis de liaison</t>
  </si>
  <si>
    <t>Vite di collegamento</t>
  </si>
  <si>
    <t>Spojovací šroub</t>
  </si>
  <si>
    <t>Śruba łącząca</t>
  </si>
  <si>
    <t>összekötőcsavar</t>
  </si>
  <si>
    <t>spojovacia skrutka</t>
  </si>
  <si>
    <t>Verbindingsschroef</t>
  </si>
  <si>
    <t>Spojni vijak</t>
  </si>
  <si>
    <t>anslutningsskruv</t>
  </si>
  <si>
    <t>Forbindelsesskrue</t>
  </si>
  <si>
    <t>Tilkoblingsskrue</t>
  </si>
  <si>
    <t>Verlegebeispiel – Prefalz Solar</t>
  </si>
  <si>
    <t>Prefalz Solar — Installation examples</t>
  </si>
  <si>
    <t>Exemple de pose des accessoires pour panneaux solaires sur couverture PREFALZ</t>
  </si>
  <si>
    <t>Esempi di posa - PREFALZ Solar</t>
  </si>
  <si>
    <t>Příklad krytí PREFALZ Solar</t>
  </si>
  <si>
    <t>Przykład instalacji – PREFALZ Solar</t>
  </si>
  <si>
    <t>fektetési példa – PREFALZ Solar</t>
  </si>
  <si>
    <t>Príklad montáže – PREFALZ Solar</t>
  </si>
  <si>
    <t>Installatievoorbeeld - PREFALZ Solar</t>
  </si>
  <si>
    <t>Primer polaganja – PREFALZ Solar</t>
  </si>
  <si>
    <t>Läggningsexempel – PREFALZ Solar</t>
  </si>
  <si>
    <t>Lægningseksempel – PREFALZ Solar</t>
  </si>
  <si>
    <t>Leggeeksempel – PREFALZ Solar</t>
  </si>
  <si>
    <t>Primjer postavljanja – PREFALZ Solar</t>
  </si>
  <si>
    <t>Verlegebeispiel – PREFALZ Solar</t>
  </si>
  <si>
    <t>Verlegeschema</t>
  </si>
  <si>
    <t>scheme</t>
  </si>
  <si>
    <t>Schémas de pose</t>
  </si>
  <si>
    <t>schema di posa</t>
  </si>
  <si>
    <t>systém</t>
  </si>
  <si>
    <t>schemat</t>
  </si>
  <si>
    <t>rendszer</t>
  </si>
  <si>
    <t>schema</t>
  </si>
  <si>
    <t>shema</t>
  </si>
  <si>
    <t>ordning</t>
  </si>
  <si>
    <t>ordningen</t>
  </si>
  <si>
    <t>Shema</t>
  </si>
  <si>
    <t>Verlegeschema P1 (2 Stk./m² – ersten beiden Reihen durchgehend)</t>
  </si>
  <si>
    <t>Installation diagram P1 (2  per m² — must be installed along the first two rows)</t>
  </si>
  <si>
    <t>Schéma de pose P1 (2 arrêts de neige par m² ; monter les arrêts de neige sans interruption sur toute la longueur des deux premières rangées)</t>
  </si>
  <si>
    <t>Schema di posa P1 (2 pz./m² - prime due file continue)</t>
  </si>
  <si>
    <r>
      <t>Schema rozmístění P1 (2 ks/m</t>
    </r>
    <r>
      <rPr>
        <vertAlign val="superscript"/>
        <sz val="11"/>
        <color indexed="8"/>
        <rFont val="Arial"/>
        <family val="2"/>
      </rPr>
      <t xml:space="preserve">2 </t>
    </r>
    <r>
      <rPr>
        <sz val="11"/>
        <color indexed="8"/>
        <rFont val="Arial"/>
        <family val="2"/>
      </rPr>
      <t>- první dvě řady průběžně)</t>
    </r>
  </si>
  <si>
    <t>Schemat montażowy P1 (2 szt./m² – pierwsze dwa rzędy ciągłe)</t>
  </si>
  <si>
    <t>fektetési séma P1 (2 db/m² – az első két sor folyamatos)</t>
  </si>
  <si>
    <t>Schéma montáže P1 (2 ks/m² – prvé dva rady kompletne)</t>
  </si>
  <si>
    <t>Installatieschema P1 (2 st./m² - eerste twee rijen doorlopend)</t>
  </si>
  <si>
    <t>Shema polaganja P1 (2 kos./m² – prvi dve vrsti neprekinjeno)</t>
  </si>
  <si>
    <t>Läggningsschema P1 (2 st/m² – första två raderna kontinuerliga)</t>
  </si>
  <si>
    <t>Læggediagram P1 (2 stk./m² - første to rækker gennemgående)</t>
  </si>
  <si>
    <t>Legge skjema P1 (2 stk./m² – to første rader fortløpende)</t>
  </si>
  <si>
    <t>Shema postavljanja P1 (2 kom./m² – prva dva reda neprekidno)</t>
  </si>
  <si>
    <t>Versatz</t>
  </si>
  <si>
    <t>Step</t>
  </si>
  <si>
    <t>décalage</t>
  </si>
  <si>
    <t>Sfalsatura</t>
  </si>
  <si>
    <t>Přesazení</t>
  </si>
  <si>
    <t>Przesunięcie</t>
  </si>
  <si>
    <t>eltolás</t>
  </si>
  <si>
    <t>zapustenie</t>
  </si>
  <si>
    <t>Correctie</t>
  </si>
  <si>
    <t>Zamik</t>
  </si>
  <si>
    <t>offset</t>
  </si>
  <si>
    <t>Forskydning</t>
  </si>
  <si>
    <t>Forskyvning</t>
  </si>
  <si>
    <t>Odstupanje</t>
  </si>
  <si>
    <t>Versatz 60–2.500 mm</t>
  </si>
  <si>
    <t>Step 60-2,500 mm</t>
  </si>
  <si>
    <t>décalage 60-2 500 mm</t>
  </si>
  <si>
    <t>Sfalsatura 60-2.500 mm</t>
  </si>
  <si>
    <t>Přesazení  60–2500 mm</t>
  </si>
  <si>
    <t>Przesunięcie 60–2500 mm</t>
  </si>
  <si>
    <t>eltolás 60–2500 mm</t>
  </si>
  <si>
    <t>zapustenie 60 – 2 500 mm</t>
  </si>
  <si>
    <t>Correctie 60-2.500 mm</t>
  </si>
  <si>
    <t>Zamik 60–2.500 mm</t>
  </si>
  <si>
    <t>Offset 60-2 500 mm</t>
  </si>
  <si>
    <t>Forskydning 60–2.500 mm</t>
  </si>
  <si>
    <t>Forskyvning 60–2500 mm</t>
  </si>
  <si>
    <t>Odstupanje 60–2.500 mm</t>
  </si>
  <si>
    <t>Versatz 60–2.500 mm</t>
  </si>
  <si>
    <t>vertiefte Kehle</t>
  </si>
  <si>
    <t>recessed valley</t>
  </si>
  <si>
    <t>noue encaissée</t>
  </si>
  <si>
    <t>Scossalina incassata</t>
  </si>
  <si>
    <t>Zapuštěné úžlabí</t>
  </si>
  <si>
    <t>Kosz pogłębiony</t>
  </si>
  <si>
    <t>mélyített vápa</t>
  </si>
  <si>
    <t>zapustené úžľabie</t>
  </si>
  <si>
    <t>verdiepte goot</t>
  </si>
  <si>
    <t>poglobljena žlota</t>
  </si>
  <si>
    <t>fördjupad kil</t>
  </si>
  <si>
    <t>forsænket kile</t>
  </si>
  <si>
    <t>Fordypet vinkelrenne</t>
  </si>
  <si>
    <t>udubljena uvala</t>
  </si>
  <si>
    <t>vertiefte Ortgangschalung</t>
  </si>
  <si>
    <t>recessed roof verge sheathing</t>
  </si>
  <si>
    <t>voligeage de rive en décrochement</t>
  </si>
  <si>
    <t>Tavolato su mantovana incassata</t>
  </si>
  <si>
    <t>zapuštěné štítové bednění</t>
  </si>
  <si>
    <t>Pogłębione szalunki okapowe</t>
  </si>
  <si>
    <t>mélyített oromszegély-zsaluzat</t>
  </si>
  <si>
    <t>zapustené štítové debnenie</t>
  </si>
  <si>
    <t>verdiepte bermbekisting</t>
  </si>
  <si>
    <t>poglobljen opaž čelnega napušča</t>
  </si>
  <si>
    <t>fördjupad kantformning</t>
  </si>
  <si>
    <t>forsænket tagkantforskalling</t>
  </si>
  <si>
    <t>Fordypet vindskiforskaling</t>
  </si>
  <si>
    <t>udubljena oplata zabata</t>
  </si>
  <si>
    <t>vertiefter Ortgang</t>
  </si>
  <si>
    <t>roof verge with recess</t>
  </si>
  <si>
    <t>rive encaissée</t>
  </si>
  <si>
    <t>Mantovana incassata</t>
  </si>
  <si>
    <t>zapuštěné štítové lemování</t>
  </si>
  <si>
    <t>Pogłębiona deska szczytowa</t>
  </si>
  <si>
    <t>mélyített oromszegély</t>
  </si>
  <si>
    <t>zapustený štít</t>
  </si>
  <si>
    <t>verdiepte berm</t>
  </si>
  <si>
    <t>poglobljen čelni napušč</t>
  </si>
  <si>
    <t>fördjupad kant</t>
  </si>
  <si>
    <t>forsænket tagkant</t>
  </si>
  <si>
    <t>Fordypet vindski</t>
  </si>
  <si>
    <t>udubljeni zabat</t>
  </si>
  <si>
    <t>Vertikalschnitt</t>
  </si>
  <si>
    <t>vertical cross-section</t>
  </si>
  <si>
    <t>section verticale</t>
  </si>
  <si>
    <t>Sezione verticale</t>
  </si>
  <si>
    <t>Vertikální řez</t>
  </si>
  <si>
    <t>Przekrój pionowy</t>
  </si>
  <si>
    <t>függőleges metszet</t>
  </si>
  <si>
    <t>vertikálny rez</t>
  </si>
  <si>
    <t>Verticale doorsnede</t>
  </si>
  <si>
    <t>Vertikalni rez</t>
  </si>
  <si>
    <t>Vertikal sektion</t>
  </si>
  <si>
    <t>Tværsnit</t>
  </si>
  <si>
    <t>Vertikalsnitt</t>
  </si>
  <si>
    <t>Okomiti presjek</t>
  </si>
  <si>
    <t>Vertikalschnitt – Attika</t>
  </si>
  <si>
    <t>vertical cross-section – roof parapet</t>
  </si>
  <si>
    <t>section verticale — acrotère</t>
  </si>
  <si>
    <t>Sezione verticale - Muretto perimetrale</t>
  </si>
  <si>
    <t>Vertikální řez – Atika</t>
  </si>
  <si>
    <t>Przekrój pionowy – attyka</t>
  </si>
  <si>
    <t>függőleges metszet – attika</t>
  </si>
  <si>
    <t>vertikálny rez – atika</t>
  </si>
  <si>
    <t>Verticale doorsnede - atikka</t>
  </si>
  <si>
    <t>Vertikalni rez – atika</t>
  </si>
  <si>
    <t>Vertikal sektion – parapet</t>
  </si>
  <si>
    <t>Tværsnit – Attika</t>
  </si>
  <si>
    <t>Vertikalsnitt – loft</t>
  </si>
  <si>
    <t>Okomiti presjek – krovni parapet</t>
  </si>
  <si>
    <t>Vertikalschnitt – Attikadetail</t>
  </si>
  <si>
    <t>vertical cross-section – roof parapet detail</t>
  </si>
  <si>
    <t>section verticale — détail d’acrotère</t>
  </si>
  <si>
    <t>Sezione verticale - Dettaglio muretto perimetrale</t>
  </si>
  <si>
    <t>Vertikální řez – Detail atiky</t>
  </si>
  <si>
    <t>Przekrój pionowy – szczegół attyki</t>
  </si>
  <si>
    <t>függőleges metszet – attikarészlet</t>
  </si>
  <si>
    <t>vertikálny rez – detail atiky</t>
  </si>
  <si>
    <t>Verticale doorsnede - atikkadetail</t>
  </si>
  <si>
    <t>Vertikalni rez – atika detajl</t>
  </si>
  <si>
    <t>Vertikal sektion – parapetdetalj</t>
  </si>
  <si>
    <t>Tværsnit – Attikadetalje</t>
  </si>
  <si>
    <t>Vertikalsnitt – loftsdetalj</t>
  </si>
  <si>
    <t>Okomiti presjek – detalj krovnog parapeta</t>
  </si>
  <si>
    <t>Vertikalschnitt – Fensterbank</t>
  </si>
  <si>
    <t>vertical cross-section – window ledge</t>
  </si>
  <si>
    <t>section verticale — tablette (appui)</t>
  </si>
  <si>
    <t>Sezione verticale - Davanzale</t>
  </si>
  <si>
    <t>Vertikální řez – Okenní parapet</t>
  </si>
  <si>
    <t>Przekrój pionowy – parapet okienny</t>
  </si>
  <si>
    <t>függőleges metszet – ablakpárkány</t>
  </si>
  <si>
    <t>vertikálny rez – parapet</t>
  </si>
  <si>
    <t>Verticale doorsnede - vensterbank</t>
  </si>
  <si>
    <t>Vertikalni rez – okenska polica</t>
  </si>
  <si>
    <t>Vertikal sektion – fönsterbräda</t>
  </si>
  <si>
    <t>Tværsnit – vindueskarm</t>
  </si>
  <si>
    <t>Vertikalsnitt – vinduskarm</t>
  </si>
  <si>
    <t>Okomiti presjek – daska za prozor</t>
  </si>
  <si>
    <t>Vertikalschnitt – Fenstersturz</t>
  </si>
  <si>
    <t>vertical cross-section – window lintel</t>
  </si>
  <si>
    <t>section verticale — linteau</t>
  </si>
  <si>
    <t>Sezione verticale - Architrave della finestra</t>
  </si>
  <si>
    <t>Vertikální řez – Okenní překlad</t>
  </si>
  <si>
    <t>Przekrój pionowy – nadproże okienne</t>
  </si>
  <si>
    <t>függőleges metszet – ablaktok</t>
  </si>
  <si>
    <t>vertikálny rez – okenný preklad</t>
  </si>
  <si>
    <t>Verticale doorsnede - vensterlatei</t>
  </si>
  <si>
    <t>Vertikalni rez – previs okna</t>
  </si>
  <si>
    <t>Vertikal sektion – fönsteröverstycke</t>
  </si>
  <si>
    <t>Tværsnit – vinduesoverligger</t>
  </si>
  <si>
    <t>Vertikalsnitt – overligger</t>
  </si>
  <si>
    <t>Okomiti presjek – nadvoj za prozor</t>
  </si>
  <si>
    <t>Vertikalschnitt – Fenstersturz mit Brandschott</t>
  </si>
  <si>
    <t>vertical cross-section – window lintel with firewall</t>
  </si>
  <si>
    <t>section verticale — linteau avec cloison coupe-feu</t>
  </si>
  <si>
    <t>Sezione verticale - Architrave della finestra con tagliafuoco</t>
  </si>
  <si>
    <t>Vertikální řez – Okenní překlad s požární přepážkou</t>
  </si>
  <si>
    <t>Przekrój pionowy – nadproże okienne z zaporą ogniową</t>
  </si>
  <si>
    <t>függőleges metszet – ablaktok tűzfallal</t>
  </si>
  <si>
    <t>vertikálny rez – okenný preklad s protipožiarnou stenou</t>
  </si>
  <si>
    <t>Verticale doorsnede - vensterlatei met brandbeveiliging</t>
  </si>
  <si>
    <t>Vertikalni rez – previs okna s požarnim zidom</t>
  </si>
  <si>
    <t>Vertikal sektion – fönsteröverstycke med brandvägg</t>
  </si>
  <si>
    <t>Tværsnit – vinduesoverligger med brandvæg</t>
  </si>
  <si>
    <t>Vertikalsnitt – overligger med brannskott</t>
  </si>
  <si>
    <t>Okomiti presjek – nadvoj za prozor s vatrostalnom pregradom</t>
  </si>
  <si>
    <t>Vertikalschnitt – Fenstersturz mit Stahlblech</t>
  </si>
  <si>
    <t>vertical cross-section – window lintel with steel sheet</t>
  </si>
  <si>
    <t>section verticale — linteau avec tôle en acier galvanisé</t>
  </si>
  <si>
    <t>Sezione verticale - Architrave della finestra con lamiera in acciaio</t>
  </si>
  <si>
    <t>Vertikální řez – Okenní překlad s ocelovým plechem</t>
  </si>
  <si>
    <t>Przekrój pionowy – nadproże okienne z blachą stalową</t>
  </si>
  <si>
    <t>függőleges metszet – ablaktok acéllemezzel</t>
  </si>
  <si>
    <t>vertikálny rez – okenný preklad s oceľovým plechom</t>
  </si>
  <si>
    <t>Verticale doorsnede - vensterlatei met staalplaat</t>
  </si>
  <si>
    <t>Vertikalni rez – previs okna z jekleno pločevino</t>
  </si>
  <si>
    <t>Vertikal sektion – fönsteröverstycke med stålplåt</t>
  </si>
  <si>
    <t>Tværsnit – vinduesoverligger med stålplade</t>
  </si>
  <si>
    <t>Vertikalsnitt – overligger med stålplate</t>
  </si>
  <si>
    <t>Okomiti presjek – nadvoj za prozor s čeličnim limom</t>
  </si>
  <si>
    <t>Vertikalschnitt – Fenstersturz mit Raffstore</t>
  </si>
  <si>
    <t>vertical cross-section – window lintel with blinds</t>
  </si>
  <si>
    <t>section verticale —linteau avec store à lamelles</t>
  </si>
  <si>
    <t>Sezione verticale - Architrave della finestra con frangisole</t>
  </si>
  <si>
    <t>Vertikální řez – Okenní překlad s venkovní žaluzii</t>
  </si>
  <si>
    <t>Przekrój pionowy – nadproże okienne z żaluzją zewnętrzną</t>
  </si>
  <si>
    <t>függőleges metszet – ablaktok redőnnyel</t>
  </si>
  <si>
    <t>vertikálny rez – okenný preklad s vonkajšou žalúziou</t>
  </si>
  <si>
    <t>Verticale doorsnede - vensterlatei met externe jaloezieën</t>
  </si>
  <si>
    <t>Vertikalni rez – previs okna z žaluzijo</t>
  </si>
  <si>
    <t>Vertikal sektion – fönsteröverstycke med persienn</t>
  </si>
  <si>
    <t>Tværsnit – vinduesoverligger med persienne</t>
  </si>
  <si>
    <t>Vertikalsnitt – overligger med persienne</t>
  </si>
  <si>
    <t>Okomiti presjek – nadvoj za prozor sa žaluzinama</t>
  </si>
  <si>
    <t>Vertikalschnitt – Fugenausbildung</t>
  </si>
  <si>
    <t>vertical cross-section – joint design</t>
  </si>
  <si>
    <t>section verticale — mise en œuvre d’un joint</t>
  </si>
  <si>
    <t>Sezione verticale - Raccordo fughe</t>
  </si>
  <si>
    <t>Vertikální řez – Provedení spár</t>
  </si>
  <si>
    <t>Przekrój pionowy – konstrukcja szczeliny</t>
  </si>
  <si>
    <t>függőleges metszet – fugakialakítás</t>
  </si>
  <si>
    <t>vertikálny rez – vytvorenie škáry</t>
  </si>
  <si>
    <t>Verticale doorsnede - voegvorming</t>
  </si>
  <si>
    <t>Vertikalni rez – oblikovanje fuge</t>
  </si>
  <si>
    <t>Vertikal sektion – fogutformning</t>
  </si>
  <si>
    <t>Tværsnit – fugedesign</t>
  </si>
  <si>
    <t>Vertikalsnitt – skjøteoppbygging</t>
  </si>
  <si>
    <t>Okomiti presjek – konstrukcija fuga</t>
  </si>
  <si>
    <t>Vertikalschnitt – Geschoßtrennung</t>
  </si>
  <si>
    <t>vertical cross-section – storey separation</t>
  </si>
  <si>
    <t>section verticale — séparation d’étages</t>
  </si>
  <si>
    <t>Sezione verticale - Separazione dei piani</t>
  </si>
  <si>
    <t>Vertikální řez – Oddělení patra</t>
  </si>
  <si>
    <t>Przekrój pionowy – oddzielenie podłogi</t>
  </si>
  <si>
    <t>függőleges metszet – emeletelválasztás</t>
  </si>
  <si>
    <t>vertikálny rez – oddelenie poschodia</t>
  </si>
  <si>
    <t>Verticale doorsnede - vloerafscheiding</t>
  </si>
  <si>
    <t>Vertikalni rez – ločitev nadstropja</t>
  </si>
  <si>
    <t>Vertikal sektion – våningsseparering</t>
  </si>
  <si>
    <t>Tværsnit – etageadskillelse</t>
  </si>
  <si>
    <t>Vertikalsnitt – etasjeskille</t>
  </si>
  <si>
    <t>Okomiti presjek – odvajanje katova</t>
  </si>
  <si>
    <t>Vertikalschnitt – Konstruktiver Aufbau</t>
  </si>
  <si>
    <t>vertical cross-section – structure</t>
  </si>
  <si>
    <t>section verticale — structure</t>
  </si>
  <si>
    <t>Sezione verticale - Struttura costruttiva</t>
  </si>
  <si>
    <t>Vertikální řez – Skladba konstrukce</t>
  </si>
  <si>
    <t>Przekrój pionowy – struktura konstrukcji</t>
  </si>
  <si>
    <t>függőleges metszet – konstruktív rétegrend</t>
  </si>
  <si>
    <t>vertikálny rez – konštrukčná skladba</t>
  </si>
  <si>
    <t>Verticale doorsnede - constructieve structuur</t>
  </si>
  <si>
    <t>Vertikalni rez – konstruktivna struktura</t>
  </si>
  <si>
    <t>Vertikal sektion – konstruktiv uppbyggnad</t>
  </si>
  <si>
    <t>Tværsnit – struktur</t>
  </si>
  <si>
    <t>Vertikalsnitt – konstruktiv oppbygging</t>
  </si>
  <si>
    <t>Okomiti presjek – konstruktivna struktura</t>
  </si>
  <si>
    <t>Vertikalschnitt – Mauerwinkel</t>
  </si>
  <si>
    <t>vertical cross-section – wall bracket</t>
  </si>
  <si>
    <t>section verticale — équerre murale</t>
  </si>
  <si>
    <t>Sezione verticale - Angolo del muro</t>
  </si>
  <si>
    <t>Vertikální řez – Úhel (zdivo)</t>
  </si>
  <si>
    <t>Przekrój pionowy – naroże ściany</t>
  </si>
  <si>
    <t>függőleges metszet – fali szögidom</t>
  </si>
  <si>
    <t>vertikálny rez – roh muriva</t>
  </si>
  <si>
    <t>Verticale doorsnede - muurhoek</t>
  </si>
  <si>
    <t>Vertikalni rez – zidni kot</t>
  </si>
  <si>
    <t>Vertikal sektion – väggvinkel</t>
  </si>
  <si>
    <t>Tværsnit – murvinkel</t>
  </si>
  <si>
    <t>Vertikalsnitt – murvinkel</t>
  </si>
  <si>
    <t>Okomiti presjek – zidni kutni element</t>
  </si>
  <si>
    <t>Vertikalschnitt – Nachträgliches Auswechseln</t>
  </si>
  <si>
    <t>vertical cross-section – subsequent replacement</t>
  </si>
  <si>
    <t>section verticale — remplacement ultérieur</t>
  </si>
  <si>
    <t>Sezione verticale - Sostituzione successiva</t>
  </si>
  <si>
    <t>Vertikální řez – Dodatečná výměna</t>
  </si>
  <si>
    <t>Przekrój pionowy – późniejsza wymiana</t>
  </si>
  <si>
    <t>függőleges metszet – utólagos csere</t>
  </si>
  <si>
    <t>vertikálny rez – dodatočná výmena</t>
  </si>
  <si>
    <t>Verticale doorsnede - latere vervanging</t>
  </si>
  <si>
    <t>Vertikalni rez – naknadna zamenjava</t>
  </si>
  <si>
    <t>Vertikal sektion – utbyte i efterhand</t>
  </si>
  <si>
    <t>Tværsnit – Efterfølgende udskiftning</t>
  </si>
  <si>
    <t>Vertikalsnitt – senere utskifting</t>
  </si>
  <si>
    <t>Okomiti presjek – naknadna zamjena</t>
  </si>
  <si>
    <t>Vertikalschnitt – Oberer Anschluss</t>
  </si>
  <si>
    <t>vertical cross-section – top connection</t>
  </si>
  <si>
    <t>section verticale — raccordement supérieur</t>
  </si>
  <si>
    <t>Sezione verticale - Raccordo alla testa</t>
  </si>
  <si>
    <t>Vertikální řez – Horní napojení</t>
  </si>
  <si>
    <t>Przekrój pionowy – połączenie górne</t>
  </si>
  <si>
    <t>függőleges metszet – felső csatlakozó</t>
  </si>
  <si>
    <t>vertikálny rez – horné pripojenie</t>
  </si>
  <si>
    <t>Verticale doorsnede - bovenste aansluiting</t>
  </si>
  <si>
    <t>Vertikalni rez – zgornji priključek</t>
  </si>
  <si>
    <t>Vertikal sektion – toppanslutning</t>
  </si>
  <si>
    <t>Tværsnit – øvre tilslutning</t>
  </si>
  <si>
    <t>Vertikalsnitt – øvre forbindelse</t>
  </si>
  <si>
    <t>Okomiti presjek – gornji spoj</t>
  </si>
  <si>
    <t>Vertikalschnitt – Siding mit UZ-Profil</t>
  </si>
  <si>
    <t>vertical cross-section – siding with UZ-profile</t>
  </si>
  <si>
    <t>section verticale — Siding avec profil UZ</t>
  </si>
  <si>
    <t>Sezione verticale - Doga con profilo UZ</t>
  </si>
  <si>
    <t>Vertikální řez – Siding s profilem UZ</t>
  </si>
  <si>
    <t>Przekrój pionowy – siding z użyciem profilu UZ</t>
  </si>
  <si>
    <t>függőleges metszet – Siding UZ-profillal</t>
  </si>
  <si>
    <t>vertikálny rez – Siding s UZ-profilom</t>
  </si>
  <si>
    <t>Verticale doorsnede - siding met UZ-profiel</t>
  </si>
  <si>
    <t>Vertikalni rez – Siding z UZ-profilom</t>
  </si>
  <si>
    <t>Vertikal sektion – siding med UZ-profil</t>
  </si>
  <si>
    <t>Tværsnit – siding med UZ-profil</t>
  </si>
  <si>
    <t>Vertikalsnitt – Siding med UZ-profil</t>
  </si>
  <si>
    <t>Okomiti presjek – fasadna kazeta s UZ profilom</t>
  </si>
  <si>
    <t>Vertikalschnitt – Unterer Anschluss</t>
  </si>
  <si>
    <t>vertical cross-section – bottom connection</t>
  </si>
  <si>
    <t>section verticale — raccordement inférieur</t>
  </si>
  <si>
    <t>Sezione verticale - Raccordo al piede</t>
  </si>
  <si>
    <t>Vertikální řez – Dolní napojení</t>
  </si>
  <si>
    <t>Przekrój pionowy – połączenie dolne</t>
  </si>
  <si>
    <t>függőleges metszet – alsó csatlakozó</t>
  </si>
  <si>
    <t>vertikálny rez – spodné ukončenie</t>
  </si>
  <si>
    <t>Verticale doorsnede - onderste aansluiting</t>
  </si>
  <si>
    <t>Vertikalni rez – spodnji priključek</t>
  </si>
  <si>
    <t>Vertikal sektion – bottenanslutning</t>
  </si>
  <si>
    <t>Tværsnit – nedre tilslutning</t>
  </si>
  <si>
    <t>Vertikalsnitt – nedre forbindelse</t>
  </si>
  <si>
    <t>Okomiti presjek – donji spoj</t>
  </si>
  <si>
    <t>vertical cross-section – vertical cross-section</t>
  </si>
  <si>
    <t>Vielen Dank für Ihre Bestellung.</t>
  </si>
  <si>
    <t>Thank you for your order.</t>
  </si>
  <si>
    <t>Merci pour votre commande.</t>
  </si>
  <si>
    <t>Grazie per il Vostro ordine</t>
  </si>
  <si>
    <t>Mnohokrát děkujeme za vaší objednávku</t>
  </si>
  <si>
    <t>Dziękujemy za zamówienie.</t>
  </si>
  <si>
    <t>Köszönjük rendelését</t>
  </si>
  <si>
    <t>Ďakujeme Vám za Vašu objednávku</t>
  </si>
  <si>
    <t>Hartelijk dank voor uw bestelling</t>
  </si>
  <si>
    <t>hvala za naročilo</t>
  </si>
  <si>
    <t>Tack för din beställning</t>
  </si>
  <si>
    <t>Mange tak for din bestilling</t>
  </si>
  <si>
    <t>Mange takk for din bestilling</t>
  </si>
  <si>
    <t>Hvala vam na narudžbi.</t>
  </si>
  <si>
    <t>Vielen Dank für Ihre Mengenermittlung.</t>
  </si>
  <si>
    <t>Thank you for indicating the quantity required</t>
  </si>
  <si>
    <t>Merci d’avoir indiqué les quantités requises.</t>
  </si>
  <si>
    <t>Grazie per la Vostra richiesta</t>
  </si>
  <si>
    <t>Mnohokrát děkujeme za váš výpis materiálu</t>
  </si>
  <si>
    <t>Dziękujemy za wskazanie wymaganej ilości.</t>
  </si>
  <si>
    <t>Köszönjük árajánlatkérését</t>
  </si>
  <si>
    <t>Ďakujeme veľmi pekne za uvedenie množstva materiálu</t>
  </si>
  <si>
    <t>Hartelijk dank voor uw aantallen</t>
  </si>
  <si>
    <t>hvala za ocenitev količine</t>
  </si>
  <si>
    <t>Tack för din mängdberäkning</t>
  </si>
  <si>
    <t>Mange tak for din mængdeundersøgelse</t>
  </si>
  <si>
    <t>Mange takk for din mengdeberegning</t>
  </si>
  <si>
    <t>Hvala što ste naveli potrebnu količinu.</t>
  </si>
  <si>
    <t>Vogelschutzgitter (125 × 2.000 × 0,7 mm)</t>
  </si>
  <si>
    <t>bird screen (125 × 2,000 × 0.7 mm)</t>
  </si>
  <si>
    <t>grille anti-insectes (125 × 2 000 × 0,7 mm)</t>
  </si>
  <si>
    <t>Lamiera forata anti volatile 125 x 2.000 x 0,7 mm</t>
  </si>
  <si>
    <t>Ochranná mřížka proti ptákům 125 x 2.000 x 0,7 mm</t>
  </si>
  <si>
    <t>Siatka ochronna przeciw ptakom 125 × 2.000 × 0,7 mm</t>
  </si>
  <si>
    <t>madárrács 125 x 2.000 x 0,7 mm</t>
  </si>
  <si>
    <t>ochranná mriežka proti vtákom  125 x 2.000 x 0,7 mm</t>
  </si>
  <si>
    <t>vogelbeschermingsrooster 125 × 2000 × 0,7 mm</t>
  </si>
  <si>
    <t>perforiran trak za zaščito pred ptiči, 125 mm (125x2.000x0,7mm)</t>
  </si>
  <si>
    <t>fågelskyddsgaller 125 × 2.000 × 0,7 mm</t>
  </si>
  <si>
    <t>fuglebeskyttelsesgitter 125 × 2.000 × 0,7 mm</t>
  </si>
  <si>
    <t>fuglegitter 125 × 2000 × 0,7 mm</t>
  </si>
  <si>
    <t>Rešetka za zaštitu od ptica (125 × 2.000 × 0,7 mm)</t>
  </si>
  <si>
    <t>Vogelschutzgitter (Braun/Anthrazit; 125 × 2.000 × 0,7 mm)</t>
  </si>
  <si>
    <t>bird screen, brown/anthracite (125 × 2,000 × 0.7 mm)</t>
  </si>
  <si>
    <t>grille anti-insectes (brun/anthracite ; 125 × 2 000 × 0,7 mm)</t>
  </si>
  <si>
    <t>Lamiera forata anti volatile marrone/antracite (125x2.000x0,7mm)</t>
  </si>
  <si>
    <t>Ochranná mřížka proti ptákům hnědá/antracit (125x2.000x0,7mm)</t>
  </si>
  <si>
    <t>siatka ochrona przeciw ptakom (125 × 2,000 × 0.7 mm)</t>
  </si>
  <si>
    <t>madárrács barna/antracit (125x2.000x0,7mm)</t>
  </si>
  <si>
    <t>ochranná mriežka proti vtákom hnedá/antracitová (125 x 2.000 x 0,7 mm)</t>
  </si>
  <si>
    <t>vogelbeschermingsrooster bruin/antraciet (125 x 2000 x 0,7 mm)</t>
  </si>
  <si>
    <t>fågelskyddsgaller brunt/antracit (125 x 2.000 x 0,7 mm)</t>
  </si>
  <si>
    <t>fuglebeskyttelsesgitter brun/antrazit (125x2.000x0,7mm)</t>
  </si>
  <si>
    <t>fuglegitter brun/antrasitt (125x2000x0,7 mm)</t>
  </si>
  <si>
    <t>Rešetka za zaštitu od ptica (smeđa/antracit; 125 × 2.000 × 0,7 mm)</t>
  </si>
  <si>
    <t>Vollschalung (mind. 24 mm)</t>
  </si>
  <si>
    <t>solid sheathing conforming to national guidelines</t>
  </si>
  <si>
    <t>voligeage jointif (épaisseur minimum : 24 mm)</t>
  </si>
  <si>
    <t>Tavolato completo (almeno 24 mm)</t>
  </si>
  <si>
    <t>plné bednění min. 24 mm</t>
  </si>
  <si>
    <t>Pełne deskowanie (min. 24 mm)</t>
  </si>
  <si>
    <t>teljes deszkázat (min. 24 mm)</t>
  </si>
  <si>
    <t>celoplošné debnenie (min. 24 mm)</t>
  </si>
  <si>
    <t>Volledige bekisting (min. 24 mm)</t>
  </si>
  <si>
    <t>Polni opaž (najm. 24 mm)</t>
  </si>
  <si>
    <t>full formsättning (min. 24 mm)</t>
  </si>
  <si>
    <t>Helforskalling (mind. 24 mm)</t>
  </si>
  <si>
    <t>Helforskaling (min. 24 mm)</t>
  </si>
  <si>
    <t>Puna oplata (min. 24 mm)</t>
  </si>
  <si>
    <t>Vollwärmeschutz</t>
  </si>
  <si>
    <t>full thermal insulation</t>
  </si>
  <si>
    <t>isolation thermique extérieure (ITE)</t>
  </si>
  <si>
    <t>Isolamento termico completo</t>
  </si>
  <si>
    <t>Pełna izolacja cieplna</t>
  </si>
  <si>
    <t>teljes hőszigetelés</t>
  </si>
  <si>
    <t>úplná tepelná izolácia</t>
  </si>
  <si>
    <t>Volledige thermische isolatie</t>
  </si>
  <si>
    <t>Polna toplotna izolacija</t>
  </si>
  <si>
    <t>helt termiskt skydd</t>
  </si>
  <si>
    <t>Isolationsbeskyttelsesanordning</t>
  </si>
  <si>
    <t>Komplett varmebeskyttelse</t>
  </si>
  <si>
    <t>Puna toplinska zaštita</t>
  </si>
  <si>
    <t>Vordeckung</t>
  </si>
  <si>
    <t>sarking felt</t>
  </si>
  <si>
    <t>sous-couverture</t>
  </si>
  <si>
    <t>Copertura aggettante</t>
  </si>
  <si>
    <t>Pokrycie wstępne</t>
  </si>
  <si>
    <t>előfedés</t>
  </si>
  <si>
    <t>predbežné zakrytie</t>
  </si>
  <si>
    <t>Voorkap</t>
  </si>
  <si>
    <t>Prekrivanje z zaščito</t>
  </si>
  <si>
    <t>underlägg</t>
  </si>
  <si>
    <t>Afdækning</t>
  </si>
  <si>
    <t>Bunnlag</t>
  </si>
  <si>
    <t>Zaštitni pokrov</t>
  </si>
  <si>
    <t>Vorderteil</t>
  </si>
  <si>
    <t>front part</t>
  </si>
  <si>
    <t>partie avant</t>
  </si>
  <si>
    <t>Parte anteriore</t>
  </si>
  <si>
    <t>přední díl</t>
  </si>
  <si>
    <t>Część przednia</t>
  </si>
  <si>
    <t>elülső rész</t>
  </si>
  <si>
    <t>predná časť</t>
  </si>
  <si>
    <t>Voorste deel</t>
  </si>
  <si>
    <t>Sprednji del</t>
  </si>
  <si>
    <t>framdel</t>
  </si>
  <si>
    <t>Forreste del</t>
  </si>
  <si>
    <t>Frontdel</t>
  </si>
  <si>
    <t>Prednji dio</t>
  </si>
  <si>
    <t>Vorstoßblech</t>
  </si>
  <si>
    <t>eaves flashing</t>
  </si>
  <si>
    <t>Profilo di spinta</t>
  </si>
  <si>
    <t>vyztužovací plech</t>
  </si>
  <si>
    <t>szegélylemez</t>
  </si>
  <si>
    <t>vyčnievajúci stykový plech</t>
  </si>
  <si>
    <t>Stuwplaat</t>
  </si>
  <si>
    <t>Odbojnik</t>
  </si>
  <si>
    <t>tryckplåt</t>
  </si>
  <si>
    <t>Skubbeplade</t>
  </si>
  <si>
    <t>Skyveplate</t>
  </si>
  <si>
    <t>Prednji lim</t>
  </si>
  <si>
    <t>PU</t>
  </si>
  <si>
    <t>UE</t>
  </si>
  <si>
    <t>Confezione</t>
  </si>
  <si>
    <t>Celé balení:</t>
  </si>
  <si>
    <t>CSE</t>
  </si>
  <si>
    <t>Celé balenie:</t>
  </si>
  <si>
    <t>VPE (verpakkingseenheid)</t>
  </si>
  <si>
    <t>Enota</t>
  </si>
  <si>
    <t>FPE (förpackningsenhet)</t>
  </si>
  <si>
    <t>Pakkeenhed</t>
  </si>
  <si>
    <t>FPE (forpakningsenhet)</t>
  </si>
  <si>
    <t>Pakiranje</t>
  </si>
  <si>
    <t>W</t>
  </si>
  <si>
    <t>W1</t>
  </si>
  <si>
    <t>W2</t>
  </si>
  <si>
    <t>W3</t>
  </si>
  <si>
    <t>Wandanschluss</t>
  </si>
  <si>
    <t>wall connection</t>
  </si>
  <si>
    <t>raccordement de couloir</t>
  </si>
  <si>
    <t>Raccordo a parete</t>
  </si>
  <si>
    <t>napojení na zeď</t>
  </si>
  <si>
    <t>Połączenie ściany</t>
  </si>
  <si>
    <t>fali csatlakozó</t>
  </si>
  <si>
    <t>ukončenie na stenu</t>
  </si>
  <si>
    <t>Wandaansluiting</t>
  </si>
  <si>
    <t>Stenski priključek</t>
  </si>
  <si>
    <t>Vægtilslutning</t>
  </si>
  <si>
    <t>Veggforbindelse</t>
  </si>
  <si>
    <t>Zidni spoj</t>
  </si>
  <si>
    <t>Wandanschluss (Höhe: mind. 150 mm)</t>
  </si>
  <si>
    <t>wall flashing (height: min. 150 mm)</t>
  </si>
  <si>
    <t>raccordement de couloir (hauteur : au moins 150 mm)</t>
  </si>
  <si>
    <t>Raccordo a parete (altezza: almeno 150 mm)</t>
  </si>
  <si>
    <t>napojení na zeď, výška min. 150 mm</t>
  </si>
  <si>
    <t>Połączenie ściany (wysokość: ok. 150 mm)</t>
  </si>
  <si>
    <t>fali csatlakozó (magasság: min. 150 mm)</t>
  </si>
  <si>
    <t>ukončenie na stenu (výška: min. 150 mm)</t>
  </si>
  <si>
    <t>Wandaansluiting (hoogte: min. 150 mm)</t>
  </si>
  <si>
    <t>Stenski priključek (višina: najm. 150 mm)</t>
  </si>
  <si>
    <t>vägganslutning (höjd: min. 150 mm)</t>
  </si>
  <si>
    <t>Vægtilslutning (højde: mind. 150 mm)</t>
  </si>
  <si>
    <t>Veggforbindelse (høyde: min. 150 mm)</t>
  </si>
  <si>
    <t>Zidni spoj (visina: min. 150 mm)</t>
  </si>
  <si>
    <t>Wandanschlussblech</t>
  </si>
  <si>
    <t>wall connection plate</t>
  </si>
  <si>
    <t>Piastra per raccordo a parete</t>
  </si>
  <si>
    <t>Blacha połączenia ściany</t>
  </si>
  <si>
    <t>fali csatlakozólemez</t>
  </si>
  <si>
    <t>plech na ukončenie na stenu</t>
  </si>
  <si>
    <t>Wandaansluitplaat</t>
  </si>
  <si>
    <t>Pločevina za stenski priključek</t>
  </si>
  <si>
    <t>vägganslutningsplåt</t>
  </si>
  <si>
    <t>Vægtilslutningsplade</t>
  </si>
  <si>
    <t>Veggforbindelsesplate</t>
  </si>
  <si>
    <t>Lim za zid</t>
  </si>
  <si>
    <t>Wandanschlusskehle</t>
  </si>
  <si>
    <t>wall connection valley</t>
  </si>
  <si>
    <t>Scossalina per raccordo a parete</t>
  </si>
  <si>
    <t>Kosz połączenia ściany</t>
  </si>
  <si>
    <t>fali csatlakozóvápa</t>
  </si>
  <si>
    <t>úžľabie na napojenie na stenu</t>
  </si>
  <si>
    <t>Wandaansluitgoot</t>
  </si>
  <si>
    <t>Žlota s stenskim priključkom</t>
  </si>
  <si>
    <t>vägganslutningskil</t>
  </si>
  <si>
    <t>Vægtilslutningskile</t>
  </si>
  <si>
    <t>Veggforbindelsesvinkelrenne</t>
  </si>
  <si>
    <t>Uvala uz zid</t>
  </si>
  <si>
    <t>Wandmontageplatte</t>
  </si>
  <si>
    <t>wall mounting plate</t>
  </si>
  <si>
    <t>plaque de montage mural</t>
  </si>
  <si>
    <t>Piastra per il montaggio a parete</t>
  </si>
  <si>
    <t>Montážní deska na stěnu</t>
  </si>
  <si>
    <t>Płyta montażowa do elewacji</t>
  </si>
  <si>
    <t>fali rögzítő lap</t>
  </si>
  <si>
    <t>montážna platňa</t>
  </si>
  <si>
    <t>wandmontageplaat</t>
  </si>
  <si>
    <t>plošča za montažo na zid</t>
  </si>
  <si>
    <t>väggmonteringsplatta</t>
  </si>
  <si>
    <t>vægmonteringsplade</t>
  </si>
  <si>
    <t>veggmonteringsplate</t>
  </si>
  <si>
    <t>Ploča za montažu na zid</t>
  </si>
  <si>
    <t>Wandraute</t>
  </si>
  <si>
    <t>rhomboid façade tile (PREFA)</t>
  </si>
  <si>
    <t>losange de façade</t>
  </si>
  <si>
    <t>Scaglia per facciata</t>
  </si>
  <si>
    <t>Fasádní šablona</t>
  </si>
  <si>
    <t>Romb fasadowy</t>
  </si>
  <si>
    <t>homlokzatburkoló rombusz</t>
  </si>
  <si>
    <t>fasádna šablóna</t>
  </si>
  <si>
    <t>Wandspant</t>
  </si>
  <si>
    <t>Stenski romb</t>
  </si>
  <si>
    <t>väggdiamant</t>
  </si>
  <si>
    <t>Vægrombe</t>
  </si>
  <si>
    <t>Veggrombe</t>
  </si>
  <si>
    <t>Zidni romb</t>
  </si>
  <si>
    <t>Wandraute 20 × 20</t>
  </si>
  <si>
    <t>rhomboid façade tile 20 × 20</t>
  </si>
  <si>
    <t>losange de façade 20 × 20</t>
  </si>
  <si>
    <t>Scaglia per facciata 20 × 20</t>
  </si>
  <si>
    <t>Fasádní šablona 20 × 20</t>
  </si>
  <si>
    <t>Romb fasadowy 20 × 20</t>
  </si>
  <si>
    <t>homlokzatburkoló rombusz, 20 × 20</t>
  </si>
  <si>
    <t>fasádna šablóna 20 × 20</t>
  </si>
  <si>
    <t>Wandspant 20 x 20</t>
  </si>
  <si>
    <t>Stenski romb 20 × 20</t>
  </si>
  <si>
    <t>väggdiamant 20 × 20</t>
  </si>
  <si>
    <t>Vægrombe 20 × 20</t>
  </si>
  <si>
    <t>Veggrombe 20 × 20</t>
  </si>
  <si>
    <t>Zidni romb 20 × 20</t>
  </si>
  <si>
    <t>Wandrautenhaft</t>
  </si>
  <si>
    <t>rhomboid façade tile clip (PREFA)</t>
  </si>
  <si>
    <t>patte de fixation pour losanges de façade</t>
  </si>
  <si>
    <t>Graffetta per scaglie</t>
  </si>
  <si>
    <t>Příponka pro fasádní šablonu</t>
  </si>
  <si>
    <t>Zaczep do rombów fasadowych</t>
  </si>
  <si>
    <t>hafter homlokzatburkoló rombuszhoz</t>
  </si>
  <si>
    <t>príponka k fasádnej šablóne</t>
  </si>
  <si>
    <t>Wandspantvorm</t>
  </si>
  <si>
    <t>Pritrditev za stenski romb</t>
  </si>
  <si>
    <t>väggdiamantliknande</t>
  </si>
  <si>
    <t>Vægrombeholder</t>
  </si>
  <si>
    <t>Veggrombefeste</t>
  </si>
  <si>
    <t>Učvršćivač za zidne rombe</t>
  </si>
  <si>
    <t>Wandwinkel</t>
  </si>
  <si>
    <t>wall bracket</t>
  </si>
  <si>
    <t>Equerre murale</t>
  </si>
  <si>
    <t>Angolo della parete</t>
  </si>
  <si>
    <t>Nástěnný úhelník</t>
  </si>
  <si>
    <t>Narożnik ściany</t>
  </si>
  <si>
    <t>fali konzol</t>
  </si>
  <si>
    <t>stenový kút</t>
  </si>
  <si>
    <t>Wandhoek</t>
  </si>
  <si>
    <t>Stenski kot</t>
  </si>
  <si>
    <t>väggvinkel</t>
  </si>
  <si>
    <t>Vægvinkel</t>
  </si>
  <si>
    <t>Veggbrakett</t>
  </si>
  <si>
    <t>Zidni kutni element</t>
  </si>
  <si>
    <t>Wärmedämmelement (z. B. BauderPIR SWE; BauderPIR und Schalldämmplatte 40/35)</t>
  </si>
  <si>
    <t xml:space="preserve">thermal insulation panel (e.g. BauderPIR SWE → BauderPIR + 40/35 sound insulation board) </t>
  </si>
  <si>
    <t>élément d’isolation thermique (p. ex. BauderPIR SWE ; BauderPIR et plaque d’isolation phonique 40/35)</t>
  </si>
  <si>
    <t>Elemento per isolamento termico (per esempio BauderPIR SWE; BauderPIR e pannello di isolamento acustico 40/35)</t>
  </si>
  <si>
    <t>tepelně izolační prvek, např. BauderPIR SWE (BauderPIR + zvukově izolační deska 40/35)</t>
  </si>
  <si>
    <t>Element termoizolacyjny (np. BauderPIR SWE; BauderPIR i płyta dźwiękoizolacyjna 40/35)</t>
  </si>
  <si>
    <t>hőszigetelő elem (pl. BauderPIR SWE; BauderPIR és 40/35 hangszigetelő lemez)</t>
  </si>
  <si>
    <t>stenový izolačný prvok (napr. BauderPIR SWE; BauderPIR a protihluková doska 40/35)</t>
  </si>
  <si>
    <t>Thermisch isolatie-element (bijv. BauderPIR SWE; BauderPIR en geluidsisolatieplaat 40/35)</t>
  </si>
  <si>
    <t>Toplotnoizolacijski element (npr. BauderPIR SWE; BauderPIR in zvočna izolacijska plošča 40/35)</t>
  </si>
  <si>
    <t>Värmeisoleringselement (t.ex. BauderPIR SWE; BauderPIR och ljudisoleringsskiva 40/35)</t>
  </si>
  <si>
    <t>Isoleringselement (f.eks. BauderPIR SWE; BauderPIR og lydisoleringsplade 40/35)</t>
  </si>
  <si>
    <t>Varmeisolasjonselement (f.eks.BauderPIR SWE; BauderPIR og lyddempende plate 40/35)</t>
  </si>
  <si>
    <t>Toplinski izolacijski element (npr. BauderPIR SWE; BauderPIR i zvučno izolacijska ploča 40/35)</t>
  </si>
  <si>
    <t>Wärmedämmverbundsystem</t>
  </si>
  <si>
    <t>thermal insulation system</t>
  </si>
  <si>
    <t>isolation thermique par l’extérieur (ITE)</t>
  </si>
  <si>
    <t>Sistema composito per isolamento termico esterno</t>
  </si>
  <si>
    <t>Tepelně izolační kontaktní systém</t>
  </si>
  <si>
    <t>System termoizolacyjny</t>
  </si>
  <si>
    <t>hőszigetelő kompozit rendszer</t>
  </si>
  <si>
    <t>kontaktný zatepľovací systém</t>
  </si>
  <si>
    <t>Externe thermische isolatie composiet systeem</t>
  </si>
  <si>
    <t>Toplotnoizolacijski kompozitni sistem</t>
  </si>
  <si>
    <t>värmeisolerande kompositsystem</t>
  </si>
  <si>
    <t>Isoleringssystem</t>
  </si>
  <si>
    <t>Monteringssystem for varmeisolasjon</t>
  </si>
  <si>
    <t>Toplinski izolacijski kompozitni sustav</t>
  </si>
  <si>
    <t>Wasserfangkasten</t>
  </si>
  <si>
    <t>leader head</t>
  </si>
  <si>
    <t>boîte à eau</t>
  </si>
  <si>
    <t>Cassetta raccolta acque</t>
  </si>
  <si>
    <t>sběrný kotlík</t>
  </si>
  <si>
    <t>Kosz zlewowy</t>
  </si>
  <si>
    <t>vízgyűjtő üst</t>
  </si>
  <si>
    <t>zberný kotlík</t>
  </si>
  <si>
    <t>Wateropvangbak</t>
  </si>
  <si>
    <t>Zbiralnik vode</t>
  </si>
  <si>
    <t>vattenuppsamlingslåda</t>
  </si>
  <si>
    <t>Vandopsamlingskasse</t>
  </si>
  <si>
    <t>Vanndrenering</t>
  </si>
  <si>
    <t>Kutija za prihvat vode</t>
  </si>
  <si>
    <t>Wasserfangkasten (220/220/330)</t>
  </si>
  <si>
    <t>leader head 220/220/330</t>
  </si>
  <si>
    <t>boîte à eau (220/220/330)</t>
  </si>
  <si>
    <t>Cassetta di raccolta 220/220/330</t>
  </si>
  <si>
    <t>Sběrný kotlík 220/220/330</t>
  </si>
  <si>
    <t>Kosz zlewiskowy 220/220/330</t>
  </si>
  <si>
    <t>vízgyűjtő üst 220/220/336</t>
  </si>
  <si>
    <t>zberný kotlík 220/220/330</t>
  </si>
  <si>
    <t>watervangbak 220/220/330</t>
  </si>
  <si>
    <t>kotliček 220/220/330</t>
  </si>
  <si>
    <t>vattenuppsamlare 220/220/330</t>
  </si>
  <si>
    <t>vandopsamlingskasse 220/220/330</t>
  </si>
  <si>
    <t>vannoppsamler 220/220/330</t>
  </si>
  <si>
    <t>Kutija za prihvat vode (220/220/330)</t>
  </si>
  <si>
    <t>Wasserfangkasten rund</t>
  </si>
  <si>
    <t>Round leader head</t>
  </si>
  <si>
    <t>boîte à eau ronde</t>
  </si>
  <si>
    <t>Cassetta di scarico arrotondata</t>
  </si>
  <si>
    <t>Sběrný kotlík kulatý</t>
  </si>
  <si>
    <t>Kosz zlewowy okrągły</t>
  </si>
  <si>
    <t>vízgyűjtő üst kerek</t>
  </si>
  <si>
    <t>okrúhly zberný kotlík</t>
  </si>
  <si>
    <t>Wateropvangbak rond</t>
  </si>
  <si>
    <t>Zbiralnik vode okrogel</t>
  </si>
  <si>
    <t>Rund vattenuppsamlingslåda</t>
  </si>
  <si>
    <t>Vandopsamlingskasse rund</t>
  </si>
  <si>
    <t>Vanndrenering, rund</t>
  </si>
  <si>
    <t>Kutija za prihvat vode, okrugla</t>
  </si>
  <si>
    <t>Wasserrinne</t>
  </si>
  <si>
    <t>drainage channel</t>
  </si>
  <si>
    <t>rigole d’évacuation</t>
  </si>
  <si>
    <t>vodní žlábek</t>
  </si>
  <si>
    <t>Rynna do odprowadzania wody</t>
  </si>
  <si>
    <t>vízelvezető csatorna</t>
  </si>
  <si>
    <t>vodný žľab</t>
  </si>
  <si>
    <t>Watergoot</t>
  </si>
  <si>
    <t>Žleb za vodo</t>
  </si>
  <si>
    <t>vattenränna</t>
  </si>
  <si>
    <t>Vandrende</t>
  </si>
  <si>
    <t>Vannrenne</t>
  </si>
  <si>
    <t>Vodeni žlijeb</t>
  </si>
  <si>
    <t>Wasserrückstau durch Schnee und Eis</t>
  </si>
  <si>
    <t>waterlogging caused by snow and ice</t>
  </si>
  <si>
    <t>rétentions d’eau provoquées par l’accumulation de neige et de glace</t>
  </si>
  <si>
    <t>Ristagno d'acqua a causa di neve e ghiaccio</t>
  </si>
  <si>
    <t>vzdutí vody od sněhu a ledu</t>
  </si>
  <si>
    <t>Spiętrzenie wody z powodu opadów śniegu i tworzenia się lodu</t>
  </si>
  <si>
    <t>víztorlasz hó és jég miatt</t>
  </si>
  <si>
    <t>nahromadenie vody zo snehu a ľadu</t>
  </si>
  <si>
    <t>Wateroverlast door sneeuw en ijs</t>
  </si>
  <si>
    <t>Zastoj vode zaradi snega in ledu</t>
  </si>
  <si>
    <t>Vattenstockning från snö och is</t>
  </si>
  <si>
    <t>Ophobning af vand fra sne og is</t>
  </si>
  <si>
    <t>Vannoppdemming på grunn av snø og is</t>
  </si>
  <si>
    <t>Zadržavanje vode zbog snijega i leda</t>
  </si>
  <si>
    <t>Wassersammler</t>
  </si>
  <si>
    <t>water collector</t>
  </si>
  <si>
    <t>collecteur d’eau</t>
  </si>
  <si>
    <t>Deviatore</t>
  </si>
  <si>
    <t>Sběrač dešťové vody</t>
  </si>
  <si>
    <t>Zbiornik na wodę</t>
  </si>
  <si>
    <t>automata vízlopó</t>
  </si>
  <si>
    <t>zberač vody</t>
  </si>
  <si>
    <t>waterverzamelaar</t>
  </si>
  <si>
    <t>lovilec vode</t>
  </si>
  <si>
    <t>regnvattensamlare</t>
  </si>
  <si>
    <t>vandsamler</t>
  </si>
  <si>
    <t>vannsamler</t>
  </si>
  <si>
    <t>Sakupljač vode</t>
  </si>
  <si>
    <t>Tassello Ø 10 per chiodo collare per facciate retroventilate</t>
  </si>
  <si>
    <t>Hmoždinka pro prostup tepelnou izolací ⌀ 10</t>
  </si>
  <si>
    <t>Dybel do pełnej izolacji cieplnej ETICS ⌀ 10</t>
  </si>
  <si>
    <t>dübel homlokzati hőszigetelésen keresztül történő rögzítéshez ∅ 10</t>
  </si>
  <si>
    <t>hmoždinka do kontaktného zatepľovacieho systému ⌀ 10</t>
  </si>
  <si>
    <t>ETICS-buisklemanker ⌀ 10</t>
  </si>
  <si>
    <t>Moznik za cevne objemke ETICS ⌀ 10</t>
  </si>
  <si>
    <t>ETICS rörklämma plugg ⌀ 10</t>
  </si>
  <si>
    <t>WDVS-rørbøjledyvel ⌀ 10</t>
  </si>
  <si>
    <t>WDVS-rørklemmeplugg ⌀ 10</t>
  </si>
  <si>
    <t>Wellprofil 18/76</t>
  </si>
  <si>
    <t>Corrugated sheet 18/76</t>
  </si>
  <si>
    <t>Profilo ondulato 18/76</t>
  </si>
  <si>
    <t>Vlnitý profil 18/76</t>
  </si>
  <si>
    <t>Profil falisty 18/76</t>
  </si>
  <si>
    <t>hullámprofil 18/76</t>
  </si>
  <si>
    <t>vlnitý profil 18/76</t>
  </si>
  <si>
    <t>Golfplaat 18/76</t>
  </si>
  <si>
    <t>Valoviti profil 18/76</t>
  </si>
  <si>
    <t>Korrugerad profil 18/76</t>
  </si>
  <si>
    <t>Bølgeprofil 18/76</t>
  </si>
  <si>
    <t>Wellprofil 18/76 horizontal</t>
  </si>
  <si>
    <t>Corrugated sheet 18/76 horizontal</t>
  </si>
  <si>
    <t>Profilo ondulato 18/76 orizzontale</t>
  </si>
  <si>
    <t>Vlnitý profil 18/76 horizontální</t>
  </si>
  <si>
    <t>Profil falisty 18/76 poziomy</t>
  </si>
  <si>
    <t>hullámprofil 18/76, vízszintes</t>
  </si>
  <si>
    <t>vlnitý profil 18/76 horizontálny</t>
  </si>
  <si>
    <t>Golfplaat 18/76 horizontaal</t>
  </si>
  <si>
    <t>Valoviti profil 18/76 vodoraven</t>
  </si>
  <si>
    <t>Korrugerad profil 18/76 horisontell</t>
  </si>
  <si>
    <t>Bølgeprofil 18/76 horisontal</t>
  </si>
  <si>
    <t>Valoviti profil 18/76, vodoravni</t>
  </si>
  <si>
    <t>Wellprofil 18/76 vertikal</t>
  </si>
  <si>
    <t>Corrugated sheet 18/76 vertical</t>
  </si>
  <si>
    <t>Profilo ondulato 18/76 verticale</t>
  </si>
  <si>
    <t>Vlnitý profil 18/76 vertikální</t>
  </si>
  <si>
    <t>Profil falisty 18/76 pionowy</t>
  </si>
  <si>
    <t>hullámprofil 18/76, függőleges</t>
  </si>
  <si>
    <t>vlnitý profil 18/76 vertikálny</t>
  </si>
  <si>
    <t>Golfplaat 18/76 verticaal</t>
  </si>
  <si>
    <t>Valoviti profil 18/76 navpičen</t>
  </si>
  <si>
    <t>Korrugerad profil 18/76 vertikal</t>
  </si>
  <si>
    <t>Bølgeprofil 18/76 vertikal</t>
  </si>
  <si>
    <t>Valoviti profil 18/76, okomiti</t>
  </si>
  <si>
    <t>Wetterschenkel</t>
  </si>
  <si>
    <t>drip (PREFA)</t>
  </si>
  <si>
    <t>renvoi d’eau</t>
  </si>
  <si>
    <t>Okapnice</t>
  </si>
  <si>
    <t>Okapnik do okien</t>
  </si>
  <si>
    <t>párkánylemez</t>
  </si>
  <si>
    <t>odkvapový profil</t>
  </si>
  <si>
    <t>Weerbeen</t>
  </si>
  <si>
    <t>Odkapni profil</t>
  </si>
  <si>
    <t>väderskiva</t>
  </si>
  <si>
    <t>Vandnæse</t>
  </si>
  <si>
    <t>Værlist</t>
  </si>
  <si>
    <t>Okapni lim</t>
  </si>
  <si>
    <t>Wetterschenkel (Länge: 2.500 mm)</t>
  </si>
  <si>
    <t>drip; L = 2,500 mm</t>
  </si>
  <si>
    <t>renvoi d’eau (longueur : 2 500 mm)</t>
  </si>
  <si>
    <t>gocciolatoio; L = 2500 mm</t>
  </si>
  <si>
    <t>okapnice, délka 2500 mm</t>
  </si>
  <si>
    <t>Okapnik L=2500 mm</t>
  </si>
  <si>
    <t>viharléc H = 2.500 mm</t>
  </si>
  <si>
    <t>odkvapnicový profil, dĺžka 2500 mm</t>
  </si>
  <si>
    <t>weldorpel L = 2500 mm</t>
  </si>
  <si>
    <t>Odkapni profil (dolžina: 2.500 mm)</t>
  </si>
  <si>
    <t>väderskänkel L = 2.500 mm</t>
  </si>
  <si>
    <t>vejrvinkelben L = 2.500 mm</t>
  </si>
  <si>
    <t>vindusbeslag L = 2500 mm</t>
  </si>
  <si>
    <t>Okapni lim L = 2.500 mm</t>
  </si>
  <si>
    <t>windbedingter Eintrieb von Regenwasser durch die Fugen einer Dacheindeckung</t>
  </si>
  <si>
    <t>rainwater driven by the wind through the roof covering’s joints</t>
  </si>
  <si>
    <t>infiltrations d’eaux de pluie occasionnées par le vent (eau pénétrant par les joints de la couverture)</t>
  </si>
  <si>
    <t>Infiltrazione di acqua piovana indotta dal vento attraverso le fughe di una copertura del tetto</t>
  </si>
  <si>
    <t>větrem hnaná dešťová voda do štěrbin nebo detailů v krytině</t>
  </si>
  <si>
    <t>przeciskanie się wody deszczowej przez złącza pokrycia dachowego wywoływane przez wiatr (lotny śnieg)</t>
  </si>
  <si>
    <t>az esővíz szél okozta átfolyása a tetőfedés fugáin keresztül</t>
  </si>
  <si>
    <t>vetrom podmienený prienik dažďovej vody cez škáry strešnej krytiny</t>
  </si>
  <si>
    <t>door de wind veroorzaakte opstuwing van regenwater door de voegen van een dakbedekking</t>
  </si>
  <si>
    <t>vdor deževnice skozi fuge strešne kritine zaradi vetra</t>
  </si>
  <si>
    <t>vindrelaterat inträngning av regnvatten genom fogarna i en takbeläggning</t>
  </si>
  <si>
    <t>vindrelateret indtrængning af regnvand gennem fugerne i en tagdækning</t>
  </si>
  <si>
    <t>Vindbetinget inntrengen av regnvann via fugene i et takbelegg</t>
  </si>
  <si>
    <t>Prodor kišnice uzrokovan vjetrom kroz fuge krovnog pokrova</t>
  </si>
  <si>
    <t>windbedingter Eintrieb von Schnee durch die Dacheindeckung (Flugschnee)</t>
  </si>
  <si>
    <t>snow driven by the wind through the roof covering (blown snow)</t>
  </si>
  <si>
    <t>pénétration de neige à travers la couverture (neige soufflée par le vent [neige volante, poudrerie])</t>
  </si>
  <si>
    <t>Penetrazione di neve indotta dal vento attraverso la copertura del tetto (innevamento)</t>
  </si>
  <si>
    <t>větrem hnaný sníh skrz krytinu nebo detaily (prachový sníh)</t>
  </si>
  <si>
    <t>przeciskanie się śniegu przez złącza pokrycia dachowego wywoływane przez wiatr</t>
  </si>
  <si>
    <t>a hó szél okozta bejutása a tetőfedésen (hóátfúvás)</t>
  </si>
  <si>
    <t>vetrom podmienený prienik snehu cez strešnú krytinu (náletový sneh)</t>
  </si>
  <si>
    <t>Door de wind veroorzaakte opwerveling van sneeuw door de dakbedekking (stuifsneeuw)</t>
  </si>
  <si>
    <t>vdor snega skozi strešno kritino zaradi vetra (snežni prah)</t>
  </si>
  <si>
    <t>vindrelaterad inträngning av snö genom takbeläggningen (drivsnö)</t>
  </si>
  <si>
    <t>vindrelateret indtrængning af sne gennem tagdækningen (fygesne)</t>
  </si>
  <si>
    <t>Vindbetinget inntrengen av snø via takbelegget (snøblest)</t>
  </si>
  <si>
    <t>prodor snijega kroz krovni pokrov zbog vjetra (naneseni snijeg)</t>
  </si>
  <si>
    <t>Winkel</t>
  </si>
  <si>
    <t>bracket</t>
  </si>
  <si>
    <t>Equerre</t>
  </si>
  <si>
    <t>Angolo</t>
  </si>
  <si>
    <t>Úhelník</t>
  </si>
  <si>
    <t>Narożnik</t>
  </si>
  <si>
    <t>konzol</t>
  </si>
  <si>
    <t>uholník</t>
  </si>
  <si>
    <t>Hoek</t>
  </si>
  <si>
    <t>Kot</t>
  </si>
  <si>
    <t>vinkel</t>
  </si>
  <si>
    <t>Vinkel</t>
  </si>
  <si>
    <t>Kutni element</t>
  </si>
  <si>
    <t>Winkelfalz</t>
  </si>
  <si>
    <t>standing seam</t>
  </si>
  <si>
    <t>joint angulaire</t>
  </si>
  <si>
    <t>Aggraffatura angolare</t>
  </si>
  <si>
    <t>úhlová drážka</t>
  </si>
  <si>
    <t>Zagięcie kątowe</t>
  </si>
  <si>
    <t>derékszögű korc</t>
  </si>
  <si>
    <t>uhlová drážka</t>
  </si>
  <si>
    <t>Hoeknaad</t>
  </si>
  <si>
    <t>Kotni kleparski zgib</t>
  </si>
  <si>
    <t>vinkelfals</t>
  </si>
  <si>
    <t>Vinkelfals</t>
  </si>
  <si>
    <t>Kutni falc</t>
  </si>
  <si>
    <t>Winkelsaum</t>
  </si>
  <si>
    <t>angled edge</t>
  </si>
  <si>
    <t>bordure de toit angulaire</t>
  </si>
  <si>
    <t>Bordo angolare</t>
  </si>
  <si>
    <t>Łączenie kątowe</t>
  </si>
  <si>
    <t>falszegélylemez</t>
  </si>
  <si>
    <t>uhlový podkladový pás</t>
  </si>
  <si>
    <t>Hoekgoot</t>
  </si>
  <si>
    <t>Kotni rob</t>
  </si>
  <si>
    <t>vinkelsöm</t>
  </si>
  <si>
    <t>Vinkeltagrende</t>
  </si>
  <si>
    <t>Vinkelskjøt</t>
  </si>
  <si>
    <t>Kutni obrub</t>
  </si>
  <si>
    <t>Winkelstehfalz (Prefalz)</t>
  </si>
  <si>
    <t>PREFALZ single lock standing seam</t>
  </si>
  <si>
    <t>joint angulaire en bande d’aluminium PREFALZ</t>
  </si>
  <si>
    <t>Aggraffatura angolare (PREFALZ)</t>
  </si>
  <si>
    <t>Úhlová stojatá drážka (PREFALZ)</t>
  </si>
  <si>
    <t>Rąbek stojący kątowy (PREFALZ)</t>
  </si>
  <si>
    <t>derékszögű állókorc (PREFALZ)</t>
  </si>
  <si>
    <t>uhlová stojatá drážka (PREFALZ)</t>
  </si>
  <si>
    <t>Hoeknaad (PREFALZ)</t>
  </si>
  <si>
    <t>Kotni stoječi kleparski spoj (PREFALZ)</t>
  </si>
  <si>
    <t>stående vinkelfals (PREFALZ)</t>
  </si>
  <si>
    <t>Vinkelstående fals (PREFALZ)</t>
  </si>
  <si>
    <t>Vinklet ståfals (PREFALZ)</t>
  </si>
  <si>
    <t>Kutni stojeći falc (PREFALZ)</t>
  </si>
  <si>
    <t>Winkelstehfalz (PREFALZ)</t>
  </si>
  <si>
    <t>z. B. BauderTop UDS 1,5 NK</t>
  </si>
  <si>
    <t>e.g. BauderTop UDS 1.5 NK</t>
  </si>
  <si>
    <t>p. ex. BauderTop UDS 1,5 NK</t>
  </si>
  <si>
    <t>ad es. BauderTop UDS 1,5 NK</t>
  </si>
  <si>
    <t>např. BauderTop UDS 1,5</t>
  </si>
  <si>
    <t>np. BauderTop UDS 1,5 NK</t>
  </si>
  <si>
    <t>pl. BauderTop UDS 1,5 NK</t>
  </si>
  <si>
    <t>napr. BauderTop UDS 1,5 NK</t>
  </si>
  <si>
    <t>bijv. BauderTop UDS 1,5 NK</t>
  </si>
  <si>
    <t>npr. BauderTop UDS 1,5 NK</t>
  </si>
  <si>
    <t>t.ex. B. Bauder Top UDS 1,5 NK</t>
  </si>
  <si>
    <t>f.eks. BauderTop UDS 1,5 NK</t>
  </si>
  <si>
    <t>z. B. BauderTop UDS 3 NK</t>
  </si>
  <si>
    <t>e.g. BauderTop UDS 3 NK</t>
  </si>
  <si>
    <t>p. ex. BauderTop UDS 3 NK</t>
  </si>
  <si>
    <t>ad es. BauderTop UDS 3 NK</t>
  </si>
  <si>
    <t>např. BauderTop UDS 3</t>
  </si>
  <si>
    <t>np. BauderTop UDS 3 NK</t>
  </si>
  <si>
    <t>pl. BauderTop UDS 3 NK</t>
  </si>
  <si>
    <t>napr. BauderTop UDS 3 NK</t>
  </si>
  <si>
    <t>bijv. BauderTop UDS 3 NK</t>
  </si>
  <si>
    <t>npr. BauderTop UDS 3 NK</t>
  </si>
  <si>
    <t>t.ex. B. Bauder Top UDS 3 NK</t>
  </si>
  <si>
    <t>f.eks. BauderTop UDS 3 NK</t>
  </si>
  <si>
    <t>Zackenprofil (22/40/2,0)</t>
  </si>
  <si>
    <t>serrated profile 22/40/2.0 (PREFA)</t>
  </si>
  <si>
    <t>profil triangle (22/40/2,0)</t>
  </si>
  <si>
    <t>Profilo a zeta (22/40/2,0)</t>
  </si>
  <si>
    <t>Pilový profil (22/40/2,0)</t>
  </si>
  <si>
    <t>Profil trójkątny (22/40/2,0)</t>
  </si>
  <si>
    <t>fogazott profil (22/40/2,0)</t>
  </si>
  <si>
    <t>prelamovaný profil (22/40/2,0)</t>
  </si>
  <si>
    <t>Zakprofiel (22/40/2,0)</t>
  </si>
  <si>
    <t>Nazobčan profil (22/40/2,0)</t>
  </si>
  <si>
    <t>tandad profil (22/40/2.0)</t>
  </si>
  <si>
    <t>Takket profil (22/40/2,0)</t>
  </si>
  <si>
    <t>Sikksakkprofil (22/40/2,0)</t>
  </si>
  <si>
    <t>PREFA zupčasti profil (22/40/2,0)</t>
  </si>
  <si>
    <t>Zackenprofil (22/40/2,0; horizontal)</t>
  </si>
  <si>
    <t>serrated profile 22/40/2.0 (horizontal) – PREFA</t>
  </si>
  <si>
    <t>profil triangle (22/40/2,0 ; horizontal)</t>
  </si>
  <si>
    <t>Profilo a zeta (22/40/2,0; orizzontale)</t>
  </si>
  <si>
    <t>Pilový profil (22/40/2,0; horizontální)</t>
  </si>
  <si>
    <t>Profil trójkątny (22/40/2,0 poziomy)</t>
  </si>
  <si>
    <t>fogazott profil (22/40/2,0; vízszintes)</t>
  </si>
  <si>
    <t>prelamovaný profil (22/40/2,0; horizontálny)</t>
  </si>
  <si>
    <t>Zakprofiel (22/40/2,0; horizontaal)</t>
  </si>
  <si>
    <t>Nazobčan profil (22/40/2,0 vodoraven)</t>
  </si>
  <si>
    <t>tandad profil (22/40/2.0; horisontell)</t>
  </si>
  <si>
    <t>Takket profil (22/40/2,0; horisontal)</t>
  </si>
  <si>
    <t>Sikksakkprofil 22/40/2,0; horisontal)</t>
  </si>
  <si>
    <t>PREFA zupčasti profil (22/40/2,0; vodoravni)</t>
  </si>
  <si>
    <t>Zackenprofil (22/40/2,0; vertikal)</t>
  </si>
  <si>
    <t>serrated profile 22/40/2.0 (vertical) – PREFA</t>
  </si>
  <si>
    <t>profil triangle (22/40/2,0 ; vertical)</t>
  </si>
  <si>
    <t>Profilo a zeta (22/40/2,0; verticale)</t>
  </si>
  <si>
    <t>Pilový profil (22/40/2,0; vertikální)</t>
  </si>
  <si>
    <t>Profil trójkątny (22/40/2,0 pionowy)</t>
  </si>
  <si>
    <t>fogazott profil (22/40/2,0; függőleges)</t>
  </si>
  <si>
    <t>prelamovaný profil (22/40/2,0; vertikálny)</t>
  </si>
  <si>
    <t>Zakprofiel (22/40/2,0; verticaal)</t>
  </si>
  <si>
    <t>Nazobčan profil (22/40/2,0 navpičen)</t>
  </si>
  <si>
    <t>tandad profil (22/40/2.0; vertikal)</t>
  </si>
  <si>
    <t>Takket profil (22/40/2,0; vertikal)</t>
  </si>
  <si>
    <t>Sikksakkprofil 22/40/2,0; vertikal)</t>
  </si>
  <si>
    <t>PREFA zupčasti profil (22/40/2,0; okomiti)</t>
  </si>
  <si>
    <t>Ziegelrot/Oxydrot</t>
  </si>
  <si>
    <t>brick red/oxide red</t>
  </si>
  <si>
    <t>rouge tuile/rouge oxyde</t>
  </si>
  <si>
    <t>rosso cotto/rosso ossido</t>
  </si>
  <si>
    <t>cihlově červená/tmavě červená</t>
  </si>
  <si>
    <t>ceglasty / czerwony</t>
  </si>
  <si>
    <t>téglavörös/rozsdavörös</t>
  </si>
  <si>
    <t>tehlovočervená/tmavočervená</t>
  </si>
  <si>
    <t>dakpannenrood/oxiderood</t>
  </si>
  <si>
    <t>barkreno rjava/oksidno rdeča</t>
  </si>
  <si>
    <t>tegelröd/oxidröd</t>
  </si>
  <si>
    <t>teglrød/oxidrød</t>
  </si>
  <si>
    <t>teglsteinsrød/oksidrød</t>
  </si>
  <si>
    <t>Cigleno crvena/oksid crvena</t>
  </si>
  <si>
    <t>Z-Profil</t>
  </si>
  <si>
    <t>Z-profile</t>
  </si>
  <si>
    <t>profil en Z</t>
  </si>
  <si>
    <t>Profilo a Z</t>
  </si>
  <si>
    <t>Profil Z</t>
  </si>
  <si>
    <t>Z-profil</t>
  </si>
  <si>
    <t>Z-profiel</t>
  </si>
  <si>
    <t>Zuluft</t>
  </si>
  <si>
    <t>incoming air</t>
  </si>
  <si>
    <t>entrée d’air</t>
  </si>
  <si>
    <t>Ingresso ventilazione</t>
  </si>
  <si>
    <t>Nawiew powietrza</t>
  </si>
  <si>
    <t>beszellőzés</t>
  </si>
  <si>
    <t>prívod vzduchu</t>
  </si>
  <si>
    <t>Toevoerlucht</t>
  </si>
  <si>
    <t>Dotok zraka</t>
  </si>
  <si>
    <t>tilluft</t>
  </si>
  <si>
    <t>Lufttilførsel</t>
  </si>
  <si>
    <t>Dovodni zrak</t>
  </si>
  <si>
    <t>Zusätzlich sind folgende Umstände zu berücksichtigen:</t>
  </si>
  <si>
    <t>The following conditions should also be taken into account:</t>
  </si>
  <si>
    <t>On tiendra compte par ailleurs des paramètres suivants :</t>
  </si>
  <si>
    <t>Inoltre, si devono tenere in considerazione le seguenti circostanze:</t>
  </si>
  <si>
    <t>Navíc je nutno zohlednit tyto okolnosti</t>
  </si>
  <si>
    <t>Ponadto należy wziąć pod uwagę następujące okoliczności:</t>
  </si>
  <si>
    <t>Ezenkívül a következő körülményeket kell figyelembe venni:</t>
  </si>
  <si>
    <t>Navyše treba zohľadniť nasledujúce okolnosti:</t>
  </si>
  <si>
    <t>Bovendien moet rekening worden gehouden met de volgende omstandigheden:</t>
  </si>
  <si>
    <t>Poleg tega je treba upoštevati naslednje okoliščine:</t>
  </si>
  <si>
    <t>Dessutom måste följande omständigheter beaktas:</t>
  </si>
  <si>
    <t>Derudover skal følgende forhold tages i betragtning:</t>
  </si>
  <si>
    <t>I tillegg skal følgende omstendigheter tas med i betraktning:</t>
  </si>
  <si>
    <t>Osim toga, potrebno je uzeti u obzir sljedeće okolnosti:</t>
  </si>
  <si>
    <t>Zusatzvermerk:</t>
  </si>
  <si>
    <t>Additional remarks:</t>
  </si>
  <si>
    <t>Commentaires :</t>
  </si>
  <si>
    <t>Annotazioni</t>
  </si>
  <si>
    <t>Dopňující poznámka:</t>
  </si>
  <si>
    <t>Dodatkowe uwagi:</t>
  </si>
  <si>
    <t>megjegyzés:</t>
  </si>
  <si>
    <t>Ďalšie poznámky</t>
  </si>
  <si>
    <t>Aanvullende notitie:</t>
  </si>
  <si>
    <t>dodatne opombe</t>
  </si>
  <si>
    <t>Kompletterande notering:</t>
  </si>
  <si>
    <t>Ekstra anmærkning:</t>
  </si>
  <si>
    <t>Tilleggsnotat:</t>
  </si>
  <si>
    <t>Dodatna napomena:</t>
  </si>
  <si>
    <t>Zweischalige Dachausbildung</t>
  </si>
  <si>
    <t>double-skin roof construction</t>
  </si>
  <si>
    <t>toit double peau</t>
  </si>
  <si>
    <t>Realizzazione copertura a doppio strato</t>
  </si>
  <si>
    <t>Dvouplášťová střešní skladba</t>
  </si>
  <si>
    <t>Konstrukcja dachu dwuwarstwowego</t>
  </si>
  <si>
    <t>kéthéjú tetőszerkezet</t>
  </si>
  <si>
    <t>dvojplášťové vyhotovenie strechy</t>
  </si>
  <si>
    <t>Tweewandige dakmontage</t>
  </si>
  <si>
    <t>Strešna konstrukcija z dvojnim opažem</t>
  </si>
  <si>
    <t>Takkonstruktion med dubbla skal</t>
  </si>
  <si>
    <t>To-skals tag</t>
  </si>
  <si>
    <t>Tolags takkonstruksjon</t>
  </si>
  <si>
    <t>Dvoslojna krovna konstrukcija</t>
  </si>
  <si>
    <t>Zweischalige Dachausbildung auf Lattung</t>
  </si>
  <si>
    <t>double-skin roof construction on battens (skip sheathing)</t>
  </si>
  <si>
    <t>toit double peau sur lattage</t>
  </si>
  <si>
    <t>Realizzazione copertura a doppio strato su listelli</t>
  </si>
  <si>
    <t>Dvouplášťová střešní skladba na laťování</t>
  </si>
  <si>
    <t>Konstrukcja dachu dwuwarstwowego na łatach</t>
  </si>
  <si>
    <t>kéthéjú tetőszerkezet lécezésen</t>
  </si>
  <si>
    <t>dvojplášťové vyhotovenie strechy na latovaní</t>
  </si>
  <si>
    <t>Tweewandige dakmontage op panlatten</t>
  </si>
  <si>
    <t>Strešna konstrukcija na letvah</t>
  </si>
  <si>
    <t>Takkonstruktion med dubbla skal på läkt</t>
  </si>
  <si>
    <t>To-skals tag på lægter</t>
  </si>
  <si>
    <t>Tolags takkonstruksjon på lektere</t>
  </si>
  <si>
    <t>Dvoslojna krovna konstrukcija na letvama</t>
  </si>
  <si>
    <t>Zweischaliger Aufbau – Dachgeschoß ausgebaut (Variante 1)</t>
  </si>
  <si>
    <t>double-skin structure – converted attic (variant 1)</t>
  </si>
  <si>
    <t>toit double peau — combles aménagés (variante 1)</t>
  </si>
  <si>
    <t>Struttura a doppio tavolato - Sottotetto reso abitabile (variante 1)</t>
  </si>
  <si>
    <t>Dvouplášťová střešní skladba - obytný podstřešní prostor (varianta 1)</t>
  </si>
  <si>
    <t>Konstrukcja dwuwarstwowa – poddasze nieużytkowe (wariant 1)</t>
  </si>
  <si>
    <t>kéthéjú rétegrend – beépített tetőtér (1. változat)</t>
  </si>
  <si>
    <t>dvojplášťová skladba – povalový priestor s vykurovaním (variant 1)</t>
  </si>
  <si>
    <t>Tweewandige montage - zolder uitgebouwd (variant 1)</t>
  </si>
  <si>
    <t>Konstrukcija z dvojnim opažem – podstrešje je razširjeno (različica 1)</t>
  </si>
  <si>
    <t>Tvåskalskonstruktion – vindsexpansion (variant 1)</t>
  </si>
  <si>
    <t>To-skalskonstruktion - loftsrum ikke udvidet (variant 1)</t>
  </si>
  <si>
    <t>Tolags oppbygging – loftsetasje er ombygd (variant 1)</t>
  </si>
  <si>
    <t>Dvoslojna konstrukcija – potkrovlje preuređeno (varijanta 1)</t>
  </si>
  <si>
    <t>Zweischaliger Aufbau – Dachgeschoß ausgebaut (Variante 2)</t>
  </si>
  <si>
    <t>double-skin structure – converted attic (variant 2)</t>
  </si>
  <si>
    <t>toit double peau — combles aménagés (variante 2)</t>
  </si>
  <si>
    <t>Struttura a doppio tavolato - Sottotetto reso abitabile (variante 2)</t>
  </si>
  <si>
    <t>Dvouplášťová střešní skladba - obytný podstřešní prostor (varianta 2)</t>
  </si>
  <si>
    <t>Konstrukcja dwupowłokowa – poddasze nieużytkowe (wariant 2)</t>
  </si>
  <si>
    <t>Kéthéjú rétegrend – beépített tetőtér (2. változat)</t>
  </si>
  <si>
    <t>dvojplášťová skladba – povalový priestor s vykurovaním (variant 2)</t>
  </si>
  <si>
    <t>Tweewandige montage - zolder uitgebouwd (variant 2)</t>
  </si>
  <si>
    <t>Konstrukcija z dvojnim opažem – podstrešje je razširjeno (različica 2)</t>
  </si>
  <si>
    <t>Tvåskalskonstruktion – vindsexpansion (variant 2)</t>
  </si>
  <si>
    <t>To-skalskonstruktion - loftsrum ikke udvidet (variant 2)</t>
  </si>
  <si>
    <t>Tolags oppbygging – loftsetasje er ombygd (variant 2)</t>
  </si>
  <si>
    <t>Dvoslojna konstrukcija – potkrovlje preuređeno (varijanta 2)</t>
  </si>
  <si>
    <t>Zweischaliger Aufbau – Dachgeschoß nicht ausgebaut</t>
  </si>
  <si>
    <t>double-skin structure — unconverted attic</t>
  </si>
  <si>
    <t>toit double peau — combles non aménagés</t>
  </si>
  <si>
    <t>Struttura a doppio tavolato - Sottotetto non abitabile</t>
  </si>
  <si>
    <t>Dvouplášťová střešní skladba - neobytný podstřešní prostor</t>
  </si>
  <si>
    <t>Konstrukcja dwupowłokowa – poddasze nieużytkowe</t>
  </si>
  <si>
    <t>Kéthéjú rétegrend – még beépítetlen tetőtér</t>
  </si>
  <si>
    <t>dvojplášťová skladba – povalový priestory so studenou prevádzkou</t>
  </si>
  <si>
    <t>Tweewandige montage - zolder niet uitgebouwd</t>
  </si>
  <si>
    <t>Konstrukcija z dvojnim opažem – podstrešje ni razširjeno</t>
  </si>
  <si>
    <t>Tvåskalskonstruktion – ej utbyggd vind</t>
  </si>
  <si>
    <t>To-skalskonstruktion - loftsrum ikke udviklet</t>
  </si>
  <si>
    <t>Tolags oppbygging – loftsetasje er ikke ombygd</t>
  </si>
  <si>
    <t>Dvoslojna konstrukcija – potkrovlje nije preuređeno</t>
  </si>
  <si>
    <t>Zwischenlatte (50/30 mm) zur sicheren Begehbarkeit der Dachfläche und als Auflage für die Schneestopper</t>
  </si>
  <si>
    <t>intermediate batten (50/30 mm) allowing roof accessibility and sufficient support for snow guards</t>
  </si>
  <si>
    <t>volige intermédiaire (50/30 mm) destinée à assurer à la fois une bonne praticabilité de la toiture et un support adéquat pour les arrêts de neige</t>
  </si>
  <si>
    <t>Listello intermedio (50/30 mm) per un accesso sicuro alla superficie del tetto e come supporto per i nasi fermaneve</t>
  </si>
  <si>
    <t>mezilať 50/30 pro zajištění bezpečného nášlapu a jako opěra pro sněhové háky</t>
  </si>
  <si>
    <t>Łata pośrednia (50/30 mm) dla bezpiecznego dostępu do powierzchni dachu i jako podpora dla zabezpieczeń przeciwśniegowych</t>
  </si>
  <si>
    <t>közbenső léc (50/30 mm) a tetőfelület biztonságos bejárhatósága érdekében és a hófogók alátámasztására</t>
  </si>
  <si>
    <t>medzilata (50/30 mm) na bezpečnú pochôdznosť plochy strechy a ako dosadacia plocha pre zachytávač snehu</t>
  </si>
  <si>
    <t>Tussenlat (50/30 mm) voor een veilige toegankelijkheid van het dakvlak en als steun voor de sneeuwstoppers</t>
  </si>
  <si>
    <t>Vmesna letev (50/30 mm) za varno pohodnost strešne površine in kot podpora za snegobrane</t>
  </si>
  <si>
    <t>Mellanläkt (50/30 mm) för säker gångbarhet av takytan och som stöd för snöstopparna</t>
  </si>
  <si>
    <t>Mellemlægte (50/30 mm) for sikker gangbarhed på tagfladen og som støtte for snestopperne</t>
  </si>
  <si>
    <t>Mellomlekt (50/30 mm) for sikkert gangbarhet på takflaten og som underlag for snøstoppere</t>
  </si>
  <si>
    <t>Srednja letva (50/30 mm) za sigurno hodanje po krovnoj površini i kao oslonac za točkasti snjegobran</t>
  </si>
  <si>
    <t>(Höhe nach Dachneigung verschieden)</t>
  </si>
  <si>
    <t>(height may differ according to roof gradient)</t>
  </si>
  <si>
    <t>panne faîtière et chevron d’arêtier ; 30 mm de largeur (hauteur variable en fonction de la pente du toit)</t>
  </si>
  <si>
    <t>(altezza diversa a seconda della pendenza del tetto)</t>
  </si>
  <si>
    <t>(výška dle sklonu střechy)</t>
  </si>
  <si>
    <t>(Wysokość zmienia się w zależności od kąta nachylenia dachu)</t>
  </si>
  <si>
    <t>(a magasság a tetőhajlásszögtől függően változik)</t>
  </si>
  <si>
    <t>(výška podľa sklonu strechy rozdielna)</t>
  </si>
  <si>
    <t>(hoogte varieert naargelang de dakhelling)</t>
  </si>
  <si>
    <t>(višina se razlikuje glede na naklon strehe)</t>
  </si>
  <si>
    <t>(höjden varierar beroende på taklutningen)</t>
  </si>
  <si>
    <t>(Højden varierer efter taghældning)</t>
  </si>
  <si>
    <t>(Høyden varierer etter takvinkel)</t>
  </si>
  <si>
    <t>(Visina varira ovisno o nagibu krova)</t>
  </si>
  <si>
    <t>Sparrenlänge: &gt; 12 m</t>
  </si>
  <si>
    <t>rafter length: &gt; 12 m</t>
  </si>
  <si>
    <t>longueur des chevrons : &gt; 12 m</t>
  </si>
  <si>
    <t>Lunghezza della trave: &gt; 12 m</t>
  </si>
  <si>
    <t>délka krokve &gt; 12 m</t>
  </si>
  <si>
    <t>Długość krokwi: &gt; 12 m</t>
  </si>
  <si>
    <t>szarufahosszúság: &gt; 12 m</t>
  </si>
  <si>
    <t>Dĺžka krokvy: &gt; 12 m</t>
  </si>
  <si>
    <t>Spantlengte: &gt; 12 m</t>
  </si>
  <si>
    <t>Dolžina špirovca: &gt; 12 m</t>
  </si>
  <si>
    <t>Längd på sparre: &lt; 12 m</t>
  </si>
  <si>
    <t>Spærlængde: &gt; 12 m</t>
  </si>
  <si>
    <t>Sperrelengde: &gt;12 m</t>
  </si>
  <si>
    <t>Duljina roženica: &gt; 12 m</t>
  </si>
  <si>
    <t>≥ 25°</t>
  </si>
  <si>
    <t>≥ 25°</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</si>
  <si>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</si>
  <si>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</si>
  <si>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</si>
  <si>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</si>
  <si>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</si>
  <si>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</si>
  <si>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</si>
  <si>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</si>
  <si>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</si>
  <si>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</si>
  <si>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</si>
  <si>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</si>
  <si>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</si>
  <si>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</si>
  <si>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</si>
  <si>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</si>
  <si>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</si>
  <si>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</si>
  <si>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</si>
  <si>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</si>
  <si>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</si>
  <si>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</si>
  <si>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</si>
  <si>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</si>
  <si>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</si>
  <si>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</si>
  <si>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</si>
  <si>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</si>
  <si>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</si>
  <si>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</si>
  <si>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</si>
  <si>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</si>
  <si>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</si>
  <si>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</si>
  <si>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</si>
  <si>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</si>
  <si>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</si>
  <si>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</si>
  <si>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</si>
  <si>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</si>
  <si>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</si>
  <si>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</si>
  <si>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</si>
  <si>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</si>
  <si>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</si>
  <si>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</si>
  <si>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</si>
  <si>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</si>
  <si>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</si>
  <si>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</si>
  <si>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</si>
  <si>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</si>
  <si>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</si>
  <si>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</si>
  <si>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</si>
  <si>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</si>
  <si>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</si>
  <si>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</si>
  <si>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</si>
  <si>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</si>
  <si>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</si>
  <si>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</si>
  <si>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</si>
  <si>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</si>
  <si>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</si>
  <si>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</si>
  <si>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</si>
  <si>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</si>
  <si>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</si>
  <si>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</si>
  <si>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</si>
  <si>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</si>
  <si>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</si>
  <si>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</si>
  <si>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</si>
  <si>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</si>
  <si>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</si>
  <si>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</si>
  <si>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</si>
  <si>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</si>
  <si>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</si>
  <si>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</si>
  <si>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</si>
  <si>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</si>
  <si>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</si>
  <si>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</si>
  <si>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</si>
  <si>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</si>
  <si>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</si>
  <si>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12°</t>
  </si>
  <si>
    <t>14°</t>
  </si>
  <si>
    <t>16°</t>
  </si>
  <si>
    <t>17°</t>
  </si>
  <si>
    <t>*)</t>
  </si>
  <si>
    <t>(zusätzliches Kleben nicht erforderlich)</t>
  </si>
  <si>
    <t>(additional bonding not required)</t>
  </si>
  <si>
    <t>(pas de collage requis)</t>
  </si>
  <si>
    <t>(incollaggio aggiuntivo non necessario)</t>
  </si>
  <si>
    <t>(dodatečné lepení není potřeba)</t>
  </si>
  <si>
    <t>(dodatkowe klejenie niewymagane)</t>
  </si>
  <si>
    <t>(további ragasztás nem szükséges)</t>
  </si>
  <si>
    <t>(dodatočné lepenie nie je potrebné)</t>
  </si>
  <si>
    <t>(extra verlijming niet nodig)</t>
  </si>
  <si>
    <t>(dodatno lepljenje ni potrebno)</t>
  </si>
  <si>
    <t>(extra limning krävs ej)</t>
  </si>
  <si>
    <t>(ekstra klæbning er ikke påkrævet)</t>
  </si>
  <si>
    <t>(ekstra liming er ikke nødvendig)</t>
  </si>
  <si>
    <t>(dodatno lijepljenje nije potrebno)</t>
  </si>
  <si>
    <t>ca. ⌀ 100</t>
  </si>
  <si>
    <t>approx. ⌀ 100</t>
  </si>
  <si>
    <t>env. ⌀ 100</t>
  </si>
  <si>
    <t>Ø ca. 100</t>
  </si>
  <si>
    <t>Ø około 100</t>
  </si>
  <si>
    <t>Ø kb. 100</t>
  </si>
  <si>
    <t>Ø cca 100</t>
  </si>
  <si>
    <t>Ø cirka 100</t>
  </si>
  <si>
    <t>cca. ⌀ 100</t>
  </si>
  <si>
    <t>With rhomboid roof tiles 44 × 44,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</si>
  <si>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44 × 44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</si>
  <si>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</si>
  <si>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romb 44 × 44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</si>
  <si>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</si>
  <si>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29 × 29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</si>
  <si>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pipe-style snow guard bracket. Double-skin roof structure: 2 fixing screws 8 × 220 mm. Single-skin roof structure: 2 fixing screws 8 × 120 mm.</t>
  </si>
  <si>
    <t>W przypadku dachówki romb 29 × 29 konieczne jest zamontowanie płyty podkładowej w celu zamocowania elementów montażowych zabezpieczeń przeciwśniegowych. Dwupowłokowa konstrukcja dachu: 2 śruby mocujące 8 × 220 mm. Jednopowłokowa konstrukcja dachu: 2 śruby mocujące 8 × 120 mm.</t>
  </si>
  <si>
    <t>With shingles, it is necessary to install a base plate in order to mount the roof anchor hook (e.g. if a seam is lying above a rafter in the installation area). Double-skin roof structure: 2 fixing screws 8 × 220 mm. Single-skin roof structure: 2 fixing screws 8 × 120 mm.</t>
  </si>
  <si>
    <t>W przypadku dachówki łupkowej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</si>
  <si>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shingles,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</si>
  <si>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łupkowej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</si>
  <si>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t>
  </si>
  <si>
    <t>W przypadku małoformatowych elementów dachowych konieczne jest zamontowanie płyty podkładowej w celu zamocowania systemu zabezpieczeń przeciwśniegowych (np. jeśli w obszarze mocowania nad krokwią znajduje się złożenie). Dwupowłokowa konstrukcja dachu: 4 śruby mocujące 8 × 220 mm. Jednopowłokowa konstrukcja dachu: 4 śruby mocujące 8 × 120 mm.</t>
  </si>
  <si>
    <t>With small-format roof elements, it may be necessary to install a base plate in order to mount the roof anchor hook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</si>
  <si>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</si>
  <si>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</si>
  <si>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</si>
  <si>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t>
  </si>
  <si>
    <t>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t>
  </si>
  <si>
    <t>Zweischaliger Dachaufbau: 2 Befestigungsschrauben 8 × 220 mm.</t>
  </si>
  <si>
    <t>Double-skin roof structure: 2 fixing screws 8 × 220 mm.</t>
  </si>
  <si>
    <t>toit double peau : 2 vis de fixation 8 × 220 mm.</t>
  </si>
  <si>
    <t>Struttura del tetto a due strati: 2 viti di fissaggio 8 × 220 mm.</t>
  </si>
  <si>
    <t>dvouplášťová střešní skladba:  4 ks připevňovací vruty 8x220 mm</t>
  </si>
  <si>
    <t>Dwupowłokowa konstrukcja dachu: 2 śruby mocujące 8 × 220 mm.</t>
  </si>
  <si>
    <t>Kéthéjú tető rétegrend: 2 db 8 × 220 mm-es rögzítőcsavar.</t>
  </si>
  <si>
    <t>Dvojplášťová skladba strechy: 2 upevňovacie skrutky 8 × 220 mm.</t>
  </si>
  <si>
    <t>Tweewandige dakmontage: 2 bevestigingsschroeven 8 × 220 mm.</t>
  </si>
  <si>
    <t>Strešna konstrukcija z dvojnim opažem: 2 pritrdilna vijaka 8 × 220 mm.</t>
  </si>
  <si>
    <t>Takkonstruktion med dubbla skal: 2 monteringsskruvar 8 × 220 mm.</t>
  </si>
  <si>
    <t>To-skals tagkonstruktion: 2 fastgørelsesskruer 8 × 220 mm.</t>
  </si>
  <si>
    <t>Tolags takoppbygging: 2 festeskruer 8 × 220 mm.</t>
  </si>
  <si>
    <t>Dvoslojna krovna konstrukcija: 2 pričvrsna vijka 8 × 220 mm.</t>
  </si>
  <si>
    <t>Einschaliger Dachaufbau: 2 Befestigungsschrauben 8 × 120 mm.</t>
  </si>
  <si>
    <t>Single-skin roof structure: 2 fixing screws 8 × 120 mm.</t>
  </si>
  <si>
    <t>toiture non ventilée : 2 vis de fixation 8 × 120 mm.</t>
  </si>
  <si>
    <t>Struttura del tetto monostrato: 2 viti di fissaggio 8 × 120 mm.</t>
  </si>
  <si>
    <t>jednoplášťová střešní skladba: 4 ks připevňovací vruty 8x120 mm</t>
  </si>
  <si>
    <t>Jednopowłokowa konstrukcja dachu: 2 śruby mocujące 8 × 120 mm.</t>
  </si>
  <si>
    <t>Egyhéjú tető rétegrend: 2 db 8 × 120 mm-es rögzítőcsavar.</t>
  </si>
  <si>
    <t>Jednoplášťová skladba strechy: 2 upevňovacie skrutky 8 × 120 mm.</t>
  </si>
  <si>
    <t>Enkelwandige dakmontage: 2 bevestigingsschroeven 8 × 120 mm.</t>
  </si>
  <si>
    <t>Strešna konstrukcija z enojnim opažem: 2 pritrdilna vijaka 8 × 120 mm.</t>
  </si>
  <si>
    <t>Takkonstruktion med enkelskal: 2 monteringsskruvar 8 × 120 mm.</t>
  </si>
  <si>
    <t>En-skals tagkonstruktion: 2 fastgørelsesskruer 8 × 120 mm.</t>
  </si>
  <si>
    <t>Ettlags takoppbygging: 2 festeskruer 8 × 120 mm.</t>
  </si>
  <si>
    <t>Jednoslojna krovna konstrukcija: 2 pričvrsna vijka 8 × 120 mm.</t>
  </si>
  <si>
    <t>Sparrenlänge: 7–12 m</t>
  </si>
  <si>
    <t>rafter length: 7–12 m</t>
  </si>
  <si>
    <t>longueur des chevrons : entre 7 et 12 m</t>
  </si>
  <si>
    <t>Lunghezza della trave: 7-12 m</t>
  </si>
  <si>
    <t>délka krokve 7-12 m</t>
  </si>
  <si>
    <t>Długość krokwi: 7–12 m</t>
  </si>
  <si>
    <t>szarufahosszúság: 7–12 m</t>
  </si>
  <si>
    <t>Dĺžka krokvy: 7 – 12 m</t>
  </si>
  <si>
    <t>Spantlengte: 7–12 m</t>
  </si>
  <si>
    <t>Dolžina špirovca: 7–12 m</t>
  </si>
  <si>
    <t>Längd på sparre: 7–12 m</t>
  </si>
  <si>
    <t>Spærlængde: 7–12 m</t>
  </si>
  <si>
    <t>Sperrelengde: 7–12 m</t>
  </si>
  <si>
    <t>Duljina roženica: 7-12 m</t>
  </si>
  <si>
    <t>Dachflächenfenster mit Einschubkeil über 25° Dachneigung.</t>
  </si>
  <si>
    <t>Roof window flashing with an insert wedge on a roof pitch over 25°.</t>
  </si>
  <si>
    <t>Fenêtre de toit avec coyau pour pentes de toit supérieures à 25°</t>
  </si>
  <si>
    <t>Střešní okno s náběhovým klínem nad 25° střešního sklonu.</t>
  </si>
  <si>
    <t>Okno dachowe z ościeżnicą klinową poniżej 25° nachylenia dachu.</t>
  </si>
  <si>
    <t>Tetősíkablak betétes ékkel 25°-os tetőhajlásszög felett.</t>
  </si>
  <si>
    <t>Strešné okno s vloženým klinom pri sklone strechy viac ako 25°.</t>
  </si>
  <si>
    <t>Dakraam met insteekspie boven 25° dakhelling.</t>
  </si>
  <si>
    <t>Ležeći krovni prozor s klinom koji se uvlači preko 25° nagiba krova.</t>
  </si>
  <si>
    <t>Anwendung in schneereichen Gebieten.</t>
  </si>
  <si>
    <t>Installation in snowy areas.</t>
  </si>
  <si>
    <t>Utilisation dans les régions à fort enneigement.</t>
  </si>
  <si>
    <t>Utilizzo in zone nevose.</t>
  </si>
  <si>
    <t>Použití v oblastech bohatých na sníh.</t>
  </si>
  <si>
    <t>Stosowanie na terenach, gdzie występują opady śniegu.</t>
  </si>
  <si>
    <t>Havas területeken való használat.</t>
  </si>
  <si>
    <t>Použitie v oblastiach bohatých na sneh.</t>
  </si>
  <si>
    <t>Gebruik in besneeuwde gebieden.</t>
  </si>
  <si>
    <t>Uporaba na območjih z veliko snega.</t>
  </si>
  <si>
    <t>Applicering i snörika områden.</t>
  </si>
  <si>
    <t>Anvendelse i snerige områder.</t>
  </si>
  <si>
    <t>Bruk i snørike områder.</t>
  </si>
  <si>
    <t>Primjena u snježnim područjima.</t>
  </si>
  <si>
    <t>Die Notwendigkeit des Einschubkeils ist abhängig von Objekteigenschaften, Standort sowie vom Vorhandensein eines Schneeschutzes.</t>
  </si>
  <si>
    <t>The need for the insert wedge depends on the building’s properties, the location and whether or not there is a snow protection system.</t>
  </si>
  <si>
    <t>L’utilisation ou non d’un coyau sera fonction des particularités du bâtiment, de sa situation géographique et de la présence ou non d’un système de rétention de neige.</t>
  </si>
  <si>
    <t>La necessità del cuneo di inserimento dipende dalle caratteristiche dell'immobile, dalla posizione, nonché dalla presenza di un paraneve.</t>
  </si>
  <si>
    <t>Nutnost náběhového klínu závisí na vlastnostech objektu, lokalitě, jakož i použití protisněhového opatření.</t>
  </si>
  <si>
    <t>Konieczność zastosowania klina wsuwanego zależy od charakterystyki obiektu, lokalizacji, a także obecności zabezpieczeń przeciwśniegowych.</t>
  </si>
  <si>
    <t>A betétes ék szükségessége az épület jellemzőitől, a helytől, valamint a hóvédelem meglététől függ.</t>
  </si>
  <si>
    <t>Potreba použitia vloženého klinu závisí od vlastností objektu, lokality, ako aj od existencie protisnehovej ochrany.</t>
  </si>
  <si>
    <t>De noodzaak van de insteekspie hangt af van de kenmerken van het object, de plaats, alsmede de aanwezigheid van een sneeuwvanger.</t>
  </si>
  <si>
    <t>Potreba po vrivnem klinu je odvisna od lastnosti objekta, lokacije in od tega, ali je prisoten snegolov.</t>
  </si>
  <si>
    <t>Behovet av inskjutningskilen beror på fastighetens egenskaper, läget och om det finns snöskydd.</t>
  </si>
  <si>
    <t>Behovet for skydekilen afhænger af ejendommens egenskaber, beliggenheden og om der er snesikring.</t>
  </si>
  <si>
    <t>Behovet for innskyvningskilen avhenger av eiendommens egenskaper, beliggenhet og om det foreligger snøsikring.</t>
  </si>
  <si>
    <t>Potreba za klinom ovisi o svojstvima objekta, lokaciji i ima li zaštitu od snijega.</t>
  </si>
  <si>
    <t>Der fachgerechte Einbau der Dachflächenfenster erfolgt gemäß den Herstellerrichtlinien des Dachflächenfensters.</t>
  </si>
  <si>
    <t>Professional installation of the roof window flashing should be carried out according to the manufacturer’s guidelines for the roof window flashing.</t>
  </si>
  <si>
    <t>Veiller à ce que la pose soit effectuée par un professionnel et conformément aux instructions fournies par le fabricant de la fenêtre de toit.</t>
  </si>
  <si>
    <t>L'installazione professionale delle finestre per tetto viene effettuata secondo le linee guida del produttore delle finestre.</t>
  </si>
  <si>
    <t>Odborná montáž  střešních oken dle technologického návodu výrobce střešních oken.</t>
  </si>
  <si>
    <t>Konieczne jest przeprowadzenie fachowego montażu okna dachowego zgodnie z wytycznymi jego producenta.</t>
  </si>
  <si>
    <t>A szakszerű beépítést a tetősíkablak gyártójának útmutatója szerint kell elvégezni.</t>
  </si>
  <si>
    <t>Pri odbornej montáži sa musí postupovať podľa smerníc výrobcu strešného okna.</t>
  </si>
  <si>
    <t>De professionele montage van het dakraam vindt plaats volgens de fabrikantrichtlijnen van het dakraam.</t>
  </si>
  <si>
    <t>Profesionalna montaža strešnega okna poteka po navodilih proizvajalca strešnega okna.</t>
  </si>
  <si>
    <t>Professionell montering av takfönstret utförs i enlighet med tillverkarens riktlinjer för takfönstret.</t>
  </si>
  <si>
    <t>Professionel montering af ​tagvinduet sker efter tagvinduets producentvejledning.</t>
  </si>
  <si>
    <t>Den profesjonelle monteringen skjer i henhold til produsentens retningslinjer for takvinduet.</t>
  </si>
  <si>
    <t>Profesionalna montaža ležećeg krovnog prozora provodi se prema uputama proizvođača ležećeg krovnog prozora.</t>
  </si>
  <si>
    <t>AT</t>
  </si>
  <si>
    <t>EN</t>
  </si>
  <si>
    <t>FR</t>
  </si>
  <si>
    <t>IT</t>
  </si>
  <si>
    <t>CZ</t>
  </si>
  <si>
    <t>PL</t>
  </si>
  <si>
    <t>HU</t>
  </si>
  <si>
    <t>SK</t>
  </si>
  <si>
    <t>NL</t>
  </si>
  <si>
    <t>SW</t>
  </si>
  <si>
    <t>DK</t>
  </si>
  <si>
    <t>NO</t>
  </si>
  <si>
    <t>HR</t>
  </si>
  <si>
    <t>Bei kleinformatigen Dachelementen kann es erforderlich sein, eine Unterlagsplatte einzubauen, um das Schneerechensystem zu montieren (z. B. wenn ein Falz im Montagebereich über dem Sparren liegt).</t>
  </si>
  <si>
    <t>With small-format roof elements, it may be necessary to install a base plate in order to mount the pipe-style snow guard system (e.g. if a seam is lying above a rafter in the installation area).</t>
  </si>
  <si>
    <t>Pour les éléments de toiture de petit format, la pose d’une plaque de support peut être requise avant l’installation du système pare-neige. C’est le cas par exemple lorsqu’un joint se trouve directement au-dessus d’un chevron, à l’endroit où l’élément doit être monté.</t>
  </si>
  <si>
    <t>Per gli elementi di copertura del tetto di piccolo formato, può essere necessario installare una sottopiastra per montare il sistema a tubi fermaneve (ad es. se c'è un'aggraffatura nella zona di montaggio sopra il travetto).</t>
  </si>
  <si>
    <t>U maloformátových krytin může být v některých případech nutné provádět montáž držáku trubkové profilované sněhové zábrany na montážní podložku (např. drážka v místě krokve).</t>
  </si>
  <si>
    <t>W przypadku małoformatowych elementów dachowych konieczne jest zamontowanie płyty podkładowej w celu zamocowania systemu zabezpieczeń przeciwśniegowych (np. jeśli w obszarze mocowania nad krokwią znajduje się złożenie).</t>
  </si>
  <si>
    <t>Kis méretű tetőfedő elemek esetében a hófogó rendszer felszereléséhez szükséges lehet egy alátétlemez beszerelése (pl. ha a szarufa feletti szerelési területen korc van).</t>
  </si>
  <si>
    <t>Pri maloformátových strešných prvkoch môže byť potrebné zabudovanie spevňovacej podložky, aby bolo možné namontovať systémový rúrkový zachytávač snehu (napr. keď drážka v montážnej oblasti leží nad krokvami).</t>
  </si>
  <si>
    <t>Bij dakelementen van klein formaat moet wellicht een steunplaat worden aangebracht om het sneeuwharksysteem te monteren (bijv. als er een sponning in het montagegebied boven de dakspant zit).</t>
  </si>
  <si>
    <t>Pri strešnih elementih majhnega formata je morda potrebno namestiti podložno ploščo za montažo snegolovnega sistema (npr. če je zgib v območju montaže nad špirovci).</t>
  </si>
  <si>
    <t>Vid takelement i småformat kan det vara nödvändigt att installera ett mellanlägg för att montera snökratssystemet (t.ex. om det finns en fals i monteringsytan ovanför takbjälken).</t>
  </si>
  <si>
    <t>Ved mindre tagelementer kan det være nødvendigt at montere en underlagsplade for at montere snesystemet (f.eks. hvis en fals i monteringsområdet er over spær).</t>
  </si>
  <si>
    <t>Med takelementer i småformat kan det være nødvendig å installere en underlagsplate for å kunne montere snøholdersystemet (f.eks. når en fals i monteringsområdet ligger over sperrebjelkene).</t>
  </si>
  <si>
    <t>Kod krovnih elemenata malog formata može biti potrebno ugraditi podlošku za montažu sustava rešetkastog snjegobrana (npr. ako je falc u području montaže iznad roženica).</t>
  </si>
  <si>
    <t>With small-format roof elements, it may be necessary to install a base plate in order to mount the roof anchor hook (e.g. if a seam is lying above a rafter in the installation area).</t>
  </si>
  <si>
    <t>U maloformátových krytin může být v některých případech nutné provádět montáž bezpečnostního háku na montážní podložku (např. drážka v místě krokve).</t>
  </si>
  <si>
    <t>Bei kleinformatigen Dachelementen kann es erforderlich sein, eine Unterlagsplatte einzubauen, um die Gebirgsschneefangstütze zu montieren (z. B. wenn ein Falz im Montagebereich über dem Sparren liegt).</t>
  </si>
  <si>
    <t>With small-format roof elements, it may be necessary to install a base plate in order to mount the mountain snow guard bracket (e.g. if a seam is lying above a rafter in the installation area).</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</si>
  <si>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t>
  </si>
  <si>
    <t>Per gli elementi di copertura di piccolo formato, può essere necessario installare una sottopiastra per montare la staffa fermaneve per legno tondo (ad es. se c'è un'aggraffatura nella zona di montaggio sopra il travetto).</t>
  </si>
  <si>
    <t>U maloformátových krytin může být v některých případech nutné provádět montáž držáku kulatiny na montážní podložku (např. drážka v místě krokve).</t>
  </si>
  <si>
    <t>W przypadku małoformatowych elementów dachowych konieczne jest zamontowanie płyty podkładowej w celu zamocowania elementów montażowych osłon przeciwśniegowych stosowanych na terenach górskich (np. jeśli w obszarze mocowania nad krokwią znajduje się złożenie).</t>
  </si>
  <si>
    <t>Kis méretű tetőfedő elemek esetében a hófogórönk-tartó elem felszereléséhez szükséges lehet egy alátétlemez beszerelése (pl. ha a szarufa feletti szerelési területen korc van).</t>
  </si>
  <si>
    <t>Pri maloformátových strešných prvkoch môže byť potrebné zabudovanie spevňovacej podložky, aby bolo možné namontovať držiak horského zachytávača snehu (napr. keď drážka v montážnej oblasti leží nad krokvami).</t>
  </si>
  <si>
    <t>Bij dakelementen van klein formaat moet wellicht een steunplaat worden aangebracht om de steensneeuwvanger te monteren (bijv. als er een sponning in het montagegebied boven de dakspant zit).</t>
  </si>
  <si>
    <t>Pri strešnih elementih majhnega formata je morda potrebno namestiti podložno ploščo za montažo gorskega snegolovnega opornika (npr. če je zgib v območju montaže nad špirovci).</t>
  </si>
  <si>
    <t>Vid takelement i småformat kan det vara nödvändigt att installera ett mellanlägg för att montera fjällsnöskyddsstödet (t.ex. om det finns en fals i monteringsytan ovanför takbjälken).</t>
  </si>
  <si>
    <t>Ved mindre tagelementer kan det være nødvendigt at montere en underlagsplade for at montere bjergsnesystemet (f.eks. hvis en fals i monteringsområdet er over spær).</t>
  </si>
  <si>
    <t>Med takelementer i småformat kan det være nødvendig å installere en underlagsplate for å kunne montere snøstoppere (f.eks. når en fals i monteringsområdet ligger over sperrebjelkene).</t>
  </si>
  <si>
    <t>Kod krovnih elemenata malog formata može biti potrebno ugraditi podlošku za montažu nosača planinskog snjegobrana (npr. ako je falc u području montaže iznad roženica).</t>
  </si>
  <si>
    <t>Bei kleinformatigen Dachelementen kann es erforderlich sein, eine Unterlagsplatte einzubauen, um den Schneerechenhaken montieren (z. B. wenn ein Falz im Montagebereich über dem Sparren liegt).</t>
  </si>
  <si>
    <t>With small-format roof elements, it may be necessary to install a base plate in order to mount the pipe-style snow guard bracket (e.g. if a seam is lying above a rafter in the installation area).</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</si>
  <si>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t>
  </si>
  <si>
    <t>Per gli elementi di copertura di piccolo formato, può essere necessario installare una sottopiastra per montare la staffa per tubi fermaneve (ad es. se c'è un'aggraffatura nella zona di montaggio sopra il travetto).</t>
  </si>
  <si>
    <t>U maloformátových krytin může být v některých případech nutné provádět montáž držáku sněhové zábrany na montážní podložku (např. drážka v místě krokve).</t>
  </si>
  <si>
    <t>W przypadku małoformatowych elementów dachowych konieczne jest zamontowanie płyty podkładowej w celu zamocowania systemu elementów montażowych zabezpieczeń przeciwśniegowych (np. jeśli w obszarze mocowania nad krokwią znajduje się złożenie).</t>
  </si>
  <si>
    <t>Kis méretű tetőfedő elemek esetében a hófogórúd-tartó elem felszereléséhez szükséges lehet egy alátétlemez beszerelése (pl. ha a szarufa feletti szerelési területen korc van).</t>
  </si>
  <si>
    <t>Pri maloformátových strešných prvkoch môže byť potrebné zabudovanie spevňovacej podložky, aby bolo možné namontovať držiak rúrkového zachytávača snehu (napr. keď drážka v montážnej oblasti leží nad krokvami).</t>
  </si>
  <si>
    <t>Bij dakelementen van klein formaat moet wellicht een steunplaat worden aangebracht om de sneeuwharkhaak te monteren (bijv. als er een sponning in het montagegebied boven de dakspant zit).</t>
  </si>
  <si>
    <t>Pri strešnih elementih majhnega formata je morda potrebno namestiti podložko za montažo snegolova (npr. če je zgib v območju montaže nad špirovci).</t>
  </si>
  <si>
    <t>Vid takelement i småformat kan det vara nödvändigt att installera ett mellanlägg för att montera snökratskroken (t.ex. om det finns en fals i monteringsytan ovanför takbjälken).</t>
  </si>
  <si>
    <t>Ved mindre tagelementer kan det være nødvendigt at montere en underlagsplade for at montere snekrogen (f.eks. hvis en fals i monteringsområdet er over spær).</t>
  </si>
  <si>
    <t>Med takelementer i småformat kan det være nødvendig å installere en underlagsplate for å kunne montere kroken til snøstopperen (f.eks. når en fals i monteringsområdet ligger over sperrebjelkene).</t>
  </si>
  <si>
    <t>Kod krovnih elemenata malog formata može biti potrebno ugraditi podlošku za montažu kuke za rešetkasti snjegobran (npr. ako je falc u području montaže iznad roženica).</t>
  </si>
  <si>
    <t>With small-format roof elements, it may be necessary to install a base plate in order to mount the Vario or Fix solar bracket (e.g. if a seam is lying above a rafter in the installation area).</t>
  </si>
  <si>
    <t>U maloformátových krytin může být v některých případech nutné provádět montáž  solárního držáku Vario nebo Fix na montážní podložku (např. drážka v místě krokve).</t>
  </si>
  <si>
    <t>ca. 15</t>
  </si>
  <si>
    <t>approx. 15</t>
  </si>
  <si>
    <t>env. 15</t>
  </si>
  <si>
    <t>około 15</t>
  </si>
  <si>
    <t>kb. 15</t>
  </si>
  <si>
    <t>cca 15</t>
  </si>
  <si>
    <t>cirka 15</t>
  </si>
  <si>
    <t>cca. 15</t>
  </si>
  <si>
    <t>ca. 20</t>
  </si>
  <si>
    <t>approx. 20</t>
  </si>
  <si>
    <t>env. 20</t>
  </si>
  <si>
    <t>około 20</t>
  </si>
  <si>
    <t>kb. 20</t>
  </si>
  <si>
    <t>cca 20</t>
  </si>
  <si>
    <t>cirka 20</t>
  </si>
  <si>
    <t>cca. 20</t>
  </si>
  <si>
    <t>ca. 50</t>
  </si>
  <si>
    <t>approx. 50</t>
  </si>
  <si>
    <t>env. 50</t>
  </si>
  <si>
    <t>około 50</t>
  </si>
  <si>
    <t>kb. 50</t>
  </si>
  <si>
    <t>cca 50</t>
  </si>
  <si>
    <t>cirka 50</t>
  </si>
  <si>
    <t>cca. 50</t>
  </si>
  <si>
    <t>Dachflächenfenster Mit Aufkeilrahmen</t>
  </si>
  <si>
    <t>ROOF WINDOW FLASHING WITH WEDGE FRAME</t>
  </si>
  <si>
    <t>FENÊTRE DE TOIT AVEC SOUS-COSTIÈRE</t>
  </si>
  <si>
    <t>Finestra per tetto con telaio a cunei</t>
  </si>
  <si>
    <t>STŘEŠNÍ OKNO SE ZVEDACÍM RÁMEM</t>
  </si>
  <si>
    <t>OKNA DACHOWE Z OŚCIEŻNICAMI KLINOWYMI</t>
  </si>
  <si>
    <t>ÉKELT KERETES TETŐABLAKOK</t>
  </si>
  <si>
    <t>STREŠNÉ OKNO S KLINOVÝM RÁMOM</t>
  </si>
  <si>
    <t>DAKVENSTERS MET SPLEETKOZIJNEN</t>
  </si>
  <si>
    <t>STREŠNO OKNO S KLINASTIM OKVIRJEM</t>
  </si>
  <si>
    <t>TAKFÖNSTER MED KILRAMAR</t>
  </si>
  <si>
    <t>TAGVINDUE MED KILERAMME</t>
  </si>
  <si>
    <t>TAKVINDU MED KILEKARMER</t>
  </si>
  <si>
    <t>LEŽEĆI KROVNI PROZOR S OKVIROM</t>
  </si>
  <si>
    <t>DACHFLÄCHENFENSTER MIT AUFKEILRAHMEN</t>
  </si>
  <si>
    <t>(zusätzliches Nieten nicht erforderlich)</t>
  </si>
  <si>
    <t>(additional riveting not required)</t>
  </si>
  <si>
    <t>(pas de rivetage requis)</t>
  </si>
  <si>
    <t>(rivettatura aggiuntiva non necessaria)</t>
  </si>
  <si>
    <t>(dodatečné nýtování není nutné)</t>
  </si>
  <si>
    <t>(dodatkowe nitowanie niewymagane)</t>
  </si>
  <si>
    <t>(további szegecselés nem szükséges)</t>
  </si>
  <si>
    <t>(dodatočné nitovanie nie je potrebné)</t>
  </si>
  <si>
    <t>(extra klinknagels niet nodig)</t>
  </si>
  <si>
    <t>(dodatno zakovičenje ni potrebno)</t>
  </si>
  <si>
    <t>(extra nitning krävs ej)</t>
  </si>
  <si>
    <t>(ekstra nitning er ikke påkrævet)</t>
  </si>
  <si>
    <t>(ekstra spikring er ikke nødvendig)</t>
  </si>
  <si>
    <t>(dodatno zakivanje nije potrebno)</t>
  </si>
  <si>
    <t>mind. dreifacher Durchmesser (24 mm)</t>
  </si>
  <si>
    <t>at least three times the diameter (24 mm)</t>
  </si>
  <si>
    <t>au moins le triple du diamètre (24 mm)</t>
  </si>
  <si>
    <t>≤ 3 x Ø = 24 mm</t>
  </si>
  <si>
    <t>0–419</t>
  </si>
  <si>
    <t>0-419</t>
  </si>
  <si>
    <t>30–80*</t>
  </si>
  <si>
    <t>30-80*</t>
  </si>
  <si>
    <t>Trennlage</t>
  </si>
  <si>
    <t>separation layer</t>
  </si>
  <si>
    <t>couche de séparation</t>
  </si>
  <si>
    <t>Strato separatore</t>
  </si>
  <si>
    <t>Separační vrstva</t>
  </si>
  <si>
    <t>Warstwa rozdzielająca</t>
  </si>
  <si>
    <t>elválasztóréteg</t>
  </si>
  <si>
    <t>separačná vrstva</t>
  </si>
  <si>
    <t>Scheidingslaag</t>
  </si>
  <si>
    <t>Ločilna plast</t>
  </si>
  <si>
    <t>separationsskikt</t>
  </si>
  <si>
    <t>Skillelag</t>
  </si>
  <si>
    <t>Razdjelni sloj</t>
  </si>
  <si>
    <t>Länderspezifische Vorgaben beachten (Unterdach, keine Kehlen oder Durchdringungen usw.).</t>
  </si>
  <si>
    <t>Observe the national guidelines (roof underlay, no valleys or penetrations, etc.).</t>
  </si>
  <si>
    <t>Zohlednit národní technické předpisy (pojistná hydroizolace, úžlabí bez průniků,…)</t>
  </si>
  <si>
    <t>az országspecifikus követelményeket be kell tartani (alsó tetősík, vápa vagy áttörések nélkül, stb.).</t>
  </si>
  <si>
    <t>Poštujte zahtjeve specifične za zemlju (potkrov, bez uvala ili prodora, itd.).</t>
  </si>
  <si>
    <t>Dichtmittel in Längsfälzen.</t>
  </si>
  <si>
    <t>Sealant in longitudinal seams.</t>
  </si>
  <si>
    <t>Garniture d’étanchéité dans les agrafures longitudinales.</t>
  </si>
  <si>
    <t>Sigillante nelle aggraffature longitudinali.</t>
  </si>
  <si>
    <t>Těsnění v drážkách</t>
  </si>
  <si>
    <t>Uszczelnienie w rąbkach podłużnych.</t>
  </si>
  <si>
    <t>tömítőanyag a hosszirányú korcokban.</t>
  </si>
  <si>
    <t>Prostriedok na utesnenie v pozdĺžnych drážkach.</t>
  </si>
  <si>
    <t>Kit in lengtesponning.</t>
  </si>
  <si>
    <t>Tesnila in vzdolžno pregibanje.</t>
  </si>
  <si>
    <t>Tätningsmedel i längsgående falsar.</t>
  </si>
  <si>
    <t>Tætningsmiddel i langsgående fals.</t>
  </si>
  <si>
    <t>Tetningsmiddel i langsgående falser.</t>
  </si>
  <si>
    <t>Brtvilo u uzdužnim falcima.</t>
  </si>
  <si>
    <t>Information:</t>
  </si>
  <si>
    <t>Pour information :</t>
  </si>
  <si>
    <t>Informazione:</t>
  </si>
  <si>
    <t>Informace:</t>
  </si>
  <si>
    <t>Informacje:</t>
  </si>
  <si>
    <t>Információk:</t>
  </si>
  <si>
    <t>Informácia:</t>
  </si>
  <si>
    <t>Informatie:</t>
  </si>
  <si>
    <t>Informacija:</t>
  </si>
  <si>
    <t>Informasjon:</t>
  </si>
  <si>
    <t>Lüftungsquerschnitt der Froschmaulluken: ca. 30 cm²</t>
  </si>
  <si>
    <t>air intake section of frog-mouth vents: approx. 30 cm²</t>
  </si>
  <si>
    <t>section d’aération des chatières : env. 30 cm²</t>
  </si>
  <si>
    <t>Sezione di ventilazione della bocchetta di aerazione: circa 30 cm²</t>
  </si>
  <si>
    <t>Odvětrávací průřez tvarovky: cca 30 cm²</t>
  </si>
  <si>
    <t>Efektywny przekrój wentylacyjny pokrywy wywietrzników ok. 30 cm²</t>
  </si>
  <si>
    <t>A szellőzőelemek szellőzési keresztmetszete: kb. 30 cm²</t>
  </si>
  <si>
    <t>Vetrací prierez odvetrávacích tvaroviek: cca 30 cm²</t>
  </si>
  <si>
    <t>Ventilatie-doorsnede van de kikkermondluiken: ca. 30 cm²</t>
  </si>
  <si>
    <t>zračni prerez žabjega zračnika: približno 30 cm²</t>
  </si>
  <si>
    <t>Ventilationstvärsnitt av grodluckor: ca 30 cm².</t>
  </si>
  <si>
    <t>Ventilationstværsnit for tagudluftning: cirka 30 cm²</t>
  </si>
  <si>
    <t>Ventilasjonstverrsnitt for froskemunnformede luker: ca. 30 cm²</t>
  </si>
  <si>
    <t>Slobodni presjek odzračnika: cca. 30 cm²</t>
  </si>
  <si>
    <t>Schalung und Trennlage sind entsprechend dem Lüftungsquerschnitt auszuschneiden (Durchmesser: ca. 10 cm).</t>
  </si>
  <si>
    <t>The air intake section must be taken into account when cutting out the sheathing (diameter: approx. 10 cm).</t>
  </si>
  <si>
    <t>Découper le voligeage et la couche de séparation en tenant compte de la section d’aération (diamètre : env. 10 cm).</t>
  </si>
  <si>
    <t>Tavolato e strato separatore devono essere tagliati secondo la sezione di ventilazione (diametro: circa 10 cm).</t>
  </si>
  <si>
    <t>Bednění a separační vrstvu je nutno vyříznout podle odvětrávacího průřezu (průměr: cca 10 cm).</t>
  </si>
  <si>
    <t>Szalunek i warstwa rozdzielająca muszą być wycięte zgodnie z efektywnym przekrojem wentylacyjnym (średnica: ok. 10 cm).</t>
  </si>
  <si>
    <t>A zsaluzatot és az elválasztóréteget a szellőzési keresztmetszetnek megfelelően kell kivágni (átmérő: kb. 10 cm).</t>
  </si>
  <si>
    <t>Debnenie a separačnú vrstvu treba vyrezať podľa vetracieho prierezu (priemer: cca 10 cm).</t>
  </si>
  <si>
    <t>De bekisting en de scheidingslaag moeten worden uitgesneden volgens de doorsnede van de ventilatie (diameter: ca. 10 cm).</t>
  </si>
  <si>
    <t>Opaž in ločilni sloj je treba izrezati glede na prečni prerez zračnika (premer: pribl. 10 cm).</t>
  </si>
  <si>
    <t>Formsättning och separationsskikt ska skäras ut enligt ventilationstvärsnittet (diameter: ca 10 cm).</t>
  </si>
  <si>
    <t>Forskalling og skillelag skal udskæres efter ventilationstværsnittet (diameter: ca. 10 cm).</t>
  </si>
  <si>
    <t>Forskaling og skillelag skjæres ut i henhold til ventilasjonstverrsnittet (diameter: ca. 10 cm).</t>
  </si>
  <si>
    <t>Oplatu i razdjelni sloj potrebno je izrezati prema slobodnom presjeku (promjer: cca. 10 cm).</t>
  </si>
  <si>
    <t>Die Dacheindeckung ist im Randbereich der Ausschnitte umlaufend mit einer 1 cm hohen Aufschweifung zu versehen.</t>
  </si>
  <si>
    <t>The edges of the cut-outs on the roof covering must be surrounded by a raised curve with a height of 1 cm.</t>
  </si>
  <si>
    <t>Border le pourtour de l’ouverture pratiquée dans la couverture en relevant celui-ci d’une hauteur de 1 cm.</t>
  </si>
  <si>
    <t>La copertura del tetto deve essere dotata di un rialzo di 1 cm di altezza intorno all'area del bordo dei ritagli.</t>
  </si>
  <si>
    <t>Na krytině v místě prostřihu vytvořte po obvodu zvednutí 1 cm.</t>
  </si>
  <si>
    <t>Wokół krawędzi wycięć na pokryciu dachowym należy wykonać wypukłość o wysokości 1 cm.</t>
  </si>
  <si>
    <t>A tetőfedést a kivágások szélénél 1 cm magas felhajtással kell ellátni.</t>
  </si>
  <si>
    <t>Strešná krytina musí mať v okrajovej oblasti výrezov po celom obvode 1 cm vysoký lem.</t>
  </si>
  <si>
    <t>De dakbedekking moet rondom de randzone van de uitsparingen worden voorzien van een opstand van 1 cm hoog.</t>
  </si>
  <si>
    <t>Strešna kritina mora v robnem območju izrezov imeti neprekinjen zavihan rob višine 1 cm.</t>
  </si>
  <si>
    <t>Takbeläggningen ska förses med en 1 cm hög förhöjning hela vägen runt urskärningarnas kanter.</t>
  </si>
  <si>
    <t>Tagdækningen skal forsynes med en 1 cm høj udblænding hele vejen rundt om udskæringernes kanter.</t>
  </si>
  <si>
    <t>Takbelegget skal forsynes med 1 cm høy krage hele veien rundt kantene på utskjæringene.</t>
  </si>
  <si>
    <t>Rubovi izreza na krovnom pokrovu moraju biti okruženi povišenom krivuljom visine 1 cm.</t>
  </si>
  <si>
    <t>Hinweis:</t>
  </si>
  <si>
    <t>Note:</t>
  </si>
  <si>
    <t>Remarque :</t>
  </si>
  <si>
    <t>Nota:</t>
  </si>
  <si>
    <t>Upozornění:</t>
  </si>
  <si>
    <t>Wskazówka:</t>
  </si>
  <si>
    <t>Megjegyzés:</t>
  </si>
  <si>
    <t>Upozornenie:</t>
  </si>
  <si>
    <t>Opmerking:</t>
  </si>
  <si>
    <t>Napotek:</t>
  </si>
  <si>
    <t>Bemærk:</t>
  </si>
  <si>
    <t>Merknad:</t>
  </si>
  <si>
    <t>Uputa:</t>
  </si>
  <si>
    <t>Verlegeschema P2 (4 Stk./m² – ersten beiden Reihen durchgehend)</t>
  </si>
  <si>
    <t>installation diagram P2 (4 pc. per m²; must be installed along the first two rows)</t>
  </si>
  <si>
    <t>Schéma de pose P2 (4 arrêts de neige par m² ; monter les arrêts de neige sans interruption sur toute la longueur des deux premières rangées)</t>
  </si>
  <si>
    <t>Schema di posa TE2 (4 pz./m² - prime due file continue)</t>
  </si>
  <si>
    <r>
      <t>Schema rozmístění P2 (4 ks/m</t>
    </r>
    <r>
      <rPr>
        <vertAlign val="superscript"/>
        <sz val="11"/>
        <color indexed="8"/>
        <rFont val="Arial"/>
        <family val="2"/>
      </rPr>
      <t xml:space="preserve">2 </t>
    </r>
    <r>
      <rPr>
        <sz val="11"/>
        <color indexed="8"/>
        <rFont val="Arial"/>
        <family val="2"/>
      </rPr>
      <t>- první dvě řady průběžně)</t>
    </r>
  </si>
  <si>
    <t>Schemat montażowy P2 (4 szt./m² – pierwsze dwa rzędy ciągłe)</t>
  </si>
  <si>
    <t>P2 fektetési séma (4 db/m² – az első két sor folyamatos)</t>
  </si>
  <si>
    <t>Schéma montáže P2 (4 ks/m² – prvé dva rady kompletne)</t>
  </si>
  <si>
    <t>Installatieschema P2 (4 st./m² - eerste twee rijen doorlopend)</t>
  </si>
  <si>
    <t>Shema polaganja P2 (4 kos./m² – prvi dve vrsti neprekinjeno)</t>
  </si>
  <si>
    <t>Läggningsschema P2 (4 st/m² – första två raderna kontinuerliga)</t>
  </si>
  <si>
    <t>Læggediagram P2 (4 stk./m² - første to rækker gennemgående)</t>
  </si>
  <si>
    <t>Leggeskjema P2 (4 stk./m² – to første rader fortløpende)</t>
  </si>
  <si>
    <t>Shema postavljanja P2 (4 kom./m² – prva dva reda neprekidno)</t>
  </si>
  <si>
    <t>Verlegeschema P3 (8 Stk./m²)</t>
  </si>
  <si>
    <t>installation diagram P3 (8 pc. per m²)</t>
  </si>
  <si>
    <t>schéma de pose P3(8 arrêts de neige par m²)</t>
  </si>
  <si>
    <t>Schema di posa TE3 (8 pz./m²)</t>
  </si>
  <si>
    <r>
      <t>Schema rozmístění P3 (8 ks/m</t>
    </r>
    <r>
      <rPr>
        <vertAlign val="superscript"/>
        <sz val="11"/>
        <color indexed="8"/>
        <rFont val="Arial"/>
        <family val="2"/>
      </rPr>
      <t>2</t>
    </r>
    <r>
      <rPr>
        <sz val="11"/>
        <color indexed="8"/>
        <rFont val="Arial"/>
        <family val="2"/>
      </rPr>
      <t>)</t>
    </r>
  </si>
  <si>
    <t>Schemat montażowy P3 (odpowiada pokryciu 8 szt./m²)</t>
  </si>
  <si>
    <t>P3 fektetési séma (8 db/m²)</t>
  </si>
  <si>
    <t>Schéma montáže P3 (8 ks/m²)</t>
  </si>
  <si>
    <t>Installatieschema P3 (8 st./m²)</t>
  </si>
  <si>
    <t>Shema polaganja P3 (8 kos./m²)</t>
  </si>
  <si>
    <t>Läggningsschema P3 (8 st/m² )</t>
  </si>
  <si>
    <t>Læggediagram P3 (8 stk./m²)</t>
  </si>
  <si>
    <t>Leggeskjema P3 (8 stk./m²)</t>
  </si>
  <si>
    <t>Shema postavljanja P3 (8 kom./m²)</t>
  </si>
  <si>
    <t>mind. 10</t>
  </si>
  <si>
    <t>min. 10</t>
  </si>
  <si>
    <t>au moins 10</t>
  </si>
  <si>
    <t>almeno 10</t>
  </si>
  <si>
    <t>najm. 10</t>
  </si>
  <si>
    <t>(min. 10</t>
  </si>
  <si>
    <t>(mind. 10</t>
  </si>
  <si>
    <t>mind. 100</t>
  </si>
  <si>
    <t>min. 100</t>
  </si>
  <si>
    <t>au moins 100</t>
  </si>
  <si>
    <t>almeno 100</t>
  </si>
  <si>
    <t>najm. 100</t>
  </si>
  <si>
    <t>(min. 100</t>
  </si>
  <si>
    <t>(mind. 100</t>
  </si>
  <si>
    <t>Ablaufrohr mit Schutzfolie</t>
  </si>
  <si>
    <t>Pluviale</t>
  </si>
  <si>
    <t>Kruhový svod</t>
  </si>
  <si>
    <t>rura spustowa</t>
  </si>
  <si>
    <t>lefolyócső</t>
  </si>
  <si>
    <t>dažďový zvod</t>
  </si>
  <si>
    <t>afloopbuis</t>
  </si>
  <si>
    <t>Prefa iztočna cev</t>
  </si>
  <si>
    <t>nedløbsrør</t>
  </si>
  <si>
    <t>nedløpsrør</t>
  </si>
  <si>
    <t>Pultdachausbildung</t>
  </si>
  <si>
    <t>mono-pitched roof construction</t>
  </si>
  <si>
    <t>réalisation d’un toit monopente</t>
  </si>
  <si>
    <t>Raccordo tetto a una falda</t>
  </si>
  <si>
    <t>Provedení pultové střechy</t>
  </si>
  <si>
    <t>Konstrukcja dachu pulpitowego</t>
  </si>
  <si>
    <t>félnyeregtetős kialakítás</t>
  </si>
  <si>
    <t>vytvorenie pultovej strechy</t>
  </si>
  <si>
    <t>Lessenaarsdakvorming</t>
  </si>
  <si>
    <t>Izvedba enokapne strehe</t>
  </si>
  <si>
    <t>Utformning av pulpettak</t>
  </si>
  <si>
    <t>Pulttag</t>
  </si>
  <si>
    <t>Pulttakoppbygging</t>
  </si>
  <si>
    <t>Konstrukcija jednostrešnog krova</t>
  </si>
  <si>
    <t>Schneerechensystem</t>
  </si>
  <si>
    <t>pipe-style snow guard system</t>
  </si>
  <si>
    <t>système pare-neige sur platines</t>
  </si>
  <si>
    <t>Sistema fermaneve a triplo tubolare esagonale</t>
  </si>
  <si>
    <t>Systém sněhových zábran</t>
  </si>
  <si>
    <t>System stoperów śniegu</t>
  </si>
  <si>
    <t>hófogórúd tartó</t>
  </si>
  <si>
    <t>systémový rúrkový zachytávač snehu</t>
  </si>
  <si>
    <t>Sneeuwharksysteem</t>
  </si>
  <si>
    <t>Snegolovni sistem</t>
  </si>
  <si>
    <t>snöberäkningssystem</t>
  </si>
  <si>
    <t>Snefangssystem</t>
  </si>
  <si>
    <t>Snøberegningssystem</t>
  </si>
  <si>
    <t>Sustav rešetkastog snjegobrana</t>
  </si>
  <si>
    <t>Schneestopper – Verlegeschema P1</t>
  </si>
  <si>
    <t>snow guards – installation diagram P1</t>
  </si>
  <si>
    <t>arrêt de neige — schéma de pose P1</t>
  </si>
  <si>
    <t>Naso fermaneve - Schema di posa TE1</t>
  </si>
  <si>
    <t>Boční napojení na stěnu s zásuvnou krycí lištou P1</t>
  </si>
  <si>
    <t>Stoper śniegowy – schemat montażowy P1</t>
  </si>
  <si>
    <t>hófogó – P1 fektetési séma</t>
  </si>
  <si>
    <t>zachytávač snehu – schéma montáže P1</t>
  </si>
  <si>
    <t>Sneeuwstopper - installatieschema P1</t>
  </si>
  <si>
    <t>Snegolov – shema polaganja P1</t>
  </si>
  <si>
    <t>snöstopp – läggningsschema P1</t>
  </si>
  <si>
    <t>Snestopper – læggediagram P1</t>
  </si>
  <si>
    <t>SNØSTOPPER – LEGGESKJEMA P1</t>
  </si>
  <si>
    <t>Točkasti snjegobran – shema postavljanja P1</t>
  </si>
  <si>
    <t>Schneestopper – Verlegeschema P2</t>
  </si>
  <si>
    <t>snow guards – installation diagram P2</t>
  </si>
  <si>
    <t>arrêt de neige — schéma de pose P2</t>
  </si>
  <si>
    <t>Naso fermaneve - Schema di posa TE2</t>
  </si>
  <si>
    <t>Boční napojení na stěnu s zásuvnou krycí lištou P2</t>
  </si>
  <si>
    <t>Stoper śniegowy – schemat montażowy P2</t>
  </si>
  <si>
    <t>hófogó – P2 fektetési séma</t>
  </si>
  <si>
    <t>zachytávač snehu – schéma montáže P2</t>
  </si>
  <si>
    <t>Sneeuwstopper - installatieschema P2</t>
  </si>
  <si>
    <t>Snegolov – shema polaganja P2</t>
  </si>
  <si>
    <t>snöstopp – läggningsschema P2</t>
  </si>
  <si>
    <t>Snestopper – læggediagram P2</t>
  </si>
  <si>
    <t>SNØSTOPPER – LEGGESKJEMA P2</t>
  </si>
  <si>
    <t>Točkasti snjegobran – shema postavljanja P2</t>
  </si>
  <si>
    <t>Schneestopper – Verlegeschema P3</t>
  </si>
  <si>
    <t>snow guards – installation diagram P3</t>
  </si>
  <si>
    <t>arrêt de neige — schéma de pose P3</t>
  </si>
  <si>
    <t>Naso fermaneve - Schema di posa TE3</t>
  </si>
  <si>
    <t>Boční napojení na stěnu s zásuvnou krycí lištou P3</t>
  </si>
  <si>
    <t>Stoper śniegowy – schemat montażowy P3</t>
  </si>
  <si>
    <t>hófogó – P3 fektetési séma</t>
  </si>
  <si>
    <t>zachytávač snehu – schéma montáže P3</t>
  </si>
  <si>
    <t>Sneeuwstopper - installatieschema P3</t>
  </si>
  <si>
    <t>Snegolov – shema polaganja P3</t>
  </si>
  <si>
    <t>snöstopp – läggningsschema P3</t>
  </si>
  <si>
    <t>Snestopper – læggediagram P3</t>
  </si>
  <si>
    <t>SNØSTOPPER – LEGGESKJEMA P3</t>
  </si>
  <si>
    <t>Točkasti snjegobran – shema postavljanja P3</t>
  </si>
  <si>
    <t>41</t>
  </si>
  <si>
    <t>150</t>
  </si>
  <si>
    <t>Blatt 1</t>
  </si>
  <si>
    <t>page 1</t>
  </si>
  <si>
    <t>Foglio 1</t>
  </si>
  <si>
    <t>list 001</t>
  </si>
  <si>
    <t>Karta 1</t>
  </si>
  <si>
    <t>1. lap</t>
  </si>
  <si>
    <t>List 1</t>
  </si>
  <si>
    <t>Plaat 1</t>
  </si>
  <si>
    <t>blad 1</t>
  </si>
  <si>
    <t>Side 1</t>
  </si>
  <si>
    <t>Ark 1</t>
  </si>
  <si>
    <t>Stranica 1</t>
  </si>
  <si>
    <t>Blatt 2</t>
  </si>
  <si>
    <t>page 2</t>
  </si>
  <si>
    <t>Foglio 2</t>
  </si>
  <si>
    <t>list 002</t>
  </si>
  <si>
    <t>Karta 2</t>
  </si>
  <si>
    <t>2. lap</t>
  </si>
  <si>
    <t>List 2</t>
  </si>
  <si>
    <t>Plaat 2</t>
  </si>
  <si>
    <t>blad 2</t>
  </si>
  <si>
    <t>Side 2</t>
  </si>
  <si>
    <t>Ark 2</t>
  </si>
  <si>
    <t>Stranica 2</t>
  </si>
  <si>
    <t>Blatt 3</t>
  </si>
  <si>
    <t>page 3</t>
  </si>
  <si>
    <t>Foglio 3</t>
  </si>
  <si>
    <t>list 003</t>
  </si>
  <si>
    <t>Karta 3</t>
  </si>
  <si>
    <t>3. lap</t>
  </si>
  <si>
    <t>List 3</t>
  </si>
  <si>
    <t>Plaat 3</t>
  </si>
  <si>
    <t>blad 3</t>
  </si>
  <si>
    <t>Side 3</t>
  </si>
  <si>
    <t>Ark 3</t>
  </si>
  <si>
    <t>Stranica 3</t>
  </si>
  <si>
    <t>Blatt 4</t>
  </si>
  <si>
    <t>page 4</t>
  </si>
  <si>
    <t>Foglio 4</t>
  </si>
  <si>
    <t>list 004</t>
  </si>
  <si>
    <t>Karta 4</t>
  </si>
  <si>
    <t>4. lap</t>
  </si>
  <si>
    <t>List 4</t>
  </si>
  <si>
    <t>Plaat 4</t>
  </si>
  <si>
    <t>blad 4</t>
  </si>
  <si>
    <t>Side 4</t>
  </si>
  <si>
    <t>Ark 4</t>
  </si>
  <si>
    <t>Stranica 4</t>
  </si>
  <si>
    <t>Blatt 5</t>
  </si>
  <si>
    <t>page 5</t>
  </si>
  <si>
    <t>Foglio 5</t>
  </si>
  <si>
    <t>list 005</t>
  </si>
  <si>
    <t>Karta 5</t>
  </si>
  <si>
    <t>5. lap</t>
  </si>
  <si>
    <t>List 5</t>
  </si>
  <si>
    <t>Plaat 5</t>
  </si>
  <si>
    <t>blad 5</t>
  </si>
  <si>
    <t>Side 5</t>
  </si>
  <si>
    <t>Ark 5</t>
  </si>
  <si>
    <t>Stranica 5</t>
  </si>
  <si>
    <t>Blatt 6</t>
  </si>
  <si>
    <t>page 6</t>
  </si>
  <si>
    <t>Foglio 6</t>
  </si>
  <si>
    <t>list 006</t>
  </si>
  <si>
    <t>Karta 6</t>
  </si>
  <si>
    <t>6. lap</t>
  </si>
  <si>
    <t>List 6</t>
  </si>
  <si>
    <t>Plaat 6</t>
  </si>
  <si>
    <t>blad 6</t>
  </si>
  <si>
    <t>Side 6</t>
  </si>
  <si>
    <t>Ark 6</t>
  </si>
  <si>
    <t>Stranica 6</t>
  </si>
  <si>
    <t>Blatt 7</t>
  </si>
  <si>
    <t>page 7</t>
  </si>
  <si>
    <t>Foglio 7</t>
  </si>
  <si>
    <t>list 007</t>
  </si>
  <si>
    <t>Karta 7</t>
  </si>
  <si>
    <t>7. lap</t>
  </si>
  <si>
    <t>List 7</t>
  </si>
  <si>
    <t>Plaat 7</t>
  </si>
  <si>
    <t>blad 7</t>
  </si>
  <si>
    <t>Side 7</t>
  </si>
  <si>
    <t>Ark 7</t>
  </si>
  <si>
    <t>Stranica 7</t>
  </si>
  <si>
    <t>Blatt 8</t>
  </si>
  <si>
    <t>page 8</t>
  </si>
  <si>
    <t>Foglio 8</t>
  </si>
  <si>
    <t>list 008</t>
  </si>
  <si>
    <t>Karta 8</t>
  </si>
  <si>
    <t>8. lap</t>
  </si>
  <si>
    <t>List 8</t>
  </si>
  <si>
    <t>Plaat 8</t>
  </si>
  <si>
    <t>blad 8</t>
  </si>
  <si>
    <t>Side 8</t>
  </si>
  <si>
    <t>Ark 8</t>
  </si>
  <si>
    <t>Stranica 8</t>
  </si>
  <si>
    <t>Blatt 9</t>
  </si>
  <si>
    <t>page 9</t>
  </si>
  <si>
    <t>Foglio 9</t>
  </si>
  <si>
    <t>list 009</t>
  </si>
  <si>
    <t>Karta 9</t>
  </si>
  <si>
    <t>9. lap</t>
  </si>
  <si>
    <t>List 9</t>
  </si>
  <si>
    <t>Plaat 9</t>
  </si>
  <si>
    <t>blad 9</t>
  </si>
  <si>
    <t>Side 9</t>
  </si>
  <si>
    <t>Ark 9</t>
  </si>
  <si>
    <t>Stranica 9</t>
  </si>
  <si>
    <t>Blatt 10</t>
  </si>
  <si>
    <t>page 10</t>
  </si>
  <si>
    <t>Foglio 10</t>
  </si>
  <si>
    <t>list 010</t>
  </si>
  <si>
    <t>Karta 10</t>
  </si>
  <si>
    <t>10. lap</t>
  </si>
  <si>
    <t>List 10</t>
  </si>
  <si>
    <t>Plaat 10</t>
  </si>
  <si>
    <t>blad 10</t>
  </si>
  <si>
    <t>Side 10</t>
  </si>
  <si>
    <t>Ark 10</t>
  </si>
  <si>
    <t>Stranica 10</t>
  </si>
  <si>
    <t>Blatt 11</t>
  </si>
  <si>
    <t>page 11</t>
  </si>
  <si>
    <t>Foglio 11</t>
  </si>
  <si>
    <t>list 011</t>
  </si>
  <si>
    <t>Karta 11</t>
  </si>
  <si>
    <t>11. lap</t>
  </si>
  <si>
    <t>List 11</t>
  </si>
  <si>
    <t>Plaat 11</t>
  </si>
  <si>
    <t>blad 11</t>
  </si>
  <si>
    <t>Side 11</t>
  </si>
  <si>
    <t>Ark 11</t>
  </si>
  <si>
    <t>Stranica 11</t>
  </si>
  <si>
    <t>Blatt 12</t>
  </si>
  <si>
    <t>page 12</t>
  </si>
  <si>
    <t>Foglio 12</t>
  </si>
  <si>
    <t>list 012</t>
  </si>
  <si>
    <t>Karta 12</t>
  </si>
  <si>
    <t>12. lap</t>
  </si>
  <si>
    <t>List 12</t>
  </si>
  <si>
    <t>Plaat 12</t>
  </si>
  <si>
    <t>blad 12</t>
  </si>
  <si>
    <t>Side 12</t>
  </si>
  <si>
    <t>Ark 12</t>
  </si>
  <si>
    <t>Stranica 12</t>
  </si>
  <si>
    <t>Blatt 13</t>
  </si>
  <si>
    <t>page 13</t>
  </si>
  <si>
    <t>Foglio 13</t>
  </si>
  <si>
    <t>list 013</t>
  </si>
  <si>
    <t>Karta 13</t>
  </si>
  <si>
    <t>13. lap</t>
  </si>
  <si>
    <t>List 13</t>
  </si>
  <si>
    <t>Plaat 13</t>
  </si>
  <si>
    <t>blad 13</t>
  </si>
  <si>
    <t>Side 13</t>
  </si>
  <si>
    <t>Ark 13</t>
  </si>
  <si>
    <t>Stranica 13</t>
  </si>
  <si>
    <t>Blatt 14</t>
  </si>
  <si>
    <t>page 14</t>
  </si>
  <si>
    <t>Foglio 14</t>
  </si>
  <si>
    <t>list 014</t>
  </si>
  <si>
    <t>Karta 14</t>
  </si>
  <si>
    <t>14. lap</t>
  </si>
  <si>
    <t>List 14</t>
  </si>
  <si>
    <t>Plaat 14</t>
  </si>
  <si>
    <t>blad 14</t>
  </si>
  <si>
    <t>Side 14</t>
  </si>
  <si>
    <t>Ark 14</t>
  </si>
  <si>
    <t>Stranica 14</t>
  </si>
  <si>
    <t>Blatt 15</t>
  </si>
  <si>
    <t>page 15</t>
  </si>
  <si>
    <t>Foglio 15</t>
  </si>
  <si>
    <t>list 015</t>
  </si>
  <si>
    <t>Karta 15</t>
  </si>
  <si>
    <t>15. lap</t>
  </si>
  <si>
    <t>List 15</t>
  </si>
  <si>
    <t>Plaat 15</t>
  </si>
  <si>
    <t>blad 15</t>
  </si>
  <si>
    <t>Side 15</t>
  </si>
  <si>
    <t>Ark 15</t>
  </si>
  <si>
    <t>Stranica 15</t>
  </si>
  <si>
    <t>Blatt 16</t>
  </si>
  <si>
    <t>page 16</t>
  </si>
  <si>
    <t>Foglio 16</t>
  </si>
  <si>
    <t>list 016</t>
  </si>
  <si>
    <t>Karta 16</t>
  </si>
  <si>
    <t>16. lap</t>
  </si>
  <si>
    <t>List 16</t>
  </si>
  <si>
    <t>Plaat 16</t>
  </si>
  <si>
    <t>blad 16</t>
  </si>
  <si>
    <t>Side 16</t>
  </si>
  <si>
    <t>Ark 16</t>
  </si>
  <si>
    <t>Stranica 16</t>
  </si>
  <si>
    <t>Blatt 17</t>
  </si>
  <si>
    <t>page 17</t>
  </si>
  <si>
    <t>Foglio 17</t>
  </si>
  <si>
    <t>list 017</t>
  </si>
  <si>
    <t>Karta 17</t>
  </si>
  <si>
    <t>17. lap</t>
  </si>
  <si>
    <t>List 17</t>
  </si>
  <si>
    <t>Plaat 17</t>
  </si>
  <si>
    <t>blad 17</t>
  </si>
  <si>
    <t>Side 17</t>
  </si>
  <si>
    <t>Ark 17</t>
  </si>
  <si>
    <t>Stranica 17</t>
  </si>
  <si>
    <t>Blatt 18</t>
  </si>
  <si>
    <t>page 18</t>
  </si>
  <si>
    <t>Foglio 18</t>
  </si>
  <si>
    <t>list 018</t>
  </si>
  <si>
    <t>Karta 18</t>
  </si>
  <si>
    <t>18. lap</t>
  </si>
  <si>
    <t>List 18</t>
  </si>
  <si>
    <t>Plaat 18</t>
  </si>
  <si>
    <t>blad 18</t>
  </si>
  <si>
    <t>Side 18</t>
  </si>
  <si>
    <t>Ark 18</t>
  </si>
  <si>
    <t>Stranica 18</t>
  </si>
  <si>
    <t>Blatt 19</t>
  </si>
  <si>
    <t>page 19</t>
  </si>
  <si>
    <t>Foglio 19</t>
  </si>
  <si>
    <t>list 019</t>
  </si>
  <si>
    <t>Karta 19</t>
  </si>
  <si>
    <t>19. lap</t>
  </si>
  <si>
    <t>List 19</t>
  </si>
  <si>
    <t>Plaat 19</t>
  </si>
  <si>
    <t>blad 19</t>
  </si>
  <si>
    <t>Side 19</t>
  </si>
  <si>
    <t>Ark 19</t>
  </si>
  <si>
    <t>Stranica 19</t>
  </si>
  <si>
    <t>Blatt 20</t>
  </si>
  <si>
    <t>page 20</t>
  </si>
  <si>
    <t>Foglio 20</t>
  </si>
  <si>
    <t>list 020</t>
  </si>
  <si>
    <t>Karta 20</t>
  </si>
  <si>
    <t>20. lap</t>
  </si>
  <si>
    <t>List 20</t>
  </si>
  <si>
    <t>Plaat 20</t>
  </si>
  <si>
    <t>blad 20</t>
  </si>
  <si>
    <t>Side 20</t>
  </si>
  <si>
    <t>Ark 20</t>
  </si>
  <si>
    <t>Stranica 20</t>
  </si>
  <si>
    <t>Blatt 21</t>
  </si>
  <si>
    <t>page 21</t>
  </si>
  <si>
    <t>Foglio 21</t>
  </si>
  <si>
    <t>list 021</t>
  </si>
  <si>
    <t>Karta 21</t>
  </si>
  <si>
    <t>21. lap</t>
  </si>
  <si>
    <t>List 21</t>
  </si>
  <si>
    <t>Plaat 21</t>
  </si>
  <si>
    <t>blad 21</t>
  </si>
  <si>
    <t>Side 21</t>
  </si>
  <si>
    <t>Ark 21</t>
  </si>
  <si>
    <t>Stranica 21</t>
  </si>
  <si>
    <t>Blatt 22</t>
  </si>
  <si>
    <t>page 22</t>
  </si>
  <si>
    <t>Foglio 22</t>
  </si>
  <si>
    <t>list 022</t>
  </si>
  <si>
    <t>Karta 22</t>
  </si>
  <si>
    <t>22. lap</t>
  </si>
  <si>
    <t>List 22</t>
  </si>
  <si>
    <t>Plaat 22</t>
  </si>
  <si>
    <t>blad 22</t>
  </si>
  <si>
    <t>Side 22</t>
  </si>
  <si>
    <t>Ark 22</t>
  </si>
  <si>
    <t>Stranica 22</t>
  </si>
  <si>
    <t>Blatt 23</t>
  </si>
  <si>
    <t>page 23</t>
  </si>
  <si>
    <t>Foglio 23</t>
  </si>
  <si>
    <t>list 023</t>
  </si>
  <si>
    <t>Karta 23</t>
  </si>
  <si>
    <t>23. lap</t>
  </si>
  <si>
    <t>List 23</t>
  </si>
  <si>
    <t>Plaat 23</t>
  </si>
  <si>
    <t>blad 23</t>
  </si>
  <si>
    <t>Side 23</t>
  </si>
  <si>
    <t>Ark 23</t>
  </si>
  <si>
    <t>Stranica 23</t>
  </si>
  <si>
    <t>Blatt 24</t>
  </si>
  <si>
    <t>page 24</t>
  </si>
  <si>
    <t>Foglio 24</t>
  </si>
  <si>
    <t>list 024</t>
  </si>
  <si>
    <t>Karta 24</t>
  </si>
  <si>
    <t>24. lap</t>
  </si>
  <si>
    <t>List 24</t>
  </si>
  <si>
    <t>Plaat 24</t>
  </si>
  <si>
    <t>blad 24</t>
  </si>
  <si>
    <t>Side 24</t>
  </si>
  <si>
    <t>Ark 24</t>
  </si>
  <si>
    <t>Stranica 24</t>
  </si>
  <si>
    <t>Blatt 25</t>
  </si>
  <si>
    <t>page 25</t>
  </si>
  <si>
    <t>Foglio 25</t>
  </si>
  <si>
    <t>list 025</t>
  </si>
  <si>
    <t>Karta 25</t>
  </si>
  <si>
    <t>25. lap</t>
  </si>
  <si>
    <t>List 25</t>
  </si>
  <si>
    <t>Plaat 25</t>
  </si>
  <si>
    <t>blad 25</t>
  </si>
  <si>
    <t>Side 25</t>
  </si>
  <si>
    <t>Ark 25</t>
  </si>
  <si>
    <t>Stranica 25</t>
  </si>
  <si>
    <t>Blatt 26</t>
  </si>
  <si>
    <t>page 26</t>
  </si>
  <si>
    <t>Foglio 26</t>
  </si>
  <si>
    <t>list 026</t>
  </si>
  <si>
    <t>Karta 26</t>
  </si>
  <si>
    <t>26. lap</t>
  </si>
  <si>
    <t>List 26</t>
  </si>
  <si>
    <t>Plaat 26</t>
  </si>
  <si>
    <t>blad 26</t>
  </si>
  <si>
    <t>Side 26</t>
  </si>
  <si>
    <t>Ark 26</t>
  </si>
  <si>
    <t>Stranica 26</t>
  </si>
  <si>
    <t>Blatt 27</t>
  </si>
  <si>
    <t>page 27</t>
  </si>
  <si>
    <t>Foglio 27</t>
  </si>
  <si>
    <t>list 027</t>
  </si>
  <si>
    <t>Karta 27</t>
  </si>
  <si>
    <t>27. lap</t>
  </si>
  <si>
    <t>List 27</t>
  </si>
  <si>
    <t>Plaat 27</t>
  </si>
  <si>
    <t>blad 27</t>
  </si>
  <si>
    <t>Side 27</t>
  </si>
  <si>
    <t>Ark 27</t>
  </si>
  <si>
    <t>Stranica 27</t>
  </si>
  <si>
    <t>Blatt 28</t>
  </si>
  <si>
    <t>page 28</t>
  </si>
  <si>
    <t>Foglio 28</t>
  </si>
  <si>
    <t>list 028</t>
  </si>
  <si>
    <t>Karta 28</t>
  </si>
  <si>
    <t>28. lap</t>
  </si>
  <si>
    <t>List 28</t>
  </si>
  <si>
    <t>Plaat 28</t>
  </si>
  <si>
    <t>blad 28</t>
  </si>
  <si>
    <t>Side 28</t>
  </si>
  <si>
    <t>Ark 28</t>
  </si>
  <si>
    <t>Stranica 28</t>
  </si>
  <si>
    <t>Blatt 29</t>
  </si>
  <si>
    <t>page 29</t>
  </si>
  <si>
    <t>Foglio 29</t>
  </si>
  <si>
    <t>list 029</t>
  </si>
  <si>
    <t>Karta 29</t>
  </si>
  <si>
    <t>29. lap</t>
  </si>
  <si>
    <t>List 29</t>
  </si>
  <si>
    <t>Plaat 29</t>
  </si>
  <si>
    <t>blad 29</t>
  </si>
  <si>
    <t>Side 29</t>
  </si>
  <si>
    <t>Ark 29</t>
  </si>
  <si>
    <t>Stranica 29</t>
  </si>
  <si>
    <t>Blatt 30</t>
  </si>
  <si>
    <t>page 30</t>
  </si>
  <si>
    <t>Foglio 30</t>
  </si>
  <si>
    <t>list 030</t>
  </si>
  <si>
    <t>Karta 30</t>
  </si>
  <si>
    <t>30. lap</t>
  </si>
  <si>
    <t>List 30</t>
  </si>
  <si>
    <t>Plaat 30</t>
  </si>
  <si>
    <t>blad 30</t>
  </si>
  <si>
    <t>Side 30</t>
  </si>
  <si>
    <t>Ark 30</t>
  </si>
  <si>
    <t>Stranica 30</t>
  </si>
  <si>
    <t>Blatt 31</t>
  </si>
  <si>
    <t>page 31</t>
  </si>
  <si>
    <t>Foglio 31</t>
  </si>
  <si>
    <t>list 031</t>
  </si>
  <si>
    <t>Karta 31</t>
  </si>
  <si>
    <t>31. lap</t>
  </si>
  <si>
    <t>List 31</t>
  </si>
  <si>
    <t>Plaat 31</t>
  </si>
  <si>
    <t>blad 31</t>
  </si>
  <si>
    <t>Side 31</t>
  </si>
  <si>
    <t>Ark 31</t>
  </si>
  <si>
    <t>Stranica 31</t>
  </si>
  <si>
    <t>Blatt 32</t>
  </si>
  <si>
    <t>page 32</t>
  </si>
  <si>
    <t>Foglio 32</t>
  </si>
  <si>
    <t>list 032</t>
  </si>
  <si>
    <t>Karta 32</t>
  </si>
  <si>
    <t>32. lap</t>
  </si>
  <si>
    <t>List 32</t>
  </si>
  <si>
    <t>Plaat 32</t>
  </si>
  <si>
    <t>blad 32</t>
  </si>
  <si>
    <t>Side 32</t>
  </si>
  <si>
    <t>Ark 32</t>
  </si>
  <si>
    <t>Stranica 32</t>
  </si>
  <si>
    <t>Blatt 33</t>
  </si>
  <si>
    <t>page 33</t>
  </si>
  <si>
    <t>Foglio 33</t>
  </si>
  <si>
    <t>list 033</t>
  </si>
  <si>
    <t>Karta 33</t>
  </si>
  <si>
    <t>33. lap</t>
  </si>
  <si>
    <t>List 33</t>
  </si>
  <si>
    <t>Plaat 33</t>
  </si>
  <si>
    <t>blad 33</t>
  </si>
  <si>
    <t>Side 33</t>
  </si>
  <si>
    <t>Ark 33</t>
  </si>
  <si>
    <t>Stranica 33</t>
  </si>
  <si>
    <t>Blatt 34</t>
  </si>
  <si>
    <t>page 34</t>
  </si>
  <si>
    <t>Foglio 34</t>
  </si>
  <si>
    <t>list 034</t>
  </si>
  <si>
    <t>Karta 34</t>
  </si>
  <si>
    <t>34. lap</t>
  </si>
  <si>
    <t>List 34</t>
  </si>
  <si>
    <t>Plaat 34</t>
  </si>
  <si>
    <t>blad 34</t>
  </si>
  <si>
    <t>Side 34</t>
  </si>
  <si>
    <t>Ark 34</t>
  </si>
  <si>
    <t>Stranica 34</t>
  </si>
  <si>
    <t>Blatt 35</t>
  </si>
  <si>
    <t>page 35</t>
  </si>
  <si>
    <t>Foglio 35</t>
  </si>
  <si>
    <t>list 035</t>
  </si>
  <si>
    <t>Karta 35</t>
  </si>
  <si>
    <t>35. lap</t>
  </si>
  <si>
    <t>List 35</t>
  </si>
  <si>
    <t>Plaat 35</t>
  </si>
  <si>
    <t>blad 35</t>
  </si>
  <si>
    <t>Side 35</t>
  </si>
  <si>
    <t>Ark 35</t>
  </si>
  <si>
    <t>Stranica 35</t>
  </si>
  <si>
    <t>Blatt 36</t>
  </si>
  <si>
    <t>page 36</t>
  </si>
  <si>
    <t>Foglio 36</t>
  </si>
  <si>
    <t>list 036</t>
  </si>
  <si>
    <t>Karta 36</t>
  </si>
  <si>
    <t>36. lap</t>
  </si>
  <si>
    <t>List 36</t>
  </si>
  <si>
    <t>Plaat 36</t>
  </si>
  <si>
    <t>blad 36</t>
  </si>
  <si>
    <t>Side 36</t>
  </si>
  <si>
    <t>Ark 36</t>
  </si>
  <si>
    <t>Stranica 36</t>
  </si>
  <si>
    <t>Blatt 37</t>
  </si>
  <si>
    <t>page 37</t>
  </si>
  <si>
    <t>Foglio 37</t>
  </si>
  <si>
    <t>list 037</t>
  </si>
  <si>
    <t>Karta 37</t>
  </si>
  <si>
    <t>37. lap</t>
  </si>
  <si>
    <t>List 37</t>
  </si>
  <si>
    <t>Plaat 37</t>
  </si>
  <si>
    <t>blad 37</t>
  </si>
  <si>
    <t>Side 37</t>
  </si>
  <si>
    <t>Ark 37</t>
  </si>
  <si>
    <t>Stranica 37</t>
  </si>
  <si>
    <t>Blatt 38</t>
  </si>
  <si>
    <t>page 38</t>
  </si>
  <si>
    <t>Foglio 38</t>
  </si>
  <si>
    <t>list 038</t>
  </si>
  <si>
    <t>Karta 38</t>
  </si>
  <si>
    <t>38. lap</t>
  </si>
  <si>
    <t>List 38</t>
  </si>
  <si>
    <t>Plaat 38</t>
  </si>
  <si>
    <t>blad 38</t>
  </si>
  <si>
    <t>Side 38</t>
  </si>
  <si>
    <t>Ark 38</t>
  </si>
  <si>
    <t>Stranica 38</t>
  </si>
  <si>
    <t>Blatt 39</t>
  </si>
  <si>
    <t>page 39</t>
  </si>
  <si>
    <t>Foglio 39</t>
  </si>
  <si>
    <t>list 039</t>
  </si>
  <si>
    <t>Karta 39</t>
  </si>
  <si>
    <t>39. lap</t>
  </si>
  <si>
    <t>List 39</t>
  </si>
  <si>
    <t>Plaat 39</t>
  </si>
  <si>
    <t>blad 39</t>
  </si>
  <si>
    <t>Side 39</t>
  </si>
  <si>
    <t>Ark 39</t>
  </si>
  <si>
    <t>Stranica 39</t>
  </si>
  <si>
    <t>Blatt 40</t>
  </si>
  <si>
    <t>page 40</t>
  </si>
  <si>
    <t>Foglio 40</t>
  </si>
  <si>
    <t>list 040</t>
  </si>
  <si>
    <t>Karta 40</t>
  </si>
  <si>
    <t>40. lap</t>
  </si>
  <si>
    <t>List 40</t>
  </si>
  <si>
    <t>Plaat 40</t>
  </si>
  <si>
    <t>blad 40</t>
  </si>
  <si>
    <t>Side 40</t>
  </si>
  <si>
    <t>Ark 40</t>
  </si>
  <si>
    <t>Stranica 40</t>
  </si>
  <si>
    <t>Blatt 41</t>
  </si>
  <si>
    <t>page 41</t>
  </si>
  <si>
    <t>Foglio 41</t>
  </si>
  <si>
    <t>list 041</t>
  </si>
  <si>
    <t>Karta 41</t>
  </si>
  <si>
    <t>41. lap</t>
  </si>
  <si>
    <t>List 41</t>
  </si>
  <si>
    <t>Plaat 41</t>
  </si>
  <si>
    <t>blad 41</t>
  </si>
  <si>
    <t>Side 41</t>
  </si>
  <si>
    <t>Ark 41</t>
  </si>
  <si>
    <t>Stranica 41</t>
  </si>
  <si>
    <t>Blatt 42</t>
  </si>
  <si>
    <t>page 42</t>
  </si>
  <si>
    <t>Foglio 42</t>
  </si>
  <si>
    <t>list 042</t>
  </si>
  <si>
    <t>Karta 42</t>
  </si>
  <si>
    <t>42. lap</t>
  </si>
  <si>
    <t>List 42</t>
  </si>
  <si>
    <t>Plaat 42</t>
  </si>
  <si>
    <t>blad 42</t>
  </si>
  <si>
    <t>Side 42</t>
  </si>
  <si>
    <t>Ark 42</t>
  </si>
  <si>
    <t>Stranica 42</t>
  </si>
  <si>
    <t>Blatt 43</t>
  </si>
  <si>
    <t>page 43</t>
  </si>
  <si>
    <t>Foglio 43</t>
  </si>
  <si>
    <t>list 043</t>
  </si>
  <si>
    <t>Karta 43</t>
  </si>
  <si>
    <t>43. lap</t>
  </si>
  <si>
    <t>List 43</t>
  </si>
  <si>
    <t>Plaat 43</t>
  </si>
  <si>
    <t>blad 43</t>
  </si>
  <si>
    <t>Side 43</t>
  </si>
  <si>
    <t>Ark 43</t>
  </si>
  <si>
    <t>Stranica 43</t>
  </si>
  <si>
    <t>Blatt 44</t>
  </si>
  <si>
    <t>page 44</t>
  </si>
  <si>
    <t>Foglio 44</t>
  </si>
  <si>
    <t>list 044</t>
  </si>
  <si>
    <t>Karta 44</t>
  </si>
  <si>
    <t>44. lap</t>
  </si>
  <si>
    <t>List 44</t>
  </si>
  <si>
    <t>Plaat 44</t>
  </si>
  <si>
    <t>blad 44</t>
  </si>
  <si>
    <t>Side 44</t>
  </si>
  <si>
    <t>Ark 44</t>
  </si>
  <si>
    <t>Stranica 44</t>
  </si>
  <si>
    <t>Blatt 45</t>
  </si>
  <si>
    <t>page 45</t>
  </si>
  <si>
    <t>Foglio 45</t>
  </si>
  <si>
    <t>list 045</t>
  </si>
  <si>
    <t>Karta 45</t>
  </si>
  <si>
    <t>45. lap</t>
  </si>
  <si>
    <t>List 45</t>
  </si>
  <si>
    <t>Plaat 45</t>
  </si>
  <si>
    <t>blad 45</t>
  </si>
  <si>
    <t>Side 45</t>
  </si>
  <si>
    <t>Ark 45</t>
  </si>
  <si>
    <t>Stranica 45</t>
  </si>
  <si>
    <t>Blatt 46</t>
  </si>
  <si>
    <t>page 46</t>
  </si>
  <si>
    <t>Foglio 46</t>
  </si>
  <si>
    <t>list 046</t>
  </si>
  <si>
    <t>Karta 46</t>
  </si>
  <si>
    <t>46. lap</t>
  </si>
  <si>
    <t>List 46</t>
  </si>
  <si>
    <t>Plaat 46</t>
  </si>
  <si>
    <t>blad 46</t>
  </si>
  <si>
    <t>Side 46</t>
  </si>
  <si>
    <t>Ark 46</t>
  </si>
  <si>
    <t>Stranica 46</t>
  </si>
  <si>
    <t>Blatt 47</t>
  </si>
  <si>
    <t>page 47</t>
  </si>
  <si>
    <t>Foglio 47</t>
  </si>
  <si>
    <t>list 047</t>
  </si>
  <si>
    <t>Karta 47</t>
  </si>
  <si>
    <t>47. lap</t>
  </si>
  <si>
    <t>List 47</t>
  </si>
  <si>
    <t>Plaat 47</t>
  </si>
  <si>
    <t>blad 47</t>
  </si>
  <si>
    <t>Side 47</t>
  </si>
  <si>
    <t>Ark 47</t>
  </si>
  <si>
    <t>Stranica 47</t>
  </si>
  <si>
    <t>Blatt 48</t>
  </si>
  <si>
    <t>page 48</t>
  </si>
  <si>
    <t>Foglio 48</t>
  </si>
  <si>
    <t>list 048</t>
  </si>
  <si>
    <t>Karta 48</t>
  </si>
  <si>
    <t>48. lap</t>
  </si>
  <si>
    <t>List 48</t>
  </si>
  <si>
    <t>Plaat 48</t>
  </si>
  <si>
    <t>blad 48</t>
  </si>
  <si>
    <t>Side 48</t>
  </si>
  <si>
    <t>Ark 48</t>
  </si>
  <si>
    <t>Stranica 48</t>
  </si>
  <si>
    <t>Blatt 49</t>
  </si>
  <si>
    <t>page 49</t>
  </si>
  <si>
    <t>Foglio 49</t>
  </si>
  <si>
    <t>list 049</t>
  </si>
  <si>
    <t>Karta 49</t>
  </si>
  <si>
    <t>49. lap</t>
  </si>
  <si>
    <t>List 49</t>
  </si>
  <si>
    <t>Plaat 49</t>
  </si>
  <si>
    <t>blad 49</t>
  </si>
  <si>
    <t>Side 49</t>
  </si>
  <si>
    <t>Ark 49</t>
  </si>
  <si>
    <t>Stranica 49</t>
  </si>
  <si>
    <t>Blatt 50</t>
  </si>
  <si>
    <t>page 50</t>
  </si>
  <si>
    <t>Foglio 50</t>
  </si>
  <si>
    <t>list 050</t>
  </si>
  <si>
    <t>Karta 50</t>
  </si>
  <si>
    <t>50. lap</t>
  </si>
  <si>
    <t>List 50</t>
  </si>
  <si>
    <t>Plaat 50</t>
  </si>
  <si>
    <t>blad 50</t>
  </si>
  <si>
    <t>Side 50</t>
  </si>
  <si>
    <t>Ark 50</t>
  </si>
  <si>
    <t>Stranica 50</t>
  </si>
  <si>
    <t>22°</t>
  </si>
  <si>
    <t>3°</t>
  </si>
  <si>
    <t>5°</t>
  </si>
  <si>
    <t>7°</t>
  </si>
  <si>
    <t>25.05.2021</t>
  </si>
  <si>
    <t>25.02.2021</t>
  </si>
  <si>
    <t>Prefa_Details_Dach_Dachplatte_181203</t>
  </si>
  <si>
    <t>PREFA_details_roof_roof-tile_181203</t>
  </si>
  <si>
    <t>PREFA_détails_toiture_tuile_181203</t>
  </si>
  <si>
    <t>PREFA_Details_Dach_Dachplatte_181203</t>
  </si>
  <si>
    <t>Entlüftung über Froschmaulluken (für Dachplatte R.16)</t>
  </si>
  <si>
    <t xml:space="preserve">ventilation for roof tiles R.16 via frog-mouth vents </t>
  </si>
  <si>
    <t>ventilation par chatières (pour tuiles R.16)</t>
  </si>
  <si>
    <t>Aerazione tramite bocchetta di aerazione (per tegola R.16)</t>
  </si>
  <si>
    <t>Odvětrání odvětrávacími tvarovkami (pro střešní panel R.16)</t>
  </si>
  <si>
    <t>Wentylacja przez półokrągły wywietrznik dachowy (do dachówki R.16)</t>
  </si>
  <si>
    <t>Szellőztetés szellőzőelemeken keresztül (R.16 Classic elemhez)</t>
  </si>
  <si>
    <t>odvetrávanie cez odvetrávacie tvarovky (pre strešný panel R.16)</t>
  </si>
  <si>
    <t>Ventilatie via kikkermondluiken (voor dakplaat R.16)</t>
  </si>
  <si>
    <t>Odzračevanje preko žabjega zračnika (za strešno ploščo R.16)</t>
  </si>
  <si>
    <t>Ventilation via grodluckor (för takpanel R.16)</t>
  </si>
  <si>
    <t>Ventilation via tagudluftning (til tagplade R.16)</t>
  </si>
  <si>
    <t>Ventilasjon via froskemunnformet luke (til takplate R.16)</t>
  </si>
  <si>
    <t>Odzračivanje preko odzračnika (za krovnu ploču R.16)</t>
  </si>
  <si>
    <t>Prefa_Details_Dach_Dachplatte_R.16_181203</t>
  </si>
  <si>
    <t>PREFA_details_roof_roof-tile_R.16_180503</t>
  </si>
  <si>
    <t>PREFA_détails_toiture_tuile_R.16_180503</t>
  </si>
  <si>
    <t>PREFA_Details_Dach_Dachplatte_R.16_181203</t>
  </si>
  <si>
    <t>PREFA_Detaily_Střecha_Střešní_panel_R.16_181203</t>
  </si>
  <si>
    <t>PREFA_detaljer_tak_takpanel_R.16_181203</t>
  </si>
  <si>
    <t>PREFA_detalji_krov_krovna_ploča_R.16_181203</t>
  </si>
  <si>
    <t>Schneestopper – Verlegeschema R.16 1</t>
  </si>
  <si>
    <t>snow guards – installation diagram R.16 1</t>
  </si>
  <si>
    <t>arrêt de neige — schéma de pose R.16 1</t>
  </si>
  <si>
    <t>Naso fermaneve - Schema di posa R.16 1</t>
  </si>
  <si>
    <t>Boční napojení na stěnu s zásuvnou krycí lištou R.16 1</t>
  </si>
  <si>
    <t>STOPER ŚNIEGOWY – SCHEMAT MONTAŻOWY R.16 1</t>
  </si>
  <si>
    <t>HÓFOGÓ – R.16 1 FEKTETÉSI SÉMA</t>
  </si>
  <si>
    <t>ZACHYTÁVAČ SNEHU – SCHÉMA MONTÁŽE R.16 1</t>
  </si>
  <si>
    <t>SNEEUWSTOPPER - INSTALLATIESCHEMA R.16 1</t>
  </si>
  <si>
    <t>SNEGOLOV – SHEMA POLAGANJA R.16 1</t>
  </si>
  <si>
    <t>SNÖSTOPP – LÄGGNINGSSCHEMA R.16 1</t>
  </si>
  <si>
    <t>SNESTOPPER – LÆGGEDIAGRAM R.16 1</t>
  </si>
  <si>
    <t>SNØSTOPPER – LEGGESKJEMA R.16 1</t>
  </si>
  <si>
    <t>TOČKASTI SNJEGOBRAN – SHEMA POSTAVLJANJA R.16 1</t>
  </si>
  <si>
    <t>Schneestopper – Verlegeschema R.16 2</t>
  </si>
  <si>
    <t>snow guards – installation diagram R.16 2</t>
  </si>
  <si>
    <t>arrêt de neige — schéma de pose R.16 2</t>
  </si>
  <si>
    <t>Naso fermaneve - Schema di posa R.16 2</t>
  </si>
  <si>
    <t>Boční napojení na stěnu s zásuvnou krycí lištou R.16 2</t>
  </si>
  <si>
    <t>STOPER ŚNIEGOWY – SCHEMAT MONTAŻOWY R.16 2</t>
  </si>
  <si>
    <t>HÓFOGÓ – R.16 2 FEKTETÉSI SÉMA</t>
  </si>
  <si>
    <t>ZACHYTÁVAČ SNEHU – SCHÉMA MONTÁŽE R.16 2</t>
  </si>
  <si>
    <t>SNEEUWSTOPPER - INSTALLATIESCHEMA R.16 2</t>
  </si>
  <si>
    <t>SNEGOLOV – SHEMA POLAGANJA R.16 2</t>
  </si>
  <si>
    <t>SNÖSTOPP – LÄGGNINGSSCHEMA R.16 2</t>
  </si>
  <si>
    <t>SNESTOPPER – LÆGGEDIAGRAM R.16 2</t>
  </si>
  <si>
    <t>SNØSTOPPER – LEGGESKJEMA R.16 2</t>
  </si>
  <si>
    <t>TOČKASTI SNJEGOBRAN – SHEMA POSTAVLJANJA R.16 2</t>
  </si>
  <si>
    <t>Schneestopper – Verlegeschema R.16 3</t>
  </si>
  <si>
    <t>snow guards – installation diagram R.16 3</t>
  </si>
  <si>
    <t>arrêt de neige — schéma de pose R.16 3</t>
  </si>
  <si>
    <t>Naso fermaneve - Schema di posa R.16 3</t>
  </si>
  <si>
    <t>Boční napojení na stěnu s zásuvnou krycí lištou R.16 3</t>
  </si>
  <si>
    <t>STOPER ŚNIEGOWY – SCHEMAT MONTAŻOWY R.16 3</t>
  </si>
  <si>
    <t>HÓFOGÓ – R.16 3 FEKTETÉSI SÉMA</t>
  </si>
  <si>
    <t>ZACHYTÁVAČ SNEHU – SCHÉMA MONTÁŽE R.16 3</t>
  </si>
  <si>
    <t>SNEEUWSTOPPER - INSTALLATIESCHEMA R.16 3</t>
  </si>
  <si>
    <t>SNEGOLOV – SHEMA POLAGANJA R.16 3</t>
  </si>
  <si>
    <t>SNÖSTOPP – LÄGGNINGSSCHEMA R.16 3</t>
  </si>
  <si>
    <t>SNESTOPPER – LÆGGEDIAGRAM R.16 3</t>
  </si>
  <si>
    <t>SNØSTOPPER – LEGGESKJEMA R.16 3</t>
  </si>
  <si>
    <t>TOČKASTI SNJEGOBRAN – SHEMA POSTAVLJANJA R.16 3</t>
  </si>
  <si>
    <t>Verlegeschema R.16 1 (1,7 Stk./m² – ersten beiden Reihen durchgehend)</t>
  </si>
  <si>
    <t>Installation diagram R.16 1 (1,7  per m² — must be installed along the first two rows)</t>
  </si>
  <si>
    <t>Schéma de pose R.16 1 (1,7 arrêts de neige par m² ; monter les arrêts de neige sans interruption sur toute la longueur des deux premières rangées)</t>
  </si>
  <si>
    <t>Schema di posa R.16 1 (1,7 pz./m² - prime due file continue)</t>
  </si>
  <si>
    <r>
      <t>Schema rozmístění R.16 1 (1,7 ks/m</t>
    </r>
    <r>
      <rPr>
        <vertAlign val="superscript"/>
        <sz val="11"/>
        <color indexed="8"/>
        <rFont val="Arial"/>
        <family val="2"/>
      </rPr>
      <t xml:space="preserve">2 </t>
    </r>
    <r>
      <rPr>
        <sz val="11"/>
        <color indexed="8"/>
        <rFont val="Arial"/>
        <family val="2"/>
      </rPr>
      <t>- první dvě řady průběžně)</t>
    </r>
  </si>
  <si>
    <t>Schemat montażowy R.16 1 (1,7 szt./m² – pierwsze dwa rzędy ciągłe)</t>
  </si>
  <si>
    <t>R.16 1 fektetési séma (1,7 db/m² – az első két sor folyamatos)</t>
  </si>
  <si>
    <t>Schéma montáže R.16 1 (1,7 ks/m² – prvé dva rady kompletne)</t>
  </si>
  <si>
    <t>Installatieschema R.16 1 (1,7 st./m² - eerste twee rijen doorlopend)</t>
  </si>
  <si>
    <t>Shema polaganja R.16 1 (1,7 kos./m² – prvi dve vrsti neprekinjeno)</t>
  </si>
  <si>
    <t>Läggningsschema R.16 1 (1,7 st/m² – första två raderna kontinuerliga)</t>
  </si>
  <si>
    <t>Læggediagram R.16 1 (1,7 stk./m² - første to rækker gennemgående)</t>
  </si>
  <si>
    <t>Leggeskjema R.16 1 (1,7 stk./m² – to første rader fortløpende)</t>
  </si>
  <si>
    <t>Shema postavljanja R.16 1 (1,7 kom./m² – prva dva reda neprekidno)</t>
  </si>
  <si>
    <t>Verlegeschema R.16 2 (3,4 Stk./m² – ersten beiden Reihen durchgehend)</t>
  </si>
  <si>
    <t>installation diagram R.16 2 (3,4 pc. per m²; must be installed along the first two rows)</t>
  </si>
  <si>
    <t>Schéma de pose R.16 2 (3,4 arrêts de neige par m² ; monter les arrêts de neige sans interruption sur toute la longueur des deux premières rangées)</t>
  </si>
  <si>
    <t>Schema di posa R.16 2 (3,4 pz./m² - prime due file continue)</t>
  </si>
  <si>
    <r>
      <t>Schema rozmístění R.16 2 (3,4 ks/m</t>
    </r>
    <r>
      <rPr>
        <vertAlign val="superscript"/>
        <sz val="11"/>
        <color indexed="8"/>
        <rFont val="Arial"/>
        <family val="2"/>
      </rPr>
      <t xml:space="preserve">2 </t>
    </r>
    <r>
      <rPr>
        <sz val="11"/>
        <color indexed="8"/>
        <rFont val="Arial"/>
        <family val="2"/>
      </rPr>
      <t>- první dvě řady průběžně)</t>
    </r>
  </si>
  <si>
    <t>Schemat montażowy R.16 2 (3,4 szt./m² – pierwsze dwa rzędy ciągłe)</t>
  </si>
  <si>
    <t>R.16 2 fektetési séma (3,4 db/m² – az első két sor folyamatos)</t>
  </si>
  <si>
    <t>Schéma montáže R.16 2 (3,4 ks/m² – prvé dva rady kompletne)</t>
  </si>
  <si>
    <t>Installatieschema R.16 2 (3,4 st./m² - eerste twee rijen doorlopend)</t>
  </si>
  <si>
    <t>Shema polaganja R.16 2 (3,4 kos./m² – prvi dve vrsti neprekinjeno)</t>
  </si>
  <si>
    <t>Läggningsschema R.16 2 (3,4 st/m² – första två raderna kontinuerliga)</t>
  </si>
  <si>
    <t>Læggediagram R.16 2 (3,4 stk./m² - første to rækker gennemgående)</t>
  </si>
  <si>
    <t>Leggeskjema R.16 2 (3,4 stk./m² – to første rader fortløpende)</t>
  </si>
  <si>
    <t>Shema postavljanja R.16 2 (3,4 kom./m² – prva dva reda neprekidno)</t>
  </si>
  <si>
    <t>Verlegeschema R.16 3 (6,8 Stk./m²)</t>
  </si>
  <si>
    <t>installation diagram R.16 3 (6,8 pc. per m²)</t>
  </si>
  <si>
    <t>schéma de pose R.16 3 (6,8 arrêts de neige par m²)</t>
  </si>
  <si>
    <t>Schema di posa R.16 3 (6,8 pz./m²)</t>
  </si>
  <si>
    <r>
      <t>Schema rozmístění R.16 3 (6,8 ks/m</t>
    </r>
    <r>
      <rPr>
        <vertAlign val="superscript"/>
        <sz val="11"/>
        <color indexed="8"/>
        <rFont val="Arial"/>
        <family val="2"/>
      </rPr>
      <t>2</t>
    </r>
    <r>
      <rPr>
        <sz val="11"/>
        <color indexed="8"/>
        <rFont val="Arial"/>
        <family val="2"/>
      </rPr>
      <t>)</t>
    </r>
  </si>
  <si>
    <t>Schemat montażowy R.16 3 (6,8 szt./m²)</t>
  </si>
  <si>
    <t>R.16 3 fektetési séma (6,8 db/m²)</t>
  </si>
  <si>
    <t>Schéma montáže R.16 3 (6,8 ks/m²)</t>
  </si>
  <si>
    <t>Installatieschema R.16 3 (6,8 st./m²)</t>
  </si>
  <si>
    <t>Shema polaganja R.16 3 (6,8 kos./m²)</t>
  </si>
  <si>
    <t>Läggningsschema R.16 3 (6,8 st/m² )</t>
  </si>
  <si>
    <t>Læggediagram R.16 3 (6,8 stk./m²)</t>
  </si>
  <si>
    <t>Leggeskjema R.16 3 (6,8 stk./m²)</t>
  </si>
  <si>
    <t>Shema postavljanja R.16 3 (6,8 kom./m²)</t>
  </si>
  <si>
    <t>Prefa Dacheindeckung</t>
  </si>
  <si>
    <t>PREFA roof covering</t>
  </si>
  <si>
    <t>couverture de toit PREFA</t>
  </si>
  <si>
    <t>Copertura per tetti PREFA</t>
  </si>
  <si>
    <t>PREFA střešní krytina</t>
  </si>
  <si>
    <t>Pokrycia dachowe PREFA</t>
  </si>
  <si>
    <t>PREFA tetőfedés</t>
  </si>
  <si>
    <t>PREFA strešná krytina</t>
  </si>
  <si>
    <t>PREFA-dakbedekking</t>
  </si>
  <si>
    <t>Strešna kritina PREFA</t>
  </si>
  <si>
    <t>PREFA takbeläggning</t>
  </si>
  <si>
    <t>PREFA tagdækning</t>
  </si>
  <si>
    <t>PREFA-takbelegg</t>
  </si>
  <si>
    <t>PREFA krovni pokrov</t>
  </si>
  <si>
    <t>PREFA Dacheindeckung</t>
  </si>
  <si>
    <t>Steildachwärmedämmelement</t>
  </si>
  <si>
    <t>pitched roof thermal insulation panel</t>
  </si>
  <si>
    <t>élément d’isolation thermique pour toitures inclinées</t>
  </si>
  <si>
    <t>Elemento per isolamento termico tetti spioventi</t>
  </si>
  <si>
    <t>Izolační prvek šikmé střechy</t>
  </si>
  <si>
    <t>Element termoizolacyjny dachu dwuspadowego</t>
  </si>
  <si>
    <t>nyeregtető hőszigetelő eleme</t>
  </si>
  <si>
    <t>Tepelnoizolačný prvok šikmej strechy</t>
  </si>
  <si>
    <t>Thermisch isolatie-element hellend dak</t>
  </si>
  <si>
    <t>Toplotnoizolacijski element za strmo streho</t>
  </si>
  <si>
    <t>värmeisoleringselement med sluttande tak</t>
  </si>
  <si>
    <t>Isoleringselement stejlt tag</t>
  </si>
  <si>
    <t>Varmeisolasjonselement til bratt tak</t>
  </si>
  <si>
    <t>Toplinski izolacijski element kosog krova</t>
  </si>
  <si>
    <t>diffusionshemmende Schicht oder Luftsperre</t>
  </si>
  <si>
    <t>diffusion barrier layer or air barrier</t>
  </si>
  <si>
    <t>écran pare-vapeur ou pare-air</t>
  </si>
  <si>
    <t>Strato antitraspirante o barriera per l'aria</t>
  </si>
  <si>
    <t>Vrstva bránící difúzi nebo vzduchová zábrana</t>
  </si>
  <si>
    <t>Warstwa blokująca dyfuzję lub bariera powietrzna</t>
  </si>
  <si>
    <t>diffúziógátló réteg vagy légzáró réteg</t>
  </si>
  <si>
    <t>vrstva zabraňujúca difúzii alebo parozábrana</t>
  </si>
  <si>
    <t>Diffusieremmende laag of luchtbarrière</t>
  </si>
  <si>
    <t>plast, ki zavira difuzijo ali zračna pregrada</t>
  </si>
  <si>
    <t>diffusionshämmande skikt eller luftbarriär</t>
  </si>
  <si>
    <t>diffusionshæmmende lag eller luftbarriere</t>
  </si>
  <si>
    <t>Diffusjonshemmende lag eller luftsperre</t>
  </si>
  <si>
    <t>slabo propusni sloj ili zračna barijera</t>
  </si>
  <si>
    <t>Tepelná izolace</t>
  </si>
  <si>
    <t>visible sheathing</t>
  </si>
  <si>
    <t>Pohledové bednění</t>
  </si>
  <si>
    <t>abgehängte Dachgeschossbekleidung</t>
  </si>
  <si>
    <t>suspended attic cladding</t>
  </si>
  <si>
    <t>revêtement de plafond suspendu</t>
  </si>
  <si>
    <t>Rivestimento sottotetto a sospensione</t>
  </si>
  <si>
    <t>Zavěšené obložení podkroví</t>
  </si>
  <si>
    <t>Podwieszane okładziny do poddasza</t>
  </si>
  <si>
    <t>függesztett tetőburkolat</t>
  </si>
  <si>
    <t>zavesené obloženie povalového priestoru</t>
  </si>
  <si>
    <t>zwevende zolderbekleding</t>
  </si>
  <si>
    <t>viseča podstrešna obloga</t>
  </si>
  <si>
    <t>upphängd vindsbeklädnad</t>
  </si>
  <si>
    <t>ophængt loftbeklædning</t>
  </si>
  <si>
    <t>Hengende loftsbekledning</t>
  </si>
  <si>
    <t>spuštena obloga potkrovlja</t>
  </si>
  <si>
    <t>Die Ausführung mit einer Unterdeckbahn der angegebenen Mindestqualität entspricht einem erhöht regensicherem Unterdach lt. ÖNORM B 4119. Die Durchnagelung mit Hafternägeln ist unerheblich.</t>
  </si>
  <si>
    <t>The design with roof underlay of the specified minimum quality corresponds to underlay with enhanced rain-proofing according to ÖNORM B 4119. Nailing with adhesive nails does not negatively affect the function of the underlay.</t>
  </si>
  <si>
    <t>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t>
  </si>
  <si>
    <t>L'esecuzione con una membrana sottomanto o uno strato separatore della qualità minima specificata non corrisponde a un sottotetto secondo la norma ÖNORM B 4119. Il fissaggio con chiodi a graffetta è irrilevante.</t>
  </si>
  <si>
    <t>Provedení s pojistnou hydroizolací s uvedenou nejnižší akceptovatelnou kvalitou splňuje požadavek zvýšené izolace střechy před deštěm podle ÖNORM B 4119. Proražení izolace hřebíky a příponkami je irelevantní.</t>
  </si>
  <si>
    <t>Zgodnie z przepisami wykonanie z membraną dachową o podanej minimalnej jakości odpowiada pokryciu więźby dachowej o podwyższonej wytrzymałości na deszcz, patrz ÖNORM B 4119. Przebijanie gwoździami jest nieistotne.</t>
  </si>
  <si>
    <t>A megadott minimális minőségű tetőalátéttel történő kivitelezés fokozottan esőálló alsó tetősíknak felel meg az ÖNORM B 4119 szerint. A hafterszegekkel való átszögelés szükségtelen.</t>
  </si>
  <si>
    <t>Vyhotovenie s podkladovým pásom s uvedenou minimálnou kvalitou zodpovedá podstrešiu so zvýšenou ochranou proti dažďu podľa ÖNORM B 4119. Preklincovanie s lepenkovými klincami nemá vplyv.</t>
  </si>
  <si>
    <t>De uitvoering met een schoorsteenmembraan van de gespecificeerde minimumkwaliteit komt overeen met een verhoogd regendicht onderdak volgens de voorschriften. ÖNORM B 4119. Het doorspijkeren met lijmnagels is irrelevant.</t>
  </si>
  <si>
    <t>Izvedba s podstrešnim trakom določene minimalne kakovosti ustreza podstrehi z večjo odpornostjo na dež po ÖNORM B 4119. Zabijanje z lepilnimi žeblji je neznatno.</t>
  </si>
  <si>
    <t>Utförandet med underlagsmembran av angiven lägsta kvalitet motsvarar ett förstärkt regntätt undertak enl. ÖNORM B 4119. Spikningen med häftspik är en obetydlig skillnad.</t>
  </si>
  <si>
    <t>Udformningen med undertag af den angivne minimumskvalitet svarer til et øget regntæt undertag iht. ÖNORM B 4119. Sømning er irrelevant.</t>
  </si>
  <si>
    <t>Utførelsen med et underliggende dekklag av angitt minstekvalitet gir et mer regnsikkert undertak iht. ÖNORM B 4119. Gjennomspikring med selvklebende spiker er uvesentlig.</t>
  </si>
  <si>
    <t>Izvedba s podlogom navedene minimalne kvalitete odgovara sekundarnom krovu otpornom na kišu prema ÖNORM B 4119. Zabijanje ljepljivim čavlima ne utječe negativno na funkciju podloge.</t>
  </si>
  <si>
    <t>Die Ausführung mit einer Unterdeckbahn oder Trennlage der angegebenen Mindestqualität entspricht keinem Unterdach lt. ÖNORM B 4119. Die Ausführung eignet sich für Objekte, bei denen kein Unterdach im Sinne der Unterdachnorm erforderlich ist.</t>
  </si>
  <si>
    <t>The design with roof underlay or a separation layer of the specified minimum quality does not correspond to underlay according to ÖNORM B 4119. The design is suitable for buildings on which underlay, within the meaning of the underlay standard, is not required.</t>
  </si>
  <si>
    <t>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t>
  </si>
  <si>
    <t>L'esecuzione con una membrana sottotetto o uno strato separatore della qualità minima specificata non corrisponde a un sottotetto secondo la norma ÖNORM B 4119. La realizzazione è adatta a immobili in cui non è richiesto un sottotetto a norma.</t>
  </si>
  <si>
    <t>Provedení s pojistnou hydroizolací nebo separační vrstvou s uvedenou nejnižší akceptovatelnou kvalitou neodpovídá žádné izolaci podle ÖNORM B 4119. Provedení je vhodné pro objekty, u kterých není potřeba žádná izolace podle normy.</t>
  </si>
  <si>
    <t>Zgodnie z przepisami wykonanie z membraną dachową lub warstwą rozdzielającą o podanej minimalnej jakości odpowiada pokryciu więźby dachowej o podwyższonej wytrzymałości na deszcz, patrz ÖNORM B 4119. Konstrukcja ta jest odpowiednia dla obiektów, gdzie nie jest wymagane krycie wstępne zgodnie z normą dla pokryć wstępnych.</t>
  </si>
  <si>
    <t>A megadott minimális minőségű tetőalátéttel vagy elválasztóréteggel történő kivitelezés nem felel meg az alsó tetősíknak az ÖNORM B 4119 szerint. A kialakítás olyan ingatlanok esetében alkalmazható, ahol a tetősíkszabvány értelmében nincs szükség alsó tetősíkra.</t>
  </si>
  <si>
    <t>Vyhotovenie s podkladovým pásom alebo separačnou vrstvou s uvedenou minimálnou kvalitou nezodpovedá podstrešiu podľa ÖNORM B 4119. Vyhotovenie sa hodí pre objekty, pri ktorých nie je potrebné žiadne podstrešie v zmysle normy o podstreší.</t>
  </si>
  <si>
    <t>De uitvoering met een schoorsteenmembraan of scheidingslaag van de gespecificeerde minimumkwaliteit komt overeen met geen onderdak volgens de voorschriften. ÖNORM B 4119. De uitvoering is geschikt voor panden waar geen onderdak nodig is in de zin van de onderdaknorm.</t>
  </si>
  <si>
    <t>Izvedba s podstrešnim trakom ali ločilno plastjo določene minimalne kakovosti ne ustreza nobeni podstrehi po ÖNORM B 4119. Izvedba je primerna za objekte, ki ne zahtevajo podstrehe v smislu standarda podstrehe.</t>
  </si>
  <si>
    <t>Utförandet med underlagsmembran eller separationsskikt av angiven lägsta kvalitet motsvarar inte ett undertak enl. ÖNORM B 4119. Utformningen lämpar sig för objekt som inte kräver undertak enligt undertaksstandard.</t>
  </si>
  <si>
    <t>Udformningen med undertag eller skillelag af den angivne minimumskvalitet svarer ikke til et undertag iht. ÖNORM B 4119. Udformningen egner sig til projekter, der ikke kræver undertag iht. undertagsstandarden.</t>
  </si>
  <si>
    <t>Utførelsen med et underliggende dekklag eller skillelag av angitt minstekvalitet tilsvarer ikke et undertak iht. ÖNORM B 4119. Utførelsen egner seg til bygninger som ikke krever et undertak i henhold til standard for undertak.</t>
  </si>
  <si>
    <t>Izvedba s podlogom ili razdjelnim slojem navedene minimalne kvalitete ne odgovara sekundarnom krovu prema ÖNORM B 4119. Izvedba je prikladna za objekte koji ne zahtijevaju sekundarni krov u smislu standarda sekundarnog krova.</t>
  </si>
  <si>
    <t>mit Nageldichtstreifen</t>
  </si>
  <si>
    <t>with nail sealing tape</t>
  </si>
  <si>
    <t>avec bande d’étanchéité pour clous</t>
  </si>
  <si>
    <t>con strisce sigillachiodo</t>
  </si>
  <si>
    <t>s těsnicím pásem pro hřebíky</t>
  </si>
  <si>
    <t>z taśmą uszczelniającą gwoździe</t>
  </si>
  <si>
    <t>szegtömítő szalaggal</t>
  </si>
  <si>
    <t>s pásmi pod kontralaty.</t>
  </si>
  <si>
    <t>met nagelafdichtstrip</t>
  </si>
  <si>
    <t>s tesnilnimi trakovi za žeblje</t>
  </si>
  <si>
    <t>med spiktätningslister</t>
  </si>
  <si>
    <t>med sømtætningslister</t>
  </si>
  <si>
    <t>med tetningsstrimler for spiker</t>
  </si>
  <si>
    <t>s trakom za brtvljenje čavli</t>
  </si>
  <si>
    <t>Bei der Planung von Unterdächern sind insbesondere die Beanspruchungen, die aufgrund von Wassereintritt durch die Dacheindeckung auftreten, unter folgenden Randbedingungen zu berücksichtigen:</t>
  </si>
  <si>
    <t>When planning substructures, strain and stress caused by water penetrating through the roof covering should be particularly taken into account under the following conditions:</t>
  </si>
  <si>
    <t>Au moment de la conception de la sous-couverture, tenez compte en particulier des contraintes engendrées par les infiltrations d’eau dans la couverture, dans les conditions et contextes spécifiquement décrits ci-dessous :</t>
  </si>
  <si>
    <t>Quando si progettano i sottotetti, si deve prestare particolare attenzione alle sollecitazioni che si verificano a causa della penetrazione dell'acqua attraverso la copertura del tetto nelle seguenti condizioni limite:</t>
  </si>
  <si>
    <t>Při navrhování pojistných hydroizolací je zvlášť nutno zohlednit namáhání při průniku vody střešní krytinou při následujících okrajových podmínkách:</t>
  </si>
  <si>
    <t>Pri plánovaní podstreší treba zvlášť zohľadniť namáhania, ktoré sa vyskytujú z dôvodu zatekania cez strešnú krytinu, pri nasledujúcich okrajových podmienkach:</t>
  </si>
  <si>
    <t>Bij de planning van onderdaken moet in het bijzonder rekening worden gehouden met de spanningen die door het binnendringen van water door de dakbedekking binnenkomen onder de volgende randvoorwaarden:</t>
  </si>
  <si>
    <t>Pri načrtovanju podstreh je treba posebno pozornost nameniti obremenitvi, ki nastane zaradi vdora vode skozi strešno kritino, z naslednjimi robnimi pogoji:</t>
  </si>
  <si>
    <t>Vid planering av undertak ska de påfrestningar som uppstår på grund av inträngande av vatten genom takbeläggningen beaktas under följande randvillkor:</t>
  </si>
  <si>
    <t>Ved planlægning af undertage skal der lægges særlig vægt på spændinger, der forårsages af vandindtrængning gennem tagdækningen, med følgende randbetingelser:</t>
  </si>
  <si>
    <t>Prilikom planiranja sekundarnog krova potrebno je uzeti u obzir opterećenja koja nastaju zbog prodiranja vode kroz krovni pokrov pod sljedećim uvjetima:</t>
  </si>
  <si>
    <t>Dachaufbauten für Prefa Dacheindeckungen</t>
  </si>
  <si>
    <t>roof structures for PREFA roof coverings</t>
  </si>
  <si>
    <t>constructions hors-combles pour couvertures de toiture PREFA</t>
  </si>
  <si>
    <t>Strutture di tetti per coperture PREFA</t>
  </si>
  <si>
    <t>Skladba střechy pro střešní krytiny PREFA</t>
  </si>
  <si>
    <t>Konstrukcje dachowe dla pokryć dachowych PREFA</t>
  </si>
  <si>
    <t>tető rétegrendek PREFA tetőfedésekhez</t>
  </si>
  <si>
    <t>Skladby strechy pre strešné krytiny PREFA</t>
  </si>
  <si>
    <t>Dakopbouwen voor PREFA-dakbedekkingen</t>
  </si>
  <si>
    <t>Strešne konstrukcije za strešne kritine PREFA</t>
  </si>
  <si>
    <t>Takkonstruktioner för PREFALZ-beläggning</t>
  </si>
  <si>
    <t>Tagkonstruktioner til PREFA tagdækning</t>
  </si>
  <si>
    <t>Takoppbygging for PREFA-takbelegg</t>
  </si>
  <si>
    <t>Krovne konstrukcije za PREFA krovne pokrove</t>
  </si>
  <si>
    <t>Dachaufbauten für PREFA Dacheindeckungen</t>
  </si>
  <si>
    <t>Unterdächer sind jedenfalls anzuordnen:</t>
  </si>
  <si>
    <t>La pose de lés de sous-couverture est requise :</t>
  </si>
  <si>
    <t>I sottotetti devono essere sistemati in ogni caso:</t>
  </si>
  <si>
    <t>Izolace se musí vždy stanovit:</t>
  </si>
  <si>
    <t>W każdym przypadku należy wykonać pokrycie więźby dachowej (pokrycie wstępne):</t>
  </si>
  <si>
    <t>az alsó tetősíkok elrendezése:</t>
  </si>
  <si>
    <t>K podstrešiam treba taktiež priradiť:</t>
  </si>
  <si>
    <t>Onderdaken moeten in ieder geval worden aangebracht:</t>
  </si>
  <si>
    <t>V vsakem primeru je treba urediti podstrehe:</t>
  </si>
  <si>
    <t>Undertak ska i alla fall anordnas:</t>
  </si>
  <si>
    <t>Undertage kræver:</t>
  </si>
  <si>
    <t>Undertak skal alltid foreligge:</t>
  </si>
  <si>
    <t>U svakom slučaju, sekundarne krovove je potrebno urediti:</t>
  </si>
  <si>
    <t>Navíc je nutno zohlednit tyto okolnosti:</t>
  </si>
  <si>
    <t>Unterdach (lt. Tabelle)</t>
  </si>
  <si>
    <t>underlay (according to table)</t>
  </si>
  <si>
    <t>écran de sous-toiture (cf. tableau)</t>
  </si>
  <si>
    <t>sottotetto (secondo la tabella)</t>
  </si>
  <si>
    <t>Izolace (podle tabulky)</t>
  </si>
  <si>
    <t>Pokrycie więźby dachowej (pokrycie wstępne) (patrz tabela)</t>
  </si>
  <si>
    <t>alsó tetősík (a táblázat szerint)</t>
  </si>
  <si>
    <t>Podstrešie (podľa tabuľky)</t>
  </si>
  <si>
    <t>Onderdak (volgens tabel)</t>
  </si>
  <si>
    <t>Podstreha (v skladu s tabelo)</t>
  </si>
  <si>
    <t>undertak (enl. tabell)</t>
  </si>
  <si>
    <t>Undertak (iht. tabell)</t>
  </si>
  <si>
    <t>Sekundarni krov (prema tablici)</t>
  </si>
  <si>
    <t>Anforderung</t>
  </si>
  <si>
    <t>REQUIREMENT</t>
  </si>
  <si>
    <t>CONDITION REQUISE</t>
  </si>
  <si>
    <t>Richiesta</t>
  </si>
  <si>
    <t>POŽADAVEK</t>
  </si>
  <si>
    <t>WNIOSEK</t>
  </si>
  <si>
    <t>KÉRVÉNY</t>
  </si>
  <si>
    <t>POŽIADAVKA</t>
  </si>
  <si>
    <t>AANVRAAG</t>
  </si>
  <si>
    <t>ZAHTEVA</t>
  </si>
  <si>
    <t>ANSÖKAN</t>
  </si>
  <si>
    <t>KRAV</t>
  </si>
  <si>
    <t>ZAHTJEV</t>
  </si>
  <si>
    <t>Beanspruchung</t>
  </si>
  <si>
    <t>stress</t>
  </si>
  <si>
    <t>contrainte</t>
  </si>
  <si>
    <t>Sollecitazione</t>
  </si>
  <si>
    <t>Namáhání</t>
  </si>
  <si>
    <t>Obciążenia</t>
  </si>
  <si>
    <t>igénybevétel</t>
  </si>
  <si>
    <t>Namáhanie</t>
  </si>
  <si>
    <t>Spanning</t>
  </si>
  <si>
    <t>Obremenitev</t>
  </si>
  <si>
    <t>Anspråk</t>
  </si>
  <si>
    <t>Belastning</t>
  </si>
  <si>
    <t>Opterećenje</t>
  </si>
  <si>
    <t>bei ausgebautem Dachgeschoß, soweit es sich nicht um unbelüftete Konstruktionen handelt</t>
  </si>
  <si>
    <t>dans le cas de combles aménagés (lorsqu’il ne s’agit pas de constructions non ventilées)</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</si>
  <si>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</si>
  <si>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</si>
  <si>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</si>
  <si>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</si>
  <si>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</si>
  <si>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</si>
  <si>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</si>
  <si>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</si>
  <si>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</si>
  <si>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nicht ausgebautem Dachgeschoß, bei dem eine regelmäßige Kontrolle bzw. Wartung des Dachraums nicht möglich ist und die oberste Geschoßdecke bereits bei geringen Wassermengen wasserdurchlässig ist (z. B. Spitzböden über Zangendecke)</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</si>
  <si>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</si>
  <si>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</si>
  <si>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w przypadku poddaszy nieużytkowych, gdzie nie jest możliwa regularna kontrola lub konserwacja przestrzeni poddasza, a strop najwyższej kondygnacji jest przepuszczalny dla wody nawet w przypadku niewielkich ilości wody (np. stropy spiczaste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</si>
  <si>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</si>
  <si>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povalovom priestore so studenou prevádzkou,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</si>
  <si>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</si>
  <si>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oziroma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</si>
  <si>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</si>
  <si>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</si>
  <si>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</si>
  <si>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</si>
  <si>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Bitumenbahn (E-3 nsk) entsprechend ÖNORM B 3661</t>
  </si>
  <si>
    <t>bitumen underlay (E-3 nsk) according to ÖNORM B 3661</t>
  </si>
  <si>
    <t>lé bitumineux (E-3 nsk) conformément à la norme autrichienne ÖNORM B 3661</t>
  </si>
  <si>
    <t>Membrana bituminosa (E-3 nsk) conforme alla norma ÖNORM B 3661</t>
  </si>
  <si>
    <t>Asfaltový pás (E-3 nsk) podle ÖNORM B 3661</t>
  </si>
  <si>
    <t>Membrana bitumiczna (E-3 NSK) zgodnie z normą ÖNORM B 3661</t>
  </si>
  <si>
    <t>bitumenszalag (E-3 nsk) ÖNORM B 3661 szerint</t>
  </si>
  <si>
    <t>Bitúmenový pás (E-3 nsk) podľa ÖNORM B 3661</t>
  </si>
  <si>
    <t>Bitumenmembraan (E-3 nsk) volgens ÖNORM B 3661</t>
  </si>
  <si>
    <t>Bitumenska membrana (E-3 nsk) po ÖNORM B 3661</t>
  </si>
  <si>
    <t>bitumenmembran (E-3 nsk) enligt ÖNORM B 3661</t>
  </si>
  <si>
    <t>Bitumenbane (E-3 nsk) iht. ÖNORM B 3661</t>
  </si>
  <si>
    <t>Bitumenunderlag (E-3 nsk) i henhold til ÖNORM B 3661</t>
  </si>
  <si>
    <t>Bitumenska podloga (E-3 nsk) prema ÖNORM B 3661</t>
  </si>
  <si>
    <t>Bitumenbahn (E-KV-15 nsk) entsprechend ÖNORM B 3661</t>
  </si>
  <si>
    <t>bitumen underlay (E-KV-15 nsk) according to ÖNORM B 3661</t>
  </si>
  <si>
    <t>lé bitumineux (E-KV-15 nsk) conformément à la norme autrichienne ÖNORM B 3661</t>
  </si>
  <si>
    <t>Membrana bituminosa (E-KV-15 nsk) conforme alla norma ÖNORM B 3661</t>
  </si>
  <si>
    <t>Asfaltový pás (E-KV-15 nsk) podle ÖNORM B 3661</t>
  </si>
  <si>
    <t>Membrana bitumiczna (E-KV-15 NSK) zgodnie z normą ÖNORM B 3661</t>
  </si>
  <si>
    <t>bitumenszalag (E-KV-15 nsk) ÖNORM B 3661 szerint</t>
  </si>
  <si>
    <t>Bitúmenový pás (E-KV-15 nsk) podľa ÖNORM B 3661</t>
  </si>
  <si>
    <t>Bitumenmembraan (E-KV-15 nsk) volgens ÖNORM B 3661</t>
  </si>
  <si>
    <t>Bitumenska membrana (E-15 nsk) po ÖNORM B 3661</t>
  </si>
  <si>
    <t>bitumenmembran (E-KV-15 nsk) enligt ÖNORM B 3661</t>
  </si>
  <si>
    <t>Bitumenbane (E-KV-15 nsk) iht. ÖNORM B 3661</t>
  </si>
  <si>
    <t>Bitumenunderlag (E-KV-15 nsk) i henhold til ÖNORM B 3661</t>
  </si>
  <si>
    <t>Bitumenska podloga (E-KV-15 nsk) prema ÖNORM B 3661</t>
  </si>
  <si>
    <t>Bitumenbahn* entsprechend ÖNORM B 3661</t>
  </si>
  <si>
    <t>bitumen underlay* according to ÖNORM B 3661</t>
  </si>
  <si>
    <t>lé bitumineux* conformément à la norme autrichienne ÖNORM B 3661</t>
  </si>
  <si>
    <t>Membrana bituminosa* conforme alla norma ÖNORM B 3661</t>
  </si>
  <si>
    <t>Asfaltový pás * podle ÖNORM B 3661</t>
  </si>
  <si>
    <t>Membrana bitumiczna* zgodnie z normą ÖNORM B 3661</t>
  </si>
  <si>
    <t>bitumenszalag ÖNORM B 3661 szerint</t>
  </si>
  <si>
    <t>Bitúmenový pás* podľa ÖNORM B 3661</t>
  </si>
  <si>
    <t>Bitumenmembraan* volgens ÖNORM B 3661</t>
  </si>
  <si>
    <t>Bitumenska membrana* po ÖNORM B 3661</t>
  </si>
  <si>
    <t>bitumenmembran* enligt ÖNORM B 3661</t>
  </si>
  <si>
    <t>Bitumenbane* iht. ÖNORM B 3661</t>
  </si>
  <si>
    <t>Bitumenunderlag* i henhold til ÖNORM B 3661</t>
  </si>
  <si>
    <t>Bitumenska podloga* prema ÖNORM B 3661</t>
  </si>
  <si>
    <t>single-skin structure – unconverted attic</t>
  </si>
  <si>
    <t>Jednoplášťová střešní skladba – neobytný podstřešní prostor</t>
  </si>
  <si>
    <t>Struttura a due strati - Sottotetto non abitabile</t>
  </si>
  <si>
    <t>Dvouplášťová střešní skladba – neobytný podstřešní prostor</t>
  </si>
  <si>
    <t>Konstrukcja dwuwarstwowa – poddasze nieużytkowe</t>
  </si>
  <si>
    <t>Zweischaliger Aufbau – Dachgeschoß ausgebaut</t>
  </si>
  <si>
    <t>double-skin structure — converted attic</t>
  </si>
  <si>
    <t>toit double peau — combles aménagés</t>
  </si>
  <si>
    <t>Struttura a due strati - Sottotetto reso abitabile</t>
  </si>
  <si>
    <t>Dvouplášťová střešní skladba – obytný podstřešní prostor</t>
  </si>
  <si>
    <t>Konstrukcja dwuwarstwowa – poddasze użytkowe</t>
  </si>
  <si>
    <t>Kéthéjú rétegrend – beépített tetőtér</t>
  </si>
  <si>
    <t>dvojplášťová skladba – povalový priestor s vykurovaním</t>
  </si>
  <si>
    <t>Tweewandige montage - zolder uitgebouwd</t>
  </si>
  <si>
    <t>Konstrukcija z dvojnim opažem – podstrešje je razširjeno</t>
  </si>
  <si>
    <t>Tvåskalskonstruktion – utbyggd vind</t>
  </si>
  <si>
    <t>To-skalskonstruktion - loftsrum ikke udvidet</t>
  </si>
  <si>
    <t>Tolags oppbygging – loftsetasje er ombygd</t>
  </si>
  <si>
    <t>Dvoslojna konstrukcija – potkrovlje preuređeno</t>
  </si>
  <si>
    <t>Aufsparrendämmung – Dachgeschoß ausgebaut – belüftet</t>
  </si>
  <si>
    <t>isolation sur chevrons — combles aménagés — avec lame d’air ventilée</t>
  </si>
  <si>
    <t>Isolamento estradosso - Sottotetto reso abitabile - ventilato</t>
  </si>
  <si>
    <t>Nadkrokevní izolace s odvětráním – obytný podstřešní prostor – větraný</t>
  </si>
  <si>
    <t>Izolacja nadkrokwiowa – poddasze użytkowe – wentylowane</t>
  </si>
  <si>
    <t>szarufa feletti szigetelés – beépített tetőtér – szellőztetett</t>
  </si>
  <si>
    <t>nadkrokvová izolácia – povalový priestor s vykurovaním – vetraný</t>
  </si>
  <si>
    <t>Isolatie boven de dakspanten - zolder verbouwd - geventileerd</t>
  </si>
  <si>
    <t>Izolacija nad špirovci – razširjeno podstrešje – prezračevano</t>
  </si>
  <si>
    <t>Isolering över takbjälkar – vind utbyggd – ventilerad</t>
  </si>
  <si>
    <t>Isolering over spær – loftsrum udvidet – ventileret</t>
  </si>
  <si>
    <t>Isolasjon over sperrebjelker – ombygd loft – ventilert</t>
  </si>
  <si>
    <t>Izolacija iznad roženica - potkrovlje preuređeno – ventilirano</t>
  </si>
  <si>
    <t>Die dargestellten, nicht maßstabsgetreuen Skizzen wurden in Zusammenarbeit mit der Fa. Bauder entwickelt.</t>
  </si>
  <si>
    <t>The sketches, which are not true-to-scale, were created together with the company, Bauder.</t>
  </si>
  <si>
    <t>Les schémas ont été réalisés en collaboration avec la société Bauder. Nota : ces schémas ne sont pas à l’échelle.</t>
  </si>
  <si>
    <t>Gli schizzi non in scala mostrati sono stati sviluppati in collaborazione con la ditta Bauder.</t>
  </si>
  <si>
    <t>Následující nákresy bez měřítka byly vypracovány ve spolupráci s firmou Bauder.</t>
  </si>
  <si>
    <t>Zamieszczone szkice małoskalowe zostały opracowane we współpracy z firmą Bauder.</t>
  </si>
  <si>
    <t>A bemutatott, nem méretarányos vázlatok a Bauder céggel együttműködve készültek.</t>
  </si>
  <si>
    <t>Zobrazené náčrty, ktoré nie sú presne v mierke, boli vyvinuté v spoluprácu s firmou Bauder.</t>
  </si>
  <si>
    <t>De afgebeelde niet-schaalschetsen zijn ontwikkeld in samenwerking met Bauder.</t>
  </si>
  <si>
    <t>Prikazane skice, ki ne ustrezajo merilu, so bile razvite v sodelovanju s podjetjem Bauder.</t>
  </si>
  <si>
    <t>Ej skalenliga skisser har utvecklats i samarbete med företaget Bauder.</t>
  </si>
  <si>
    <t>De viste skitser, som ikke er i korrekt skala, er udviklet i samarbejde med Bauder.</t>
  </si>
  <si>
    <t>De viste skissene, som ikke er i skala, er utviklet i samarbeid med bedriften Bauder.</t>
  </si>
  <si>
    <t>Prikazane skice, koje ne odgovaraju mjerilu, razvijene su u suradnji s tvrtkom Bauder.</t>
  </si>
  <si>
    <t>Weiters stellen die Konstruktionsbeispiele den Regelfall dar und sind ggf. an die örtliche Situation anzupassen. Länderspezifische technische Richtlinien sind zu beachten!</t>
  </si>
  <si>
    <t>Furthermore, the construction examples depict general cases and should be adapted to the local situation, if necessary. National technical guidelines must be observed.</t>
  </si>
  <si>
    <t>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t>
  </si>
  <si>
    <t>Inoltre gli esempi di progettazione rappresentano il caso standard e devono essere adattati alla situazione locale se necessario. Si devono osservare le linee guida tecniche specifiche del paese!</t>
  </si>
  <si>
    <t>Příklady konstrukcí navíc představují běžné případy, které je případně nutno upravit pro místní podmínky stavby. Je nutno rovněž zohlednit národní technické směrnice!</t>
  </si>
  <si>
    <t>Ponadto przykłady projektowe przedstawiają przypadek typowy i w razie potrzeby należy je dostosować do konkretnej sytuacji. Należy przestrzegać wytycznych technicznych obowiązujących w danym kraju!</t>
  </si>
  <si>
    <t>Ezenkívül a tervezési példák a hagyományos esetet mutatják be, és így szükség esetén a helyi körülményekhez igazítandók. Az országspecifikus műszaki irányelveket be kell tartani!</t>
  </si>
  <si>
    <t>Ďalej príklady konštrukcie predstavujú obvyklý prípad a treba ich príp. prispôsobiť miestnej situácii. Je nutné dodržiavať technické smernice platné pre danú krajinu!</t>
  </si>
  <si>
    <t>Verder zijn de ontwerpvoorbeelden een regelgeval en moeten zij zo nodig aan de plaatselijke situatie worden aangepast. Landspecifieke technische richtlijnen moeten in acht worden genomen!</t>
  </si>
  <si>
    <t>Nadalje primeri konstrukcij predstavljajo splošen primer in jih bo morda treba prilagoditi lokalnim razmeram. Upoštevati je treba tehnične smernice za posamezne države!</t>
  </si>
  <si>
    <t>Dessutom representerar konstruktionsexemplen generella fall och kan behöva anpassas till den aktuella situationen. Landspecifika tekniska riktlinjer måste följas!</t>
  </si>
  <si>
    <t>Designeksemplerne repræsenterer generelle eksempler og skal muligvis tilpasses den lokale situation. Landespecifikke tekniske retningslinjer skal overholdes!</t>
  </si>
  <si>
    <t>I tillegg representerer designeksemplene vanlige tilfeller og må kanskje tilpasses den lokale situasjonen. Landsspesifikke tekniske retningslinjer må følges!</t>
  </si>
  <si>
    <t>Nadalje, primjeri dizajna predstavljaju opći slučaj i možda će ih trebati prilagoditi lokalnoj situaciji. Potrebno je poštivati ​​tehničke smjernice specifične za zemlju!</t>
  </si>
  <si>
    <t>Technische Änderungen und Druckfehler vorbehalten!</t>
  </si>
  <si>
    <t>Con riserva di modifiche tecniche ed errori di stampa!</t>
  </si>
  <si>
    <t>Technické změny a chyby tisku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</si>
  <si>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</si>
  <si>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</si>
  <si>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</si>
  <si>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</si>
  <si>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</si>
  <si>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</si>
  <si>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Med forbehold om tekniske endringer og trykkfeil!</t>
  </si>
  <si>
    <t>Podložno tehničkim promjenama i tiskarskim pogreškama!</t>
  </si>
  <si>
    <t>Die in den Prefa Verlegerichtlinien angegebenen Dachneigungen der jeweiligen Produkte sind einzuhalten.</t>
  </si>
  <si>
    <t>Observe the roof pitches specified in the PREFA installation guidelines for each product.</t>
  </si>
  <si>
    <t>Respectez scrupuleusement les pentes de toit indiquées dans les guides de pose PREFA pour chaque produit.</t>
  </si>
  <si>
    <t>È necessario rispettare le inclinazioni del tetto specificate nelle linee guida PREFA per l'installazione dei vari prodotti.</t>
  </si>
  <si>
    <t>Nutno dodržet požadované střešní sklony pro jednotlivé produkty dle směrnic PREFA pro pokládku.</t>
  </si>
  <si>
    <t>Należy postępować odpowiednio w zależności od kątów nachylenia dachu podanych w wytycznych montażowych dla poszczególnych produktów firmy PREFA.</t>
  </si>
  <si>
    <t>Az adott termékek PREFA kivitelezési útmutatójában megadott tetőhajlásszögeket be kell tartani.</t>
  </si>
  <si>
    <t>Sklony strechy príslušných výrobkov uvedené v smerniciach na pokládku je nutné dodržať.</t>
  </si>
  <si>
    <t>De dakhellingen die in de PREFA-montagerichtlijnen voor de respectieve producten zijn aangegeven, moeten in acht worden genomen.</t>
  </si>
  <si>
    <t>Upoštevati je treba naklone strehe posameznih izdelkov, ki so navedeni v smernicah za namestitev PREFA.</t>
  </si>
  <si>
    <t>Taklutningarna för respektive produkter som anges i PREFAs monteringsanvisningar måste beaktas.</t>
  </si>
  <si>
    <t>Taghældningerne for de respektive produkter, der er angivet i PREFA monteringsvejledningen, skal overholdes.</t>
  </si>
  <si>
    <t>Takhellingene for de respektive produktene spesifisert i PREFA-monteringsveiledningen må overholdes.</t>
  </si>
  <si>
    <t>Moraju se poštivati ​​nagibi krova odgovarajućih proizvoda koji su navedeni u PREFA uputama za postavljanje.</t>
  </si>
  <si>
    <t>Die in den PREFA Verlegerichtlinien angegebenen Dachneigungen der jeweiligen Produkte sind einzuhalten.</t>
  </si>
  <si>
    <t>die wärme- und feuchteschutztechnischen Eigenschaften des Gesamtdachaufbaues</t>
  </si>
  <si>
    <t>les propriétés de l’ensemble de la toiture en termes d’isolation thermique et de protection contre l’humidité</t>
  </si>
  <si>
    <t>le proprietà termiche e di protezione dall'umidità della struttura complessiva del tetto</t>
  </si>
  <si>
    <t>tepelně izolační a hydroizolační vlastnosti celkové střešní skladby</t>
  </si>
  <si>
    <t>de thermische en vochtwerende eigenschappen van de totale dakmontage</t>
  </si>
  <si>
    <t>toplotne in vlagovarstvene lastnosti celotne strešne konstrukcije</t>
  </si>
  <si>
    <t>de termiske og fugtbeskyttende egenskaber for hele tagkonstruktionen</t>
  </si>
  <si>
    <t>De varme- og fuktbeskyttende egenskapene for hele takkonstruksjonen</t>
  </si>
  <si>
    <t>die mechanische Beanspruchung der Unterdeckmaterialien während der Bauphase (z. B. Begehen des Unterdaches, Materiallagerung)</t>
  </si>
  <si>
    <t>les contraintes mécaniques auxquelles sont soumis les matériaux de la sous-couverture pendant de la phase de construction (stockage de matériaux de construction ou déplacements de personnes sur la sous-couverture par exemple)</t>
  </si>
  <si>
    <t>le sollecitazioni meccaniche sui materiali del sottotetto durante la fase di costruzione (es. camminare sul sottotetto, stoccaggio di materiale)</t>
  </si>
  <si>
    <t>mechanické namáhání podvěšených fólií během stavby (např. pohyb osob, skladování materiálů)</t>
  </si>
  <si>
    <t>a tető alatti anyagokat érő mechanikai igénybevétel az építési fázisban (pl. az alsó tetősík bejárása, anyagtárolás).</t>
  </si>
  <si>
    <t>de mechanische belasting van de materialen van het onderdak tijdens de bouwfase (bijv. lopen op het onderdak, opslag van materiaal).</t>
  </si>
  <si>
    <t>den mekaniske belastning af undertagets materialer i byggefasen (f.eks. gang på undertaget, materialeopbevaring)</t>
  </si>
  <si>
    <t>Den mekaniske belastningen på undertakets materialer i byggefasen (f.eks. gange på undertaket, materiallagring)</t>
  </si>
  <si>
    <t>mehanička opterećenja na potkrovnim materijalima tijekom faze izgradnje (npr. hodanje po sekundarnom krovu, skladištenje materijala)</t>
  </si>
  <si>
    <t>diffusionsoffen</t>
  </si>
  <si>
    <t>breathable</t>
  </si>
  <si>
    <t>perméable à la diffusion</t>
  </si>
  <si>
    <t>traspirante</t>
  </si>
  <si>
    <t>difúzně propustný</t>
  </si>
  <si>
    <t>otwarta dyfuzyjnie</t>
  </si>
  <si>
    <t>diffúziósan nyitott</t>
  </si>
  <si>
    <t>difúzne otvorené</t>
  </si>
  <si>
    <t>diffusieopen</t>
  </si>
  <si>
    <t>paroprepustno</t>
  </si>
  <si>
    <t>diffusionsgenomsläpplig</t>
  </si>
  <si>
    <t>diffusionsåben</t>
  </si>
  <si>
    <t>Diffusjonsåpen</t>
  </si>
  <si>
    <t>propusno</t>
  </si>
  <si>
    <t>diffusionsoffene Bitumenbahn* (E-do nsk) entsprechend ÖNORM B 3661</t>
  </si>
  <si>
    <t>breathable bitumen underlay* (E-do nsk) according to ÖNORM B 3661</t>
  </si>
  <si>
    <t>lé bitumineux perméable à la diffusion* (E-do nsk) conformément à la norme autrichienne ÖNORM B 3661</t>
  </si>
  <si>
    <t>Membrana bituminosa traspirante* (E-do nsk) conforme alla norma ÖNORM B 3661</t>
  </si>
  <si>
    <t>difúzně propustný asfaltový pás* (E-do nsk) podle ÖNORM B 3661</t>
  </si>
  <si>
    <t>otwarta dyfuzyjnie membrana bitumiczna* (E-do NSK) zgodnie z normą ÖNORM B 3661</t>
  </si>
  <si>
    <t>diffúziósan nyitott bitumenszalag* (E-do nsk) ÖNORM B 3661 szerint</t>
  </si>
  <si>
    <t>difúzne otvorený bitúmenový pás* (E-do nsk) podľa ÖNORM B 3661</t>
  </si>
  <si>
    <t>diffusieopen bitumenmembraan* (E-do nsk) volgens ÖNORM B 3661</t>
  </si>
  <si>
    <t>paroprepustna bitumenska membrana* (E-do nsk) v skladu z ÖNORM B 3661</t>
  </si>
  <si>
    <t>Diffusionsöppet bitumenmembran* (E-do nsk) enligt ÖNORM B 3661</t>
  </si>
  <si>
    <t>diffusionsåben bitumenbane* (E-do nsk) iht. ÖNORM B 3661</t>
  </si>
  <si>
    <t>Diffusjonsåpent bitumenunderlag* (E-do nsk) i henhold til ÖNORM B 3661</t>
  </si>
  <si>
    <t>propusna bitumenska podloga* (E-do nsk) prema ÖNORM B 3661</t>
  </si>
  <si>
    <t>diffusionsoffene Unterdeckbahn* (UD do-s) entsprechend ÖNORM B 4119</t>
  </si>
  <si>
    <t>breathable underlay* (UD do-s) according to ÖNORM B 4119</t>
  </si>
  <si>
    <t>lé de sous-couverture perméable à la diffusion* (UD do-s) conformément à la norme autrichienne ÖNORM B 4119</t>
  </si>
  <si>
    <t>Membrana bituminosa traspirante* (UD do-s) conforme alla norma ÖNORM B 4119</t>
  </si>
  <si>
    <t>difúzně propustná pojistná hydroizolace* (UD do-s) podle ÖNORM B 4119</t>
  </si>
  <si>
    <t>otwarta dyfuzyjnie membrana bitumiczna* (UD do-s) zgodnie z normą ÖNORM B 4119</t>
  </si>
  <si>
    <t>diffúziósan nyitott tetőalátét* (UD do-s) ÖNORM B 4119 szerint</t>
  </si>
  <si>
    <t>difúzne otvorený podhľadový pás* (UD do-s) podľa ÖNORM B 4119</t>
  </si>
  <si>
    <t>diffusieopen schoorsteenmembraan* (UD do-s) volgens ÖNORM B 4119</t>
  </si>
  <si>
    <t>paroprepusten podstrešni trak* (UD do-s) v skladu z ÖNORM B 4119</t>
  </si>
  <si>
    <t>Diffusionsöppet underlagsmembran* (UD do-s) enligt ÖNORM B 4119</t>
  </si>
  <si>
    <t>diffusionsåbent undertag* (UD do-s) iht. ÖNORM B 4119</t>
  </si>
  <si>
    <t>Diffusjonsåpent underliggende dekklag* (UD do-s) i henhold til ÖNORM B 4119</t>
  </si>
  <si>
    <t>propusna podloga* (UD do-s) prema ÖNORM B 4119</t>
  </si>
  <si>
    <t>erhöht regensicher</t>
  </si>
  <si>
    <t>enhanced rain-proofing</t>
  </si>
  <si>
    <t>résistance accrue à la pénétration d’eau</t>
  </si>
  <si>
    <t>maggiore resistenza alla pioggia</t>
  </si>
  <si>
    <t>zvyšuje ochranu před deštěm</t>
  </si>
  <si>
    <t>zwiększona odporność na deszcz</t>
  </si>
  <si>
    <t>fokozottan esőálló</t>
  </si>
  <si>
    <t>zvýšená ochrana proti dažďovej vode</t>
  </si>
  <si>
    <t>verhoogde regendichtheid</t>
  </si>
  <si>
    <t>povečana odpornost na dež</t>
  </si>
  <si>
    <t>ökad regntäthet</t>
  </si>
  <si>
    <t>øget regnsikkerhed</t>
  </si>
  <si>
    <t>Økt regnsikring</t>
  </si>
  <si>
    <t>povećana otpornost na kišu</t>
  </si>
  <si>
    <t>kein Unterdach lt. ÖNORM B 4119 erforderlich</t>
  </si>
  <si>
    <t>no underlay according to ÖNORM B 4119 required</t>
  </si>
  <si>
    <t>pas d’écran de sous-toiture obligatoire (conformément à la norme autrichienne ÖNORM B 4119)</t>
  </si>
  <si>
    <t>nessun sottotetto come richiesto dalla norma ÖNORM B 4119</t>
  </si>
  <si>
    <t>není potřeba žádná izolace podle ÖNORM B 4119</t>
  </si>
  <si>
    <t>bez pokrycia więźby dachowej patrz zgodnie z normą ÖNORM B 4119</t>
  </si>
  <si>
    <t>alsó tetősík nem szükséges az ÖNORM B 4119 szerint</t>
  </si>
  <si>
    <t>podstrešie podľa ÖNORM B 4119 nie je potrebné</t>
  </si>
  <si>
    <t>geen onderdak (volgens ÖNORM B 4119 vereist</t>
  </si>
  <si>
    <t>brez podstrehe po ÖNORM B 4119 ni potrebna</t>
  </si>
  <si>
    <t>inget undertak enl. ÖNORM B 4119 krävs</t>
  </si>
  <si>
    <t>Der kræves ikke undertag iht. ÖNORM B 4119</t>
  </si>
  <si>
    <t>Undertak iht. ÖNORM B 4119 er ikke nødvendig</t>
  </si>
  <si>
    <t>sekundarni krov nije potreban prema ÖNORM B 4119</t>
  </si>
  <si>
    <t>SMALL-FORMAT PRODUCTS</t>
  </si>
  <si>
    <t>PETITS FORMATS</t>
  </si>
  <si>
    <t>MALÝ FORMÁT</t>
  </si>
  <si>
    <t>MAŁY FORMAT</t>
  </si>
  <si>
    <t>KIS FORMÁTUMÚ ELEMEK</t>
  </si>
  <si>
    <t>MALOFORMÁT</t>
  </si>
  <si>
    <t>KLEIN FORMAAT</t>
  </si>
  <si>
    <t>MALI FORMAT</t>
  </si>
  <si>
    <t>PRODUKTER I MINDRE FORMAT</t>
  </si>
  <si>
    <t>MINDRE FORMAT</t>
  </si>
  <si>
    <t>SMÅFORMAT</t>
  </si>
  <si>
    <t>nicht diffusionsoffen</t>
  </si>
  <si>
    <t>not breathable</t>
  </si>
  <si>
    <t>non perméable à la diffusion</t>
  </si>
  <si>
    <t>non traspirante</t>
  </si>
  <si>
    <t>difúzně nepropustný</t>
  </si>
  <si>
    <t>nieotwarta dyfuzyjnie</t>
  </si>
  <si>
    <t>diffúziósan nem nyitott</t>
  </si>
  <si>
    <t>nie sú difúzne otvorené</t>
  </si>
  <si>
    <t>niet-diffusieopen</t>
  </si>
  <si>
    <t>ni paroprepustno</t>
  </si>
  <si>
    <t>inte diffusionsgenomsläpplig</t>
  </si>
  <si>
    <t>ikke diffusionsåben</t>
  </si>
  <si>
    <t>Ikke diffusjonsåpen</t>
  </si>
  <si>
    <t>nepropusno</t>
  </si>
  <si>
    <t>regensicher</t>
  </si>
  <si>
    <t>rainproof</t>
  </si>
  <si>
    <t>résistance à la pénétration d’eau</t>
  </si>
  <si>
    <t>resistente alla pioggia</t>
  </si>
  <si>
    <t>ochrana před deštěm</t>
  </si>
  <si>
    <t>odporność na deszcz</t>
  </si>
  <si>
    <t>esőálló</t>
  </si>
  <si>
    <t>ochrana proti dažďovej vode</t>
  </si>
  <si>
    <t>regendichtheid</t>
  </si>
  <si>
    <t>odpornost na dež</t>
  </si>
  <si>
    <t>regntät</t>
  </si>
  <si>
    <t>regnsikker</t>
  </si>
  <si>
    <t>Regnsikkert</t>
  </si>
  <si>
    <t>otporno na kišu</t>
  </si>
  <si>
    <t>Übersicht:</t>
  </si>
  <si>
    <t>Overview:</t>
  </si>
  <si>
    <t>Aperçu :</t>
  </si>
  <si>
    <t>Panoramica:</t>
  </si>
  <si>
    <t>Přehled:</t>
  </si>
  <si>
    <t>Przegląd:</t>
  </si>
  <si>
    <t>Áttekintés:</t>
  </si>
  <si>
    <t>Prehľad:</t>
  </si>
  <si>
    <t>Overzicht:</t>
  </si>
  <si>
    <t>Pregled:</t>
  </si>
  <si>
    <t>Översikt:</t>
  </si>
  <si>
    <t>Oversigt:</t>
  </si>
  <si>
    <t>Oversikt:</t>
  </si>
  <si>
    <t>Unterdeckahn (Lt. Önorm B 4119)</t>
  </si>
  <si>
    <t>ROOF UNDERLAY (according to ÖNORM B 4119)</t>
  </si>
  <si>
    <t>LÉ DE SOUS-COUVERTURE (selon la norme ÖNORM B 4119)</t>
  </si>
  <si>
    <r>
      <t xml:space="preserve">POJISTNÁ HYDROIZOLACE(podle ÖNORM </t>
    </r>
    <r>
      <rPr>
        <sz val="11"/>
        <color rgb="FF000000"/>
        <rFont val="Arial"/>
        <family val="2"/>
      </rPr>
      <t>B 4119)</t>
    </r>
  </si>
  <si>
    <r>
      <t xml:space="preserve">MEMBRANA SZALUNKOWA  (patrz ÖNORM </t>
    </r>
    <r>
      <rPr>
        <sz val="11"/>
        <color rgb="FF000000"/>
        <rFont val="Arial"/>
        <family val="2"/>
      </rPr>
      <t>B 4119)</t>
    </r>
  </si>
  <si>
    <r>
      <t xml:space="preserve">TETŐALÁTÉT (az ÖNORM </t>
    </r>
    <r>
      <rPr>
        <sz val="11"/>
        <color rgb="FF000000"/>
        <rFont val="Arial"/>
        <family val="2"/>
      </rPr>
      <t>B 4119 szerint)</t>
    </r>
  </si>
  <si>
    <r>
      <t>PODKLADOVÝ PÁS (podľa ÖNORM </t>
    </r>
    <r>
      <rPr>
        <sz val="11"/>
        <color rgb="FF000000"/>
        <rFont val="Arial"/>
        <family val="2"/>
      </rPr>
      <t>B 4119)</t>
    </r>
  </si>
  <si>
    <r>
      <t xml:space="preserve">SCHOORSTEENMEMBRAAN (volgens ÖNORM </t>
    </r>
    <r>
      <rPr>
        <sz val="11"/>
        <color rgb="FF000000"/>
        <rFont val="Arial"/>
        <family val="2"/>
      </rPr>
      <t>B 4119)</t>
    </r>
  </si>
  <si>
    <r>
      <t xml:space="preserve">PODLOŽNA MEMBRANA (po ÖNORM </t>
    </r>
    <r>
      <rPr>
        <sz val="11"/>
        <color rgb="FF000000"/>
        <rFont val="Arial"/>
        <family val="2"/>
      </rPr>
      <t>B 4119)</t>
    </r>
  </si>
  <si>
    <r>
      <t xml:space="preserve">UNDERLAGSMEMBRAN(enligt ÖNORM </t>
    </r>
    <r>
      <rPr>
        <sz val="11"/>
        <color rgb="FF000000"/>
        <rFont val="Arial"/>
        <family val="2"/>
      </rPr>
      <t>B 4119)</t>
    </r>
  </si>
  <si>
    <r>
      <t xml:space="preserve">UNDERTAG (iht. ÖNORM </t>
    </r>
    <r>
      <rPr>
        <sz val="11"/>
        <color rgb="FF000000"/>
        <rFont val="Arial"/>
        <family val="2"/>
      </rPr>
      <t>B 4119)</t>
    </r>
  </si>
  <si>
    <r>
      <t xml:space="preserve">UNDERLIGGENDE DEKKLAG iht. ÖNORM </t>
    </r>
    <r>
      <rPr>
        <sz val="11"/>
        <color rgb="FF000000"/>
        <rFont val="Arial"/>
        <family val="2"/>
      </rPr>
      <t>B 4119)</t>
    </r>
  </si>
  <si>
    <r>
      <t xml:space="preserve">PODLOGA (prema ÖNORM </t>
    </r>
    <r>
      <rPr>
        <sz val="11"/>
        <color rgb="FF000000"/>
        <rFont val="Arial"/>
        <family val="2"/>
      </rPr>
      <t>B 4119)</t>
    </r>
  </si>
  <si>
    <t>Unterdeckbahn (Mindestqualität)</t>
  </si>
  <si>
    <t>ROOF UNDERLAY (minimum quality)</t>
  </si>
  <si>
    <t>ÉCRAN DE SOUS-TOITURE (qualité minimum)</t>
  </si>
  <si>
    <t>Membrana sottomanto (qualità minima)</t>
  </si>
  <si>
    <t>POJISTNÁ HYDROIZOLACE (nejnižší akceptovaná kvalita)</t>
  </si>
  <si>
    <t>MEMBRANA SZALUNKOWA (minimalne parametry jakościowe)</t>
  </si>
  <si>
    <t>TETŐALÁTÉT (minimális minőség)</t>
  </si>
  <si>
    <t>PODKLADOVÝ PÁS (minimálna kvalita)</t>
  </si>
  <si>
    <t>SCHOORSTEENMEMBRAAN (minimale kwaliteit)</t>
  </si>
  <si>
    <t>PODSTREŠNI TRAK (najmanjša kakovost)</t>
  </si>
  <si>
    <t>UNDERLAGSMEMBRAN (lägsta kvalitet)</t>
  </si>
  <si>
    <t>UNDERTAG (mindstekvalitet)</t>
  </si>
  <si>
    <t>UNDERLIGGENDE DEKKLAG (minimumskvalitet)</t>
  </si>
  <si>
    <t>PODLOGA (minimalna kvaliteta)</t>
  </si>
  <si>
    <t>Prefa_Details_Dach_Dachschindel_181203</t>
  </si>
  <si>
    <t>PREFA_details_roof_shingle_181203</t>
  </si>
  <si>
    <t>PREFA_détails_toiture_BARDEAU_181203</t>
  </si>
  <si>
    <t>PREFA_Details_Dach_Dachschindel_181203</t>
  </si>
  <si>
    <t>Schneestopper – Verlegeschema S1</t>
  </si>
  <si>
    <t>snow guards – installation diagram S1</t>
  </si>
  <si>
    <t>arrêt de neige — schéma de pose S1</t>
  </si>
  <si>
    <t>Naso fermaneve - Schema di posa S1</t>
  </si>
  <si>
    <t>Boční napojení na stěnu s zásuvnou krycí lištou S1</t>
  </si>
  <si>
    <t>STOPER ŚNIEGOWY – SCHEMAT MONTAŻOWY S1</t>
  </si>
  <si>
    <t>HÓFOGÓ – S1 FEKTETÉSI SÉMA</t>
  </si>
  <si>
    <t>ZACHYTÁVAČ SNEHU – SCHÉMA MONTÁŽE S1</t>
  </si>
  <si>
    <t>SNEEUWSTOPPER - INSTALLATIESCHEMA S1</t>
  </si>
  <si>
    <t>SNEGOLOV – SHEMA POLAGANJA S1</t>
  </si>
  <si>
    <t>SNÖSTOPP – LÄGGNINGSSCHEMA S1</t>
  </si>
  <si>
    <t>SNESTOPPER – LÆGGEDIAGRAM S1</t>
  </si>
  <si>
    <t>SNØSTOPPER – LEGGESKJEMA S1</t>
  </si>
  <si>
    <t>TOČKASTI SNJEGOBRAN – SHEMA POSTAVLJANJA S1</t>
  </si>
  <si>
    <t>Schneestopper – Verlegeschema S2</t>
  </si>
  <si>
    <t>snow guards – installation diagram S2</t>
  </si>
  <si>
    <t>arrêt de neige — schéma de pose S2</t>
  </si>
  <si>
    <t>Naso fermaneve - Schema di posa S2</t>
  </si>
  <si>
    <t>Boční napojení na stěnu s zásuvnou krycí lištou S2</t>
  </si>
  <si>
    <t>STOPER ŚNIEGOWY – SCHEMAT MONTAŻOWY S2</t>
  </si>
  <si>
    <t>HÓFOGÓ – S2 FEKTETÉSI SÉMA</t>
  </si>
  <si>
    <t>ZACHYTÁVAČ SNEHU – SCHÉMA MONTÁŽE S2</t>
  </si>
  <si>
    <t>SNEEUWSTOPPER - INSTALLATIESCHEMA S2</t>
  </si>
  <si>
    <t>SNEGOLOV – SHEMA POLAGANJA S2</t>
  </si>
  <si>
    <t>SNÖSTOPP – LÄGGNINGSSCHEMA S2</t>
  </si>
  <si>
    <t>SNESTOPPER – LÆGGEDIAGRAM S2</t>
  </si>
  <si>
    <t>SNØSTOPPER – LEGGESKJEMA S2</t>
  </si>
  <si>
    <t>TOČKASTI SNJEGOBRAN – SHEMA POSTAVLJANJA S2</t>
  </si>
  <si>
    <t>Schneestopper – Verlegeschema S3</t>
  </si>
  <si>
    <t>snow guards – installation diagram S3</t>
  </si>
  <si>
    <t>arrêt de neige — schéma de pose S3</t>
  </si>
  <si>
    <t>Naso fermaneve - Schema di posa S3</t>
  </si>
  <si>
    <t>Boční napojení na stěnu s zásuvnou krycí lištou S3</t>
  </si>
  <si>
    <t>STOPER ŚNIEGOWY– SCHEMAT MONTAŻOWY S3</t>
  </si>
  <si>
    <t>HÓFOGÓ – S3 FEKTETÉSI SÉMA</t>
  </si>
  <si>
    <t>ZACHYTÁVAČ SNEHU – SCHÉMA MONTÁŽE S3</t>
  </si>
  <si>
    <t>SNEEUWSTOPPER - INSTALLATIESCHEMA S3</t>
  </si>
  <si>
    <t>SNEGOLOV – SHEMA POLAGANJA S3</t>
  </si>
  <si>
    <t>SNÖSTOPP – LÄGGNINGSSCHEMA S3</t>
  </si>
  <si>
    <t>SNESTOPPER – LÆGGEDIAGRAM S3</t>
  </si>
  <si>
    <t>SNØSTOPPER – LEGGESKJEMA S3</t>
  </si>
  <si>
    <t>TOČKASTI SNJEGOBRAN – SHEMA POSTAVLJANJA S3</t>
  </si>
  <si>
    <t>Verlegeschema S1 (2,5 Stk./m² – ersten beiden Reihen durchgehend)</t>
  </si>
  <si>
    <t>Installation diagram S1 (2,5  per m² — must be installed along the first two rows)</t>
  </si>
  <si>
    <t>Schéma de pose S1 (2,5 arrêts de neige par m² ; monter les arrêts de neige sans interruption sur toute la longueur des deux premières rangées)</t>
  </si>
  <si>
    <t>Schema di posa S1 (2,5 pz./m² - prime due file continue)</t>
  </si>
  <si>
    <r>
      <t>Schema rozmístění S1 (2,5 ks/m</t>
    </r>
    <r>
      <rPr>
        <vertAlign val="superscript"/>
        <sz val="11"/>
        <color indexed="8"/>
        <rFont val="Arial"/>
        <family val="2"/>
      </rPr>
      <t xml:space="preserve">2 </t>
    </r>
    <r>
      <rPr>
        <sz val="11"/>
        <color indexed="8"/>
        <rFont val="Arial"/>
        <family val="2"/>
      </rPr>
      <t>- první dvě řady průběžně)</t>
    </r>
  </si>
  <si>
    <t>Schemat montażowy S1 (2,5 szt./m² – pierwsze dwa rzędy ciągłe)</t>
  </si>
  <si>
    <t>fektetési séma S1 (2,5 db/m² – az első két sor folyamatos)</t>
  </si>
  <si>
    <t>Schéma montáže S1 (2,5 ks/m² – prvé dva rady kompletne)</t>
  </si>
  <si>
    <t>Installatieschema S1 (2,5 st./m² - eerste twee rijen doorlopend)</t>
  </si>
  <si>
    <t>Shema polaganja S1 (2,5 kos./m² – prvi dve vrsti neprekinjeno)</t>
  </si>
  <si>
    <t>Läggningsschema S1 (2,5 st/m² – första två raderna genomgående)</t>
  </si>
  <si>
    <t>Læggediagram S1 (2,5 stk./m² - første to rækker gennemgående)</t>
  </si>
  <si>
    <t>Leggeskjema S1 (2,5 stk./m² – to første rader fortløpende)</t>
  </si>
  <si>
    <t>Shema postavljanja S1 (2,5 kom./m² – prva dva reda neprekidno)</t>
  </si>
  <si>
    <t>Verlegeschema S2 (5 Stk./m² – ersten beiden Reihen durchgehend)</t>
  </si>
  <si>
    <t>installation diagram S2 (5 pc. per m²; must be installed along the first two rows)</t>
  </si>
  <si>
    <t>Schéma de pose S2 (5 arrêts de neige par m² ; monter les arrêts de neige sans interruption sur toute la longueur des deux premières rangées)</t>
  </si>
  <si>
    <t>Schema di posa S2 (5 pz./m² - prime due file continue)</t>
  </si>
  <si>
    <r>
      <t>Schema rozmístění S2 (5 ks/m</t>
    </r>
    <r>
      <rPr>
        <vertAlign val="superscript"/>
        <sz val="11"/>
        <color indexed="8"/>
        <rFont val="Arial"/>
        <family val="2"/>
      </rPr>
      <t xml:space="preserve">2 </t>
    </r>
    <r>
      <rPr>
        <sz val="11"/>
        <color indexed="8"/>
        <rFont val="Arial"/>
        <family val="2"/>
      </rPr>
      <t>- první dvě řady průběžně)</t>
    </r>
  </si>
  <si>
    <t>Schemat montażowy S2 (5 szt./m² – pierwsze dwa rzędy ciągłe)</t>
  </si>
  <si>
    <t>fektetési séma S2 (5 db/m² – az első két sor folyamatos)</t>
  </si>
  <si>
    <t>Schéma montáže S2 (5 ks/m² – prvé dva rady kompletne)</t>
  </si>
  <si>
    <t>Installatieschema S2 (5 st./m² - eerste twee rijen doorlopend)</t>
  </si>
  <si>
    <t>Shema polaganja S2 (5 kos./m² – prvi dve vrsti neprekinjeno)</t>
  </si>
  <si>
    <t>Läggningsschema S2 (5 st/m² – första två raderna genomgående)</t>
  </si>
  <si>
    <t>Læggediagram S2 (5 stk./m² - første to rækker gennemgående)</t>
  </si>
  <si>
    <t>Leggeskjema S2 (5 stk./m² – to første rader fortløpende)</t>
  </si>
  <si>
    <t>Shema postavljanja S2 (5 kom./m² – prva dva reda neprekidno)</t>
  </si>
  <si>
    <t>Verlegeschema S3 (10 Stk./m²)</t>
  </si>
  <si>
    <t>installation diagram S3 (10 pc. per m²)</t>
  </si>
  <si>
    <t>schéma de pose S3 (10 arrêts de neige par m²)</t>
  </si>
  <si>
    <t>Schema di posa S3 (10 pz./m²)</t>
  </si>
  <si>
    <r>
      <t>Schema rozmístění S3 (10 ks/m</t>
    </r>
    <r>
      <rPr>
        <vertAlign val="superscript"/>
        <sz val="11"/>
        <color indexed="8"/>
        <rFont val="Arial"/>
        <family val="2"/>
      </rPr>
      <t>2</t>
    </r>
    <r>
      <rPr>
        <sz val="11"/>
        <color indexed="8"/>
        <rFont val="Arial"/>
        <family val="2"/>
      </rPr>
      <t>)</t>
    </r>
  </si>
  <si>
    <t>Schemat montażowy S3 (10 szt./m²</t>
  </si>
  <si>
    <t>S3 fektetési séma (10 db/m²)</t>
  </si>
  <si>
    <t>Schéma montáže S3 (10 ks/m²)</t>
  </si>
  <si>
    <t>Installatieschema S3 (10 st./m²)</t>
  </si>
  <si>
    <t>Shema polaganja S3 (10 kos./m²)</t>
  </si>
  <si>
    <t>Läggningsschema S3 (10 st/m²)</t>
  </si>
  <si>
    <t>Læggediagram S3 (10 stk./m²)</t>
  </si>
  <si>
    <t>Leggeskjema S3 (10 stk./m²)</t>
  </si>
  <si>
    <t>Shema postavljanja S3 (10 kom./m²)</t>
  </si>
  <si>
    <t>Prefa_Details_Dach_Dachschindel Ds.19_190131</t>
  </si>
  <si>
    <t>PREFA_details_roof_DS.19 shingle_190131</t>
  </si>
  <si>
    <t>PREFA_détails_toiture_BARDEAU DS.19_190131</t>
  </si>
  <si>
    <t>PREFA_Details_Dach_DS.19_190131</t>
  </si>
  <si>
    <t>PREFA_Details_Dach_DACHSCHINDEL DS.19_190131</t>
  </si>
  <si>
    <t>Entlüftung über Froschmaulluken (für Dachschindel DS.19)</t>
  </si>
  <si>
    <t xml:space="preserve">ventilation for shingles DS.19 via frog-mouth vents </t>
  </si>
  <si>
    <t>ventilation par chatières (pour bardeaux DS.19)</t>
  </si>
  <si>
    <t>Aerazione tramite bocchetta di aerazione (per scandola DS.19)</t>
  </si>
  <si>
    <t>odvětrání odvětrávací haubnou u FALCOVANÉHO ŠINDELU DS.19</t>
  </si>
  <si>
    <t>Wentylacja przez pokrywę wywietrzników (do dachówki DS.19)</t>
  </si>
  <si>
    <t>szellőztetés szellőzőelemeken keresztül (DS.19 tetőfedő zsindelyhez)</t>
  </si>
  <si>
    <t>odvetrávanie cez odvetrávacie tvarovky (pre strešný šindeľ DS.19)</t>
  </si>
  <si>
    <t>Ventilatie via kikkermondluiken (voor daklei DS.19)</t>
  </si>
  <si>
    <t>Odzračevanje preko žabjih zračnikov (za strešno skodlo DS.19)</t>
  </si>
  <si>
    <t>Ventilation via grodluckor (för takshingel DS.19)</t>
  </si>
  <si>
    <t>Ventilation via tagudluftning (til tagspån DS.19)</t>
  </si>
  <si>
    <t>Ventilasjon via froskemunnformet luke (til takshingel DS.19)</t>
  </si>
  <si>
    <t>Odzračivanje preko odzračnika (za krovnu šindru DS.19)</t>
  </si>
  <si>
    <t>Saumstreifen für Dachschindel DS.19</t>
  </si>
  <si>
    <t>edge cleat strip for shingle DS.19</t>
  </si>
  <si>
    <t>bande de départ pour bardeau DS.19</t>
  </si>
  <si>
    <t>Grondalina per scandola DS.19</t>
  </si>
  <si>
    <t>podkladní pás pro FALCOVANÝ ŠINDEL DS.19</t>
  </si>
  <si>
    <t>Pas okapowy do dachówki DS.19</t>
  </si>
  <si>
    <t>párkányelem DS.19 tetőfedő zsindelyhez</t>
  </si>
  <si>
    <t>podkladový pás pre strešný šindeľ DS.19</t>
  </si>
  <si>
    <t>Dakgootstrips voor daklei DS.19</t>
  </si>
  <si>
    <t>Začetni trak za strešno skodlo DS.19</t>
  </si>
  <si>
    <t>sömremsor för takshingel DS.19</t>
  </si>
  <si>
    <t>Startprofil til DS.19</t>
  </si>
  <si>
    <t>Falslister til takshingel DS.19</t>
  </si>
  <si>
    <t>Početna traka za krovnu šindru DS.19</t>
  </si>
  <si>
    <t>Schneestopper – Verlegeschema Ds.19 1</t>
  </si>
  <si>
    <t>snow guards – installation diagram DS.19 1</t>
  </si>
  <si>
    <t>arrêt de neige — schéma de pose DS.19 1</t>
  </si>
  <si>
    <t>Naso fermaneve - Schema di posa DS.19 1</t>
  </si>
  <si>
    <t>Boční napojení na stěnu s zásuvnou krycí lištou DS.19 1</t>
  </si>
  <si>
    <t>STOPER ŚNIEGOWY – SCHEMAT MONTAŻOWY DS.19 1</t>
  </si>
  <si>
    <t>HÓFOGÓ – DS.19 1 FEKTETÉSI SÉMA</t>
  </si>
  <si>
    <t>ZACHYTÁVAČ SNEHU – SCHÉMA MONTÁŽE DS.19 1</t>
  </si>
  <si>
    <t>SNEEUWSTOPPER - INSTALLATIESCHEMA DS.19 1</t>
  </si>
  <si>
    <t>SNEGOLOV – SHEMA POLAGANJA DS.19 1</t>
  </si>
  <si>
    <t>SNÖSTOPP – LÄGGNINGSSCHEMA DS.19 1</t>
  </si>
  <si>
    <t>SNESTOPPER – LÆGGEDIAGRAM DS.19 1</t>
  </si>
  <si>
    <t>SNØSTOPPER – LEGGESKJEMA DS.19 1</t>
  </si>
  <si>
    <t>TOČKASTI SNJEGOBRAN – SHEMA POSTAVLJANJA DS.19 1</t>
  </si>
  <si>
    <t>Schneestopper – Verlegeschema Ds.19 2</t>
  </si>
  <si>
    <t>snow guards – installation diagram DS.19 2</t>
  </si>
  <si>
    <t>arrêt de neige — schéma de pose DS.19 2</t>
  </si>
  <si>
    <t>Naso fermaneve - Schema di posa DS.19 2</t>
  </si>
  <si>
    <t>Boční napojení na stěnu s zásuvnou krycí lištou DS.19 2</t>
  </si>
  <si>
    <t>STOPER ŚNIEGOWY – SCHEMAT MONTAŻOWY DS.19 2</t>
  </si>
  <si>
    <t>HÓFOGÓ – DS.19 2 FEKTETÉSI SÉMA</t>
  </si>
  <si>
    <t>ZACHYTÁVAČ SNEHU – SCHÉMA MONTÁŽE DS.19 2</t>
  </si>
  <si>
    <t>SNEEUWSTOPPER - INSTALLATIESCHEMA DS.19 2</t>
  </si>
  <si>
    <t>SNEGOLOV – SHEMA POLAGANJA DS.19 2</t>
  </si>
  <si>
    <t>SNÖSTOPP – LÄGGNINGSSCHEMA DS.19 2</t>
  </si>
  <si>
    <t>SNESTOPPER – LÆGGEDIAGRAM DS.19 2</t>
  </si>
  <si>
    <t>SNØSTOPPER – LEGGESKJEMA DS.19 2</t>
  </si>
  <si>
    <t>TOČKASTI SNJEGOBRAN – SHEMA POSTAVLJANJA DS.19 2</t>
  </si>
  <si>
    <t>Schneestopper – Verlegeschema Ds.19 3</t>
  </si>
  <si>
    <t>snow guards – installation diagram DS.19 3</t>
  </si>
  <si>
    <t>arrêt de neige — schéma de pose DS.19 3</t>
  </si>
  <si>
    <t>Naso fermaneve - Schema di posa DS.19 3</t>
  </si>
  <si>
    <t>Boční napojení na stěnu s zásuvnou krycí lištou DS.19 3</t>
  </si>
  <si>
    <t>STOPER ŚNIEGOWY – SCHEMAT MONTAŻOWY DS.19 3</t>
  </si>
  <si>
    <t>HÓFOGÓ – DS.19 3 FEKTETÉSI SÉMA</t>
  </si>
  <si>
    <t>ZACHYTÁVAČ SNEHU – SCHÉMA MONTÁŽE DS.19 3</t>
  </si>
  <si>
    <t>SNEEUWSTOPPER - INSTALLATIESCHEMA DS.19 3</t>
  </si>
  <si>
    <t>SNEGOLOV – SHEMA POLAGANJA DS.19 3</t>
  </si>
  <si>
    <t>SNÖSTOPP – LÄGGNINGSSCHEMA DS.19 3</t>
  </si>
  <si>
    <t>SNESTOPPER – LÆGGEDIAGRAM DS.19 3</t>
  </si>
  <si>
    <t>SNØSTOPPER – LEGGESKJEMA DS.19 3</t>
  </si>
  <si>
    <t>TOČKASTI SNJEGOBRAN – SHEMA POSTAVLJANJA DS.19 3</t>
  </si>
  <si>
    <t>Verlegeschema DS.19 1 (2 Stk./m² – ersten beiden Reihen durchgehend)</t>
  </si>
  <si>
    <t>Installation diagram DS.19 1 (2  per m² — must be installed along the first two rows)</t>
  </si>
  <si>
    <t>Schéma de pose DS.19 1 (2 arrêts de neige par m² ; monter les arrêts de neige sans interruption sur toute la longueur des deux premières rangées)</t>
  </si>
  <si>
    <t>Schema di posa DS.19 1 (2 pz./m² - prime due file continue)</t>
  </si>
  <si>
    <t>Schema rozmístění DS.19 1 (2 ks/m2 - první dvě řady průběžně)</t>
  </si>
  <si>
    <t>Schemat montażowy DS.19 1 (2 szt./m² – pierwsze dwa rzędy ciągłe)</t>
  </si>
  <si>
    <t>DS.19 1 fektetési séma (2 db/m² – az első két sor folyamatos)</t>
  </si>
  <si>
    <t>Schéma montáže DS.19 1 (2 ks/m² – prvé dva rady kompletne)</t>
  </si>
  <si>
    <t>Installatieschema DS.19 1 (2 st./m² - eerste twee rijen doorlopend)</t>
  </si>
  <si>
    <t>Shema polaganja DS.19 1 (2 kos./m² – prvi dve vrsti neprekinjeno)</t>
  </si>
  <si>
    <t>Läggningsschema DS.19 1 (2 st/m² – första två raderna genomgående)</t>
  </si>
  <si>
    <t>Læggediagram DS.19 1 (2 stk./m² - første to rækker gennemgående)</t>
  </si>
  <si>
    <t>Leggeskjema DS.19 1 (2 stk./m² – to første rader fortløpende)</t>
  </si>
  <si>
    <t>Shema postavljanja DS.19 1 (2 kom./m² – prva dva reda neprekidno)</t>
  </si>
  <si>
    <t>Verlegeschema DS.19 2 (4 Stk./m² – ersten beiden Reihen durchgehend)</t>
  </si>
  <si>
    <t>installation diagram DS.19 2 (4 pc. per m²; must be installed along the first two rows)</t>
  </si>
  <si>
    <t>Schéma de pose DS.19 2 (4 arrêts de neige par m² ; monter les arrêts de neige sans interruption sur toute la longueur des deux premières rangées)</t>
  </si>
  <si>
    <t>Schema di posa DS.19 2 (4 pz./m² - prime due file continue)</t>
  </si>
  <si>
    <t>Schema rozmístění DS.19 2 (4 ks/m2 - první dvě řady průběžně)</t>
  </si>
  <si>
    <t>Schemat montażowy DS.19 2 (4 szt./m² – pierwsze dwa rzędy ciągłe)</t>
  </si>
  <si>
    <t>DS.19 2 fektetési séma (4 db/m² – az első két sor folyamatos)</t>
  </si>
  <si>
    <t>Schéma montáže DS.19 2 (4 ks/m² – prvé dva rady kompletne)</t>
  </si>
  <si>
    <t>Installatieschema DS.19 2 (4 st./m² - eerste twee rijen doorlopend)</t>
  </si>
  <si>
    <t>Shema polaganja DS.19 2 (4 kos./m² – prvi dve vrsti neprekinjeno)</t>
  </si>
  <si>
    <t>Läggningsschema DS.19 2 (4 st/m² – första två raderna genomgående)</t>
  </si>
  <si>
    <t>Læggediagram DS.19 2 (4 stk./m² - første to rækker gennemgående)</t>
  </si>
  <si>
    <t>Leggeskjema DS.19 2 (4 stk./m² – to første rader fortløpende)</t>
  </si>
  <si>
    <t>Shema postavljanja DS.19 2 (4 kom./m² – prva dva reda neprekidno)</t>
  </si>
  <si>
    <t>Verlegeschema DS.19 3 (8 Stk./m²)</t>
  </si>
  <si>
    <t>installation diagram DS.19 3 (8 pc. per m²)</t>
  </si>
  <si>
    <t>schéma de pose DS.19 3 (8 arrêts de neige par m²)</t>
  </si>
  <si>
    <t>Schema di posa DS.19 3 (8 pz./m²)</t>
  </si>
  <si>
    <t>Schema rozmístění DS.19 3 (8 ks/m2)</t>
  </si>
  <si>
    <t>Schemat montażowy DS.19 3 (8 szt./m²)</t>
  </si>
  <si>
    <t>DS.19 3 fektetési séma (8 db/m²)</t>
  </si>
  <si>
    <t>Schéma montáže DS.19 3 (8 ks/m²)</t>
  </si>
  <si>
    <t>Installatieschema DS.19 3 (8 st./m²)</t>
  </si>
  <si>
    <t>Shema polaganja DS.19 3 (8 kos./m²)</t>
  </si>
  <si>
    <t>Läggningsschema DS.19 3 (8 st/m²)</t>
  </si>
  <si>
    <t>Læggediagram DS.19 3 (8 stk./m²)</t>
  </si>
  <si>
    <t>Leggeskjema DS.19 3 (8 stk./m²)</t>
  </si>
  <si>
    <t>Shema postavljanja DS.19 3 (8 kom./m²)</t>
  </si>
  <si>
    <t>020205_At_Details_Dach DR29X29_Prefa_2021-Q1</t>
  </si>
  <si>
    <t>020205_AT_Details_Dach DR29x29_PREFA_2021-Q1</t>
  </si>
  <si>
    <t>Schneestopper – Verlegeschema DR29 1</t>
  </si>
  <si>
    <t>snow guards – installation diagram DR29 1</t>
  </si>
  <si>
    <t>arrêt de neige — schéma de pose DR29 1</t>
  </si>
  <si>
    <t>Naso fermaneve - Schema di posa DR29 1</t>
  </si>
  <si>
    <t>Boční napojení na stěnu s zásuvnou krycí lištou DR29 1</t>
  </si>
  <si>
    <t>STOPER ŚNIEGOWY – SCHEMAT MONTAŻOWY DR29 1</t>
  </si>
  <si>
    <t>HÓFOGÓ – DR29 1 FEKTETÉSI SÉMA</t>
  </si>
  <si>
    <t>ZACHYTÁVAČ SNEHU – SCHÉMA MONTÁŽE DR29 1</t>
  </si>
  <si>
    <t>SNEEUWSTOPPER - INSTALLATIESCHEMA DR29 1</t>
  </si>
  <si>
    <t>SNEGOLOV – SHEMA POLAGANJA DR29 1</t>
  </si>
  <si>
    <t>SNÖSTOPP – LÄGGNINGSSCHEMA DR29 1</t>
  </si>
  <si>
    <t>SNESTOPPER – LÆGGEDIAGRAM DR29 1</t>
  </si>
  <si>
    <t>SNØSTOPPER – LEGGESKJEMA DR29 1</t>
  </si>
  <si>
    <t>TOČKASTI SNJEGOBRAN – SHEMA POSTAVLJANJA DR29 1</t>
  </si>
  <si>
    <t>Schneestopper – Verlegeschema DR29 2</t>
  </si>
  <si>
    <t>snow guards – installation diagram DR29 2</t>
  </si>
  <si>
    <t>arrêt de neige — schéma de pose DR29 2</t>
  </si>
  <si>
    <t>Naso fermaneve - Schema di posa DR29 2</t>
  </si>
  <si>
    <t>Boční napojení na stěnu s zásuvnou krycí lištou DR29 2</t>
  </si>
  <si>
    <t>STOPER ŚNIEGOWY – SCHEMAT MONTAŻOWY DR29 2</t>
  </si>
  <si>
    <t>HÓFOGÓ – DR29 2 FEKTETÉSI SÉMA</t>
  </si>
  <si>
    <t>ZACHYTÁVAČ SNEHU – SCHÉMA MONTÁŽE DR29 2</t>
  </si>
  <si>
    <t>SNEEUWSTOPPER - INSTALLATIESCHEMA DR29 2</t>
  </si>
  <si>
    <t>SNEGOLOV – SHEMA POLAGANJA DR29 2</t>
  </si>
  <si>
    <t>SNÖSTOPP – LÄGGNINGSSCHEMA DR29 2</t>
  </si>
  <si>
    <t>SNESTOPPER – LÆGGEDIAGRAM DR29 2</t>
  </si>
  <si>
    <t>SNØSTOPPER – LEGGESKJEMA DR29 2</t>
  </si>
  <si>
    <t>TOČKASTI SNJEGOBRAN – SHEMA POSTAVLJANJA DR29 2</t>
  </si>
  <si>
    <t>Schneestopper – Verlegeschema DR29 3</t>
  </si>
  <si>
    <t>snow guards – installation diagram DR29 3</t>
  </si>
  <si>
    <t>arrêt de neige — schéma de pose DR29 3</t>
  </si>
  <si>
    <t>Naso fermaneve - Schema di posa DR29 3</t>
  </si>
  <si>
    <t>Boční napojení na stěnu s zásuvnou krycí lištou DR29 3</t>
  </si>
  <si>
    <t>STOPER ŚNIEGOWY – SCHEMAT MONTAŻOWY DR29 3</t>
  </si>
  <si>
    <t>HÓFOGÓ – DR29 3 FEKTETÉSI SÉMA</t>
  </si>
  <si>
    <t>ZACHYTÁVAČ SNEHU – SCHÉMA MONTÁŽE DR29 3</t>
  </si>
  <si>
    <t>SNEEUWSTOPPER - INSTALLATIESCHEMA DR29 3</t>
  </si>
  <si>
    <t>SNEGOLOV – SHEMA POLAGANJA DR29 3</t>
  </si>
  <si>
    <t>SNÖSTOPP – LÄGGNINGSSCHEMA DR29 3</t>
  </si>
  <si>
    <t>SNESTOPPER – LÆGGEDIAGRAM DR29 3</t>
  </si>
  <si>
    <t>SNØSTOPPER – LEGGESKJEMA DR29 3</t>
  </si>
  <si>
    <t>TOČKASTI SNJEGOBRAN – SHEMA POSTAVLJANJA DR29 3</t>
  </si>
  <si>
    <t>Verlegeschema DR29 1 (3 Stk./m² – ersten beiden Reihen durchgehend)</t>
  </si>
  <si>
    <t>Installation diagram DR29 1 (3  per m² — must be installed along the first two rows)</t>
  </si>
  <si>
    <t>Schéma de pose DR29 1 (3 arrêts de neige par m² ; monter les arrêts de neige sans interruption sur toute la longueur des deux premières rangées)</t>
  </si>
  <si>
    <t>Schema di posa DR29 1 (3 pz./m² - prime due file continue)</t>
  </si>
  <si>
    <t>Schema rozmístění DR29 1 (3 ks/m2 - první dvě řady průběžně)</t>
  </si>
  <si>
    <t>Schemat montażowy DR29 1 (3 szt./m² – pierwsze dwa rzędy ciągłe)</t>
  </si>
  <si>
    <t>DR29 1 fektetési séma (3 db/m² – az első két sor folyamatos)</t>
  </si>
  <si>
    <t>Schéma montáže DR29 1 (3 ks/m² – prvé dva rady kompletne)</t>
  </si>
  <si>
    <t>Installatieschema DR29 1 (3 st./m² - eerste twee rijen doorlopend)</t>
  </si>
  <si>
    <t>Shema polaganja DR29 1 (3 kos./m² – prvi dve vrsti neprekinjeno)</t>
  </si>
  <si>
    <t>Läggningsschema DR29 1 (3 st/m² – första två raderna genomgående)</t>
  </si>
  <si>
    <t>Læggediagram DR29 1 (3 stk./m² - første to rækker gennemgående)</t>
  </si>
  <si>
    <t>Leggeskjema DR29 1 (3 stk./m² – to første rader fortløpende)</t>
  </si>
  <si>
    <t>Shema postavljanja DR29 1 (3 kom./m² – prva dva reda neprekidno)</t>
  </si>
  <si>
    <t>Verlegeschema DR29 2 (6 Stk./m² – ersten beiden Reihen durchgehend)</t>
  </si>
  <si>
    <t>installation diagram DR29 2 (6 pc. per m²; must be installed along the first two rows)</t>
  </si>
  <si>
    <t>Schéma de pose DR29 2 (6 arrêts de neige par m² ; monter les arrêts de neige sans interruption sur toute la longueur des deux premières rangées)</t>
  </si>
  <si>
    <t>Schema di posa DR29 2 (6 pz./m² - prime due file continue)</t>
  </si>
  <si>
    <t>Schema rozmístění DR29 2 (6 ks/m2 - první dvě řady průběžně)</t>
  </si>
  <si>
    <t>Schemat montażowy DR29 2 (6 szt./m² – pierwsze dwa rzędy ciągłe)</t>
  </si>
  <si>
    <t>DR29 2 fektetési séma (6 db/m² – az első két sor folyamatos)</t>
  </si>
  <si>
    <t>Schéma montáže DR29 2 (6 ks/m² – prvé dva rady kompletne)</t>
  </si>
  <si>
    <t>Installatieschema DR29 2 (6 st./m² - eerste twee rijen doorlopend)</t>
  </si>
  <si>
    <t>Shema polaganja DR29 2 (6 kos./m² – prvi dve vrsti neprekinjeno)</t>
  </si>
  <si>
    <t>Läggningsschema DR29 2 (6 st/m² – första två raderna genomgående)</t>
  </si>
  <si>
    <t>Læggediagram DR29 2 (6 stk./m² - første to rækker gennemgående)</t>
  </si>
  <si>
    <t>Leggeskjema DR29 2 (6 stk./m² – to første rader fortløpende)</t>
  </si>
  <si>
    <t>Shema postavljanja DR29 2 (6 kom./m² – prva dva reda neprekidno)</t>
  </si>
  <si>
    <t>Verlegeschema DR29 3 (12 Stk./m²)</t>
  </si>
  <si>
    <t>installation diagram DR29 3 (12 pc. per m²)</t>
  </si>
  <si>
    <t>schéma de pose DR29 3 (12 arrêts de neige par m²)</t>
  </si>
  <si>
    <t>Schema di posa DR29 3 (12 pz./m²)</t>
  </si>
  <si>
    <t>Schema rozmístění DR29 3 (12 ks/m2)</t>
  </si>
  <si>
    <t>Schemat montażowy DR29 3 (12 szt./m²)</t>
  </si>
  <si>
    <t>DR29 3 fektetési séma (12 db/m²)</t>
  </si>
  <si>
    <t>Schéma montáže DR29 3 (12 ks/m²)</t>
  </si>
  <si>
    <t>Installatieschema DR29 3 (12 st./m²)</t>
  </si>
  <si>
    <t>Shema polaganja DR29 3 (12 kos./m²)</t>
  </si>
  <si>
    <t>Läggningsschema DR29 3 (12 st/m²)</t>
  </si>
  <si>
    <t>Læggediagram DR29 3 (12 stk./m²)</t>
  </si>
  <si>
    <t>Leggeskjema DR29 3 (12 stk./m²)</t>
  </si>
  <si>
    <t>Shema postavljanja DR29 3 (12 kom./m²)</t>
  </si>
  <si>
    <t>020206_AT_Details_Dach DR44x44_Prefa_2021-Q1</t>
  </si>
  <si>
    <t>020206_AT_Details_Dach DR44x44_PREFA_2021-Q1</t>
  </si>
  <si>
    <t>Schneestopper – Verlegeschema DR44 1</t>
  </si>
  <si>
    <t>snow guards – installation diagram DR44 1</t>
  </si>
  <si>
    <t>arrêt de neige — schéma de pose DR44 1</t>
  </si>
  <si>
    <t>Naso fermaneve - Schema di posa DR44 1</t>
  </si>
  <si>
    <t>Boční napojení na stěnu s zásuvnou krycí lištou DR44 1</t>
  </si>
  <si>
    <t>STOPER ŚNIEGOWY – SCHEMAT MONTAŻOWY DR44 1</t>
  </si>
  <si>
    <t>HÓFOGÓ – DR44 1 FEKTETÉSI SÉMA</t>
  </si>
  <si>
    <t>ZACHYTÁVAČ SNEHU – SCHÉMA MONTÁŽE DR44 1</t>
  </si>
  <si>
    <t>SNEEUWSTOPPER - INSTALLATIESCHEMA DR44 1</t>
  </si>
  <si>
    <t>SNEGOLOV – SHEMA POLAGANJA DR44 1</t>
  </si>
  <si>
    <t>SNÖSTOPP – LÄGGNINGSSCHEMA DR44 1</t>
  </si>
  <si>
    <t>SNESTOPPER – LÆGGEDIAGRAM DR44 1</t>
  </si>
  <si>
    <t>SNØSTOPPER – LEGGESKJEMA DR44 1</t>
  </si>
  <si>
    <t>TOČKASTI SNJEGOBRAN – SHEMA POSTAVLJANJA DR44 1</t>
  </si>
  <si>
    <t>Schneestopper – Verlegeschema DR44 2</t>
  </si>
  <si>
    <t>snow guards – installation diagram DR44 2</t>
  </si>
  <si>
    <t>arrêt de neige — schéma de pose DR44 2</t>
  </si>
  <si>
    <t>Naso fermaneve - Schema di posa DR44 2</t>
  </si>
  <si>
    <t>Boční napojení na stěnu s zásuvnou krycí lištou DR44 2</t>
  </si>
  <si>
    <t>STOPER ŚNIEGOWY – SCHEMAT MONTAŻOWY DR44 2</t>
  </si>
  <si>
    <t>HÓFOGÓ – DR44 2 FEKTETÉSI SÉMA</t>
  </si>
  <si>
    <t>ZACHYTÁVAČ SNEHU – SCHÉMA MONTÁŽE DR44 2</t>
  </si>
  <si>
    <t>SNEEUWSTOPPER - INSTALLATIESCHEMA DR44 2</t>
  </si>
  <si>
    <t>SNEGOLOV – SHEMA POLAGANJA DR44 2</t>
  </si>
  <si>
    <t>SNÖSTOPP – LÄGGNINGSSCHEMA DR44 2</t>
  </si>
  <si>
    <t>SNESTOPPER – LÆGGEDIAGRAM DR44 2</t>
  </si>
  <si>
    <t>SNØSTOPPER – LEGGESKJEMA DR44 2</t>
  </si>
  <si>
    <t>TOČKASTI SNJEGOBRAN – SHEMA POSTAVLJANJA DR44 2</t>
  </si>
  <si>
    <t>Schneestopper – Verlegeschema DR44 3</t>
  </si>
  <si>
    <t>snow guards – installation diagram DR44 3</t>
  </si>
  <si>
    <t>arrêt de neige — schéma de pose DR44 3</t>
  </si>
  <si>
    <t>Naso fermaneve - Schema di posa DR44 3</t>
  </si>
  <si>
    <t>Boční napojení na stěnu s zásuvnou krycí lištou DR44 3</t>
  </si>
  <si>
    <t>STOPER ŚNIEGOWY – SCHEMAT MONTAŻOWY DR44 3</t>
  </si>
  <si>
    <t>HÓFOGÓ – DR44 3 FEKTETÉSI SÉMA</t>
  </si>
  <si>
    <t>ZACHYTÁVAČ SNEHU – SCHÉMA MONTÁŽE DR44 3</t>
  </si>
  <si>
    <t>SNEEUWSTOPPER - INSTALLATIESCHEMA DR44 3</t>
  </si>
  <si>
    <t>SNEGOLOV – SHEMA POLAGANJA DR44 3</t>
  </si>
  <si>
    <t>SNÖSTOPP – LÄGGNINGSSCHEMA DR44 3</t>
  </si>
  <si>
    <t>SNESTOPPER – LÆGGEDIAGRAM DR44 3</t>
  </si>
  <si>
    <t>SNØSTOPPER – LEGGESKJEMA DR44 3</t>
  </si>
  <si>
    <t>TOČKASTI SNJEGOBRAN – SHEMA POSTAVLJANJA DR44 3</t>
  </si>
  <si>
    <t>Verlegeschema DR44 1 (1,3 Stk./m² – ersten beiden Reihen durchgehend)</t>
  </si>
  <si>
    <t>Installation diagram DR44 1 (1,3  per m² — must be installed along the first two rows)</t>
  </si>
  <si>
    <t>Schéma de pose DR44 1 (1,3 arrêts de neige par m² ; monter les arrêts de neige sans interruption sur toute la longueur des deux premières rangées)</t>
  </si>
  <si>
    <t>Schema di posa DR44 1 (1,3 pz./m² - prime due file continue)</t>
  </si>
  <si>
    <t>Schema rozmístění DR44 1 (1,3 ks/m2 - první dvě řady průběžně)</t>
  </si>
  <si>
    <t>Schemat montażowy DR44 1 (1,3 szt./m² – pierwsze dwa rzędy ciągłe)</t>
  </si>
  <si>
    <t>DR44 1 fektetési séma (1,3 db/m² – az első két sor folyamatos)</t>
  </si>
  <si>
    <t>Schéma montáže DR44 1 (1,3 ks/m² – prvé dva rady kompletne)</t>
  </si>
  <si>
    <t>Installatieschema DR44 1 (1,3 st./m² - eerste twee rijen doorlopend)</t>
  </si>
  <si>
    <t>Shema polaganja DR44 1 (1,3 kos./m² – prvi dve vrsti neprekinjeno)</t>
  </si>
  <si>
    <t>Läggningsschema DR44 1 (1,3 st/m² – första två raderna genomgående)</t>
  </si>
  <si>
    <t>Læggediagram DR44 1 (1,3 stk./m² - første to rækker gennemgående)</t>
  </si>
  <si>
    <t>Leggeskjema DR44 1 (1,3 stk./m² – to første rader fortløpende)</t>
  </si>
  <si>
    <t>Shema postavljanja DR44 1 (1,3 kom./m² – prva dva reda neprekidno)</t>
  </si>
  <si>
    <t>Verlegeschema DR44 2 (2,6 Stk./m² – ersten beiden Reihen durchgehend)</t>
  </si>
  <si>
    <t>installation diagram DR44 2 (2,6 pc. per m²; must be installed along the first two rows)</t>
  </si>
  <si>
    <t>Schéma de pose DR44 2 (2,6 arrêts de neige par m² ; monter les arrêts de neige sans interruption sur toute la longueur des deux premières rangées)</t>
  </si>
  <si>
    <t>Schema di posa DR44 2 (2,6 pz./m² - prime due file continue)</t>
  </si>
  <si>
    <t>Schema rozmístění DR44 2 (2,6 ks/m2 - první dvě řady průběžně)</t>
  </si>
  <si>
    <t>Schemat montażowy DR44 2 (2,6 szt./m² – pierwsze dwa rzędy ciągłe)</t>
  </si>
  <si>
    <t>DR44 2 fektetési séma (2,6 db/m² – az első két sor folyamatos)</t>
  </si>
  <si>
    <t>Schéma montáže DR44 2 (2,6 ks/m² – prvé dva rady kompletne)</t>
  </si>
  <si>
    <t>Installatieschema DR44 2 (2,6 st./m² - eerste twee rijen doorlopend)</t>
  </si>
  <si>
    <t>Shema polaganja DR44 2 (2,6 kos./m² – prvi dve vrsti neprekinjeno)</t>
  </si>
  <si>
    <t>Läggningsschema DR44 2 (2,6 st/m² – första två raderna genomgående)</t>
  </si>
  <si>
    <t>Læggediagram DR44 2 (2,6 stk./m² - første to rækker gennemgående)</t>
  </si>
  <si>
    <t>Leggeskjema DR44 2 (2,6 stk./m² – to første rader fortløpende)</t>
  </si>
  <si>
    <t>Shema postavljanja DR44 2 (2,6 kom./m² – prva dva reda neprekidno)</t>
  </si>
  <si>
    <t>Verlegeschema DR44 3 (5,2 Stk./m²)</t>
  </si>
  <si>
    <t>installation diagram DR44 3 (5,2 pc. per m²)</t>
  </si>
  <si>
    <t>schéma de pose DR44 3 (5,2 arrêts de neige par m²)</t>
  </si>
  <si>
    <t>Schema di posa DR44 3 (5,2 pz./m²)</t>
  </si>
  <si>
    <t>Schema rozmístění DR44 3 (5,2 ks/m2)</t>
  </si>
  <si>
    <t>Schemat montażowy DR44 3 (5,2 szt./m²)</t>
  </si>
  <si>
    <t>DR44 3 fektetési séma (5,2 db/m²)</t>
  </si>
  <si>
    <t>Schéma montáže DR44 3 (5,2 ks/m²)</t>
  </si>
  <si>
    <t>Installatieschema DR44 3 (5,2 st./m²)</t>
  </si>
  <si>
    <t>Shema polaganja DR44 3 (5,2 kos./m²)</t>
  </si>
  <si>
    <t>Läggningsschema DR44 3 (5,2 st/m²)</t>
  </si>
  <si>
    <t>Læggediagram DR44 3 (5,2 stk./m²)</t>
  </si>
  <si>
    <t>Leggeskjema DR44 3 (5,2 stk./m²)</t>
  </si>
  <si>
    <t>Shema postavljanja DR44 3 (5,2 kom./m²)</t>
  </si>
  <si>
    <t>020202_AT_Details_Dach FX.12_Prefa_2021-Q1</t>
  </si>
  <si>
    <t>020202_AT_Details_Dach FX.12_PREFA_2021-Q1</t>
  </si>
  <si>
    <t>Schneestopper – Verlegeschema FX.12 1</t>
  </si>
  <si>
    <t>snow guards – installation diagram FX.12 1</t>
  </si>
  <si>
    <t>arrêt de neige — schéma de pose FX.12 1</t>
  </si>
  <si>
    <t>Naso fermaneve - Schema di posa FX.12 1</t>
  </si>
  <si>
    <t>Boční napojení na stěnu s zásuvnou krycí lištou FX.12 1</t>
  </si>
  <si>
    <t>BARIERA ŚNIEGOWA – SCHEMAT MONTAŻOWY FX.12 1</t>
  </si>
  <si>
    <t>HÓFOGÓ – FX.12 1 FEKTETÉSI SÉMA</t>
  </si>
  <si>
    <t>ZACHYTÁVAČ SNEHU – SCHÉMA MONTÁŽE FX.12 1</t>
  </si>
  <si>
    <t>SNEEUWSTOPPER - INSTALLATIESCHEMA FX.12 1</t>
  </si>
  <si>
    <t>SNEGOLOV– SHEMA POLAGANJA FX.12 1</t>
  </si>
  <si>
    <t>SNÖSTOPP – LÄGGNINGSSCHEMA FX.12 1</t>
  </si>
  <si>
    <t>SNESTOPPER – LÆGGEDIAGRAM FX.12 1</t>
  </si>
  <si>
    <t>SNØSTOPPER – LEGGESKJEMA FX.12 1</t>
  </si>
  <si>
    <t>TOČKASTI SNJEGOBRAN – SHEMA POSTAVLJANJA FX.12 1</t>
  </si>
  <si>
    <t>Schneestopper – Verlegeschema FX.12 2</t>
  </si>
  <si>
    <t>snow guards – installation diagram FX.12 2</t>
  </si>
  <si>
    <t>arrêt de neige — schéma de pose FX.12 2</t>
  </si>
  <si>
    <t>Naso fermaneve - Schema di posa FX.12 2</t>
  </si>
  <si>
    <t>Boční napojení na stěnu s zásuvnou krycí lištou FX.12 2</t>
  </si>
  <si>
    <t>BARIERA ŚNIEGOWA – SCHEMAT MONTAŻOWY FX.12 2</t>
  </si>
  <si>
    <t>HÓFOGÓ – FX.12 2 FEKTETÉSI SÉMA</t>
  </si>
  <si>
    <t>ZACHYTÁVAČ SNEHU – SCHÉMA MONTÁŽE FX.12 2</t>
  </si>
  <si>
    <t>SNEEUWSTOPPER - INSTALLATIESCHEMA FX.12 2</t>
  </si>
  <si>
    <t>SNEGOLOV – SHEMA POLAGANJA FX.12 2</t>
  </si>
  <si>
    <t>SNÖSTOPP – LÄGGNINGSSCHEMA FX.12 2</t>
  </si>
  <si>
    <t>SNESTOPPER – LÆGGEDIAGRAM FX.12 2</t>
  </si>
  <si>
    <t>SNØSTOPPER – LEGGESKJEMA FX.12 2</t>
  </si>
  <si>
    <t>TOČKASTI SNJEGOBRAN – SHEMA POSTAVLJANJA FX.12 2</t>
  </si>
  <si>
    <t>Schneestopper – Verlegeschema FX.12 3</t>
  </si>
  <si>
    <t>snow guards – installation diagram FX.12 3</t>
  </si>
  <si>
    <t>arrêt de neige — schéma de pose FX.12 3</t>
  </si>
  <si>
    <t>Naso fermaneve - Schema di posa FX.12 3</t>
  </si>
  <si>
    <t>Boční napojení na stěnu s zásuvnou krycí lištou FX.12 3</t>
  </si>
  <si>
    <t>BARIERA ŚNIEGOWA – SCHEMAT MONTAŻOWY FX.12 3</t>
  </si>
  <si>
    <t>HÓFOGÓ – FX.12 3 FEKTETÉSI SÉMA</t>
  </si>
  <si>
    <t>ZACHYTÁVAČ SNEHU – SCHÉMA MONTÁŽE FX.12 3</t>
  </si>
  <si>
    <t>SNEEUWSTOPPER - LEGSCHEMA FX.12 3</t>
  </si>
  <si>
    <t>SNEGOLOV – SHEMA POLAGANJA FX.12 3</t>
  </si>
  <si>
    <t>SNÖSTOPP – LÄGGNINGSSCHEMA FX.12 3</t>
  </si>
  <si>
    <t>SNESTOPPER – LÆGGEDIAGRAM FX.12 3</t>
  </si>
  <si>
    <t>SNØSTOPPER – LEGGESKJEMA FX.12 3</t>
  </si>
  <si>
    <t>TOČKASTI SNJEGOBRAN – SHEMA POSTAVLJANJA FX.12 3</t>
  </si>
  <si>
    <t>Verlegeschema FX.12 1 (1,7 Stk./m² – ersten beiden Reihen durchgehend)</t>
  </si>
  <si>
    <t>Installation diagram FX.12 1 (1,7  per m² — must be installed along the first two rows)</t>
  </si>
  <si>
    <t>Schéma de pose FX.12 1 (1,7 arrêts de neige par m² ; monter les arrêts de neige sans interruption sur toute la longueur des deux premières rangées)</t>
  </si>
  <si>
    <t>Schema di posa FX.12 1 (1,7 pz./m² - prime due file continue)</t>
  </si>
  <si>
    <t>Schema rozmístění FX.12 1 (1,7 ks/m2 - první dvě řady průběžně)</t>
  </si>
  <si>
    <t>Schemat montażowy FX.12 1 (1,7 szt./m² – pierwsze dwa rzędy ciągłe)</t>
  </si>
  <si>
    <t>FX.12 1 fektetési séma (1,7 db/m² – az első két sor folyamatos)</t>
  </si>
  <si>
    <t>Schéma montáže FX.12 1 (1,7 ks/m² – prvé dva rady kompletne)</t>
  </si>
  <si>
    <t>Installatieschema FX.12 1 (1,7 st./m² - eerste twee rijen doorlopend)</t>
  </si>
  <si>
    <t>Shema polaganja FX.12 1 (1,7 kos./m² – prvi dve vrsti neprekinjeno)</t>
  </si>
  <si>
    <t>Läggningsschema DS.12 1 (1,7 st/m² – första två raderna genomgående)</t>
  </si>
  <si>
    <t>Læggediagram FX.12 1 (1,7 stk./m² - første to rækker gennemgående)</t>
  </si>
  <si>
    <t>Leggeskjema FX.12 1 (1,7 stk./m² – to første rader fortløpende)</t>
  </si>
  <si>
    <t>Shema postavljanja FX.12 1 (1,7 kom./m² – prva dva reda neprekidno)</t>
  </si>
  <si>
    <t>Verlegeschema FX.12 2 (3,4 Stk./m² – ersten beiden Reihen durchgehend)</t>
  </si>
  <si>
    <t>installation diagram FX.12 2 (3,4 pc. per m²; must be installed along the first two rows)</t>
  </si>
  <si>
    <t>Schéma de pose FX.12 2 (3,4 arrêts de neige par m² ; monter les arrêts de neige sans interruption sur toute la longueur des deux premières rangées)</t>
  </si>
  <si>
    <t>Schema di posa FX.12 2 (3,4 pz./m² - prime due file continue)</t>
  </si>
  <si>
    <t>Schema rozmístění FX.12 2 (3,4 ks/m2 - první dvě řady průběžně)</t>
  </si>
  <si>
    <t>Schemat montażowy FX.12 2 (3,4 szt./m² – pierwsze dwa rzędy ciągłe)</t>
  </si>
  <si>
    <t>FX.12 2 fektetési séma (3,4 db/m² – az első két sor folyamatos)</t>
  </si>
  <si>
    <t>Schéma montáže FX.12 2 (3,4 ks/m² – prvé dva rady kompletne)</t>
  </si>
  <si>
    <t>Installatieschema FX.12 2 (3,4 st./m² - eerste twee rijen doorlopend)</t>
  </si>
  <si>
    <t>Shema polaganja FX.12 2 (3,4 kos./m² – prvi dve vrsti neprekinjeno)</t>
  </si>
  <si>
    <t>Läggningsschema DS.12 2 (3,4 st/m² – första två raderna genomgående)</t>
  </si>
  <si>
    <t>Læggediagram FX.12 2 (3,4 stk./m² - første to rækker gennemgående)</t>
  </si>
  <si>
    <t>Leggeskjema FX.12 2 (3,4 stk./m² – to første rader fortløpende)</t>
  </si>
  <si>
    <t>Shema postavljanja FX.12 2 (3,4 kom./m² – prva dva reda neprekidno)</t>
  </si>
  <si>
    <t>Verlegeschema FX.12 3 (6,8 Stk./m²)</t>
  </si>
  <si>
    <t>installation diagram FX.12 3 (6,8 pc. per m²)</t>
  </si>
  <si>
    <t>schéma de pose FX.12 3 (6,8 arrêts de neige par m²)</t>
  </si>
  <si>
    <t>Schema di posa FX.12 3 (6,8 pz./m²)</t>
  </si>
  <si>
    <t>Schema rozmístění FX.12 3 (6,8 ks/m2)</t>
  </si>
  <si>
    <t>Schemat montażowy FX.12 3 (6,8 szt./m²)</t>
  </si>
  <si>
    <t>DS.12 3 fektetési séma (6,8 db/m²)</t>
  </si>
  <si>
    <t>Schéma montáže FX.12 3 (6,8 ks/m²)</t>
  </si>
  <si>
    <t>Installatieschema FX.12 3 (6,8 st./m²)</t>
  </si>
  <si>
    <t>Shema polaganja FX.12 3 (6,8 kos./m²)</t>
  </si>
  <si>
    <t>Läggningsschema FX.12 3 (6,8 st/m²)</t>
  </si>
  <si>
    <t>Læggediagram FX.12 3 (6,8 stk./m²)</t>
  </si>
  <si>
    <t>Leggeskjema FX.12 3 (6,8 stk./m²)</t>
  </si>
  <si>
    <t>Shema postavljanja FX.12 3 (6,8 kom./m²)</t>
  </si>
  <si>
    <t>Neigung der Kehle: mind. 3°</t>
  </si>
  <si>
    <t>valley inclination: min. 3°</t>
  </si>
  <si>
    <t>Pente de la noue : au moins 3°</t>
  </si>
  <si>
    <t>Pendenza del compluvio: almeno 3°</t>
  </si>
  <si>
    <t>sklon úžlabí min. 3°</t>
  </si>
  <si>
    <t>Nachylenie kosza: min. 3°</t>
  </si>
  <si>
    <t>Vápa lejtése: min. 3°</t>
  </si>
  <si>
    <t>Sklon úžľabia: min. 3°</t>
  </si>
  <si>
    <t>Helling van de goot: min. 3°</t>
  </si>
  <si>
    <t>naklon žlote: najm. 3°</t>
  </si>
  <si>
    <t>Kilens lutning: min. 3°</t>
  </si>
  <si>
    <t>Kilens hældning: mind. 3°</t>
  </si>
  <si>
    <t>Helling på vinkelrenne: min. 3°</t>
  </si>
  <si>
    <t>Nagib uvale: min. 3°</t>
  </si>
  <si>
    <t>Deckel</t>
  </si>
  <si>
    <t>cover</t>
  </si>
  <si>
    <t>couverture</t>
  </si>
  <si>
    <t>Coperchio</t>
  </si>
  <si>
    <t>Pokrýt</t>
  </si>
  <si>
    <t>fedél</t>
  </si>
  <si>
    <t>veko</t>
  </si>
  <si>
    <t>Pokrov</t>
  </si>
  <si>
    <t>lock</t>
  </si>
  <si>
    <t>Poklopac</t>
  </si>
  <si>
    <t>Gummidichtung</t>
  </si>
  <si>
    <t>Rubber seal</t>
  </si>
  <si>
    <t>joint en caoutchouc</t>
  </si>
  <si>
    <t>Guarnizione in gomma</t>
  </si>
  <si>
    <t>Gumové těsnění</t>
  </si>
  <si>
    <t>Gumowa uszczelka</t>
  </si>
  <si>
    <t>gumitömítés</t>
  </si>
  <si>
    <t>gumené tesnenie</t>
  </si>
  <si>
    <t>Rubberen afdichting</t>
  </si>
  <si>
    <t>Gumijasto tesnilo</t>
  </si>
  <si>
    <t>gummitätning</t>
  </si>
  <si>
    <t>Gummitætning</t>
  </si>
  <si>
    <t>Gummitetning</t>
  </si>
  <si>
    <t>Gumena brtva</t>
  </si>
  <si>
    <t>Falzrichtung</t>
  </si>
  <si>
    <t>direction of fold</t>
  </si>
  <si>
    <t>orientation du joint</t>
  </si>
  <si>
    <t>Direzione dell'aggraffatura</t>
  </si>
  <si>
    <t>Kierunek układania</t>
  </si>
  <si>
    <t>korcirány</t>
  </si>
  <si>
    <t>smer drážky</t>
  </si>
  <si>
    <t>Naadrichting</t>
  </si>
  <si>
    <t>Smer zgiba</t>
  </si>
  <si>
    <t>Falsriktning</t>
  </si>
  <si>
    <t>Falsretning</t>
  </si>
  <si>
    <t>Smjer falca</t>
  </si>
  <si>
    <t>First- und Gratausbildung (unbelüftet)</t>
  </si>
  <si>
    <t>hip and ridge construction (non-ventilated)</t>
  </si>
  <si>
    <t>faîtages et arêtiers (non ventilés)</t>
  </si>
  <si>
    <t>Raccordo del colmo e della cresta (non ventilato)</t>
  </si>
  <si>
    <t>HŘEBEN/NÁROŽÍ NEODVĚTRANÝ</t>
  </si>
  <si>
    <t>Konstrukcja kalenicy lub naroża (niewentylowanych)</t>
  </si>
  <si>
    <t>gerinc és élkialakítás (szellőzetlen)</t>
  </si>
  <si>
    <t>vytvorenie hrebeňa a nárožia (nevetrané)</t>
  </si>
  <si>
    <t>Nok- en panvorming (ongeventileerd)</t>
  </si>
  <si>
    <t>Oblikovanje slemena in grebena (neprezračeno)</t>
  </si>
  <si>
    <t>varianter för nock- och valmningsutformning (oventilerat)</t>
  </si>
  <si>
    <t>Rygnings- og gratdesign (uventileret)</t>
  </si>
  <si>
    <t>Møne- og gradoppbygging (uventilert)</t>
  </si>
  <si>
    <t>Konstrukcija sljemena i grebena (neventilirano)</t>
  </si>
  <si>
    <t>Wandentlüftung mit Wandanschluss</t>
  </si>
  <si>
    <t>wall ventilation with wall connection</t>
  </si>
  <si>
    <t>ventilation murale avec raccordement de couloir latéral</t>
  </si>
  <si>
    <t>Aerazione a parete con raccordo a parete</t>
  </si>
  <si>
    <t>ODVĚTRÁNÍ S NAPOJENÍM NA STĚNU</t>
  </si>
  <si>
    <t>Wentylacja ścienna z połączeniem ściany</t>
  </si>
  <si>
    <t>fali szellőztetés fali csatlakozással</t>
  </si>
  <si>
    <t>odvetrávanie steny s ukončením pri stene</t>
  </si>
  <si>
    <t>Wandventilatie met wandaansluiting</t>
  </si>
  <si>
    <t>Prezračevanje sten s stenskim priključkom</t>
  </si>
  <si>
    <t>väggventilation med vägganslutning</t>
  </si>
  <si>
    <t>Vægudluftning med vægtilslutning</t>
  </si>
  <si>
    <t>Veggventilering med veggforbindelse</t>
  </si>
  <si>
    <t>Odzračivanje zidna sa zidnim spojem</t>
  </si>
  <si>
    <t>Attika VAR 1</t>
  </si>
  <si>
    <t>roof parapet VAR 1</t>
  </si>
  <si>
    <t>acrotère (couronnement, coiffe) VAR 1</t>
  </si>
  <si>
    <t>Muretto VAR 1</t>
  </si>
  <si>
    <t>Attica VAR 1</t>
  </si>
  <si>
    <t>Attyka wariant 1</t>
  </si>
  <si>
    <t>atika VAR 1</t>
  </si>
  <si>
    <t>Atika VAR 1</t>
  </si>
  <si>
    <t>parapet VAR 1</t>
  </si>
  <si>
    <t>Loft VAR. 1</t>
  </si>
  <si>
    <t>Krovni parapet VAR 1</t>
  </si>
  <si>
    <t>Attika VAR 2</t>
  </si>
  <si>
    <t>roof parapet VAR 2</t>
  </si>
  <si>
    <t>acrotère (couronnement, coiffe) VAR 2</t>
  </si>
  <si>
    <t>Muretto VAR 2</t>
  </si>
  <si>
    <t>Attica VAR 2</t>
  </si>
  <si>
    <t>Attyka wariant 2</t>
  </si>
  <si>
    <t>atika VAR 2</t>
  </si>
  <si>
    <t>Atika VAR 2</t>
  </si>
  <si>
    <t>parapet VAR 2</t>
  </si>
  <si>
    <t>Loft VAR. 2</t>
  </si>
  <si>
    <t>Krovni parapet VAR 2</t>
  </si>
  <si>
    <t>Ortgangausbildungen</t>
  </si>
  <si>
    <t>roof verge constructions</t>
  </si>
  <si>
    <t>réalisation de rives</t>
  </si>
  <si>
    <t>Formazioni di mantovane</t>
  </si>
  <si>
    <t>Štítové lemování</t>
  </si>
  <si>
    <t>Konstrukcje krawędzi</t>
  </si>
  <si>
    <t>oromszegélyes kialakítások</t>
  </si>
  <si>
    <t>zapustené štítové ukončenie</t>
  </si>
  <si>
    <t>Bermvorming</t>
  </si>
  <si>
    <t>Oblikovanja čelnega napušča</t>
  </si>
  <si>
    <t>randutformning</t>
  </si>
  <si>
    <t>Tagkantdesign</t>
  </si>
  <si>
    <t>Vindskioppbygginger</t>
  </si>
  <si>
    <t>Konstrukcije ruba zabata</t>
  </si>
  <si>
    <t>Winkelsaumausbildung</t>
  </si>
  <si>
    <t>Raccordo bordo angolare</t>
  </si>
  <si>
    <t>Konstrukcja rąbka kątowego</t>
  </si>
  <si>
    <t>falszegélylemezes kialakítás</t>
  </si>
  <si>
    <t>vytvorenie uhlového podkladového pásu</t>
  </si>
  <si>
    <t>Hoekgootvorming</t>
  </si>
  <si>
    <t>Oblikovanje kotnega roba</t>
  </si>
  <si>
    <t>vinkelsömutformning</t>
  </si>
  <si>
    <t>Vinkeltagrendedesign</t>
  </si>
  <si>
    <t>Vinkelskjøt oppbygging</t>
  </si>
  <si>
    <t>Einlegerinne</t>
  </si>
  <si>
    <t>inlaid gutter</t>
  </si>
  <si>
    <t>gouttière encastrée</t>
  </si>
  <si>
    <t>Canale d'inserimento</t>
  </si>
  <si>
    <t>ZAATIKOVÝ ŽLAB</t>
  </si>
  <si>
    <t>Rynna wsuwana</t>
  </si>
  <si>
    <t>behelyezhető ereszcsatorna</t>
  </si>
  <si>
    <t>vložený žľab</t>
  </si>
  <si>
    <t>Invoeggoot</t>
  </si>
  <si>
    <t>Vstavitveni žleb</t>
  </si>
  <si>
    <t>insättningsränna</t>
  </si>
  <si>
    <t>Innleggsrenne</t>
  </si>
  <si>
    <t>Unutarnji žlijeb</t>
  </si>
  <si>
    <t>Sicherheitsdachhaken SDH Industry 31</t>
  </si>
  <si>
    <t>roof anchor hook SDH Industry 31</t>
  </si>
  <si>
    <t>crochet de sécurité SDH Industry 31</t>
  </si>
  <si>
    <t>Staffa di sicurezza anticaduta SDH Industry 31</t>
  </si>
  <si>
    <t>BEZPEČNOSTNÍ HÁK SDH-INDUSTRY 31</t>
  </si>
  <si>
    <t>Zabezpieczające haki dachowe SDH Industry 31</t>
  </si>
  <si>
    <t>tetőbiztonsági kampó SDH Industry 31</t>
  </si>
  <si>
    <t>bezpečnostný strešný hák SDH Industry 31</t>
  </si>
  <si>
    <t>Veiligheidsdakhaak SDH Industry 31</t>
  </si>
  <si>
    <t>Varnostni strešni kavelj SDH Industry 31</t>
  </si>
  <si>
    <t>säkerhetstakkrok SDH Industry 31</t>
  </si>
  <si>
    <t>Sikkerhedstagkrog SDH Industry 31</t>
  </si>
  <si>
    <t>Sikkerhetstakkroker SDH Industry 31</t>
  </si>
  <si>
    <t>Sigurnosna krovna kuka SDH Industry 31</t>
  </si>
  <si>
    <t>Solarhalter Sunny</t>
  </si>
  <si>
    <t>solar bracket Sunny</t>
  </si>
  <si>
    <t>support solaire Sunny</t>
  </si>
  <si>
    <t>Staffa per pannelli solari Sunny</t>
  </si>
  <si>
    <t>Solární držák Sunny</t>
  </si>
  <si>
    <t>Uchwyt do paneli fotowoltaicznych Sunny</t>
  </si>
  <si>
    <t>Sunny napelemtartó</t>
  </si>
  <si>
    <t>solárny držiak Sunny</t>
  </si>
  <si>
    <t>Solarhouder Sunny</t>
  </si>
  <si>
    <t>Držalo za solarni panel Sunny</t>
  </si>
  <si>
    <t>solhållare Sunny</t>
  </si>
  <si>
    <t>Solcelleholder Sunny</t>
  </si>
  <si>
    <t>Holder for solcellepanel Sunny</t>
  </si>
  <si>
    <t>Solar držač Sunny</t>
  </si>
  <si>
    <t>Kehlenausbildung mit parallelen Doppelstehfalzbahnen</t>
  </si>
  <si>
    <t>valley construction with parallel double-lock standing seam strip</t>
  </si>
  <si>
    <t>pose d’une noue avec bacs parallèle à joints debout à double agrafe</t>
  </si>
  <si>
    <t>Raccordo del compluvio con pannelli conici a doppia aggraffatura</t>
  </si>
  <si>
    <t>Úžlabí z paralelní krytinových pásů</t>
  </si>
  <si>
    <t>Formowanie koszy równoległe na rąbek stojący</t>
  </si>
  <si>
    <t>Vápakialakítás párhuzamos állókorcos szalagokkal</t>
  </si>
  <si>
    <t>vytvorenie úžľabí pomocou paralelných pásov s dvojitými stojatými drážkami</t>
  </si>
  <si>
    <t>Zetwerk met parallelle panelen met dubbele sluiting</t>
  </si>
  <si>
    <t>Oblikovanje žlote z vzporednimi trakovi z dvojnim stoječim zgibom</t>
  </si>
  <si>
    <t>Dalformation med parallella dubbla stående sömspår</t>
  </si>
  <si>
    <t>Kiledesign med parallelle dobbeltstående falsbaner</t>
  </si>
  <si>
    <t>Vinkelrenneoppbygging med parallelle doble stående falslister</t>
  </si>
  <si>
    <t>Konstrukcija uvale s paralelnom podlogom s dvostrukim stojećim falcom</t>
  </si>
  <si>
    <t>Dachknick (Variante 1)</t>
  </si>
  <si>
    <t>roof break (variant 1)</t>
  </si>
  <si>
    <t>ligne de bris (variante 1)</t>
  </si>
  <si>
    <t>Cambio di pendenza della copertura (variante 1)</t>
  </si>
  <si>
    <t>STŘEŠNÍ ZLOM VAR 1</t>
  </si>
  <si>
    <t>Załamanie dachu (wariant 1)</t>
  </si>
  <si>
    <t>tetőhajlat (1. változat)</t>
  </si>
  <si>
    <t>Zalomenie strechy (variant 1)</t>
  </si>
  <si>
    <t>Dakbuiging (variant 1)</t>
  </si>
  <si>
    <t>Strešni pregib (različica 1)</t>
  </si>
  <si>
    <t>takbrytning (variant 1)</t>
  </si>
  <si>
    <t>Tagknæk (variant 1)</t>
  </si>
  <si>
    <t>Knekk i tak (variant 1)</t>
  </si>
  <si>
    <t>Pregib krova (varijanta 1)</t>
  </si>
  <si>
    <t>Dachknick (Variante 2)</t>
  </si>
  <si>
    <t>roof break (variant 2)</t>
  </si>
  <si>
    <t>ligne de bris (variante 2)</t>
  </si>
  <si>
    <t>Cambio di pendenza della copertura (variante 2)</t>
  </si>
  <si>
    <t>STŘEŠNÍ ZLOM VAR 2</t>
  </si>
  <si>
    <t>Załamanie dachu (wariant 2)</t>
  </si>
  <si>
    <t>tetőhajlat (2. változat)</t>
  </si>
  <si>
    <t>Zalomenie strechy (variant 2)</t>
  </si>
  <si>
    <t>Dakbuiging (variant 2)</t>
  </si>
  <si>
    <t>Strešni pregib (različica 2)</t>
  </si>
  <si>
    <t>takbrytning (variant 2)</t>
  </si>
  <si>
    <t>Tagknæk (variant 2)</t>
  </si>
  <si>
    <t>Knekk i tak (variant 2)</t>
  </si>
  <si>
    <t>Pregib krova (varijanta 2)</t>
  </si>
  <si>
    <t>Dachknick (Variante 3)</t>
  </si>
  <si>
    <t>roof break (variant 3)</t>
  </si>
  <si>
    <t>ligne de bris (variante 3)</t>
  </si>
  <si>
    <t>Cambio di pendenza della copertura (variante 3)</t>
  </si>
  <si>
    <t>STŘEŠNÍ ZLOM VAR 3</t>
  </si>
  <si>
    <t>Załamanie dachu (wariant 3)</t>
  </si>
  <si>
    <t>tetőhajlat (3. változat)</t>
  </si>
  <si>
    <t>Zalomenie strechy (variant 3)</t>
  </si>
  <si>
    <t>Dakbuiging (variant 3)</t>
  </si>
  <si>
    <t>Strešni pregib (različica 3)</t>
  </si>
  <si>
    <t>takbrytning (variant 3)</t>
  </si>
  <si>
    <t>Tagknæk (variant 3)</t>
  </si>
  <si>
    <t>Knekk i tak (variant 3)</t>
  </si>
  <si>
    <t>Pregib krova (varijanta 3)</t>
  </si>
  <si>
    <t>Dachknick (Variante 4)</t>
  </si>
  <si>
    <t>roof break (variant 4)</t>
  </si>
  <si>
    <t>ligne de bris (variante 4)</t>
  </si>
  <si>
    <t>Cambio di pendenza della copertura (variante 4)</t>
  </si>
  <si>
    <t>STŘEŠNÍ ZLOM VAR 4</t>
  </si>
  <si>
    <t>Załamanie dachu (wariant 4)</t>
  </si>
  <si>
    <t>tetőhajlat (4. változat)</t>
  </si>
  <si>
    <t>Zalomenie strechy (variant 4)</t>
  </si>
  <si>
    <t>Dakbuiging (variant 4)</t>
  </si>
  <si>
    <t>Strešni pregib (različica 4)</t>
  </si>
  <si>
    <t>takbrytning (variant 4)</t>
  </si>
  <si>
    <t>Tagknæk (variant 4)</t>
  </si>
  <si>
    <t>Knekk i tak (variant 4)</t>
  </si>
  <si>
    <t>Pregib krova (varijanta 4)</t>
  </si>
  <si>
    <t>Abtreppung (ca. 2–4 mm) bei einer Dachneigung von 3° bis 7°</t>
  </si>
  <si>
    <t>step work (approx. 2–4 mm) on a roof pitch of 3° to 7°</t>
  </si>
  <si>
    <t>décrochement (env. 2 à 4 mm) pour une pente de toit comprise entre 3° et 7°</t>
  </si>
  <si>
    <t>Sbalzo (circa 2–4 mm) con una pendenza del tetto da 3° a 7°</t>
  </si>
  <si>
    <t>snížení cca 2-4 mm u sklonu 3°-7°</t>
  </si>
  <si>
    <t>Stopniowanie (ok. 2–4 mm) przy nachyleniu dachu od 3° do 7°.</t>
  </si>
  <si>
    <t>lépcsőzetesség (kb. 2–4 mm) 3°–7° tetőhajlásszög esetén</t>
  </si>
  <si>
    <t>Zníženie (cca 2 – 4 mm) pri sklone strechy od 3° do 7°</t>
  </si>
  <si>
    <t>Afstap (ca. 2-4 mm) bij een dakbuiging van 3° tot 7°</t>
  </si>
  <si>
    <t>Stopničast zaključek (pribl. 2-4 mm) pri naklonu strehe od 3°do 7°</t>
  </si>
  <si>
    <t>Steg (ca 2–4 mm) vid en taklutning på 3° till 7°</t>
  </si>
  <si>
    <t>Trin (ca. 2-4 mm) med en taghældning på 3° til 7°</t>
  </si>
  <si>
    <t>Avtrapping (ca. 2–4 mm) ved en takvinkel på 3° til 7°</t>
  </si>
  <si>
    <t>Stepenasti prijelaz (cca. 2–4 mm) kod nagiba krova od 3° do 7°</t>
  </si>
  <si>
    <t>Dichtmittel (Falzgel)</t>
  </si>
  <si>
    <t>sealant (sealing gel)</t>
  </si>
  <si>
    <t>garniture d’étanchéité (gel d’étanchéité pour agrafe)</t>
  </si>
  <si>
    <t>Sigillante (gel per aggraffature)</t>
  </si>
  <si>
    <t>těsnicí pásek (Falzgel)</t>
  </si>
  <si>
    <t>Uszczelniacz (żel do rąbków)</t>
  </si>
  <si>
    <t>tömítőanyag (falczselé)</t>
  </si>
  <si>
    <t>prostriedok na utesnenie (drážkový gél)</t>
  </si>
  <si>
    <t>Afdichtingsmiddel (naadgel)</t>
  </si>
  <si>
    <t>Tesnilo (Falzgel)</t>
  </si>
  <si>
    <t>tätningsmedel (falsgel)</t>
  </si>
  <si>
    <t>Tætningsmiddel (falsgel)</t>
  </si>
  <si>
    <t>Tetningsmiddel (falsegel)</t>
  </si>
  <si>
    <t>Brtvilo (gel za falceve)</t>
  </si>
  <si>
    <t>Doppelstehfalz</t>
  </si>
  <si>
    <t>double-lock standing seam</t>
  </si>
  <si>
    <t>joint debout à double agrafe</t>
  </si>
  <si>
    <t>Doppia aggraffatura</t>
  </si>
  <si>
    <t>dvojitá stojatá drážka</t>
  </si>
  <si>
    <t>Stojący rąbek podwójny</t>
  </si>
  <si>
    <t>kettős állókorc</t>
  </si>
  <si>
    <t>Dubbele naad</t>
  </si>
  <si>
    <t>Dvojni stoječi zgib</t>
  </si>
  <si>
    <t>dubbel stående fals</t>
  </si>
  <si>
    <t>Dobbeltstående fals</t>
  </si>
  <si>
    <t>Stående dobbelfals</t>
  </si>
  <si>
    <t>Dvostruki stojeći falc</t>
  </si>
  <si>
    <t>Einlegerinne (z.B. Uginox)</t>
  </si>
  <si>
    <t>Canale d'inserimento (ad es. Uginox)</t>
  </si>
  <si>
    <t>Rynna wsuwana (np. Uginox)</t>
  </si>
  <si>
    <t>behelyezhető ereszcsatorna (pl. Uginox)</t>
  </si>
  <si>
    <t>vložený žľab (napr. Uginox)</t>
  </si>
  <si>
    <t>Invoeggoot (bijv. Uginox)</t>
  </si>
  <si>
    <t>Vstavitveni žleb (npr. Uginox)</t>
  </si>
  <si>
    <t>insättningsränna (t.ex. Uginox)</t>
  </si>
  <si>
    <t>Tagrende (f.eks. Uginox)</t>
  </si>
  <si>
    <t>Innleggsrenne (f.eks. Uginox)</t>
  </si>
  <si>
    <t>Unutarnji žlijeb (npr. Uginox)</t>
  </si>
  <si>
    <t xml:space="preserve">Abtreppung (ca. 2–4 mm) bei einer Dachneigung von 3° bis 7° </t>
  </si>
  <si>
    <t xml:space="preserve">step work (approx. 2–4 mm) on a roof pitch of 3° to 7° </t>
  </si>
  <si>
    <t xml:space="preserve">décrochement (env. 2 à 4 mm) pour une pente de toit comprise entre 3° et 7° </t>
  </si>
  <si>
    <t xml:space="preserve">Sbalzo (circa 2–4 mm) con una pendenza del tetto da 3° a 7° </t>
  </si>
  <si>
    <t>snížení cca 2-4 mm u sklonů do 7°</t>
  </si>
  <si>
    <t xml:space="preserve">Stopniowanie (ok. 2–4 mm) przy nachyleniu dachu od 3° do 7° </t>
  </si>
  <si>
    <t xml:space="preserve">lépcsőzetesség (kb. 2–4 mm) 3°–7° tetőhajlásszög esetén </t>
  </si>
  <si>
    <t xml:space="preserve">Zníženie (cca 2 – 4 mm) pri sklone strechy od 3° do 7° </t>
  </si>
  <si>
    <t xml:space="preserve">Afstap (ca. 2-4 mm) bij een dakbuiging van 3° tot 7° </t>
  </si>
  <si>
    <t xml:space="preserve">Stopničast zaključek (pribl. 2-4 mm) pri naklonu strehe od 3°do 7° </t>
  </si>
  <si>
    <t xml:space="preserve">Steg (ca 2–4 mm) vid en taklutning på 3° till 7° </t>
  </si>
  <si>
    <t xml:space="preserve">Trin (ca. 2-4 mm) med en taghældning på 3° til 7° </t>
  </si>
  <si>
    <t xml:space="preserve">Avtrapping (ca. 2–4 mm) ved en takvinkel på 3° til 7° </t>
  </si>
  <si>
    <t xml:space="preserve">Stepenasti prijelaz (cca. 2–4 mm) kod nagiba krova od 3° do 7° </t>
  </si>
  <si>
    <t>Dachneigung &gt; 7° (12 %)</t>
  </si>
  <si>
    <t>roof pitch &gt; 7° (12%)</t>
  </si>
  <si>
    <t>pente de toit &gt; 7° (12 %)</t>
  </si>
  <si>
    <t>Pendenza del tetto &gt; 7° (12%)</t>
  </si>
  <si>
    <t>Sklon střechy &gt; 7° (12 %)</t>
  </si>
  <si>
    <t>Nachylenie dachu &gt; 7° (12%)</t>
  </si>
  <si>
    <t>tetőhajlásszög &gt; 7° (12 %)</t>
  </si>
  <si>
    <t>Sklon strechy &gt; 7° (12 %)</t>
  </si>
  <si>
    <t>Dakbuiging &gt; 7° (12 %)</t>
  </si>
  <si>
    <t>Naklon strehe &gt; 7° (12 %)</t>
  </si>
  <si>
    <t>Taklutning &gt; 7° (12 %)</t>
  </si>
  <si>
    <t>Taghældning &gt; 7° (12 %)</t>
  </si>
  <si>
    <t>Takvinkel &gt;7° (12 %)</t>
  </si>
  <si>
    <t>Nagib krova &gt; 7° (12 %)</t>
  </si>
  <si>
    <t>Dachneigung ≥ 25° (47 %)</t>
  </si>
  <si>
    <t>roof pitch ≥ 25° (47%)</t>
  </si>
  <si>
    <t>pente de toit ≥ 25° (47 %)</t>
  </si>
  <si>
    <t>Pendenza del tetto &gt; 25° (47%)</t>
  </si>
  <si>
    <t>Sklon střechy ≥ 25° (47 %)</t>
  </si>
  <si>
    <t>Nachylenie dachu ≥ 25° (47%)</t>
  </si>
  <si>
    <t>tetőhajlásszög ≥ 25° (47 %)</t>
  </si>
  <si>
    <t>Sklon strechy ≥ 25° (47 %)</t>
  </si>
  <si>
    <t>Dakbuiging ≥ 25° (47 %)</t>
  </si>
  <si>
    <t>Naklon strehe ≥ 25° (47 %)</t>
  </si>
  <si>
    <t>Taklutning ≥ 25° (47 %)</t>
  </si>
  <si>
    <t>Taghældning ≥ 25° (47 %)</t>
  </si>
  <si>
    <t>Takvinkel &gt;25° (47 %)</t>
  </si>
  <si>
    <t>Nagib krova ≥ 25° (47 %)</t>
  </si>
  <si>
    <t>Dachneigung ≥ 3° (5,2 %)</t>
  </si>
  <si>
    <t>roof pitch ≥ 3° (5.2%)</t>
  </si>
  <si>
    <t>pente de toit ≥ 3° (5,2 %)</t>
  </si>
  <si>
    <t>Pendenza del tetto &gt; 3° (5,2%)</t>
  </si>
  <si>
    <t>Sklon střechy ≥ 3° (5,2 %)</t>
  </si>
  <si>
    <t>Nachylenie dachu ≥ 3° (5,2%)</t>
  </si>
  <si>
    <t>tetőhajlásszög ≥ 3° (5,2 %)</t>
  </si>
  <si>
    <t>Sklon strechy ≥ 3° (5,2 %)</t>
  </si>
  <si>
    <t>Dakbuiging ≥ 3° (5,2 %)</t>
  </si>
  <si>
    <t>Naklon strehe ≥ 3° (5,2 %)</t>
  </si>
  <si>
    <t>Taklutning ≥ 3° (5,2 %)</t>
  </si>
  <si>
    <t>Taghældning ≥ 3° (5,2 %)</t>
  </si>
  <si>
    <t>Takvinkel &gt;3° (5,2 %)</t>
  </si>
  <si>
    <t>Nagib krova ≥ 3° (5,2 %)</t>
  </si>
  <si>
    <t>Ausführung ab einer Dachneigung von 7°</t>
  </si>
  <si>
    <t>design from a roof pitch of 7°</t>
  </si>
  <si>
    <t>mise en œuvre à partir d’une pente de toit de 7°</t>
  </si>
  <si>
    <t>Realizzazione a partire da una pendenza del tetto di 7°</t>
  </si>
  <si>
    <t>Provedení od sklonu střechy 7°</t>
  </si>
  <si>
    <t>Wykonanie dachu o nachyleniu od 7°</t>
  </si>
  <si>
    <t>kivitelezés 7°-os tetőhajlásszögtől</t>
  </si>
  <si>
    <t>Vyhotovenie od sklonu strechy 7°</t>
  </si>
  <si>
    <t>Uitvoering op een dakbuiging van 7°</t>
  </si>
  <si>
    <t>Izvedba pri naklonu strehe 7°</t>
  </si>
  <si>
    <t>Utförande från taklutning 7°</t>
  </si>
  <si>
    <t>Udførelse fra en taghældning fra 7°</t>
  </si>
  <si>
    <t>Utførelse fra en takvinkel på 7°</t>
  </si>
  <si>
    <t>Izvedba od nagiba krova od 7°</t>
  </si>
  <si>
    <t>Dachneigung &gt; 7° (&gt; 13 %): ohne Dichtmittel möglich</t>
  </si>
  <si>
    <t>roof pitch &gt; 7° (&gt; 13%): possible without sealant</t>
  </si>
  <si>
    <t>pente de toit &gt; 7° (&gt; 13 %) : réalisable sans garniture d’étanchéité</t>
  </si>
  <si>
    <t>Pendenza del tetto &gt; 7° (13%): possibile senza sigillante</t>
  </si>
  <si>
    <t>Sklon střechy &gt; 7° (&gt; 13 %): bez možnosti těsnicího prostředku</t>
  </si>
  <si>
    <t>Nachylenie dachu &gt; 7° (&gt; 13 %): możliwe bez uszczelnienia</t>
  </si>
  <si>
    <t>tetőhajlásszög &gt; 7° (&gt; 13 %): tömítőanyag nélkül lehetséges</t>
  </si>
  <si>
    <t>Sklon strechy &gt; 7° (&gt; 13 %): možné bez prostriedku na utesnenie</t>
  </si>
  <si>
    <t>Dakbuiging &gt; 7° (&gt; 13 %): zonder afdichtingsmiddel mogelijk</t>
  </si>
  <si>
    <t>Naklon strehe &gt; 7° (&gt; 13 °): mogoče brez tesnila</t>
  </si>
  <si>
    <t>Taklutning &gt; 7° (&gt; 13 %): möjligt utan tätningsmedel</t>
  </si>
  <si>
    <t>Taghældning &gt; 7° (&gt; 13 %): mulig uden tætningsmiddel</t>
  </si>
  <si>
    <t>Takvinkel &gt;7° (&gt;13 %): kan utføres uten tetningsmiddel</t>
  </si>
  <si>
    <t>Nagib krova &gt; 7° (&gt; 13 %): moguće bez brtvila</t>
  </si>
  <si>
    <t>Dachneigung von 3° bis 7° (5–13 %): mit Dichtmittel</t>
  </si>
  <si>
    <t>roof pitch from 3° to 7° (5–13%): with sealant</t>
  </si>
  <si>
    <t>pente de toit comprise entre 3° et 7° (5-13 %) : avec garniture d’étanchéité</t>
  </si>
  <si>
    <t>Pendenza del tetto da 3° fino a 7° (5-13%): con sigillante</t>
  </si>
  <si>
    <t>Sklon střechy od 3° do 7° (5–13 %): s těsnicím prostředkem</t>
  </si>
  <si>
    <t>Nachylenie dachu od 3° do 7° (5–13 %): z uszczelnieniem</t>
  </si>
  <si>
    <t>tetőhajlásszög 3°–7° (5–13 %): tömítőanyaggal</t>
  </si>
  <si>
    <t>Sklon strechy od 3° do 7° (5 – 13 %): s prostriedkom na utesnenie</t>
  </si>
  <si>
    <t>Dakbuiging van 3° tot 7° (5-13 %): met afdichtingsmiddel</t>
  </si>
  <si>
    <t>Naklon strehe od 3°do 7° (5-13 °): s tesnilom</t>
  </si>
  <si>
    <t>Taklutning från 3° till 7° (5–13 %): med tätningsmedel</t>
  </si>
  <si>
    <t>Taghældning fra 3° til 7° (5–13 %): med tætningsmiddel</t>
  </si>
  <si>
    <t>Takvinkel fra 3° til 7° (5–13 %): med tetningsmiddel</t>
  </si>
  <si>
    <t>Nagib krova od 3° do 7° (5–13 %): s brtvilom</t>
  </si>
  <si>
    <t>Dachneigung &gt; 10° (18 %)</t>
  </si>
  <si>
    <t>roof pitch &gt; 10° (18%)</t>
  </si>
  <si>
    <t>pente de toit &gt; 10° (18 %)</t>
  </si>
  <si>
    <t>Pendenza del tetto &gt; 10° (18%)</t>
  </si>
  <si>
    <t>Sklon střechy &gt; 10° (18 %)</t>
  </si>
  <si>
    <t>Nachylenie dachu &gt; 10° (18%)</t>
  </si>
  <si>
    <t>tetőhajlásszög &gt; 10° (18 %)</t>
  </si>
  <si>
    <t>Sklon strechy &gt; 10° (18 %)</t>
  </si>
  <si>
    <t>Dakbuiging &gt; 10° (18 %)</t>
  </si>
  <si>
    <t>Naklon strehe &gt; 10° (18 %)</t>
  </si>
  <si>
    <t>Taklutning &gt; 10° (18 %)</t>
  </si>
  <si>
    <t>Taghældning &gt; 10° (18 %)</t>
  </si>
  <si>
    <t>Takvinkel &gt;10° (18 %)</t>
  </si>
  <si>
    <t>Nagib krova &gt; 10° (18 %)</t>
  </si>
  <si>
    <t>Dachneigung &gt; 5° (9 %)</t>
  </si>
  <si>
    <t>roof pitch &gt; 5° (9%)</t>
  </si>
  <si>
    <t>pente de toit &gt; 5° (9 %)</t>
  </si>
  <si>
    <t>Pendenza del tetto &gt; 5° (9%)</t>
  </si>
  <si>
    <t>Sklon střechy &gt; 5° (9 %)</t>
  </si>
  <si>
    <t>Nachylenie dachu &gt; 5° (9%)</t>
  </si>
  <si>
    <t>tetőhajlásszög &gt; 5° (9 %)</t>
  </si>
  <si>
    <t>Sklon strechy &gt; 5° (9 %)</t>
  </si>
  <si>
    <t>Dakbuiging &gt; 5° (9 %)</t>
  </si>
  <si>
    <t>Naklon strehe &gt; 5° (9 %)</t>
  </si>
  <si>
    <t>Taklutning &gt; 5° (9 %)</t>
  </si>
  <si>
    <t>Taghældning &gt; 5° (9 %)</t>
  </si>
  <si>
    <t>Takvinkel &gt;5° (9 %)</t>
  </si>
  <si>
    <t>Nagib krova &gt; 5° (9 %)</t>
  </si>
  <si>
    <t>einfacher Querfalz mit Zusatzfalz</t>
  </si>
  <si>
    <t>simple transverse seam with additional joint</t>
  </si>
  <si>
    <t>agrafure transversale simple avec joint supplémentaire</t>
  </si>
  <si>
    <t>Aggraffatura inclinata semplice con aggraffatura supplementare</t>
  </si>
  <si>
    <t>jednoduchá příčná drážka s přídavnou drážkou</t>
  </si>
  <si>
    <t>Łączenie na pojedynczą zakładkę z dodatkową zakładką</t>
  </si>
  <si>
    <t>egyszerű keresztkorc kiegészítő korccal</t>
  </si>
  <si>
    <t>jednoduchá priečna drážka s prídavnou drážkou</t>
  </si>
  <si>
    <t>enkele kruisnaad met extra naad</t>
  </si>
  <si>
    <t>enostaven prečni kleparski zgib z dodatnim zgibom</t>
  </si>
  <si>
    <t>enkel tvärfals med extra fals</t>
  </si>
  <si>
    <t>enkelt tværfals med ekstrafals</t>
  </si>
  <si>
    <t>Enkel tverrfals med tilleggsfals</t>
  </si>
  <si>
    <t>jednostavan poprečni falc s dodatnim falcom</t>
  </si>
  <si>
    <t>einfalzen und zusätzlich abdichten</t>
  </si>
  <si>
    <t>fold in and seal</t>
  </si>
  <si>
    <t>effectuer le sertissage, puis l’étanchéification</t>
  </si>
  <si>
    <t>aggraffare e in più sigillare</t>
  </si>
  <si>
    <t>zadrážkovat a dodatečně utěsnit</t>
  </si>
  <si>
    <t>złożyć i dodatkowo uszczelnić</t>
  </si>
  <si>
    <t>befalcolás és kiegészítő tömítés</t>
  </si>
  <si>
    <t>napojiť drážkovaním a navyše utesniť</t>
  </si>
  <si>
    <t>naar binnen vouwen en dan afdichten</t>
  </si>
  <si>
    <t>zgibati in dodatno zatesniti</t>
  </si>
  <si>
    <t>falsa in och täta ytterligare</t>
  </si>
  <si>
    <t>indfalsning og yderligere tætning</t>
  </si>
  <si>
    <t>Innfalsing og ekstra tetting</t>
  </si>
  <si>
    <t>falcati i dodatno zabrtviti</t>
  </si>
  <si>
    <t>evtl. Dichtmittel (Falzgel)</t>
  </si>
  <si>
    <t>possibly sealant (sealing gel)</t>
  </si>
  <si>
    <t>facultatif : garniture d’étanchéité (gel d’étanchéité pour agrafe)</t>
  </si>
  <si>
    <t>eventualmente sigillante (gel per aggraffature)</t>
  </si>
  <si>
    <t>příp. těsnicí prostředek (Falzgel)</t>
  </si>
  <si>
    <t>ew. uszczelnienie (żel do rąbków)</t>
  </si>
  <si>
    <t>esetleg tömítőanyag (falczselé)</t>
  </si>
  <si>
    <t>príp. prostriedok na utesnenie (drážkový gél)</t>
  </si>
  <si>
    <t>evtl. afdichtingsmiddel (naadgel)</t>
  </si>
  <si>
    <t>po potrebi Tesnilo (Falzgel)</t>
  </si>
  <si>
    <t>eventuellt tätningsmedel (tätningsgel)</t>
  </si>
  <si>
    <t>evt. tætningsmiddel (falsgel)</t>
  </si>
  <si>
    <t>Ev. tetningsmiddel (falsegel)</t>
  </si>
  <si>
    <t>možda brtvilo (gel za falceve)</t>
  </si>
  <si>
    <t>First</t>
  </si>
  <si>
    <t>ridge</t>
  </si>
  <si>
    <t>faîte</t>
  </si>
  <si>
    <t>Colmo</t>
  </si>
  <si>
    <t>Hřeben</t>
  </si>
  <si>
    <t>Kalenica</t>
  </si>
  <si>
    <t>gerinc</t>
  </si>
  <si>
    <t>hrebeň</t>
  </si>
  <si>
    <t>Nok</t>
  </si>
  <si>
    <t>Sleme</t>
  </si>
  <si>
    <t>nock</t>
  </si>
  <si>
    <t>Rygning</t>
  </si>
  <si>
    <t>Møne</t>
  </si>
  <si>
    <t>Sljeme</t>
  </si>
  <si>
    <t>Firstblende</t>
  </si>
  <si>
    <t>hip cover plate</t>
  </si>
  <si>
    <t>cache de faîtière</t>
  </si>
  <si>
    <t>Scossalina di colmo</t>
  </si>
  <si>
    <t>Hřebenový krycí pás</t>
  </si>
  <si>
    <t>Obróbka blacharska kalenicy</t>
  </si>
  <si>
    <t>gerincfedő lemez</t>
  </si>
  <si>
    <t>ukončenie hrebeňa</t>
  </si>
  <si>
    <t>Nokgootstuk</t>
  </si>
  <si>
    <t>Zaslonka slemena</t>
  </si>
  <si>
    <t>nockpanel</t>
  </si>
  <si>
    <t>Rygningsafdækning</t>
  </si>
  <si>
    <t>Mønepanel</t>
  </si>
  <si>
    <t>Sljemena ploča</t>
  </si>
  <si>
    <t>Giebelbrett</t>
  </si>
  <si>
    <t>Bordo del frontone</t>
  </si>
  <si>
    <t>Zavětrovací deska</t>
  </si>
  <si>
    <t>Deska szczytowa</t>
  </si>
  <si>
    <t>oromfallemez</t>
  </si>
  <si>
    <t>štítová doska</t>
  </si>
  <si>
    <t>Gevelplaat</t>
  </si>
  <si>
    <t>Deska za zatrep</t>
  </si>
  <si>
    <t>gavelbräda</t>
  </si>
  <si>
    <t>Gavlbræt</t>
  </si>
  <si>
    <t>Gavlbrett</t>
  </si>
  <si>
    <t>Zabatna ploča</t>
  </si>
  <si>
    <t>Hinterlüftung</t>
  </si>
  <si>
    <t>ventilation gap</t>
  </si>
  <si>
    <t>lame d’air ventilée</t>
  </si>
  <si>
    <t>Retroventilazione</t>
  </si>
  <si>
    <t>Odvětrávání</t>
  </si>
  <si>
    <t>Wentylowana pustka powietrzna</t>
  </si>
  <si>
    <t>átszellőztetés</t>
  </si>
  <si>
    <t>prevetrávaná medzera</t>
  </si>
  <si>
    <t>Ventilatie achterkant</t>
  </si>
  <si>
    <t>Prezračevanje zadaj</t>
  </si>
  <si>
    <t>ventilation bak</t>
  </si>
  <si>
    <t>Baklufting</t>
  </si>
  <si>
    <t>Stražnja ventilacija</t>
  </si>
  <si>
    <t>Laut den Fachregeln für Bauspenglerarbeiten (Teil 1, 2014) sind Hochzüge im Regelfall 150 mm (gemessen im rechten Winkel) hochzuziehen.</t>
  </si>
  <si>
    <t>According to the specialist guidelines for sheet metal work (Part 1, 2014), upstands should generally be raised by 150 mm (measured at right angles).</t>
  </si>
  <si>
    <r>
      <t>Conformément aux règles professionnelles pour les travaux de ferblanterie (1</t>
    </r>
    <r>
      <rPr>
        <vertAlign val="superscript"/>
        <sz val="11"/>
        <color rgb="FF000000"/>
        <rFont val="Arial"/>
        <family val="2"/>
      </rPr>
      <t>re</t>
    </r>
    <r>
      <rPr>
        <sz val="11"/>
        <color rgb="FF000000"/>
        <rFont val="Arial"/>
        <family val="2"/>
      </rPr>
      <t> partie, 2014), les relevés doivent en général faire 150 mm de haut (mesurés à angle droit).</t>
    </r>
  </si>
  <si>
    <t>Secondo le Linee guida per i lavori di lattoneria (Parte 1, 2014), le estrusioni dovrebbero essere normalmente sollevate di 150 mm (misurate ad angolo retto).</t>
  </si>
  <si>
    <t>Podle odborných pravidel pro klempířské práce (část 1, 2014) se horní tahy musí zpravidla vytáhnout o 150 mm nahoru (měřeno v pravém úhlu).</t>
  </si>
  <si>
    <t>Zgodnie z dokumentem Fachregeln für Bauspenglerarbeiten (Specjalistyczne zasady wykonywania prac blacharskich w budynkach) (część 1, 2014) wysokości zabezpieczeń powinny być z reguły podniesione o 150 mm (mierzone pod kątem prostym).</t>
  </si>
  <si>
    <t>A bádogos munkák szakmai szabályai (1. rész, 2014) szerint a tetőszegélyeket általában 150 mm-rel kell megemelni (derékszögben mérve).</t>
  </si>
  <si>
    <t>Podľa odborných predpisov pre stavebné klampiarske práce (časť 1, 2014) treba zvislé napojenia vytiahnuť nahor spravidla 150 mm (merané v pravom uhle).</t>
  </si>
  <si>
    <t>Volgens de technische regels voor plaatbewerking (Deel 1, 2014) moeten stootborden in het algemeen 150 mm worden verhoogd (haaks gemeten).</t>
  </si>
  <si>
    <t>V skladu s tehničnimi predpisi za gradbena kleparska dela (1. del, 2014), je treba dvige praviloma dvigniti za 150 mm (merjeno pod pravim kotom).</t>
  </si>
  <si>
    <t>Enligt de tekniska reglerna för plåtarbeten (del 1, 2014) ska stigare i allmänhet höjas 150 mm (mätt i rät vinkel).</t>
  </si>
  <si>
    <t>Ifølge de tekniske regler for pladearbejde (del 1, 2014) skal stigrør generelt hæves 150 mm (målt i ret vinkel).</t>
  </si>
  <si>
    <t>I henhold til tekniske regler for blikkenslagerarbeid (del 1, 2014) skal stigerør generelt heves 150 mm (målt i rette vinkler).</t>
  </si>
  <si>
    <t>Prema tehničkim pravilima za obradu lima (1. dio, 2014.), uspravni elementi bi u pravilu trebali biti podignuti 150 mm (mjereno pod pravim kutom).</t>
  </si>
  <si>
    <t>In Abhängigkeit des Dachaufbaues (Unterdach) und der Dachneigung (unter Berücksichtigung der örtlichen klimatischen Verhältnisse) ist eine Reduktion der Hochzugshöhe möglich (Sonderkonstruktion).</t>
  </si>
  <si>
    <t>Depending on the roof structure (underlay) and roof pitch (taking the local climatic conditions into account), it is possible to reduce the height of the upstand (bespoke construction).</t>
  </si>
  <si>
    <t>Suivant la structure de la toiture (écran de sous-toiture) et la pente du toit (en tenant compte des conditions climatiques locales), il est possible, dans certaines conditions, de réduire la hauteur des relevés (construction spéciale).</t>
  </si>
  <si>
    <t>A seconda della struttura del tetto (sottotetto) e della pendenza del tetto (tenendo conto delle condizioni climatiche locali), è possibile una riduzione dell'altezza di sollevamento (costruzione speciale).</t>
  </si>
  <si>
    <t>Podle skladby střechy (izolace) a jejím sklonu (s ohledem na místní klimatické podmínky) lze horní tahy snížit (speciální konstrukce).</t>
  </si>
  <si>
    <t>W zależności od konstrukcji dachu (pokrycie więźby dachowej) i kąta nachylenia dachu (z uwzględnieniem lokalnych warunków klimatycznych) możliwe jest zmniejszenie wysokości zabezpieczeń (konstrukcja specjalna).</t>
  </si>
  <si>
    <t>A tető rétegrendtől (alsó tetősík) és a tetőhajlásszögtől függően (a helyi éghajlati viszonyok figyelembevételével) lehetőség van a szegélymagasság csökkentésére (speciális kivitelezés).</t>
  </si>
  <si>
    <t>V závislosti od skladby strechy (podstrešie) a sklonu strechy (pri zohľadnení miestnych klimatických pomerov) je možné zníženie výšky zvislého napojenia (špeciálna konštrukcia).</t>
  </si>
  <si>
    <t>Afhankelijk van de dakstructuur (onderdak) en de dakhelling (rekening houdend met de plaatselijke klimatologische omstandigheden) is een vermindering van de hoogte van het dak mogelijk (speciale constructie).</t>
  </si>
  <si>
    <t>Glede na strešno konstrukcijo (podstreho) in naklon strehe (ob upoštevanju lokalnih klimatskih razmer) je možno znižanje višine dviga (posebna konstrukcija).</t>
  </si>
  <si>
    <t>Beroende på takkonstruktionen (undertaket) och taklutningen (med hänsyn till de lokala klimatförhållandena) är en minskning av uppdragningshöjden möjlig (specialkonstruktion).</t>
  </si>
  <si>
    <t>Afhængig af tagkonstruktionen (undertaget) og taghældningen (under hensyntagen til de lokale klimaforhold) er en reduktion af den hævede højde mulig (specialkonstruktion).</t>
  </si>
  <si>
    <t>Avhengig av takkonstruksjonen (undertaket) og takhellingen (basert på de lokale klimaforholdene), er en reduksjon i stighøyden mulig (spesialkonstruksjon).</t>
  </si>
  <si>
    <t>Ovisno o krovnoj konstrukciji (sekundarni krov) i nagibu krova (uzimajući u obzir lokalne klimatske uvjete), moguće je smanjiti povišeni element (posebna konstrukcija).</t>
  </si>
  <si>
    <t>Bei der Anordnung von firstseitigen Abluftöffnungen bei einschaligen Dachaufbauten kann ein Eindringen von Flugschnee nicht gänzlich ausgeschlossen werden.</t>
  </si>
  <si>
    <t>When positioning air inlets on the ridge side of single-skin roof structures, penetration by drifting snow cannot be completely ruled out.</t>
  </si>
  <si>
    <t>Pour les toitures à simple peau, une pénétration de la neige volante au niveau des entrées et sorties d’air ne peut être complètement exclue.</t>
  </si>
  <si>
    <t>Quando si sistemano le aperture per l'aerazione sul lato del colmo delle strutture del tetto a strato singolo, non si può escludere completamente la penetrazione di neve spinta dal vento.</t>
  </si>
  <si>
    <t>Jestliže jsou u jednoplášťové střešní skladby na straně hřebenu odvětrávací otvory, pak nelze zcela vyloučit nafoukání sněhu pod střechu.</t>
  </si>
  <si>
    <t>W przypadku umieszczenia otworów wywiewnych po stronie kalenicy w jednowarstwowych konstrukcjach dachowych nie można całkowicie wykluczyć przedostawania się naniesionego śniegu.</t>
  </si>
  <si>
    <t>Az egyhéjú tető rétegrendek esetében a gerincoldali szellőzőnyílások kialakításakor a hó behatolása nem zárható ki teljesen.</t>
  </si>
  <si>
    <t>Pri umiestnení odvetrávacích otvorov na strane hrebeňa pri jednoplášťových skladbách striech nie je možné celkom vylúčiť prienik náletového snehu.</t>
  </si>
  <si>
    <t>Bij de plaatsing van luchtafvoeropeningen aan de nokzijde van enkelwandige dakmontages kan het binnendringen van stuifsneeuw niet volledig worden uitgesloten.</t>
  </si>
  <si>
    <t>V primeru razporeditve odprtin za odvod zraka na slemenski strani v strešnih konstrukcijah z enojnim opažem ni mogoče popolnoma izključiti prodiranja prašnega snega.</t>
  </si>
  <si>
    <t>Vid arrangemang av frånluftsöppningar på nocksidan i takkonstruktioner med enkelt skal kan inträngning av drivsnö inte helt uteslutas.</t>
  </si>
  <si>
    <t>Ved placering af luftåbninger på rygningssiden i enkeltskallede tagkonstruktioner kan indtrængning af fygesne ikke helt udelukkes.</t>
  </si>
  <si>
    <t>Ved oppsett av lufteåpninger på mønesiden i ettlags takkonstruksjoner kan en mulig inntrengning av drivsnø ikke helt utelukkes.</t>
  </si>
  <si>
    <t>Prilikom postavljanja otvora za odzračivanje na strani sljemena kod jednoslojnih krovnih konstrukcija ne može se u potpunosti isključiti prodor nanesenog snijega.</t>
  </si>
  <si>
    <t>Schalung und Trennlage sind entsprechend dem Lüftungsquerschnitt auszuschneiden (Durchmesser: ca. 10 cm).</t>
  </si>
  <si>
    <t>the air intake section must be taken into account when cutting out the sheathing and the separating layer (diameter: approx. 10 cm).</t>
  </si>
  <si>
    <t>Bednění a separační vrstvu je nutno odpovídajícím způsobem vyříznout (průměr cca 10 cm).</t>
  </si>
  <si>
    <t>Oplatu i razdjelni sloj potrebno je izrezati prema slobodnom presjeku (promjer: cca. 10 cm).</t>
  </si>
  <si>
    <t>Die Dacheindeckung ist im Randbereich der Ausschnitte umlaufend mit einer 1 cm hohen Aufschweifung zu versehen.</t>
  </si>
  <si>
    <t>Na krytině v místě prostřihu vytvořte zvednutí 1 cm.</t>
  </si>
  <si>
    <t>Wokół krawędzi wycięć na pokryciu dachowym należy wykonać podgięcie o wysokości 1 cm.</t>
  </si>
  <si>
    <t>Rubovi izreza na krovnom pokrovu moraju biti okruženi povišenom krivuljom visine 1 cm.</t>
  </si>
  <si>
    <t>Kantholz</t>
  </si>
  <si>
    <t>square timber</t>
  </si>
  <si>
    <t>pièce de bois équarri</t>
  </si>
  <si>
    <t>Legno squadrato</t>
  </si>
  <si>
    <t>Dřevěný hranol</t>
  </si>
  <si>
    <t>Kantówka</t>
  </si>
  <si>
    <t>négyszögletes fa</t>
  </si>
  <si>
    <t>hranol</t>
  </si>
  <si>
    <t>Vierkant hout</t>
  </si>
  <si>
    <t>Gradbeni les</t>
  </si>
  <si>
    <t>fyrkantsvirke</t>
  </si>
  <si>
    <t>Kanttræ</t>
  </si>
  <si>
    <t>Kanttrevirke</t>
  </si>
  <si>
    <t>Kvadratno drvo</t>
  </si>
  <si>
    <t>Laufsteg</t>
  </si>
  <si>
    <t>walkway</t>
  </si>
  <si>
    <t>strešná lávka</t>
  </si>
  <si>
    <t>Loopbrug</t>
  </si>
  <si>
    <t>Brv</t>
  </si>
  <si>
    <t>gångbro</t>
  </si>
  <si>
    <t>Løbegang</t>
  </si>
  <si>
    <t>Plattform</t>
  </si>
  <si>
    <t>Stuba</t>
  </si>
  <si>
    <t>Leistendeckung</t>
  </si>
  <si>
    <t>cap covering</t>
  </si>
  <si>
    <t>couvre-joint de tasseau</t>
  </si>
  <si>
    <t>Copertura delle strisce</t>
  </si>
  <si>
    <t>Lištový spoj krytiny</t>
  </si>
  <si>
    <t>Pokrycie na listwach</t>
  </si>
  <si>
    <t>szegélyburkolat</t>
  </si>
  <si>
    <t>lištový krycí profil</t>
  </si>
  <si>
    <t>Balkdekking</t>
  </si>
  <si>
    <t>Letveni sistem</t>
  </si>
  <si>
    <t>listtäckning</t>
  </si>
  <si>
    <t>Listeafdækning</t>
  </si>
  <si>
    <t>Lektedekke</t>
  </si>
  <si>
    <t>Pokrov lajsne</t>
  </si>
  <si>
    <t>Notüberlauf</t>
  </si>
  <si>
    <t>emergency overflow</t>
  </si>
  <si>
    <t>trop-plein</t>
  </si>
  <si>
    <t>Trabocco di emergenza</t>
  </si>
  <si>
    <t>Nouzový přetok</t>
  </si>
  <si>
    <t>Przelew awaryjny</t>
  </si>
  <si>
    <t>vészhelyzeti túlfolyó</t>
  </si>
  <si>
    <t>núdzový prepad</t>
  </si>
  <si>
    <t>Noodoverloop</t>
  </si>
  <si>
    <t>Zasilni preliv</t>
  </si>
  <si>
    <t>överfyllnadsskydd</t>
  </si>
  <si>
    <t>Nødoverløb</t>
  </si>
  <si>
    <t>Nødoverløp</t>
  </si>
  <si>
    <t>Otvor za istjecanje u nuždi</t>
  </si>
  <si>
    <t>Ohne Unterdach und in schneereichen Gebieten: Dachneigung über 35° (70 %)</t>
  </si>
  <si>
    <t>Without underlay and in snowy areas: roof pitch over 35° (70%)</t>
  </si>
  <si>
    <t>Sans écran de sous-toiture et dans les régions à fort enneigement : pente du toit de plus de 35° (soit 70 %).</t>
  </si>
  <si>
    <t>Senza sottotetto e in zone nevose: Pendenza del tetto superiore a 35° (70%)</t>
  </si>
  <si>
    <t>Bez izolace a v oblastech s bohatou sněhovou nadílkou: Sklon střechy přes 35° (70 %)</t>
  </si>
  <si>
    <t>Bez pokrycia więźby dachowej i na terenach, gdzie występują opady śniegu: Nachylenie dachu powyżej 35° (70%)</t>
  </si>
  <si>
    <t>Alsó tetősík nélkül és havas területeken: 35° feletti tetőhajlásszög (70 %)</t>
  </si>
  <si>
    <t>Bez podstrešia a v oblastiach bohatých na sneh: sklon strechy viac ako 35° (70 %)</t>
  </si>
  <si>
    <t>Zonder onderdak en in besneeuwde gebieden: Dakhelling boven 35° (70 %)</t>
  </si>
  <si>
    <t>Brez podstrehe in na zasneženih območjih: Naklon strehe 35°(70 %)</t>
  </si>
  <si>
    <t>Utan undertak och i snörika områden: Taklutning över 35° (70 %)</t>
  </si>
  <si>
    <t>Uden undertag og i snerige områder: Taghældning over 35° (70 %)</t>
  </si>
  <si>
    <t>Uten undertak og i snørike områder: Takvinkel over 35° (70 %)</t>
  </si>
  <si>
    <t>Bez sekundarnog krova i u snježnim područjima: Nagib krova preko 35° (70 %)</t>
  </si>
  <si>
    <t>Schablone zum Ausschneiden der Laschen verwenden; siehe „Montagehinweis Solarluke“.</t>
  </si>
  <si>
    <t>Use the template to cut out the tabs; see “Solar roof conduit installation instructions”.</t>
  </si>
  <si>
    <t>Utiliser des gabarits pour la découpe de la patte de fixation ; voir « Notice de pose de la chatière pour panneaux solaires ».</t>
  </si>
  <si>
    <t>Usare il modello per ritagliare le linguette; vedere "Istruzioni per l'installazione della bocchetta Solar".</t>
  </si>
  <si>
    <t>Pro vyříznutí lamel použijte šablony, viz „Montážní pokyn pro střešní průchodku pro fotovoltaické zařízení“.</t>
  </si>
  <si>
    <t>Za pomocą szablonu wyciąć wypustki; patrz „Instrukcja montażu przepustu kablowego przewodów instalacji fotowoltaicznej”.</t>
  </si>
  <si>
    <t>sablon használata a fülek kivágásához; lásd „a Solar kábelvezető elem szerelési útmutatója".</t>
  </si>
  <si>
    <t>Použiť šablónu na vyrezanie príložiek; pozri „Pokyn na montáž prestupového prvku solárnych vedení“.</t>
  </si>
  <si>
    <t>Gebruik het sjabloon om de lipjes uit te snijden; zie "Installatie-instructies voor solarluik".</t>
  </si>
  <si>
    <t>Uporabite šablono za izrezovanje zavihkov; glejte "Navodila za namestitev sončne line".</t>
  </si>
  <si>
    <t>Använd mallen för att klippa ut flikarna; se "Montageanvisningar för solluckan".</t>
  </si>
  <si>
    <t>Brug skabelonen til at skære fanerne ud; se "Montagevejledning til Solarluke".</t>
  </si>
  <si>
    <t>Bruk mal til utskjæring av flikene, se «Monteringsinstruks for solcelleluke».</t>
  </si>
  <si>
    <t>Koristite predložak za izrezivanje vezica; pogledajte „Upute za instalaciju solar uvodnice”.</t>
  </si>
  <si>
    <t>Schnitt B-B</t>
  </si>
  <si>
    <t>Cut B-B</t>
  </si>
  <si>
    <t>section B-B</t>
  </si>
  <si>
    <t>Sezione B-B</t>
  </si>
  <si>
    <t>Řez B–B</t>
  </si>
  <si>
    <t>Przekrój B-B</t>
  </si>
  <si>
    <t>B-B metszet</t>
  </si>
  <si>
    <t>Rez B-B</t>
  </si>
  <si>
    <t>Sectie B-B</t>
  </si>
  <si>
    <t>Sektion B–B</t>
  </si>
  <si>
    <t>Snit B-B</t>
  </si>
  <si>
    <t>Snitt B-B</t>
  </si>
  <si>
    <t>Presjek B-B</t>
  </si>
  <si>
    <t>Traufenausbildung bei Saumrinne (mit Hinterlüftung) – Variante 1</t>
  </si>
  <si>
    <t>eaves construction with on-roof gutter (with ventilation gap) — variants 1</t>
  </si>
  <si>
    <t>réalisation d’un égout pour gouttière havraise (avec lame d’air ventilée) — variante 1</t>
  </si>
  <si>
    <t>Raccordo alla gronda per grondaia cornicione (con retroventilazione) - Variante 1</t>
  </si>
  <si>
    <t>Detail okapní hrany s nástřešním žlabem s odvětráním VAR 1</t>
  </si>
  <si>
    <t>Konstrukcja okapu przy rynnie leżącej (z wentylowaną pustką powietrzną) – wariant 1</t>
  </si>
  <si>
    <t>ereszkialakítás fekvő eresz esetén (átszellőztetéssel) – 1. változat</t>
  </si>
  <si>
    <t>vytvorenie odkvapu pri nástrešnom žľabe (s prevetrávanou medzerou) – variant 1</t>
  </si>
  <si>
    <t>Dakrandvorming bij dakgoot (met ventilatie via achterkant) - variant 1</t>
  </si>
  <si>
    <t>Oblikovanje napušča pri robnem žlebu (s prezračevanjem) – različica 1</t>
  </si>
  <si>
    <t>Takfotsutformning vid sömrännan (med bakventilation) – Variant 1</t>
  </si>
  <si>
    <t>Tagudhængsdesign ved fodrende (med ventilation) – variant 1</t>
  </si>
  <si>
    <t>Takskjeggoppbygging ved falsrenne (med baklufting) – variant 1</t>
  </si>
  <si>
    <t>Konstrukcija strehe kod ležećeg žlijeba (sa stražnjom ventilacijom) – varijanta 1</t>
  </si>
  <si>
    <t>Traufenausbildung bei Saumrinne (mit Hinterlüftung) – Variante 2</t>
  </si>
  <si>
    <t>eaves construction — on-roof gutter with ventilation gap — variants 2</t>
  </si>
  <si>
    <t>réalisation d’un égout pour gouttière havraise (avec lame d’air ventilée) — variante 2</t>
  </si>
  <si>
    <t>Raccordo alla gronda per grondaia cornicione (con retroventilazione) - Variante 2</t>
  </si>
  <si>
    <t>Detail okapní hrany s nástřešním žlabem s odvětráním VAR 2</t>
  </si>
  <si>
    <t>Konstrukcja okapu przy rynnie leżącej (z wentylowaną pustką powietrzną) – wariant 2</t>
  </si>
  <si>
    <t>ereszkialakítás fekvő eresz esetén (átszellőztetéssel) – 2. változat</t>
  </si>
  <si>
    <t>vytvorenie odkvapu pri nástrešnom žľabe (s prevetrávanou medzerou) – variant 2</t>
  </si>
  <si>
    <t>Dakrandvorming bij dakgoot (met ventilatie via achterkant) - variant 2</t>
  </si>
  <si>
    <t>Oblikovanje napušča pri robnem žlebu (s prezračevanjem) – različica 2</t>
  </si>
  <si>
    <t>Takfotsutformning vid sömrännan (med bakventilation) – Variant 2</t>
  </si>
  <si>
    <t>Tagudhængsdesign ved fodrende (med ventilation) – variant 2</t>
  </si>
  <si>
    <t>Takskjeggoppbygging ved falsrenne (med baklufting) – variant 2</t>
  </si>
  <si>
    <t>Konstrukcija strehe kod ležećeg žlijeba (sa stražnjom ventilacijom) – varijanta 2</t>
  </si>
  <si>
    <t>Unterkonstruktion</t>
  </si>
  <si>
    <t>substructure</t>
  </si>
  <si>
    <t xml:space="preserve"> structure</t>
  </si>
  <si>
    <t>Sottostruttura</t>
  </si>
  <si>
    <t>spodní konstrukce</t>
  </si>
  <si>
    <t>Konstrukcja nośna</t>
  </si>
  <si>
    <t>alátétszerkezet</t>
  </si>
  <si>
    <t>podkonštrukcia</t>
  </si>
  <si>
    <t>Onderconstructie</t>
  </si>
  <si>
    <t>Podkonstrukcija</t>
  </si>
  <si>
    <t>underkonstruktion</t>
  </si>
  <si>
    <t>Underkonstruktion</t>
  </si>
  <si>
    <t>Underkonstruksjon</t>
  </si>
  <si>
    <t>Potkonstrukcija</t>
  </si>
  <si>
    <t>Variante 1</t>
  </si>
  <si>
    <t>variant 1</t>
  </si>
  <si>
    <t>variante 1</t>
  </si>
  <si>
    <t>Varianta 1</t>
  </si>
  <si>
    <t>Wariant 1</t>
  </si>
  <si>
    <t>1. változat</t>
  </si>
  <si>
    <t>variant 1</t>
  </si>
  <si>
    <t>Variant 1</t>
  </si>
  <si>
    <t>Različica 1</t>
  </si>
  <si>
    <t>Varijanta 1</t>
  </si>
  <si>
    <t>Variante 3</t>
  </si>
  <si>
    <t>variant 3</t>
  </si>
  <si>
    <t>variante 3</t>
  </si>
  <si>
    <t>Varianta 3</t>
  </si>
  <si>
    <t>Wariant 3</t>
  </si>
  <si>
    <t>3. változat</t>
  </si>
  <si>
    <t>variant 3</t>
  </si>
  <si>
    <t>Variant 3</t>
  </si>
  <si>
    <t>Različica 3</t>
  </si>
  <si>
    <t>Varijanta 3</t>
  </si>
  <si>
    <t>Variante 4</t>
  </si>
  <si>
    <t>variant 4</t>
  </si>
  <si>
    <t>variante 4</t>
  </si>
  <si>
    <t>Varianta 4</t>
  </si>
  <si>
    <t>Wariant 4</t>
  </si>
  <si>
    <t>4. változat</t>
  </si>
  <si>
    <t>variant 4</t>
  </si>
  <si>
    <t>Variant 4</t>
  </si>
  <si>
    <t>Različica 4</t>
  </si>
  <si>
    <t>Varijanta 4</t>
  </si>
  <si>
    <t>Variante mit Dichtbandeinlage</t>
  </si>
  <si>
    <t>variant with sealing insert</t>
  </si>
  <si>
    <t>variante avec bande d’étanchéité</t>
  </si>
  <si>
    <t>Variante con inserimento di striscia sigillante</t>
  </si>
  <si>
    <t>Varianta s vložením těsnicího pásku</t>
  </si>
  <si>
    <t>Wariant z taśmą uszczelniającą</t>
  </si>
  <si>
    <t>tömítőszalag-betétes változat</t>
  </si>
  <si>
    <t>variant s vložkou z tesniacej pásky</t>
  </si>
  <si>
    <t>Variant met afdichtband</t>
  </si>
  <si>
    <t>Različica s tesnilnim vložkom</t>
  </si>
  <si>
    <t>Variant med insats med tätningsband</t>
  </si>
  <si>
    <t>Variant med indlæg med tætningsbånd</t>
  </si>
  <si>
    <t>Variant med tetningsbåndinnlegg</t>
  </si>
  <si>
    <t>Varijanta s umetkom s brtvenom trakom</t>
  </si>
  <si>
    <t>variant with coulisseau:</t>
  </si>
  <si>
    <t>Varianta se suvnou lištou:</t>
  </si>
  <si>
    <t>Variante mit Stecküberschubleiste:</t>
  </si>
  <si>
    <t>Variant with insertable coulisseau:</t>
  </si>
  <si>
    <t>variante avec coulisseau emboîtable :</t>
  </si>
  <si>
    <t>Variante con striscia di copertura a incastro:</t>
  </si>
  <si>
    <t>Varianta se zásuvnou lištou:</t>
  </si>
  <si>
    <t>Wariant z wciskaną listwą maskującą:</t>
  </si>
  <si>
    <t>behelyezhető csúszkás változat:</t>
  </si>
  <si>
    <t>Variant s násuvnou krycou lištou:</t>
  </si>
  <si>
    <t>Variant met induwstrook:</t>
  </si>
  <si>
    <t>Različica z vtično narivno letvijo:</t>
  </si>
  <si>
    <t>Variant med plug-in skjutreglage:</t>
  </si>
  <si>
    <t>Variant med stikoverdækningsliste:</t>
  </si>
  <si>
    <t>Variant med overskyvningslist for innstikk:</t>
  </si>
  <si>
    <t>Varijanta s utičnom kliznom lajsnom:</t>
  </si>
  <si>
    <t>Varianten mit Einhangfalz:</t>
  </si>
  <si>
    <t>Variants with flat lock welt:</t>
  </si>
  <si>
    <t>variantes avec accrochage par emboîtement :</t>
  </si>
  <si>
    <t>Varianti con aggraffatura a uncino:</t>
  </si>
  <si>
    <t>Varianta se závěsnou drážkou:</t>
  </si>
  <si>
    <t>Wariant z okrągłym łączeniem dopasowanym:</t>
  </si>
  <si>
    <t>függőkorcos változatok:</t>
  </si>
  <si>
    <t>Varianty so závesným falcom:</t>
  </si>
  <si>
    <t>Varianten met inhaaknaad:</t>
  </si>
  <si>
    <t>Različica z obesnim kleparskim zgibom:</t>
  </si>
  <si>
    <t>Varianter med krokfals:</t>
  </si>
  <si>
    <t>Varianter med indhængsfals:</t>
  </si>
  <si>
    <t>Variant med hengefals:</t>
  </si>
  <si>
    <t>Varijante s preklapanjem:</t>
  </si>
  <si>
    <t>Varianten mit Stoßausbildung:</t>
  </si>
  <si>
    <t>variants with joint connection:</t>
  </si>
  <si>
    <t>variantes de réalisation des joints :</t>
  </si>
  <si>
    <t>Varianti con giunto di testa:</t>
  </si>
  <si>
    <t>Varianty se stykovým provedením:</t>
  </si>
  <si>
    <t>Warianty z formowaniem połączeń:</t>
  </si>
  <si>
    <t>illesztéses változatok:</t>
  </si>
  <si>
    <t>Varianty s vytvorením styku:</t>
  </si>
  <si>
    <t>Varianten met stootvoeg:</t>
  </si>
  <si>
    <t>Različice z oblikovanjem spoja:</t>
  </si>
  <si>
    <t>Varianter med samling:</t>
  </si>
  <si>
    <t>Varianter med falsoppbygging:</t>
  </si>
  <si>
    <t>Varijante sa zglobnim spojem:</t>
  </si>
  <si>
    <t>Ecksiding</t>
  </si>
  <si>
    <t>CORNER SIDINGS</t>
  </si>
  <si>
    <t>SIDING D’ANGLE</t>
  </si>
  <si>
    <t>Doga angolare</t>
  </si>
  <si>
    <t>ROHOVÝ SIDING</t>
  </si>
  <si>
    <t>NAROŻNIK SIDING</t>
  </si>
  <si>
    <t>SAROKSIDING ELEM</t>
  </si>
  <si>
    <t>HOEKSIDING</t>
  </si>
  <si>
    <t>VOGALNA OBLOGA</t>
  </si>
  <si>
    <t>HÖRNSIDA</t>
  </si>
  <si>
    <t>ECKSIDING</t>
  </si>
  <si>
    <t>HJØRNE-SIDING</t>
  </si>
  <si>
    <t>KUTNA FASADNA KAZETA</t>
  </si>
  <si>
    <t>Materialauswahl:</t>
  </si>
  <si>
    <t>CHOICE OF MATERIAL:</t>
  </si>
  <si>
    <t>CHOIX DES MATÉRIAUX .</t>
  </si>
  <si>
    <t>Scelta del materiale</t>
  </si>
  <si>
    <t>VÝBĚR MATERIÁLU:</t>
  </si>
  <si>
    <t>WYBÓR MATERIAŁU:</t>
  </si>
  <si>
    <t>ANYAGVÁLASZTÁS:</t>
  </si>
  <si>
    <t>VÝBER MATERIÁLU:</t>
  </si>
  <si>
    <t>MATERIAALKEUZE:</t>
  </si>
  <si>
    <t>IZBIRA MATERIALA:</t>
  </si>
  <si>
    <t>MATERIALSORTIMENT:</t>
  </si>
  <si>
    <t>MATERIALEVALG:</t>
  </si>
  <si>
    <t>MATERIALVALG:</t>
  </si>
  <si>
    <t>IZBOR MATERIJALA:</t>
  </si>
  <si>
    <t>Stärke</t>
  </si>
  <si>
    <t>thickness</t>
  </si>
  <si>
    <t>épaisseur</t>
  </si>
  <si>
    <t>Spessore</t>
  </si>
  <si>
    <t>Tloušťka</t>
  </si>
  <si>
    <t>Grubość</t>
  </si>
  <si>
    <t>vastagság</t>
  </si>
  <si>
    <t>hrúbka</t>
  </si>
  <si>
    <t>Dikte</t>
  </si>
  <si>
    <t>Debelina</t>
  </si>
  <si>
    <t>tjocklek</t>
  </si>
  <si>
    <t>Styrke</t>
  </si>
  <si>
    <t>Tykkelse</t>
  </si>
  <si>
    <t>Debljina</t>
  </si>
  <si>
    <t>Ausführung</t>
  </si>
  <si>
    <t>DESIGN</t>
  </si>
  <si>
    <t>RÉALISATION</t>
  </si>
  <si>
    <t>Finitura</t>
  </si>
  <si>
    <t>PROVEDENÍ</t>
  </si>
  <si>
    <t>WYKONANIE</t>
  </si>
  <si>
    <t>KIALAKÍTÁS</t>
  </si>
  <si>
    <t>VYHOTOVENIE</t>
  </si>
  <si>
    <t>UITVOERING</t>
  </si>
  <si>
    <t>IZVEDBA</t>
  </si>
  <si>
    <t>UTFÖRANDE</t>
  </si>
  <si>
    <t>UDFØRELSE</t>
  </si>
  <si>
    <t>UTFØRELSE</t>
  </si>
  <si>
    <t>gekantet</t>
  </si>
  <si>
    <t>canted</t>
  </si>
  <si>
    <t>replié</t>
  </si>
  <si>
    <t>squadrato</t>
  </si>
  <si>
    <t>hraněný</t>
  </si>
  <si>
    <t>obrobiony</t>
  </si>
  <si>
    <t>hajtott</t>
  </si>
  <si>
    <t>ohýbané</t>
  </si>
  <si>
    <t>gevoegd</t>
  </si>
  <si>
    <t>obrobljena</t>
  </si>
  <si>
    <t>kantad</t>
  </si>
  <si>
    <t>kantet</t>
  </si>
  <si>
    <t>Kantet</t>
  </si>
  <si>
    <t>kantirano</t>
  </si>
  <si>
    <t>Kantung nur mit Segmentbiegebank möglich.</t>
  </si>
  <si>
    <t>Canting only possible with a segment folding bench.</t>
  </si>
  <si>
    <t>Pliure possible uniquement avec un banc de pliage à segments.</t>
  </si>
  <si>
    <t>Piegatura possibile solo con banco di piegatura a segmenti.</t>
  </si>
  <si>
    <t>Hranění je možné provádět pouze se segmentovou ohýbačkou.</t>
  </si>
  <si>
    <t>Gięcie możliwe tylko przy użyciu stołu do gięcia.</t>
  </si>
  <si>
    <t>Hajlítás csak szegmenshajlító padon lehetséges.</t>
  </si>
  <si>
    <t>Ohyb je možný iba so segmentovou ohýbačkou.</t>
  </si>
  <si>
    <t>Buigen alleen mogelijk met segmentbuigbank.</t>
  </si>
  <si>
    <t>Obroba možna samo z napravo za prepogibanje segmentov.</t>
  </si>
  <si>
    <t>Kantning endast möjlig med segmentbockningsbänk.</t>
  </si>
  <si>
    <t>Bøjning kun mulig med segmentbøjningsbænk.</t>
  </si>
  <si>
    <t>Kanting er kun mulig med bøyebenk for segment.</t>
  </si>
  <si>
    <t>Kantiranje moguće samo s uređajem za savijanje segmenta.</t>
  </si>
  <si>
    <t>gerade</t>
  </si>
  <si>
    <t>straight</t>
  </si>
  <si>
    <t>droit</t>
  </si>
  <si>
    <t>diritto</t>
  </si>
  <si>
    <t>rovný</t>
  </si>
  <si>
    <t>prosty</t>
  </si>
  <si>
    <t>egyenes</t>
  </si>
  <si>
    <t>recht</t>
  </si>
  <si>
    <t>ravna</t>
  </si>
  <si>
    <t>rak</t>
  </si>
  <si>
    <t>lige</t>
  </si>
  <si>
    <t>Rett</t>
  </si>
  <si>
    <t>ravno</t>
  </si>
  <si>
    <t>(Die Sichtlänge [S] ist um 22 mm länger als das Innenmaß [L])</t>
  </si>
  <si>
    <t>(The visible length [S] is 22 mm longer than the internal dimensions [L])</t>
  </si>
  <si>
    <t>(La longueur visible [S] est de 22 mm plus longue que les dimensions internes [L])</t>
  </si>
  <si>
    <t>(La lunghezza visibile [S] è 22 mm più lunga della dimensione interna [L])</t>
  </si>
  <si>
    <t>(Pohledová délka [S] je o 22 mm delší než vnitřní rozměr [L])</t>
  </si>
  <si>
    <t>(Długość widoczna [S] jest o 22 mm większa niż wymiar wewnętrzny [L])</t>
  </si>
  <si>
    <t>(a látható hossz [S] 22 mm-rel hosszabb, mint a belső méret [L])</t>
  </si>
  <si>
    <t>(Pohľadová dĺžka [S] je o 22 mm dlhšia ako vnútorný rozmer [L])</t>
  </si>
  <si>
    <t>(De zichtbare lengte [S] is 22 mm langer dan de binnenmaat [L])</t>
  </si>
  <si>
    <t>(Vidna dolžina [S] je daljša od notranje mere [L] za 22 mm)</t>
  </si>
  <si>
    <t>(Den synliga längden [S] är 22 mm längre än innermåttet [L])</t>
  </si>
  <si>
    <t>(Den synlige længde [S] er 22 mm længere end det indvendige mål [L])</t>
  </si>
  <si>
    <t>(Synslengden [S] er omtrent 22 mm lenger enn innvendig mål [L])</t>
  </si>
  <si>
    <t>(Vidljiva duljina [S] duža je od unutarnje dimenzije [L] za 22 mm)</t>
  </si>
  <si>
    <t>Schenkellänge L1 (Innenmaß in mm)</t>
  </si>
  <si>
    <t>side length L1 (internal dimensions in mm)</t>
  </si>
  <si>
    <t>longueur L1 de chacun des côtés (dimensions intérieures en mm)</t>
  </si>
  <si>
    <t>Lunghezza del lato L1 (dimensione interna in mm)</t>
  </si>
  <si>
    <t>Délka ramene L1 (vnitřní rozměr v mm)</t>
  </si>
  <si>
    <t>Długość boku kątownika L1 (wymiar wewnętrzny w mm)</t>
  </si>
  <si>
    <t>L1 szárhossz (belső méret mm-ben)</t>
  </si>
  <si>
    <t>dĺžka ramena L1 (vnútorný rozmer v mm)</t>
  </si>
  <si>
    <t>Beenlengte L1 (binnenmaat in mm)</t>
  </si>
  <si>
    <t>Dolžina kraka L1 (notranja mera v mm)</t>
  </si>
  <si>
    <t>Sidolängd L1 (innermått i mm)</t>
  </si>
  <si>
    <t>Sidelængde L1 (indvendige mål i mm)</t>
  </si>
  <si>
    <t>Elementlengde L1 (innvendig mål i mm)</t>
  </si>
  <si>
    <t>Duljina strane L1 (unutarnja dimenzija u mm)</t>
  </si>
  <si>
    <t>Schenkellänge L2 (Innenmaß in mm)</t>
  </si>
  <si>
    <t>side length L2 (internal dimensions in mm)</t>
  </si>
  <si>
    <t>longueur L2 de chacun des côtés (dimensions intérieures en mm)</t>
  </si>
  <si>
    <t>Lunghezza del lato L2 (dimensione interna in mm)</t>
  </si>
  <si>
    <t>Délka ramene L2 (vnitřní rozměr v mm)</t>
  </si>
  <si>
    <t>Długość boku kątownika L2 (wymiar wewnętrzny w mm)</t>
  </si>
  <si>
    <t>L2 szárhossz (belső méret mm-ben)</t>
  </si>
  <si>
    <t>dĺžka ramena L2 (vnútorný rozmer v mm)</t>
  </si>
  <si>
    <t>Beenlengte L2 (binnenmaat in mm)</t>
  </si>
  <si>
    <t>Dolžina kraka L2 (notranja mera v mm)</t>
  </si>
  <si>
    <t>Benlängd L2 (innermått i mm)</t>
  </si>
  <si>
    <t>Sidelængde L2 (indvendige mål i mm)</t>
  </si>
  <si>
    <t>Elementlengde L2 (innvendig mål i mm)</t>
  </si>
  <si>
    <t>Duljina strane L2 (unutarnja dimenzija u mm)</t>
  </si>
  <si>
    <t>Gesamtinnenlänge</t>
  </si>
  <si>
    <t>total inside length</t>
  </si>
  <si>
    <t>longueur intérieure totale</t>
  </si>
  <si>
    <t>Lunghezza interna totale</t>
  </si>
  <si>
    <t>Celková vnitřní délka</t>
  </si>
  <si>
    <t>Całkowita długość wewnętrzna</t>
  </si>
  <si>
    <t>teljes belső hossz</t>
  </si>
  <si>
    <t>celková vnútorná dĺžka</t>
  </si>
  <si>
    <t>Totale binnenlengte</t>
  </si>
  <si>
    <t>Skupna notranja dolžina</t>
  </si>
  <si>
    <t>Total invändig längd</t>
  </si>
  <si>
    <t>Samlet indvendig længde</t>
  </si>
  <si>
    <t>Samlet innvendig lengde</t>
  </si>
  <si>
    <t>Ukupna unutarnja duljina</t>
  </si>
  <si>
    <t>Mindeststückzahl pro Position: 5</t>
  </si>
  <si>
    <t>Minimum number of pieces per item: 5</t>
  </si>
  <si>
    <t>Quantité minimum par article : 5</t>
  </si>
  <si>
    <t>Quantità minima per posizione: 5</t>
  </si>
  <si>
    <t>Minimální počet kusů na položku: 5</t>
  </si>
  <si>
    <t>Minimalna liczba sztuk na element: 5</t>
  </si>
  <si>
    <t>minimális darabszám tételenként: 5</t>
  </si>
  <si>
    <t>Minimálny počet na položku: 5</t>
  </si>
  <si>
    <t>Minimumaantal stuks per positie: 5</t>
  </si>
  <si>
    <t>Najmanjše število kosov na pozicijo: 5</t>
  </si>
  <si>
    <t>Minsta kvantitet per position: 5</t>
  </si>
  <si>
    <t>Mindsteantal pr. position: 5</t>
  </si>
  <si>
    <t>Minste antall per plassering: 5</t>
  </si>
  <si>
    <t>Minimalna količina po poziciji: 5</t>
  </si>
  <si>
    <t>Montagebeispiel</t>
  </si>
  <si>
    <t>installation example</t>
  </si>
  <si>
    <t>exemple de montage</t>
  </si>
  <si>
    <t>Esempio di montaggio</t>
  </si>
  <si>
    <t>Příklad montáže</t>
  </si>
  <si>
    <t>Przykład montażu</t>
  </si>
  <si>
    <t>szerelési példa</t>
  </si>
  <si>
    <t>Príklad montáže</t>
  </si>
  <si>
    <t>Montagevoorbeeld</t>
  </si>
  <si>
    <t>Primer montaže</t>
  </si>
  <si>
    <t>Monteringsexempel</t>
  </si>
  <si>
    <t>Monteringseksempel</t>
  </si>
  <si>
    <t>Primjer montaže</t>
  </si>
  <si>
    <t>Allgemeine Hinweise:</t>
  </si>
  <si>
    <t>General information:</t>
  </si>
  <si>
    <t>Remarques générales :</t>
  </si>
  <si>
    <t>Note generali:</t>
  </si>
  <si>
    <t>Obecné pokyny:</t>
  </si>
  <si>
    <t>Uwagi ogólne:</t>
  </si>
  <si>
    <t>Általános útmutató:</t>
  </si>
  <si>
    <t>Všeobecné upozornenia:</t>
  </si>
  <si>
    <t>Algemene instructie:</t>
  </si>
  <si>
    <t>Splošni napotki:</t>
  </si>
  <si>
    <t>Allmän information:</t>
  </si>
  <si>
    <t>Generelle bemærkninger:</t>
  </si>
  <si>
    <t>Generelle merknader:</t>
  </si>
  <si>
    <t>Općenite upute:</t>
  </si>
  <si>
    <t>Pulverbeschichtet nach RAL auf Anfrage; Nachlieferungen können Farbunterschiede aufweisen!</t>
  </si>
  <si>
    <t>Powder coating according to RAL possible on request; colours may be slightly different in subsequent deliveries.</t>
  </si>
  <si>
    <t>Thermolaqué en couleur RAL sur demande ; possibilité de variations de couleur d’une livraison à l’autre !</t>
  </si>
  <si>
    <t>Verniciatura a polvere secondo RAL su richiesta; le consegne successive possono mostrare differenze di colore!</t>
  </si>
  <si>
    <t>práškově lakovaný podle RAL na požádání; Dodatečné dodávky mohou vykazovat barevné rozdíly!</t>
  </si>
  <si>
    <t>Na życzenie lakierowanie proszkowe wg palety RAL; przy kolejnych dostawach mogą wystąpić różnice w kolorach!</t>
  </si>
  <si>
    <t>RAL szerinti porszórt bevonat kérésre; a későbbi szállítások színeltérést mutathatnak!</t>
  </si>
  <si>
    <t>Prášková farba podľa RAL na vyžiadanie; dodatočné dodávky môžu vykazovať farebné odchýlky.!</t>
  </si>
  <si>
    <t>Poedercoating volgens RAL op aanvraag; latere leveringen kunnen kleurverschillen vertonen!</t>
  </si>
  <si>
    <t>Praškasto lakirano po RAL na zahtevo; Nadaljnje dobave imajo lahko barvne razlike!</t>
  </si>
  <si>
    <t>Pulverlackerad enligt RAL på begäran; Efterföljande leveranser kan ha färgskillnader!</t>
  </si>
  <si>
    <t>Pulverlakeret i henhold til RAL på forespørgsel; efterfølgende leverancer kan have farveforskelle!</t>
  </si>
  <si>
    <t>Pulverbelagt i RAL-farge på forespørsel; etterlevering kan bety fargeforskjell!</t>
  </si>
  <si>
    <t>Praškasta presvlaka prema RAL na zahtjev; Naknadne isporuke mogu imati razlike u boji!</t>
  </si>
  <si>
    <t>Remarque :</t>
  </si>
  <si>
    <t>Poznámka:</t>
  </si>
  <si>
    <t>Komentarz:</t>
  </si>
  <si>
    <t>Opomba:</t>
  </si>
  <si>
    <t>Kommentar:</t>
  </si>
  <si>
    <t>Merk:</t>
  </si>
  <si>
    <t>Napomena:</t>
  </si>
  <si>
    <t>Lieferzeit für alle Ecksidings</t>
  </si>
  <si>
    <t>delivery time for all corner sidings</t>
  </si>
  <si>
    <t>délai de livraison pour l’ensemble des Sidings d’angle</t>
  </si>
  <si>
    <t>tempo di consegna per tutte le Doghe angolari</t>
  </si>
  <si>
    <t>Dodací doba pro všechny rohové Siding</t>
  </si>
  <si>
    <t>Czas dostawy dla wszystkich narożników Siding</t>
  </si>
  <si>
    <t>szállítási idő az összes sarok Siding elem esetében</t>
  </si>
  <si>
    <t>Dodacia lehota pre všetky rohové Siding</t>
  </si>
  <si>
    <t>Levertijd voor alle hoeksidings</t>
  </si>
  <si>
    <t>Dobavni rok za vse vogalne obloge</t>
  </si>
  <si>
    <t>Leveranstid för alla hörnbeklädnader</t>
  </si>
  <si>
    <t>Leveringstid for alle hjørnesidings</t>
  </si>
  <si>
    <t>Leveringstid for hjørnekledning</t>
  </si>
  <si>
    <t>Vrijeme dostave za sve fasadne kazete</t>
  </si>
  <si>
    <t>ca. 5–10 Werktage ab Auftragsklarheit</t>
  </si>
  <si>
    <t>approx. 5–10 working days after all order details have been clarified</t>
  </si>
  <si>
    <t>de 5 à 10 jours ouvrés environ à compter du traitement de la commande</t>
  </si>
  <si>
    <t>circa 5-10 giorni lavorativi dalla conferma dell'ordine</t>
  </si>
  <si>
    <t>cca 5–10 pracovních dnů od ujasnění zakázky</t>
  </si>
  <si>
    <t>ok. 5–10 dni roboczych od momentu otrzymania zamówienia</t>
  </si>
  <si>
    <t>kb. 5–10 munkanap megrendeléstől számítva</t>
  </si>
  <si>
    <t>cca 5 – 10 pracovných dní od dojednania zákazky</t>
  </si>
  <si>
    <t>ca. 5-10 werkdagen vanaf orderplaatsing</t>
  </si>
  <si>
    <t>pribl. 5-10 delovnih dni po jasnosti naročila</t>
  </si>
  <si>
    <t>ca 5–10 arbetsdagar från beställningen</t>
  </si>
  <si>
    <t>cirka 5-10 hverdage fra ordreafklaring</t>
  </si>
  <si>
    <t>ca. 5–10 arbeidsdager fra ordretidspunkt</t>
  </si>
  <si>
    <t>cca. 5–10 radnih dana nakon pojašnjenja narudžbe</t>
  </si>
  <si>
    <t>Dachentwässerung P.10</t>
  </si>
  <si>
    <t>ROOF DRAINAGE P.10</t>
  </si>
  <si>
    <t>GOUTTIÈRES P.10</t>
  </si>
  <si>
    <t>SMALTIMENTO ACQUE P.10</t>
  </si>
  <si>
    <t>Odvodňovací systém P.10</t>
  </si>
  <si>
    <t>ODWODNIENIE DAHU P.10</t>
  </si>
  <si>
    <t>TETŐ VÍZELVEZETÉS P.10</t>
  </si>
  <si>
    <t>ODVODNENIE STRECHY P.10</t>
  </si>
  <si>
    <t>DAKAFWATERING P.10</t>
  </si>
  <si>
    <t>sistem za odvodnjavanje P.10</t>
  </si>
  <si>
    <t>TAKDRÄNERING P.10</t>
  </si>
  <si>
    <t>TAGDRÆNING P.10</t>
  </si>
  <si>
    <t>TAKDRENERING P.10</t>
  </si>
  <si>
    <t>KROVNA ODVODNJA P.10</t>
  </si>
  <si>
    <t>Quadratrohr P.10</t>
  </si>
  <si>
    <t>SQUARE DOWNPIPE P.10</t>
  </si>
  <si>
    <t>TUYAU DE DESCENTE CARRÉ P.10</t>
  </si>
  <si>
    <t>PLUVIALE QUADRO P.10</t>
  </si>
  <si>
    <t>Hranatý svod P.10</t>
  </si>
  <si>
    <t>RURY KWADRATOWE P.10</t>
  </si>
  <si>
    <t>SZÖGLETES LEFOLYÓ P.10</t>
  </si>
  <si>
    <t>ŠTVORCOVÝ ZVOD P.10</t>
  </si>
  <si>
    <t>VIERKANTE BUIS P.10</t>
  </si>
  <si>
    <t>pravokotna cev P.10</t>
  </si>
  <si>
    <t>KVADRATRÖR P.10</t>
  </si>
  <si>
    <t>KVADRATRØR P.10</t>
  </si>
  <si>
    <t>FIRKANTRØR P.10</t>
  </si>
  <si>
    <t>KVADRATNA CIJEV P.10</t>
  </si>
  <si>
    <t>Einfassungsplatte zum Einfalzen; glatt</t>
  </si>
  <si>
    <t>vent pipe cover for seaming, smooth</t>
  </si>
  <si>
    <t>Raccordement de ventilation ; lisse</t>
  </si>
  <si>
    <t>PREFA Conversa, liscia</t>
  </si>
  <si>
    <t>PREFA Prostup pro falcované Hladký</t>
  </si>
  <si>
    <t>PREFA element wentylacyjny, Gładka</t>
  </si>
  <si>
    <t>PREFA kivezető elem, sima</t>
  </si>
  <si>
    <t>PREFA Prestup; Hladký</t>
  </si>
  <si>
    <t>PREFA inwerkplaat, glad</t>
  </si>
  <si>
    <t>PREFA prehodna plošča za strešne, gladka</t>
  </si>
  <si>
    <t>PREFA infattningsplatta, slät</t>
  </si>
  <si>
    <t>PREFA indfatningsplade, glat</t>
  </si>
  <si>
    <t>PREFA innfatningsplate, glatt</t>
  </si>
  <si>
    <t>PREFA otvor za ventilaciju; glatko</t>
  </si>
  <si>
    <t>Einfassungsplatte, zum Einfalzen; glatt</t>
  </si>
  <si>
    <t>einseitig</t>
  </si>
  <si>
    <t>one-sided</t>
  </si>
  <si>
    <t>sur une face</t>
  </si>
  <si>
    <t>su un lato</t>
  </si>
  <si>
    <t>jednostranné</t>
  </si>
  <si>
    <t>jednostronnie</t>
  </si>
  <si>
    <t>egyoldali</t>
  </si>
  <si>
    <t>jednostranne</t>
  </si>
  <si>
    <t>enkelzijdig</t>
  </si>
  <si>
    <t>enostransko</t>
  </si>
  <si>
    <t>ensidig</t>
  </si>
  <si>
    <t>enkeltsidet</t>
  </si>
  <si>
    <t>på én side</t>
  </si>
  <si>
    <t>jednostrano</t>
  </si>
  <si>
    <t>Unterlagsplatte für DR44, DS.19; glatt</t>
  </si>
  <si>
    <t>base plate for rhomboid roof tiles 44 × 44 and DS.19, smooth</t>
  </si>
  <si>
    <t>plaque de support pour losange de toiture 44 × 44 et DS.19 ; lisse</t>
  </si>
  <si>
    <t>sottopiastra per scaglia 44 × 44 e DS.19, liscia</t>
  </si>
  <si>
    <t>montážní podložka pro šablony 44 × 44 a DS.19, Hladký</t>
  </si>
  <si>
    <t>blacha podkładowa do dachówki romb 44 × 44 i DS.19, Gładka</t>
  </si>
  <si>
    <t>alátétlemez tetőfedő rombuszhoz (44 × 44) és DS.19 elemhez, sima</t>
  </si>
  <si>
    <t>spevňovacia podložka pre strešnú šablónu 44 × 44 a DS.19, Hladký</t>
  </si>
  <si>
    <t>grondplaat voor daklosange 44 × 44 en DS.19, glad</t>
  </si>
  <si>
    <t>podložna plošča za strešni romb 44 × 44 in DS.19, gladka</t>
  </si>
  <si>
    <t>underlagsskiva för takromb 44 × 44 och DS.19, slät</t>
  </si>
  <si>
    <t>underlagsplade til tagrombe 44 × 44 og DS.19, glat</t>
  </si>
  <si>
    <t>underlagsplate for takrombe 44 × 44 og DS.19, glatt</t>
  </si>
  <si>
    <t>podložna ploča za krovni romb 44 × 44 i DS.19; glatko</t>
  </si>
  <si>
    <t>Dachleitungshalter für Blitzschutzdraht</t>
  </si>
  <si>
    <t>roof conductor holder for lightning protection wire</t>
  </si>
  <si>
    <t>clip de toit pour conducteurs parafoudre</t>
  </si>
  <si>
    <t>reggicavo per impianto parafulmine</t>
  </si>
  <si>
    <t>střešní držák drátu bleskosvodu</t>
  </si>
  <si>
    <t>uchwyt dachowy do przewodów odgromowych</t>
  </si>
  <si>
    <t>tetőre szerelhető vezetéktartó villámvédelmi vezetékhez</t>
  </si>
  <si>
    <t>príponka na vedenie bleskozvodu</t>
  </si>
  <si>
    <t>dakleidinghouder voor bliksembeveiliging</t>
  </si>
  <si>
    <t>strešno držalo vodnika za žico strelovoda</t>
  </si>
  <si>
    <t>takledningshållare för åsksledare</t>
  </si>
  <si>
    <t>taglederholder til lynafleder</t>
  </si>
  <si>
    <t>takledningsholder for lynavledervaier</t>
  </si>
  <si>
    <t>krovni nosač vodiča za gromobransku žicu</t>
  </si>
  <si>
    <t>Falzgel in Folienbeutel</t>
  </si>
  <si>
    <t>sealing gel in a foil pouch</t>
  </si>
  <si>
    <t>gel d’étanchéité en sachet</t>
  </si>
  <si>
    <t>gel sigillante per aggraffature in sacchetto di alluminio</t>
  </si>
  <si>
    <t>falzgel ve fóliovém sáčku</t>
  </si>
  <si>
    <t>żel do rąbków w folii</t>
  </si>
  <si>
    <t>falczselé fóliatasakban</t>
  </si>
  <si>
    <t>drážkový gél v saláme</t>
  </si>
  <si>
    <t>felsgel in worstverpakking</t>
  </si>
  <si>
    <t>gel za zgibe v tubi</t>
  </si>
  <si>
    <t>falsgel i tub</t>
  </si>
  <si>
    <t>falsgel i plastpose</t>
  </si>
  <si>
    <t>falsegel i foliepose</t>
  </si>
  <si>
    <t>gel za falcanje u vrećicama</t>
  </si>
  <si>
    <t>Einfassungsplatte für DS.19</t>
  </si>
  <si>
    <t>vent pipe cover for DS.19 shingle</t>
  </si>
  <si>
    <t>raccordement de ventilation pour bardeau DS.19</t>
  </si>
  <si>
    <t>conversa per scandola DS.19</t>
  </si>
  <si>
    <t>prostup pro falcovaný šindel DS.19</t>
  </si>
  <si>
    <t>Element wentylacyjny dla Dachówka łupkowa DS.19</t>
  </si>
  <si>
    <t>kivezető elem tetőfedő zsindelyhez DS.19</t>
  </si>
  <si>
    <t>prestupový prvok pre strešný šindeľ DS.19</t>
  </si>
  <si>
    <t>inwerkplaat voor dakschindel DS.19</t>
  </si>
  <si>
    <t>prehodna plošča za strešne skodle DS.19</t>
  </si>
  <si>
    <t>infattningsplatta för takshingel DS.19</t>
  </si>
  <si>
    <t>indfatningsplade til tagspån DS.19</t>
  </si>
  <si>
    <t>innfatningsplate for takshingel DS.19</t>
  </si>
  <si>
    <t>Podložna ploča za krovnu šindru DS.19</t>
  </si>
  <si>
    <t>Einfassungsplatte für Dachschindel DS.19</t>
  </si>
  <si>
    <t>Sockelknie (Ausladung: 30 mm)</t>
  </si>
  <si>
    <t>swan neck, 30 mm projection</t>
  </si>
  <si>
    <t>coude étage (projection : 30 mm)</t>
  </si>
  <si>
    <t>Spostamento, disassamento 30mm</t>
  </si>
  <si>
    <t>Soklové koleno, přesah 30mm</t>
  </si>
  <si>
    <t>Kolano podwójne 30 mm</t>
  </si>
  <si>
    <t>lábazati elem 30mm előállással</t>
  </si>
  <si>
    <t>soklové koleno, vybočenie 30 mm</t>
  </si>
  <si>
    <t>sokkelknie 30 mm reikwijdte</t>
  </si>
  <si>
    <t>izogibno koleno 30 mm grlo</t>
  </si>
  <si>
    <t>sockelknä 30 mm utladdning</t>
  </si>
  <si>
    <t>sokkelknæ 30 mm udhæng</t>
  </si>
  <si>
    <t>sokkelkne 30 mm radius</t>
  </si>
  <si>
    <t>Cijev s koljenom (izbočina: 30 mm)</t>
  </si>
  <si>
    <t>Klebeendboden</t>
  </si>
  <si>
    <t>adhesive end cap</t>
  </si>
  <si>
    <t>fond de gouttière à coller</t>
  </si>
  <si>
    <t>testata adesiva</t>
  </si>
  <si>
    <t>lepené čelo žlabu</t>
  </si>
  <si>
    <t>denko klejone</t>
  </si>
  <si>
    <t>ragasztható végelem</t>
  </si>
  <si>
    <t>lepené čelo žľabu</t>
  </si>
  <si>
    <t>verlijmbaar kopschot</t>
  </si>
  <si>
    <t>zapora žlebu za lepljenje</t>
  </si>
  <si>
    <t>ränngavel</t>
  </si>
  <si>
    <t>endebund til klæbning</t>
  </si>
  <si>
    <t>endelokk for liming</t>
  </si>
  <si>
    <t>ljepljivo čelo žlijeba</t>
  </si>
  <si>
    <t>Projektdaten:</t>
  </si>
  <si>
    <t>Project information:</t>
  </si>
  <si>
    <t>Données relatives au projet :</t>
  </si>
  <si>
    <t>Dati del progetto:</t>
  </si>
  <si>
    <t>Údaje o objektu:</t>
  </si>
  <si>
    <t>Dane projektu:</t>
  </si>
  <si>
    <t>Projekt adatai:</t>
  </si>
  <si>
    <t>Údaje o projekte:</t>
  </si>
  <si>
    <t>Projectgegevens:</t>
  </si>
  <si>
    <t>Podatki o projektu:</t>
  </si>
  <si>
    <t>Projektinformation:</t>
  </si>
  <si>
    <t>Projektdata:</t>
  </si>
  <si>
    <t>Prosjektdata:</t>
  </si>
  <si>
    <t>Podaci o projektu:</t>
  </si>
  <si>
    <t>techn. Ausarbeitung Prefa:</t>
  </si>
  <si>
    <t>Technical preparation (PREFA):</t>
  </si>
  <si>
    <t>Élaboration technique (PREFA) :</t>
  </si>
  <si>
    <t>Rielaborazione tecnica (PREFA):</t>
  </si>
  <si>
    <t>Technické zpracování (PREFA):</t>
  </si>
  <si>
    <t>Opracowanie techniczne (PREFA):</t>
  </si>
  <si>
    <t>Műszaki előkészítés (PREFA):</t>
  </si>
  <si>
    <t>Údaje o projekte (PREFA):</t>
  </si>
  <si>
    <t>Technische uitwerking (PREFA):</t>
  </si>
  <si>
    <t>Tehnična priprava (PREFA):</t>
  </si>
  <si>
    <t>Teknisk utarbetning (PREFA):</t>
  </si>
  <si>
    <t>Teknisk udarbejdelse (PREFA):</t>
  </si>
  <si>
    <t>Teknisk forberedelse (PREFA):</t>
  </si>
  <si>
    <t>Izrada tehničke dokumentacije (PREFA):</t>
  </si>
  <si>
    <t>techn. Ausarbeitung PREFA:</t>
  </si>
  <si>
    <t>Bearbeiter:</t>
  </si>
  <si>
    <t>Processor:</t>
  </si>
  <si>
    <t>Partenaire PREFA :</t>
  </si>
  <si>
    <t>Addetto:</t>
  </si>
  <si>
    <t>Zpracoval:</t>
  </si>
  <si>
    <t>Referent:</t>
  </si>
  <si>
    <t>Feldolgozta:</t>
  </si>
  <si>
    <t>Spracovateľ:</t>
  </si>
  <si>
    <t>Verantwoordelijke:</t>
  </si>
  <si>
    <t>Bearbetas av:</t>
  </si>
  <si>
    <t>Bearbejder:</t>
  </si>
  <si>
    <t>Ansvarlig:</t>
  </si>
  <si>
    <t>Odgovorna osoba:</t>
  </si>
  <si>
    <t>Beschreibung</t>
  </si>
  <si>
    <t>description</t>
  </si>
  <si>
    <t>Description</t>
  </si>
  <si>
    <t>descrizione</t>
  </si>
  <si>
    <t>popis</t>
  </si>
  <si>
    <t>leírás</t>
  </si>
  <si>
    <t>beschrijving</t>
  </si>
  <si>
    <t>beskrivning</t>
  </si>
  <si>
    <t>beskrivelse</t>
  </si>
  <si>
    <t>Bestellnummer:</t>
  </si>
  <si>
    <t>Order number:</t>
  </si>
  <si>
    <t>Numéro de commande :</t>
  </si>
  <si>
    <t>Numero d’ordine:</t>
  </si>
  <si>
    <t>Číslo objednávky:</t>
  </si>
  <si>
    <t>Numer zamówienia:</t>
  </si>
  <si>
    <t>Megrendelési szám:</t>
  </si>
  <si>
    <t>Objednávacie číslo:</t>
  </si>
  <si>
    <t>Bestelnummer:</t>
  </si>
  <si>
    <t>Številka naročila:</t>
  </si>
  <si>
    <t>Ordernummer:</t>
  </si>
  <si>
    <t>Bestillingsnummer:</t>
  </si>
  <si>
    <t>Ordrenummer:</t>
  </si>
  <si>
    <t>Broj narudžbe:</t>
  </si>
  <si>
    <t>Mengenermittlung in:</t>
  </si>
  <si>
    <t>Quantity required:</t>
  </si>
  <si>
    <t>Calcul des quantités requises :</t>
  </si>
  <si>
    <t>Quantità richieste:</t>
  </si>
  <si>
    <t>Požadované množství:</t>
  </si>
  <si>
    <t>Wymagana ilość:</t>
  </si>
  <si>
    <t>Mennyiségszámítás:</t>
  </si>
  <si>
    <t>Určenie množstva:</t>
  </si>
  <si>
    <t>Benodigd aantal:</t>
  </si>
  <si>
    <t>Potrebna količina:</t>
  </si>
  <si>
    <t>Mängdberäkning:</t>
  </si>
  <si>
    <t>Ønsket mængde:</t>
  </si>
  <si>
    <t>Nødvendig mengde:</t>
  </si>
  <si>
    <t>Magazin</t>
  </si>
  <si>
    <t>warehouse</t>
  </si>
  <si>
    <t>chargeur</t>
  </si>
  <si>
    <t>ricarica</t>
  </si>
  <si>
    <t>zásobník</t>
  </si>
  <si>
    <t>magazyn</t>
  </si>
  <si>
    <t>árukiadó</t>
  </si>
  <si>
    <t>magazijn</t>
  </si>
  <si>
    <t>magazin</t>
  </si>
  <si>
    <t>magasin</t>
  </si>
  <si>
    <t>spremnik za učvršćivače</t>
  </si>
  <si>
    <t>60 kg</t>
  </si>
  <si>
    <t>500 kg</t>
  </si>
  <si>
    <t>Sets</t>
  </si>
  <si>
    <t>kits</t>
  </si>
  <si>
    <t>sady</t>
  </si>
  <si>
    <t>zestawy</t>
  </si>
  <si>
    <t>egységek</t>
  </si>
  <si>
    <t>sety</t>
  </si>
  <si>
    <t>sets</t>
  </si>
  <si>
    <t>kompleta</t>
  </si>
  <si>
    <t>satser</t>
  </si>
  <si>
    <t>sæt</t>
  </si>
  <si>
    <t>sett</t>
  </si>
  <si>
    <t>setovi</t>
  </si>
  <si>
    <t>19 Dunkelgrau</t>
  </si>
  <si>
    <t>19 dark grey</t>
  </si>
  <si>
    <t>19 gris sombre</t>
  </si>
  <si>
    <t>19 grigio scuro</t>
  </si>
  <si>
    <t>19 tmavě šedá</t>
  </si>
  <si>
    <t>19 grafitowy</t>
  </si>
  <si>
    <t>19 grafitszürke</t>
  </si>
  <si>
    <t>19 tmavošedá</t>
  </si>
  <si>
    <t>19 donkergrijs</t>
  </si>
  <si>
    <t>19 temno siva</t>
  </si>
  <si>
    <t>19 mörkgrå</t>
  </si>
  <si>
    <t>19 mørk grå</t>
  </si>
  <si>
    <t>19 tamno siva</t>
  </si>
  <si>
    <t>12 P.10 Silbermetallic</t>
  </si>
  <si>
    <t>12 P.10 metallic silver</t>
  </si>
  <si>
    <t>12 P.10 argent métallisé</t>
  </si>
  <si>
    <t>12 P.10 silver metallizzato</t>
  </si>
  <si>
    <t>12 P.10 stříbrná metalíza</t>
  </si>
  <si>
    <t>12 P.10 srebrny metalik</t>
  </si>
  <si>
    <t>12 P.10 ezüstmetál</t>
  </si>
  <si>
    <t>12 P.10 strieborná metalíza</t>
  </si>
  <si>
    <t>12 P.10 zilvermetallic</t>
  </si>
  <si>
    <t>12 P.10 kovinsko srebrna</t>
  </si>
  <si>
    <t>12 P.10 silvermetallic</t>
  </si>
  <si>
    <t>12 P.10 sølvmetallic</t>
  </si>
  <si>
    <t>12 P.10 sølv metallic</t>
  </si>
  <si>
    <t>12 P.10 metalik srebrna</t>
  </si>
  <si>
    <t>downpipe adaptor</t>
  </si>
  <si>
    <t>mamelon de raccordement</t>
  </si>
  <si>
    <t>raccordo per tubi</t>
  </si>
  <si>
    <t>přechodka svodu</t>
  </si>
  <si>
    <t>redukcja</t>
  </si>
  <si>
    <t>csőátalakító</t>
  </si>
  <si>
    <t>verloopstuk</t>
  </si>
  <si>
    <t>cevni nastavek</t>
  </si>
  <si>
    <t>rörövergång</t>
  </si>
  <si>
    <t>rørovergang</t>
  </si>
  <si>
    <t>overgangsmuffe</t>
  </si>
  <si>
    <t>prijelazna spojna cijev</t>
  </si>
  <si>
    <t>Ø 125/120 mm</t>
  </si>
  <si>
    <t>39 Eiche beige-grau</t>
  </si>
  <si>
    <t>39 grey oak</t>
  </si>
  <si>
    <t>39 chêne gris</t>
  </si>
  <si>
    <t>39 rovere beige-grigio</t>
  </si>
  <si>
    <t>39 dub béžově–šedý</t>
  </si>
  <si>
    <t>39 dąb szary</t>
  </si>
  <si>
    <t>39 silver tölgy erezett</t>
  </si>
  <si>
    <t>39 dub béžovosivý</t>
  </si>
  <si>
    <t>39 Eiken beige-grijs</t>
  </si>
  <si>
    <t>39 hrast bež-siva</t>
  </si>
  <si>
    <t>39 beigegrå ek</t>
  </si>
  <si>
    <t>39 eg beige-grå</t>
  </si>
  <si>
    <t>39 gråbeige eik</t>
  </si>
  <si>
    <t>39 bež sivi hrast</t>
  </si>
  <si>
    <t>L1</t>
  </si>
  <si>
    <t>L2</t>
  </si>
  <si>
    <t>min.: 230 mm</t>
  </si>
  <si>
    <t>min.: 230 mm</t>
  </si>
  <si>
    <t>min. : 230 mm</t>
  </si>
  <si>
    <t>Min: 230 mm</t>
  </si>
  <si>
    <t>max.: 770 mm</t>
  </si>
  <si>
    <t>max.: 770 mm</t>
  </si>
  <si>
    <t>max. : 770 mm</t>
  </si>
  <si>
    <t>Max: 770 mm</t>
  </si>
  <si>
    <t>Gesamte Maximalinnenlänge gekantet (L1 + L2) = 1.400 mm</t>
  </si>
  <si>
    <t>total maximum inside length canted (L1 + L2) = 1,400 mm</t>
  </si>
  <si>
    <t>total de la longueur intérieure maximum replié (L1 + L2) = 1 400 mm</t>
  </si>
  <si>
    <t>Celková maximální délka linky hraněný (L1 + L2) = 1400 mm</t>
  </si>
  <si>
    <t>Całkowita maksymalna długość wewnętrzna obrobiony (L1 + L2) = 1400 mm</t>
  </si>
  <si>
    <t>teljes maximális belső hossz hajtott (L1 + L2) = 1400 mm</t>
  </si>
  <si>
    <t>Celková maximálna vnútorná dĺžka ohýbané (L1 + L2) = 1 400 mm</t>
  </si>
  <si>
    <t>Totale maximale binnenlengte gevoegd (L1 + L2) = 1.400 mm</t>
  </si>
  <si>
    <t>Skupna največja notranja dolžina obrobljena (L1 + L2) = 1.400 mm</t>
  </si>
  <si>
    <t>Total maximal invändig längd kantad (L1 + L2) = 1 400 mm</t>
  </si>
  <si>
    <t>Samlet maksimal indvendig længde kantet (L1 + L2) = 1.400 mm</t>
  </si>
  <si>
    <t>Maksimal total innvendig lengde Kantet (L1 + L2) = 1400 mm</t>
  </si>
  <si>
    <t>Ukupna maksimalna unutarnja duljina kantirano (L1 + L2) = 1.400 mm</t>
  </si>
  <si>
    <t>Prefabond – Zubehör</t>
  </si>
  <si>
    <t>PREFABOND — ACCESSORIES</t>
  </si>
  <si>
    <t>PREFABOND — ACCESSOIRES</t>
  </si>
  <si>
    <t>PREFABOND - accessori</t>
  </si>
  <si>
    <t>PREFABOND – PŘÍSLUŠENSTVÍ</t>
  </si>
  <si>
    <t>PREFABOND – AKCESORIA</t>
  </si>
  <si>
    <t>PREFABOND – TARTOZÉKOK</t>
  </si>
  <si>
    <t>PREFABOND – PRÍSLUŠENSTVO</t>
  </si>
  <si>
    <t>PREFABOND – TOEBEHOREN</t>
  </si>
  <si>
    <t>PREFABOND – DODATKI</t>
  </si>
  <si>
    <t>PREFABOND – TILLBEHÖR</t>
  </si>
  <si>
    <t>PREFABOND – TILBEHØR</t>
  </si>
  <si>
    <t>PREFABOND – PRIBOR</t>
  </si>
  <si>
    <t>44 Anthrazit matt</t>
  </si>
  <si>
    <t>44 matt anthracite</t>
  </si>
  <si>
    <t>44 anthracite noir</t>
  </si>
  <si>
    <t>44 antracite opaco</t>
  </si>
  <si>
    <t>44 antracitová matná</t>
  </si>
  <si>
    <t>44 antracyt mat</t>
  </si>
  <si>
    <t>44 matt antracit</t>
  </si>
  <si>
    <t>44 Antraciet mat</t>
  </si>
  <si>
    <t>44 antracit mat</t>
  </si>
  <si>
    <t>44 Antracit mat</t>
  </si>
  <si>
    <t>44 antrasitt matt</t>
  </si>
  <si>
    <t>48 Titanium dunkel</t>
  </si>
  <si>
    <t>48 dark titanium</t>
  </si>
  <si>
    <t>48 titane foncé</t>
  </si>
  <si>
    <t>48 titanio scuro</t>
  </si>
  <si>
    <t>48 titan tmavý</t>
  </si>
  <si>
    <t>48 ciemny tytan</t>
  </si>
  <si>
    <t>48 sötét titánium</t>
  </si>
  <si>
    <t>48 titánová tmavá</t>
  </si>
  <si>
    <t>48 Titanium donker</t>
  </si>
  <si>
    <t>48 Titan temen</t>
  </si>
  <si>
    <t>48 mörk titan</t>
  </si>
  <si>
    <t>48 Titanium mørk</t>
  </si>
  <si>
    <t>48 mørk titan</t>
  </si>
  <si>
    <t>48 tamni titan</t>
  </si>
  <si>
    <t>Befestigung auf Metallunterkonstruktion</t>
  </si>
  <si>
    <t>fastening on metal supporting substrate</t>
  </si>
  <si>
    <t>fixation sur sous-construction métallique</t>
  </si>
  <si>
    <t>Fissaggio alla sottostruttura metallica</t>
  </si>
  <si>
    <t>Připevnění na kovovou spodní konstrukci</t>
  </si>
  <si>
    <t>Mocowanie do konstrukcji nośnej z metalu</t>
  </si>
  <si>
    <t>rögzítés fém alátétszerkezeten</t>
  </si>
  <si>
    <t>upevnenie na kovový nosný rošt</t>
  </si>
  <si>
    <t>Bevestiging op metalen onderconstructie</t>
  </si>
  <si>
    <t>Pritrditev na kovinsko podkonstrukcijo</t>
  </si>
  <si>
    <t>infästning på metallunderlag</t>
  </si>
  <si>
    <t>Fastgørelse til metalunderkonstruktion</t>
  </si>
  <si>
    <t>Feste på underkonstruksjon i metall</t>
  </si>
  <si>
    <t>Pričvršćivanje na metalnu potkonstrukciju</t>
  </si>
  <si>
    <t>Befestigung auf Holzunterkonstruktion</t>
  </si>
  <si>
    <t>fastening on timber supporting substrate</t>
  </si>
  <si>
    <t>fixation sur sous-construction en bois</t>
  </si>
  <si>
    <t>Fissaggio alla sottostruttura in legno</t>
  </si>
  <si>
    <t>Připevnění na dřevěnou spodní konstrukci</t>
  </si>
  <si>
    <t>Mocowanie do konstrukcji nośnej z drewna</t>
  </si>
  <si>
    <t>rögzítés fa alátétszerkezeten</t>
  </si>
  <si>
    <t>upevnenie na drevený nosný rošt</t>
  </si>
  <si>
    <t>Bevestiging op houten onderconstructie</t>
  </si>
  <si>
    <t>Pritrditev na leseno podkosntrukcijo</t>
  </si>
  <si>
    <t>Infästning i träkonstruktion</t>
  </si>
  <si>
    <t>Fastgørelse til træunderkonstruktion</t>
  </si>
  <si>
    <t>Feste på underkonstruksjon i tre</t>
  </si>
  <si>
    <t>Pričvršćivanje na drvenu potkonstrukciju</t>
  </si>
  <si>
    <t>Kopfdurchmesser:</t>
  </si>
  <si>
    <t>head diameter:</t>
  </si>
  <si>
    <t>diamètre de la tête :</t>
  </si>
  <si>
    <t>Diametro della testa:</t>
  </si>
  <si>
    <t>Průměr hlavy:</t>
  </si>
  <si>
    <t>Średnica łba nitu</t>
  </si>
  <si>
    <t>fejátmérő:</t>
  </si>
  <si>
    <t>Priemer hlavičky:</t>
  </si>
  <si>
    <t>Hoofddiameter:</t>
  </si>
  <si>
    <t>Premer glave:</t>
  </si>
  <si>
    <t>huvudets diameter:</t>
  </si>
  <si>
    <t>Hoveddiameter:</t>
  </si>
  <si>
    <t>Hodediameter:</t>
  </si>
  <si>
    <t>Promjer glave:</t>
  </si>
  <si>
    <t>Festpunkthülse für Fixpunkt (⌀ 9,5 × 5,1 mm)</t>
  </si>
  <si>
    <t>fixed point bushing for fixed point (⌀ 9.5 × 5,1 mm)</t>
  </si>
  <si>
    <t>douille de guidage pour point fixe (⌀ 9,5 × 5,1 mm)</t>
  </si>
  <si>
    <t>Pouzdro pro pevný bod (9,5 × ⌀ 5,1 mm)</t>
  </si>
  <si>
    <t>Tuleja do punktu stałego (⌀ 9,5 × 5,1 mm)</t>
  </si>
  <si>
    <t>központosító hüvely fixponthoz (⌀ 9,5 × 5,1 mm)</t>
  </si>
  <si>
    <t>fixovacia objímka pre pevný bod (⌀ 9,5 × 5,1 mm)</t>
  </si>
  <si>
    <t>Huls vaste punt voor bevestigingspunt (⌀ 9,5 × 5,1 mm)</t>
  </si>
  <si>
    <t>Tulec za fiksno točko (⌀ 9,5 × 5,1 mm)</t>
  </si>
  <si>
    <t>fixpunktshylsa för fixpunkt (⌀ 9,5 × 5,1 mm)</t>
  </si>
  <si>
    <t>Fastpunktmuffe til fixpunkt (⌀ 9,5 × 5,1 mm)</t>
  </si>
  <si>
    <t>Fastpunkthylse til fastpunkt (⌀ 9,5 × 5,1 mm)</t>
  </si>
  <si>
    <t>Rukav s fiksnom točkom za fiksnu točku (⌀ 9,5 × 5,1 mm)</t>
  </si>
  <si>
    <t>Bügelbohrvorrichtung für Metallunterkonstruktion</t>
  </si>
  <si>
    <t>bracket boring fixture for metal supporting substrates</t>
  </si>
  <si>
    <t>étrier pour rivet (pour les sous-constructions métalliques)</t>
  </si>
  <si>
    <t>Dispositivo di foratura a staffa per sottostruttura metallica</t>
  </si>
  <si>
    <t>Vrtací přípravek (držadlo) pro kovové spodní konstrukce</t>
  </si>
  <si>
    <t>Kabłąk przyrządu wiertarskiego do konstrukcji z metalu</t>
  </si>
  <si>
    <t>központosító segédeszköz fúráshoz fém alátétszerkezetekhez</t>
  </si>
  <si>
    <t>prípravok na vŕtanie pre kovový nosný rošt</t>
  </si>
  <si>
    <t>Beugelboorinrichting voor metalen onderconstructie</t>
  </si>
  <si>
    <t>Nastavek za vrtanje v kovinsko podkonstrukcijo</t>
  </si>
  <si>
    <t>fästborranordning för metallunderkonstruktion</t>
  </si>
  <si>
    <t>Borebeslag til metalunderkonstruktion</t>
  </si>
  <si>
    <t>Bøyleboreanordning til underkonstruksjoner i metall</t>
  </si>
  <si>
    <t>Drška – naprava za bušenje za metalne potkonstrukcije</t>
  </si>
  <si>
    <t>Plattenmundstück für Fassadenniete</t>
  </si>
  <si>
    <t>rivet nosepiece for façade rivet</t>
  </si>
  <si>
    <t>embout de riveteuse pour rivet de façade</t>
  </si>
  <si>
    <t>Piastra per rivettatrice per rivetti da facciata</t>
  </si>
  <si>
    <t>Nástavec pro fasádní nýty</t>
  </si>
  <si>
    <t>Uchwyt do nitów do elewacji</t>
  </si>
  <si>
    <t>szegecselő talp homlokzati szegecshez</t>
  </si>
  <si>
    <t>plochá nitovacia špička pre fasádne nity</t>
  </si>
  <si>
    <t>Plaatmondstuk voor gevelklinknagels</t>
  </si>
  <si>
    <t>Ploščati ustnik za fasadne zakovice</t>
  </si>
  <si>
    <t>plåtmunstycke för fasadnitar</t>
  </si>
  <si>
    <t>Plademundstykke til facadenitte</t>
  </si>
  <si>
    <t>Platemunnstykke til fasadeskjøter</t>
  </si>
  <si>
    <t>Umetak za fasadne zakovice</t>
  </si>
  <si>
    <t>Außendurchmesser:</t>
  </si>
  <si>
    <t>outer diameter:</t>
  </si>
  <si>
    <t>diamètre extérieur :</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</si>
  <si>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</si>
  <si>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</si>
  <si>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</si>
  <si>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</si>
  <si>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</si>
  <si>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</si>
  <si>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</si>
  <si>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</si>
  <si>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</si>
  <si>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</si>
  <si>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</si>
  <si>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Plattenmundstück für Balkonniete</t>
  </si>
  <si>
    <t>rivet nosepiece for balcony rivet</t>
  </si>
  <si>
    <t>embout de riveteuse pour rivet de balcon</t>
  </si>
  <si>
    <t>Piastra per rivettatrice per rivetti da balcone</t>
  </si>
  <si>
    <t>Nástavec pro balkónové nýty</t>
  </si>
  <si>
    <t>Uchwyt do nitów do balkonów</t>
  </si>
  <si>
    <t>szegecselő talp rozsdamentes szegecshez</t>
  </si>
  <si>
    <t>plochá nitovacia špička pre balkónové nity</t>
  </si>
  <si>
    <t>Plaatmondstuk voor balkonklinknagels</t>
  </si>
  <si>
    <t>Ploščati ustnik za balkonske zakovice</t>
  </si>
  <si>
    <t>plåtmunstycke för balkongnitar</t>
  </si>
  <si>
    <t>Plademundstykke til balkonnitte</t>
  </si>
  <si>
    <t>Platemunnstykke til balkongskjøter</t>
  </si>
  <si>
    <t>Umetak za balkonske zakovice</t>
  </si>
  <si>
    <t>Einhandfederbohrvorrichtung</t>
  </si>
  <si>
    <t>spring-loaded boring fixture</t>
  </si>
  <si>
    <t>mandrin de perçage manuel</t>
  </si>
  <si>
    <t>Dispositivo di foratura a molla monocomando</t>
  </si>
  <si>
    <t>Jednoruční vrtací přípravek s pružinou</t>
  </si>
  <si>
    <t>Nawiertnik do przyrządu wiertarskiego</t>
  </si>
  <si>
    <t>egykezes rúgós fúró</t>
  </si>
  <si>
    <t>jednoručný pružinový vŕtací nástroj</t>
  </si>
  <si>
    <t>Eenhandig veerboorapparaat</t>
  </si>
  <si>
    <t>Ročni vzmetni vrtalnik</t>
  </si>
  <si>
    <t>enhands fjäderborranordning</t>
  </si>
  <si>
    <t>Enhånds-fjederboreanordning</t>
  </si>
  <si>
    <t>Fjærboreanordning til enhånds bruk</t>
  </si>
  <si>
    <t>Jednoručni uređaj za bušenje s oprugom</t>
  </si>
  <si>
    <t>Einhand-Federbohrvorrichtung</t>
  </si>
  <si>
    <t>Spezialbohrer für Metallunterkonstruktion (⌀ 5,1 × 85 mm)</t>
  </si>
  <si>
    <t>special drill bit for metal supporting substrates (⌀ 5.1 × 85 mm)</t>
  </si>
  <si>
    <t>foret spécial pour sous-construction métallique (⌀ 5,1 × 85 mm)</t>
  </si>
  <si>
    <t>Trapano speciale per sottostruttura metallica (⌀ 5.1 × 85 mm)</t>
  </si>
  <si>
    <t>Speciální vrták pro hliníkovou spodní konstrukci (⌀ 5,1 × 85 mm)</t>
  </si>
  <si>
    <t>Wiertło specjalne do konstrukcji nośnej z metalu (⌀ 5,1 × 85 mm)</t>
  </si>
  <si>
    <t>speciális fúrószár fém alátétszerkezetekhez (⌀ 5,1 × 85 mm)</t>
  </si>
  <si>
    <t>špeciálny vrták pre kovový nosný rošt (⌀ 5,1 × 85 mm)</t>
  </si>
  <si>
    <t>Speciale boor voor metalen onderconstructie (⌀ 5,1 × 85 mm)</t>
  </si>
  <si>
    <t>Poseben sveder za kovinsko podkonstrukcijo (⌀ 5,1 × 85 mm)</t>
  </si>
  <si>
    <t>specialborr för metallunderkonstruktion (⌀ 5,1 × 85 mm)</t>
  </si>
  <si>
    <t>Specialbor til metalunderkonstruktion (⌀ 5,1 × 85 mm)</t>
  </si>
  <si>
    <t>Spesialbor til underkonstruksjoner i metall (⌀ 5,1 × 85 mm)</t>
  </si>
  <si>
    <t>Specijalno svrdlo za metalnu potkonstrukciju (⌀ 5,1 × 85 mm)</t>
  </si>
  <si>
    <t>Festpunkthülse für Fixpunkt (⌀ 8,5 × 5,1 mm)</t>
  </si>
  <si>
    <t>fixed point bushing for fixed point (⌀ 8.5 × 5,1 mm)</t>
  </si>
  <si>
    <t>douille de guidage pour point fixe (⌀ 8,5 × 5,1 mm)</t>
  </si>
  <si>
    <t>Giunto per punto fisso (⌀ 8,5 × ⌀ 5,1 mm)</t>
  </si>
  <si>
    <t>Pouzdro pro pevný bod (⌀ 8,5 × 5,1 mm)</t>
  </si>
  <si>
    <t>Tuleja do punktu stałego (⌀ 8,5 × 5,1 mm)</t>
  </si>
  <si>
    <t>központosító hüvely fixponthoz (⌀ 8,5 × 5,1 mm)</t>
  </si>
  <si>
    <t>fixovacia objímka pre pevný bod (⌀ 8,5 × 5,1 mm)</t>
  </si>
  <si>
    <t>Huls vaste punt voor bevestigingspunt (⌀ 8,5 × 5,1 mm)</t>
  </si>
  <si>
    <t>Tulec za fiksno točko (⌀ 8,5 × 5,1 mm)</t>
  </si>
  <si>
    <t>fixpunktshylsa för fixpunkt (⌀ 8,5 × 5,1 mm)</t>
  </si>
  <si>
    <t>Fastpunktmuffe til fixpunkt (⌀ 8,5 × 5,1 mm)</t>
  </si>
  <si>
    <t>Fastpunkthylse til fastpunkt (⌀ 8,5 × 5,1 mm)</t>
  </si>
  <si>
    <t>Rukav s fiksnom točkom za fiksnu točku (⌀ 8,5 × 5,1 mm)</t>
  </si>
  <si>
    <t>Fassadenzentrierdichtring (⌀ 14 × 4 mm)</t>
  </si>
  <si>
    <t>façade-centring joint  (⌀ 14 × 4 mm)</t>
  </si>
  <si>
    <t>joint d’étanchéité (⌀ 14 × 4 mm)</t>
  </si>
  <si>
    <t>Anello di tenuta di centraggio per facciata (⌀ 14 × 4 mm)</t>
  </si>
  <si>
    <t>Středicí těsnicí kroužek pro fasády (⌀ 14 × 4 mm)</t>
  </si>
  <si>
    <t>Pierścień uszczelniający (⌀ 14 × 4 mm)</t>
  </si>
  <si>
    <t>homlokzati központosító tömítőgyűrű (⌀ 14 × 4 mm)</t>
  </si>
  <si>
    <t>fasádna centrovacia tesniaca podložka (⌀ 14 × 4 mm)</t>
  </si>
  <si>
    <t>Gevelcentrering afdichtingsring (⌀ 14 × 4 mm)</t>
  </si>
  <si>
    <t>Fasadni centrirni tesnilni obroč (⌀ 14 × 4 mm)</t>
  </si>
  <si>
    <t>fasadcentrerande tätningsring (⌀ 14 × 4 mm)</t>
  </si>
  <si>
    <t>Facadecentreringsring (⌀ 14 × 4 mm)</t>
  </si>
  <si>
    <t>Tetningsring for fasadesentrering (⌀ 14 × 4 mm)</t>
  </si>
  <si>
    <t>Prsten za centriranje fasade (⌀ 14 × 4 mm)</t>
  </si>
  <si>
    <t>EPDM-Fugenband (einseitig selbstklebend)</t>
  </si>
  <si>
    <t>EPDM joint tape (self-adhesive on one side)</t>
  </si>
  <si>
    <t>joint EPDM (un côté adhésif)</t>
  </si>
  <si>
    <t>Nastro coprifuga in EPDM (autoadesivo su un lato)</t>
  </si>
  <si>
    <t>Dilatační páska EPDM (jednostranná, samolepicí)</t>
  </si>
  <si>
    <t>Taśma EPDM do fug (jednostronnie samoprzylepna)</t>
  </si>
  <si>
    <t>EPDM-fugaszalag (egy oldalon öntapadó)</t>
  </si>
  <si>
    <t>EPDM utesňovací pás (z jednej strany samolepiaci)</t>
  </si>
  <si>
    <t>EPDM-voegband (eenzijdig zelfklevend)</t>
  </si>
  <si>
    <t>EPDM Trak za fuge (na eni strani samolepilni)</t>
  </si>
  <si>
    <t>EPDM fogband (självhäftande på ena sidan)</t>
  </si>
  <si>
    <t>EPDM-fugebånd (klæbende på den ene side)</t>
  </si>
  <si>
    <t>EPDM-fugebånd (selvklebende på én side)</t>
  </si>
  <si>
    <t>EPDM traka za reške (jednostrano samoljepljiva)</t>
  </si>
  <si>
    <t>EPDM-Fugenband (nicht selbstklebend)</t>
  </si>
  <si>
    <t>EPDM joint tape (not self-adhesive)</t>
  </si>
  <si>
    <t>joint EPDM (non adhésif)</t>
  </si>
  <si>
    <t>Nastro coprifuga in EPDM (non adesivo)</t>
  </si>
  <si>
    <t>Dilatační páska EPDM (není samolepicí)</t>
  </si>
  <si>
    <t>Taśma EPDM do fug (bez kleju)</t>
  </si>
  <si>
    <t>EPDM-fugaszalag (nem öntapadó)</t>
  </si>
  <si>
    <t>EPDM utesňovací pás (nie je samolepiaci)</t>
  </si>
  <si>
    <t>EPDM-voegband (niet zelfklevend)</t>
  </si>
  <si>
    <t>EPDM Trak za fuge (brez lepila)</t>
  </si>
  <si>
    <t>EPDM fogband (ej självhäftande)</t>
  </si>
  <si>
    <t>EPDM-fugebånd (ikke-selvklæbende)</t>
  </si>
  <si>
    <t>EPDM-fugebånd (ikke selvklebende)</t>
  </si>
  <si>
    <t>EPDM traka za reške (nije samoljepljiva)</t>
  </si>
  <si>
    <t>Spezialbohrer für Holzunterkonstruktion (⌀ 3,3 mm; DIN 338)</t>
  </si>
  <si>
    <t>special drill bit for timber supporting substrates (⌀ 3.3 mm; DIN 338)</t>
  </si>
  <si>
    <t>foret spécial pour sous-construction bois (⌀ 3,3 mm ; DIN 338)</t>
  </si>
  <si>
    <t>Trapano speciale per sottostruttura in legno (⌀ 3.3 × 338 mm)</t>
  </si>
  <si>
    <t>Speciální vrták pro dřevěnou spodní konstrukci (⌀ 3,3 × 338 mm)</t>
  </si>
  <si>
    <t>Wiertło specjalne do konstrukcji nośnej z metalu (⌀ 3,3 DIN 338 mm)</t>
  </si>
  <si>
    <t>speciális fúrószár fa alátétszerkezetekhez (⌀ 3,3 mm; DIN 338)</t>
  </si>
  <si>
    <t>špeciálny vrták pre drevený nosný rošt (⌀ 3,3 mm; DIN 338)</t>
  </si>
  <si>
    <t>Speciale boor voor houten onderconstructie (⌀ 3,3; DIN 338)</t>
  </si>
  <si>
    <t>Poseben sveder za leseno podkonstrukcijo (⌀ 3,3 × 338 mm)</t>
  </si>
  <si>
    <t>specialborr för träunderkonstruktion (⌀ 3,3 mm; DIN 338)</t>
  </si>
  <si>
    <t>Specialbor til træunderkonstruktion (⌀ 3,3 mm; DIN 338)</t>
  </si>
  <si>
    <t>Spesialbor til underkonstruksjoner i tre (⌀ 3,3 × 338 mm)</t>
  </si>
  <si>
    <t>Specijalno svrdlo za drvenu potkonstrukciju (⌀ 3,3 × 338 mm)</t>
  </si>
  <si>
    <t>Bügelbohrvorrichtung für Holzunterkonstruktion</t>
  </si>
  <si>
    <t>bracket boring fixture for timber supporting substrates</t>
  </si>
  <si>
    <t>étrier pour rivet (pour les sous-construction bois)</t>
  </si>
  <si>
    <t>Dispositivo di foratura a staffa per sottostruttura in legno</t>
  </si>
  <si>
    <t>Vrtací přípravek (držadlo) pro dřevěné spodní konstrukce</t>
  </si>
  <si>
    <t>Kabłąk przyrządu wiertarskiego do konstrukcji z drewna</t>
  </si>
  <si>
    <t>központosító segédeszköz fúráshoz fa alátétszerkezethez</t>
  </si>
  <si>
    <t>prípravok na vŕtanie pre drevený nosný rošt</t>
  </si>
  <si>
    <t>Beugelboorinrichting voor houten onderconstructie</t>
  </si>
  <si>
    <t>Nastavek za vrtanje v leseno podkonstrukcijo</t>
  </si>
  <si>
    <t>fästborranordning för träunderkonstruktion</t>
  </si>
  <si>
    <t>Borebeslag til træunderkonstruktion</t>
  </si>
  <si>
    <t>Bøyleboreanordning til underkonstruksjoner i tre</t>
  </si>
  <si>
    <t>Drška – naprava za bušenje za drvene potkonstrukcije</t>
  </si>
  <si>
    <t>F-Profil Für Prefabond</t>
  </si>
  <si>
    <t>F-profile for PREFABOND panels</t>
  </si>
  <si>
    <t>profil en F pour panneaux PREFABOND</t>
  </si>
  <si>
    <t>Profilo F per PREFABOND</t>
  </si>
  <si>
    <t>F profil pro PREFABOND</t>
  </si>
  <si>
    <t>Profil F do płyt PREFABOND</t>
  </si>
  <si>
    <t>PREFABOND F-profil</t>
  </si>
  <si>
    <t>F-profil pre PREFABOND</t>
  </si>
  <si>
    <t>F-profiel voor PREFABOND</t>
  </si>
  <si>
    <t>F-profil za PREFABOND</t>
  </si>
  <si>
    <t>F-Profil för PREFABOND</t>
  </si>
  <si>
    <t>F-profil til PREFABOND</t>
  </si>
  <si>
    <t>F-Profil für PREFABOND</t>
  </si>
  <si>
    <t>U-Profil Für Prefabond</t>
  </si>
  <si>
    <t>U-profile for PREFABOND panels</t>
  </si>
  <si>
    <t>profil en U pour panneaux PREFABOND</t>
  </si>
  <si>
    <t>Profilo U per PREFABOND</t>
  </si>
  <si>
    <t>U profil pro PREFABOND</t>
  </si>
  <si>
    <t>Profil U do płyt PREFABOND</t>
  </si>
  <si>
    <t>PREFABOND U-profil</t>
  </si>
  <si>
    <t>U-profil pre PREFABOND</t>
  </si>
  <si>
    <t>U-profiel voor PREFABOND</t>
  </si>
  <si>
    <t>U-profil za PREFABOND</t>
  </si>
  <si>
    <t>U-Profil för PREFABOND</t>
  </si>
  <si>
    <t>U-profil til PREFABOND</t>
  </si>
  <si>
    <t>U-Profil für PREFABOND</t>
  </si>
  <si>
    <t>90° V-Nut-Fräser</t>
  </si>
  <si>
    <t>90° V-slot milling cutter</t>
  </si>
  <si>
    <t>fraise à rainurer en V à 90°</t>
  </si>
  <si>
    <t>Fresa per scanalature a V a 90°</t>
  </si>
  <si>
    <t>90° fréza na drážku V</t>
  </si>
  <si>
    <t>Frez 90°</t>
  </si>
  <si>
    <t>90° V-nút marófej</t>
  </si>
  <si>
    <t>90° frézovač V drážky</t>
  </si>
  <si>
    <t>90° V-groeffrees</t>
  </si>
  <si>
    <t>Rezkar V-utora 90°</t>
  </si>
  <si>
    <t>90° V-spårfräs</t>
  </si>
  <si>
    <t>90° V-notfræser</t>
  </si>
  <si>
    <t>90°-fres</t>
  </si>
  <si>
    <t>90° glodalo</t>
  </si>
  <si>
    <t>135° V-Nut-Fräser</t>
  </si>
  <si>
    <t>135° V-slot milling cutter</t>
  </si>
  <si>
    <t>fraise à rainurer en V à 135°</t>
  </si>
  <si>
    <t>Fresa per scanalature a V a 135°</t>
  </si>
  <si>
    <t>135° fréza na drážku V</t>
  </si>
  <si>
    <t>Frez 135°</t>
  </si>
  <si>
    <t>135° V-nút marófej</t>
  </si>
  <si>
    <t>135° frézovač V drážky</t>
  </si>
  <si>
    <t>135° V-groeffrees</t>
  </si>
  <si>
    <t>Rezkar V-utora 135°</t>
  </si>
  <si>
    <t>135° V-spårfräs</t>
  </si>
  <si>
    <t>135° V-notfræser</t>
  </si>
  <si>
    <t>135°-fres</t>
  </si>
  <si>
    <t>135° glodalo</t>
  </si>
  <si>
    <t>Stufenbohrer (⌀ 9,5 × 5,1 mm)</t>
  </si>
  <si>
    <t>step drill bit (⌀ 9.5 × 5.1 mm)</t>
  </si>
  <si>
    <t>foret étagé (⌀ 9,5 × 5,1 mm)</t>
  </si>
  <si>
    <t>Trapano a gradini (⌀ 9,5 × 5,1 mm)</t>
  </si>
  <si>
    <t>Stupňovitý vrták (⌀ 9,5 × 5,1 mm)</t>
  </si>
  <si>
    <t>Wiertło stopniowe (⌀ 9,5 × 5,1 mm)</t>
  </si>
  <si>
    <t>lépcsős fúrószár (⌀ 9,5 × 5,1 mm)</t>
  </si>
  <si>
    <t>stupňovitý vrták (⌀ 9,5 × 5,1 mm)</t>
  </si>
  <si>
    <t>Trappenboor (⌀ 9,5 × 5,1 mm)</t>
  </si>
  <si>
    <t>Stopenjski sveder (⌀ 9,5 × 5,1 mm)</t>
  </si>
  <si>
    <t>stegborr (⌀ 9,5 × 5,1 mm)</t>
  </si>
  <si>
    <t>Trinbor (⌀ 9,5 × 5,1 mm)</t>
  </si>
  <si>
    <t>Trinnbor (⌀ 9,5 × 5,1 mm)</t>
  </si>
  <si>
    <t>Stupnjevito svrdlo (⌀ 9,5 × 5,1 mm)</t>
  </si>
  <si>
    <t>Tiefenanschlag für Stufenbohrer (⌀ 9,5 × 5,1 mm)</t>
  </si>
  <si>
    <t>step drill bit depth stop (⌀ 9.5 × 5.1 mm)</t>
  </si>
  <si>
    <t>butée de profondeur pour foret étagé (⌀ 9,5 × 5,1 mm)</t>
  </si>
  <si>
    <t>Arresto di profondità per trapano a gradini (⌀ 9,5 × 5,1 mm)</t>
  </si>
  <si>
    <t>Hloubkový doraz pro stupňovitý vrták (⌀ 9,5 × 5,1 mm)</t>
  </si>
  <si>
    <t>Ogranicznik głębokości do wiertła stopniowego (⌀ 9,5 × 5,1 mm)</t>
  </si>
  <si>
    <t>mélységütköző lépcsős fúróhoz (⌀ 9,5 × 5,1 mm)</t>
  </si>
  <si>
    <t>hĺbkový doraz pre stupňovitý vrták (⌀ 9,5 × 5,1 mm)</t>
  </si>
  <si>
    <t>Diepteaanslag voor trappenboor (⌀ 9,5 × 5,1 mm)</t>
  </si>
  <si>
    <t>Globinski omejevalnik za stopenjske svedre (⌀ 9,5 × 5,1 mm)</t>
  </si>
  <si>
    <t>djupstopp för stegborr (⌀ 9,5 × 5,1 mm)</t>
  </si>
  <si>
    <t>Dybdeanslag til trinbor (⌀ 9,5 × 5,1 mm)</t>
  </si>
  <si>
    <t>Dybdeanslag for trinnbor (⌀ 9,5 × 5,1 mm)</t>
  </si>
  <si>
    <t>Dubinski graničnik za stupnjevito svrdlo (⌀ 9,5 × 5,1 mm)</t>
  </si>
  <si>
    <t>Entgraterstiel</t>
  </si>
  <si>
    <t>deburring tool handle</t>
  </si>
  <si>
    <t>manche pour ébavureur</t>
  </si>
  <si>
    <t>Impugnatura per sbavatore</t>
  </si>
  <si>
    <t>Držadlo odhrotovačky</t>
  </si>
  <si>
    <t>Uchwyt do gratownika</t>
  </si>
  <si>
    <t>sorjázó nyél</t>
  </si>
  <si>
    <t>orezávač hrán</t>
  </si>
  <si>
    <t>Afbramer</t>
  </si>
  <si>
    <t>Ročaj za strgalo</t>
  </si>
  <si>
    <t>avgradningshandtag</t>
  </si>
  <si>
    <t>Afgrater</t>
  </si>
  <si>
    <t>Skaft til avgrader</t>
  </si>
  <si>
    <t>Drška strugala</t>
  </si>
  <si>
    <t>Klingen für Entgraterstiel</t>
  </si>
  <si>
    <t>blades for deburring tool handle</t>
  </si>
  <si>
    <t>lames pour ébavureur</t>
  </si>
  <si>
    <t>Lama per sbavatore</t>
  </si>
  <si>
    <t>Nástavce do držadla odhrotovačky</t>
  </si>
  <si>
    <t>Ostrza do gratownika</t>
  </si>
  <si>
    <t>kések sorjázó nyélhez</t>
  </si>
  <si>
    <t>čepele pre orezávač hrán</t>
  </si>
  <si>
    <t>Klinknagels voor afbramer</t>
  </si>
  <si>
    <t>Strgalo</t>
  </si>
  <si>
    <t>Blad för avgradningshandtag</t>
  </si>
  <si>
    <t>Klinger til afgrater</t>
  </si>
  <si>
    <t>Blad til avgraderskaft</t>
  </si>
  <si>
    <t>Noževi za dršku strugala</t>
  </si>
  <si>
    <t>Folienschneider</t>
  </si>
  <si>
    <t>film cutter</t>
  </si>
  <si>
    <t>couteau</t>
  </si>
  <si>
    <t>Taglierina per fogli di alluminio</t>
  </si>
  <si>
    <t>Řezačka fólie</t>
  </si>
  <si>
    <t>Obcinarka do folii</t>
  </si>
  <si>
    <t>fólialyukasztó</t>
  </si>
  <si>
    <t>vyrezávač fólie</t>
  </si>
  <si>
    <t>Foliesnijder</t>
  </si>
  <si>
    <t>Rezilo za folije</t>
  </si>
  <si>
    <t>folieskärare</t>
  </si>
  <si>
    <t>Folieskærer</t>
  </si>
  <si>
    <t>Foliekutter</t>
  </si>
  <si>
    <t>Rezač folije</t>
  </si>
  <si>
    <t>Montagehilfe Prefabond</t>
  </si>
  <si>
    <t>PREFABOND mounting aid</t>
  </si>
  <si>
    <t>cale d’espacement pour PREFABOND</t>
  </si>
  <si>
    <t>Ausilio per montaggio PREFABOND</t>
  </si>
  <si>
    <t>Montážní pomůcka pro PREFABOND</t>
  </si>
  <si>
    <t>Przyrząd montażowy PREFABOND</t>
  </si>
  <si>
    <t>PREFABOND fugabeállító eszköz</t>
  </si>
  <si>
    <t>montážna pomôcka PREFABOND</t>
  </si>
  <si>
    <t>Montagehulp PREFABOND</t>
  </si>
  <si>
    <t>Pripomoček za montažo PREFABOND</t>
  </si>
  <si>
    <t>Monteringshjälp PREFABOND</t>
  </si>
  <si>
    <t>Monteringshjælp PREFABOND</t>
  </si>
  <si>
    <t>Monteringshjelp PREFABOND</t>
  </si>
  <si>
    <t>Pomagalo za montažu PREFABOND</t>
  </si>
  <si>
    <t>Montagehilfe PREFABOND</t>
  </si>
  <si>
    <t>Saugnapf und Mutter</t>
  </si>
  <si>
    <t>suction cup with nut</t>
  </si>
  <si>
    <t>ventouse et écrou</t>
  </si>
  <si>
    <t>Ventosa e dado</t>
  </si>
  <si>
    <t>Přísavka a matice</t>
  </si>
  <si>
    <t>Przyssawka i nakrętka</t>
  </si>
  <si>
    <t>vákuumkorong és anya</t>
  </si>
  <si>
    <t>prísavka a matica</t>
  </si>
  <si>
    <t>Zuignap en moer</t>
  </si>
  <si>
    <t>Vakumski nastavek in matica</t>
  </si>
  <si>
    <t>sugkopp och mutter</t>
  </si>
  <si>
    <t>Sugekop og møtrik</t>
  </si>
  <si>
    <t>Sugekopp og mutter</t>
  </si>
  <si>
    <t>Usisna čašica i matica</t>
  </si>
  <si>
    <t>Balkonniete</t>
  </si>
  <si>
    <t>balcony rivet</t>
  </si>
  <si>
    <t>rivet de balcon</t>
  </si>
  <si>
    <t>Rivetti per balcone</t>
  </si>
  <si>
    <t>Balkónové nýty</t>
  </si>
  <si>
    <t>Nit do balkonów</t>
  </si>
  <si>
    <t>rozsdamentes szegecs</t>
  </si>
  <si>
    <t>balkónové nity</t>
  </si>
  <si>
    <t>Balkonklinknagel</t>
  </si>
  <si>
    <t>Balkonska kovica</t>
  </si>
  <si>
    <t>balkongnit</t>
  </si>
  <si>
    <t>Balkonnitte</t>
  </si>
  <si>
    <t>Balkongskjøter</t>
  </si>
  <si>
    <t>Balkonska zakovica</t>
  </si>
  <si>
    <t>Befestigung für Balkonverkleidung</t>
  </si>
  <si>
    <t>fastening for balcony cladding</t>
  </si>
  <si>
    <t>fixation pour habillages de balcon</t>
  </si>
  <si>
    <t>Fissaggio per rivestimento di balconi</t>
  </si>
  <si>
    <t>Připevnění pro obložení balkónu</t>
  </si>
  <si>
    <t>Mocowanie do okładzin balkonowych</t>
  </si>
  <si>
    <t>rögzítés erkélyburkolathoz</t>
  </si>
  <si>
    <t>upevnenie pre obloženie balkóna</t>
  </si>
  <si>
    <t>Bevestiging voor balkonbekleding</t>
  </si>
  <si>
    <t>Pritrditev za balkonsko oblogo</t>
  </si>
  <si>
    <t>infästning för balkongbeklädnad</t>
  </si>
  <si>
    <t>Fastgørelse til balkonbeklædning</t>
  </si>
  <si>
    <t>Feste av balkongkledning</t>
  </si>
  <si>
    <t>Pričvršćivač za balkonsku oblogu</t>
  </si>
  <si>
    <t>Ansprechperson:</t>
  </si>
  <si>
    <t>Point of contact:</t>
  </si>
  <si>
    <t>Contact :</t>
  </si>
  <si>
    <t>Interlocutore:</t>
  </si>
  <si>
    <t>Osoba kontaktowa:</t>
  </si>
  <si>
    <t>Kontaktná osoba:</t>
  </si>
  <si>
    <t>Kontaktna oseba:</t>
  </si>
  <si>
    <t>Verschnitt:</t>
  </si>
  <si>
    <t>Offcuts:</t>
  </si>
  <si>
    <t>Déchets de coupe :</t>
  </si>
  <si>
    <t>Taglio:</t>
  </si>
  <si>
    <t>Prořez:</t>
  </si>
  <si>
    <t>Ścinki:</t>
  </si>
  <si>
    <t>vágott anyag:</t>
  </si>
  <si>
    <t>Stratné:</t>
  </si>
  <si>
    <t>Mengsel:</t>
  </si>
  <si>
    <t>Razrez:</t>
  </si>
  <si>
    <t>avfallsbitar:</t>
  </si>
  <si>
    <t>Affald:</t>
  </si>
  <si>
    <t>Snitt:</t>
  </si>
  <si>
    <t>Pogrešan rez:</t>
  </si>
  <si>
    <t>Platten</t>
  </si>
  <si>
    <t>panels</t>
  </si>
  <si>
    <t>panneaux</t>
  </si>
  <si>
    <t>Lastre</t>
  </si>
  <si>
    <t>Desky</t>
  </si>
  <si>
    <t>Płyty</t>
  </si>
  <si>
    <t>lemezek</t>
  </si>
  <si>
    <t>dosky</t>
  </si>
  <si>
    <t>Platen</t>
  </si>
  <si>
    <t>Plošče</t>
  </si>
  <si>
    <t>plattor</t>
  </si>
  <si>
    <t>Plader</t>
  </si>
  <si>
    <t>Plater</t>
  </si>
  <si>
    <t>Ploče</t>
  </si>
  <si>
    <t>bearbeitet:</t>
  </si>
  <si>
    <t>processed:</t>
  </si>
  <si>
    <t>façonné :</t>
  </si>
  <si>
    <t>lavorato:</t>
  </si>
  <si>
    <t>opracováno:</t>
  </si>
  <si>
    <t>obrobione:</t>
  </si>
  <si>
    <t>megmunkálva:</t>
  </si>
  <si>
    <t>opracované:</t>
  </si>
  <si>
    <t>bewerkt:</t>
  </si>
  <si>
    <t>obdelane:</t>
  </si>
  <si>
    <t>bearbetade:</t>
  </si>
  <si>
    <t>bearbejdet:</t>
  </si>
  <si>
    <t>Bearbeidet:</t>
  </si>
  <si>
    <t>obrađeno:</t>
  </si>
  <si>
    <t>unbearbeitet:</t>
  </si>
  <si>
    <t>unprocessed:</t>
  </si>
  <si>
    <t>non façonné :</t>
  </si>
  <si>
    <t>non lavorato:</t>
  </si>
  <si>
    <t>neopracováno:</t>
  </si>
  <si>
    <t>nieobrobione:</t>
  </si>
  <si>
    <t>megmunkálás nélkül:</t>
  </si>
  <si>
    <t>neopracované:</t>
  </si>
  <si>
    <t>onbewerkt:</t>
  </si>
  <si>
    <t>neobdelane:</t>
  </si>
  <si>
    <t>obearbetade:</t>
  </si>
  <si>
    <t>ubearbejdet:</t>
  </si>
  <si>
    <t>Ubearbeidet:</t>
  </si>
  <si>
    <t>neobrađeno:</t>
  </si>
  <si>
    <t>Lagerfarben</t>
  </si>
  <si>
    <t>in-stock colours</t>
  </si>
  <si>
    <t>couleurs en stock</t>
  </si>
  <si>
    <t>Colori a magazzino</t>
  </si>
  <si>
    <t>Barvy na skladě</t>
  </si>
  <si>
    <t>Kolory elementów dostępnych w magazynie</t>
  </si>
  <si>
    <t>Raktározott színek</t>
  </si>
  <si>
    <t>farby na sklade</t>
  </si>
  <si>
    <t>Voorraadkleuren</t>
  </si>
  <si>
    <t>Skladiščne barve</t>
  </si>
  <si>
    <t>lagerfärger</t>
  </si>
  <si>
    <t>Lagerfarver</t>
  </si>
  <si>
    <t>Lagerfarger</t>
  </si>
  <si>
    <t>Boje na skladištu</t>
  </si>
  <si>
    <t>Befestigung</t>
  </si>
  <si>
    <t>fastening</t>
  </si>
  <si>
    <t>fixation</t>
  </si>
  <si>
    <t>Fissaggio</t>
  </si>
  <si>
    <t>Připevnění</t>
  </si>
  <si>
    <t>Mocowanie</t>
  </si>
  <si>
    <t>rögzítés</t>
  </si>
  <si>
    <t>upevnenie</t>
  </si>
  <si>
    <t>Bevestiging</t>
  </si>
  <si>
    <t>infästning</t>
  </si>
  <si>
    <t>Fastgørelse</t>
  </si>
  <si>
    <t>Feste</t>
  </si>
  <si>
    <t>Pričvršćivač</t>
  </si>
  <si>
    <t>Anzahl:</t>
  </si>
  <si>
    <t>Number:</t>
  </si>
  <si>
    <t>Nombre :</t>
  </si>
  <si>
    <t>Quantità:</t>
  </si>
  <si>
    <t>Počet:</t>
  </si>
  <si>
    <t>Liczba:</t>
  </si>
  <si>
    <t>darabszám:</t>
  </si>
  <si>
    <t>Aantal:</t>
  </si>
  <si>
    <t>Število:</t>
  </si>
  <si>
    <t>Antal:</t>
  </si>
  <si>
    <t>Antall:</t>
  </si>
  <si>
    <t>Broj:</t>
  </si>
  <si>
    <t>Eine genaue Ermittlung kann erst nach Übermittlung der Naturmaße des Verlegers erfolgen.</t>
  </si>
  <si>
    <t>An exact determination can only be made after the roofer has provided the actual dimensions.</t>
  </si>
  <si>
    <t>Une estimation précise n’est possible qu’après communication par le couvreur des dimensions concrètes.</t>
  </si>
  <si>
    <t>Una determinazione esatta può essere fatta solo dopo che il posatore ha fornito le dimensioni naturali.</t>
  </si>
  <si>
    <t>Přesné určení lze provést až poté, co pokrývač dodá skutečné rozměry.</t>
  </si>
  <si>
    <t>Dokładnego określenia można dokonać dopiero po podaniu przez montera wymiarów naturalnych.</t>
  </si>
  <si>
    <t>Pontos számítás csak azután lehetséges, hogy a burkoló a természetes méreteket megadta.</t>
  </si>
  <si>
    <t>Presné určenie je možné až po získaní skutočných rozmerov od montážnej firmy.</t>
  </si>
  <si>
    <t>Een exacte bepaling kan pas worden gedaan nadat de uitgever de natuurlijke afmetingen heeft verstrekt.</t>
  </si>
  <si>
    <t>Natančna določitev se lahko izvede šele, ko polagalec posreduje dejanske dimenzije.</t>
  </si>
  <si>
    <t>En exakt bestämning kan göras först efter att installatören har skickat måtten.</t>
  </si>
  <si>
    <t>En nøjagtig beregning kan først ske efter overførsel af de reelle mål.</t>
  </si>
  <si>
    <t>En nøyaktig bestemmelse kan først gjøres etter at installatøren har sendt oss naturmålene.</t>
  </si>
  <si>
    <t>Točna se procjena može napraviti tek nakon prijenosa stvarnih dimenzija izdavača.</t>
  </si>
  <si>
    <t>Prefa übernimmt keinerlei Garantie bezüglich Material- und Verschnittangaben.</t>
  </si>
  <si>
    <t>PREFA assumes no guarantee whatsoever for material and offcut specifications.</t>
  </si>
  <si>
    <t>PREFA ne se porte aucunement garante des données précises sur le matériau et les déchets de coupe.</t>
  </si>
  <si>
    <t>PREFA non fornisce alcuna garanzia riguardo alle specifiche del materiale e del taglio.</t>
  </si>
  <si>
    <t>PREFA neručí za údaje o prořezu a potřebném množství materiálu.</t>
  </si>
  <si>
    <t>Firma PREFA nie udziela żadnej gwarancji w odniesieniu do specyfikacji materiałów i ilości odpadów.</t>
  </si>
  <si>
    <t>A PREFA a vágott anyagok méretadataira vonatkozóan garanciát nem vállal.</t>
  </si>
  <si>
    <t>PREFA nepreberá žiadnu záruku za údaje o materiáli a stratnom.</t>
  </si>
  <si>
    <t>PREFA geeft geen garantie met betrekking tot materiaal- en afsnijspecificaties.</t>
  </si>
  <si>
    <t>PREFA ne prevzema nikakršnega jamstva glede informacij o materialu in razrezih.</t>
  </si>
  <si>
    <t>PREFA lämnar ingen som helst garanti med avseende på material- och avfallsinformation.</t>
  </si>
  <si>
    <t>PREFA påtager sig ingen garanti med hensyn til materiale- og tilskæringsoplysninger.</t>
  </si>
  <si>
    <t>PREFA giir ingen garanti med hensyn til material- og snittinformasjon.</t>
  </si>
  <si>
    <t>PREFA ne preuzima nikakva jamstva u pogledu informacija o materijalu i otpadu.</t>
  </si>
  <si>
    <t>PREFA übernimmt keinerlei Garantie bezüglich Material- und Verschnittangaben.</t>
  </si>
  <si>
    <t>Diese sind ausschließlich vom Verarbeiter zu berechnen und zu kontrollieren!</t>
  </si>
  <si>
    <t>They must be calculated and checked by the roofer.</t>
  </si>
  <si>
    <t>Il appartient exclusivement au couvreur de les calculer et de les vérifier !</t>
  </si>
  <si>
    <t>Devono essere calcolati e controllati esclusivamente da chi li elabora!</t>
  </si>
  <si>
    <t>Tyto údaje musí spočítat a zkontrolovat zpracovatel!</t>
  </si>
  <si>
    <t>Powinny one być obliczane i sprawdzane wyłącznie przez przetwarzającego!</t>
  </si>
  <si>
    <t>Ezeket kiszámítása és ellenőrzése a burkoló kizárólagos feladata!</t>
  </si>
  <si>
    <t>Musí ich vypočítať a skontrolovať výlučne realizátor!</t>
  </si>
  <si>
    <t>Deze moeten uitsluitend door de verwerker worden berekend en gecontroleerd!</t>
  </si>
  <si>
    <t>Te mora izračunati in preveriti izključno obdelovalec!</t>
  </si>
  <si>
    <t>Dessa ska endast beräknas och kontrolleras av utföraren!</t>
  </si>
  <si>
    <t>Disse skal udelukkende beregnes og kontrolleres af brugeren!</t>
  </si>
  <si>
    <t>Denne skal beregnes og kontrolleres av håndverkeren!</t>
  </si>
  <si>
    <t>To mora izračunati i provjeriti isključivo obrađivač!</t>
  </si>
  <si>
    <t>Summe</t>
  </si>
  <si>
    <t>total</t>
  </si>
  <si>
    <t>somme</t>
  </si>
  <si>
    <t>Somma</t>
  </si>
  <si>
    <t>összeg</t>
  </si>
  <si>
    <t>suma</t>
  </si>
  <si>
    <t>Som</t>
  </si>
  <si>
    <t>Vsota</t>
  </si>
  <si>
    <t>summa</t>
  </si>
  <si>
    <t>Sum</t>
  </si>
  <si>
    <t>Schnittlänge</t>
  </si>
  <si>
    <t>cutting length</t>
  </si>
  <si>
    <t>longueur de coupe</t>
  </si>
  <si>
    <t>Lunghezza di taglio</t>
  </si>
  <si>
    <t>Délka řezu</t>
  </si>
  <si>
    <t>Długość cięcia</t>
  </si>
  <si>
    <t>vágási hossz</t>
  </si>
  <si>
    <t>dĺžka rezu</t>
  </si>
  <si>
    <t>Snijlengte</t>
  </si>
  <si>
    <t>Dolžina reza</t>
  </si>
  <si>
    <t>skärlängd</t>
  </si>
  <si>
    <t>Snitlængde</t>
  </si>
  <si>
    <t>Snittlengde</t>
  </si>
  <si>
    <t>Duljina rezanja</t>
  </si>
  <si>
    <t>Fräslänge</t>
  </si>
  <si>
    <t>milling length</t>
  </si>
  <si>
    <t>longueur de fraisage</t>
  </si>
  <si>
    <t>Lunghezza di fresatura</t>
  </si>
  <si>
    <t>Délka frézování</t>
  </si>
  <si>
    <t>Długość frezowania</t>
  </si>
  <si>
    <t>marási hossz</t>
  </si>
  <si>
    <t>dĺžka frézovania</t>
  </si>
  <si>
    <t>Freeslengte</t>
  </si>
  <si>
    <t>Dolžina rezkanja</t>
  </si>
  <si>
    <t>fräslängd</t>
  </si>
  <si>
    <t>Fræselængde</t>
  </si>
  <si>
    <t>Freselengde</t>
  </si>
  <si>
    <t>Duljina glodanja</t>
  </si>
  <si>
    <t>Fräslänge (gesamt)</t>
  </si>
  <si>
    <t>milling length (total)</t>
  </si>
  <si>
    <t>longueur de fraisage (totale)</t>
  </si>
  <si>
    <t>Lunghezza di fresatura (totale)</t>
  </si>
  <si>
    <t>Délka frézování (celkem)</t>
  </si>
  <si>
    <t>Długość frezowania (razem)</t>
  </si>
  <si>
    <t>marási hossz (összesen)</t>
  </si>
  <si>
    <t>dĺžka frézovania (celkom)</t>
  </si>
  <si>
    <t>Freeslengte (totaal)</t>
  </si>
  <si>
    <t>Dolžina rezkanja (skupaj)</t>
  </si>
  <si>
    <t>fräslängd (totalt)</t>
  </si>
  <si>
    <t>Fræselængde (i alt)</t>
  </si>
  <si>
    <t>Freselengde (samlet)</t>
  </si>
  <si>
    <t>Duljina glodanja (ukupno)</t>
  </si>
  <si>
    <t>Ausklinkungen</t>
  </si>
  <si>
    <t>notches</t>
  </si>
  <si>
    <t>encoches</t>
  </si>
  <si>
    <t>Tacche</t>
  </si>
  <si>
    <t>Výřezy</t>
  </si>
  <si>
    <t>Nacięcia</t>
  </si>
  <si>
    <t>bemetszések</t>
  </si>
  <si>
    <t>vyseknutia</t>
  </si>
  <si>
    <t>Inkepingen</t>
  </si>
  <si>
    <t>Zareze</t>
  </si>
  <si>
    <t>urtag</t>
  </si>
  <si>
    <t>Udklinkning</t>
  </si>
  <si>
    <t>Skårskjæring</t>
  </si>
  <si>
    <t>Urezi</t>
  </si>
  <si>
    <t>Bohrungen</t>
  </si>
  <si>
    <t>holes</t>
  </si>
  <si>
    <t>trous</t>
  </si>
  <si>
    <t>Fori</t>
  </si>
  <si>
    <t>Otvory</t>
  </si>
  <si>
    <t>Wiercone otwory</t>
  </si>
  <si>
    <t>furatok</t>
  </si>
  <si>
    <t>vŕtania</t>
  </si>
  <si>
    <t>Boringen</t>
  </si>
  <si>
    <t>Izvrtine</t>
  </si>
  <si>
    <t>borrningar</t>
  </si>
  <si>
    <t>Boringer</t>
  </si>
  <si>
    <t>Borehull</t>
  </si>
  <si>
    <t>Rupe od bušenja</t>
  </si>
  <si>
    <t>Bohrungen (gesamt)</t>
  </si>
  <si>
    <t>holes (total)</t>
  </si>
  <si>
    <t>trous (total)</t>
  </si>
  <si>
    <t>Fori (totali)</t>
  </si>
  <si>
    <t>Otvory (celkem)</t>
  </si>
  <si>
    <t>Wiercone otwory (razem)</t>
  </si>
  <si>
    <t>furatok (összes)</t>
  </si>
  <si>
    <t>vŕtania (celkom)</t>
  </si>
  <si>
    <t>Boringen (totaal)</t>
  </si>
  <si>
    <t>Izvrtine (skupaj)</t>
  </si>
  <si>
    <t>borrningar (totalt)</t>
  </si>
  <si>
    <t>Boringer (i alt)</t>
  </si>
  <si>
    <t>Borehull (samlet)</t>
  </si>
  <si>
    <t>Rupe od bušenja (ukupno)</t>
  </si>
  <si>
    <t>Konturfräslängen</t>
  </si>
  <si>
    <t>contour milling lengths</t>
  </si>
  <si>
    <t>longueurs de détourage</t>
  </si>
  <si>
    <t>Lunghezze di fresatura dei contorni</t>
  </si>
  <si>
    <t>Délky frézování kontur</t>
  </si>
  <si>
    <t>Długość frezowania konturu</t>
  </si>
  <si>
    <t>kontúrmarás hossza</t>
  </si>
  <si>
    <t>dĺžky frézovania kontúr</t>
  </si>
  <si>
    <t>Contour freeslengtes</t>
  </si>
  <si>
    <t>Dolžine rezkanja kontur</t>
  </si>
  <si>
    <t>konturfräsningslängder</t>
  </si>
  <si>
    <t>Konturfræselængder</t>
  </si>
  <si>
    <t>Konturfreselengder</t>
  </si>
  <si>
    <t>Duljine konturnog glodanja</t>
  </si>
  <si>
    <t>Konturfräslängen (gesamt)</t>
  </si>
  <si>
    <t>contour milling lengths (total)</t>
  </si>
  <si>
    <t>longueurs de détourage (total)</t>
  </si>
  <si>
    <t>Lunghezze di fresatura dei contorni (totale)</t>
  </si>
  <si>
    <t>Délky frézování kontur (celkem)</t>
  </si>
  <si>
    <t>Długość frezowania konturu (razem)</t>
  </si>
  <si>
    <t>kontúrmarás hossza (összesen)</t>
  </si>
  <si>
    <t>dĺžky frézovania kontúr (celkom)</t>
  </si>
  <si>
    <t>Contour freeslengtes (totaal)</t>
  </si>
  <si>
    <t>Dolžine rezkanja kontur (skupaj)</t>
  </si>
  <si>
    <t>konturfräsningslängder (totalt)</t>
  </si>
  <si>
    <t>Konturfræselængder (i alt)</t>
  </si>
  <si>
    <t>Konturfreselengder (samlet)</t>
  </si>
  <si>
    <t>Duljine konturnog glodanja (ukupno)</t>
  </si>
  <si>
    <r>
      <t>Folienschneider für Fixpunkt (</t>
    </r>
    <r>
      <rPr>
        <sz val="11"/>
        <color rgb="FF000000"/>
        <rFont val="Arial"/>
        <family val="2"/>
      </rPr>
      <t>⌀ 5,1 mm)</t>
    </r>
  </si>
  <si>
    <r>
      <t>film cutter for fixed point (</t>
    </r>
    <r>
      <rPr>
        <sz val="11"/>
        <color rgb="FF000000"/>
        <rFont val="Arial"/>
        <family val="2"/>
      </rPr>
      <t>⌀ 5,1 mm)</t>
    </r>
  </si>
  <si>
    <r>
      <t>couteau pour point fixe (</t>
    </r>
    <r>
      <rPr>
        <sz val="11"/>
        <color rgb="FF000000"/>
        <rFont val="Arial"/>
        <family val="2"/>
      </rPr>
      <t>⌀ 5,1 mm)</t>
    </r>
  </si>
  <si>
    <r>
      <t>Řezačka fólie pro pevný bod (</t>
    </r>
    <r>
      <rPr>
        <sz val="11"/>
        <color rgb="FF000000"/>
        <rFont val="Arial"/>
        <family val="2"/>
      </rPr>
      <t>⌀5,1 mm)</t>
    </r>
  </si>
  <si>
    <r>
      <t>Obcinarka do folii do punktu stałego (</t>
    </r>
    <r>
      <rPr>
        <sz val="11"/>
        <color rgb="FF000000"/>
        <rFont val="Arial"/>
        <family val="2"/>
      </rPr>
      <t>⌀ 5,1 mm)</t>
    </r>
  </si>
  <si>
    <r>
      <t>fóliavágó fixponthoz (</t>
    </r>
    <r>
      <rPr>
        <sz val="11"/>
        <color rgb="FF000000"/>
        <rFont val="Arial"/>
        <family val="2"/>
      </rPr>
      <t>⌀ 5,1 mm)</t>
    </r>
  </si>
  <si>
    <r>
      <t>vyrezávač fólie pre pevné body (</t>
    </r>
    <r>
      <rPr>
        <sz val="11"/>
        <color rgb="FF000000"/>
        <rFont val="Arial"/>
        <family val="2"/>
      </rPr>
      <t>⌀ 5,1 mm)</t>
    </r>
  </si>
  <si>
    <r>
      <t>Foliesnijder voor bevestigingspunt (</t>
    </r>
    <r>
      <rPr>
        <sz val="11"/>
        <color rgb="FF000000"/>
        <rFont val="Arial"/>
        <family val="2"/>
      </rPr>
      <t>⌀ 5,1 mm)</t>
    </r>
  </si>
  <si>
    <r>
      <t>Rezalnik folije za fiksno točko (</t>
    </r>
    <r>
      <rPr>
        <sz val="11"/>
        <color rgb="FF000000"/>
        <rFont val="Arial"/>
        <family val="2"/>
      </rPr>
      <t>⌀ 5,1 mm)</t>
    </r>
  </si>
  <si>
    <r>
      <t>folieskärare för fast punkt (</t>
    </r>
    <r>
      <rPr>
        <sz val="11"/>
        <color rgb="FF000000"/>
        <rFont val="Arial"/>
        <family val="2"/>
      </rPr>
      <t>⌀ 5,1 mm)</t>
    </r>
  </si>
  <si>
    <r>
      <t>Folieskærer til fixpunkt (</t>
    </r>
    <r>
      <rPr>
        <sz val="11"/>
        <color rgb="FF000000"/>
        <rFont val="Arial"/>
        <family val="2"/>
      </rPr>
      <t>⌀ 5,1 mm)</t>
    </r>
  </si>
  <si>
    <r>
      <t>Foliekutter for fastpunkt (</t>
    </r>
    <r>
      <rPr>
        <sz val="11"/>
        <color rgb="FF000000"/>
        <rFont val="Arial"/>
        <family val="2"/>
      </rPr>
      <t>⌀ 5,1 mm)</t>
    </r>
  </si>
  <si>
    <r>
      <t>Rezač folije za fiksnu točku (</t>
    </r>
    <r>
      <rPr>
        <sz val="11"/>
        <color rgb="FF000000"/>
        <rFont val="Arial"/>
        <family val="2"/>
      </rPr>
      <t>⌀ 5,1 mm)</t>
    </r>
  </si>
  <si>
    <r>
      <t>Folienschneider für Gleitpunkt (</t>
    </r>
    <r>
      <rPr>
        <sz val="11"/>
        <color rgb="FF000000"/>
        <rFont val="Arial"/>
        <family val="2"/>
      </rPr>
      <t>⌀ 9,5 mm)</t>
    </r>
  </si>
  <si>
    <r>
      <t>film cutter for sliding point (</t>
    </r>
    <r>
      <rPr>
        <sz val="11"/>
        <color rgb="FF000000"/>
        <rFont val="Arial"/>
        <family val="2"/>
      </rPr>
      <t>⌀ 9,5 mm)</t>
    </r>
  </si>
  <si>
    <r>
      <t>couteau pour point coulissant (</t>
    </r>
    <r>
      <rPr>
        <sz val="11"/>
        <color rgb="FF000000"/>
        <rFont val="Arial"/>
        <family val="2"/>
      </rPr>
      <t>⌀ 9,5 mm)</t>
    </r>
  </si>
  <si>
    <r>
      <t>Řezačka fólie pro kluzný bod (</t>
    </r>
    <r>
      <rPr>
        <sz val="11"/>
        <color rgb="FF000000"/>
        <rFont val="Arial"/>
        <family val="2"/>
      </rPr>
      <t>⌀9,5 mm)</t>
    </r>
  </si>
  <si>
    <r>
      <t>Obcinarka do folii do punktu przesuwnego (</t>
    </r>
    <r>
      <rPr>
        <sz val="11"/>
        <color rgb="FF000000"/>
        <rFont val="Arial"/>
        <family val="2"/>
      </rPr>
      <t>⌀ 9,5 mm)</t>
    </r>
  </si>
  <si>
    <r>
      <t>fóliavágó csúszóponthoz (</t>
    </r>
    <r>
      <rPr>
        <sz val="11"/>
        <color rgb="FF000000"/>
        <rFont val="Arial"/>
        <family val="2"/>
      </rPr>
      <t>⌀ 9,5 mm)</t>
    </r>
  </si>
  <si>
    <r>
      <t>vyrezávač fólie pre posuvné body (</t>
    </r>
    <r>
      <rPr>
        <sz val="11"/>
        <color rgb="FF000000"/>
        <rFont val="Arial"/>
        <family val="2"/>
      </rPr>
      <t>⌀ 9,5 mm)</t>
    </r>
  </si>
  <si>
    <r>
      <t>Foliesnijder voor schuifpuntpunt (</t>
    </r>
    <r>
      <rPr>
        <sz val="11"/>
        <color rgb="FF000000"/>
        <rFont val="Arial"/>
        <family val="2"/>
      </rPr>
      <t>⌀ 9,5 mm)</t>
    </r>
  </si>
  <si>
    <r>
      <t>Rezalnik folije za drsno točko (</t>
    </r>
    <r>
      <rPr>
        <sz val="11"/>
        <color rgb="FF000000"/>
        <rFont val="Arial"/>
        <family val="2"/>
      </rPr>
      <t>⌀ 9,5 mm)</t>
    </r>
  </si>
  <si>
    <r>
      <t>folieskärare för glidpunkt (</t>
    </r>
    <r>
      <rPr>
        <sz val="11"/>
        <color rgb="FF000000"/>
        <rFont val="Arial"/>
        <family val="2"/>
      </rPr>
      <t>⌀ 9,5 mm)</t>
    </r>
  </si>
  <si>
    <r>
      <t>Folieskærer til glidepunkt (</t>
    </r>
    <r>
      <rPr>
        <sz val="11"/>
        <color rgb="FF000000"/>
        <rFont val="Arial"/>
        <family val="2"/>
      </rPr>
      <t>⌀ 9,5 mm)</t>
    </r>
  </si>
  <si>
    <r>
      <t>Foliekutter for glidepunkt (</t>
    </r>
    <r>
      <rPr>
        <sz val="11"/>
        <color rgb="FF000000"/>
        <rFont val="Arial"/>
        <family val="2"/>
      </rPr>
      <t>⌀ 9,5 mm)</t>
    </r>
  </si>
  <si>
    <r>
      <t>Rezač folije za kliznu točku (</t>
    </r>
    <r>
      <rPr>
        <sz val="11"/>
        <color rgb="FF000000"/>
        <rFont val="Arial"/>
        <family val="2"/>
      </rPr>
      <t>⌀ 9,5 mm)</t>
    </r>
  </si>
  <si>
    <t>Montagehilfe Prefabond (Fugenbreite: 8 Mm)</t>
  </si>
  <si>
    <t>PREFABOND mounting aid (joint width: 8 mm)</t>
  </si>
  <si>
    <t>cale d’espacement pour PREFABOND (largeur de joint : 8 mm)</t>
  </si>
  <si>
    <t>Ausilio per montaggio PREFABOND (larghezza delle fughe: 8 mm)</t>
  </si>
  <si>
    <t>Montážní pomůcka pro PREFABOND (šířka spáry: 8 mm)</t>
  </si>
  <si>
    <t>Przyrząd montażowy PREFABOND (szerokość szczeliny: 8 mm)</t>
  </si>
  <si>
    <t>szerelési segédeszköz PREFABOND (fugaszélesség: 8 mm)</t>
  </si>
  <si>
    <t>montážna pomôcka PREFABOND (šírka škáry: 8 mm)</t>
  </si>
  <si>
    <t>Montagehulp PREFABOND (voegbreedte: 8 mm)</t>
  </si>
  <si>
    <t>Pripomoček za montažo PREFABOND (širina fuge: 8 mm)</t>
  </si>
  <si>
    <t>PREFABOND monteringshjälp (fogbredd: 8 mm)</t>
  </si>
  <si>
    <t>Monteringshjælp PREFABOND (fugebredde: 8 mm)</t>
  </si>
  <si>
    <t>Monteringshjelp PREFABOND (fugebredde: 8 mm)</t>
  </si>
  <si>
    <t>PREFABOND pomagalo za montažu (širina fuga: 8 mm)</t>
  </si>
  <si>
    <t>Montagehilfe PREFABOND (Fugenbreite: 8 mm)</t>
  </si>
  <si>
    <t>Montagehilfe Prefabond (Fugenbreite: 10 Mm)</t>
  </si>
  <si>
    <t>PREFABOND mounting aid (joint width: 10 mm)</t>
  </si>
  <si>
    <t>cale d’espacement pour PREFABOND (largeur de joint : 10 mm)</t>
  </si>
  <si>
    <t>Ausilio per montaggio PREFABOND (larghezza delle fughe: 10 mm)</t>
  </si>
  <si>
    <t>Montážní pomůcka pro PREFABOND (šířka spáry: 10 mm)</t>
  </si>
  <si>
    <t>Przyrząd montażowy PREFABOND (szerokość szczeliny: 10 mm)</t>
  </si>
  <si>
    <t>szerelési segédeszköz PREFABOND (fugaszélesség: 10 mm)</t>
  </si>
  <si>
    <t>montážna pomôcka PREFABOND (šírka škáry: 10 mm)</t>
  </si>
  <si>
    <t>Montagehulp PREFABOND (voegbreedte: 10 mm)</t>
  </si>
  <si>
    <t>Pripomoček za montažo PREFABOND (širina fuge: 10 mm)</t>
  </si>
  <si>
    <t>PREFABOND monteringshjälp (fogbredd: 10 mm)</t>
  </si>
  <si>
    <t>Monteringshjælp PREFABOND (fugebredde: 10 mm)</t>
  </si>
  <si>
    <t>Monteringshjelp PREFABOND (fugebredde: 10 mm)</t>
  </si>
  <si>
    <t>PREFABOND pomagalo za montažu (širina fuga: 10 mm)</t>
  </si>
  <si>
    <t>Montagehilfe PREFABOND (Fugenbreite: 10 mm)</t>
  </si>
  <si>
    <t>Bitte wählen</t>
  </si>
  <si>
    <t>Please select</t>
  </si>
  <si>
    <t>Veuillez sélectionner</t>
  </si>
  <si>
    <t>scegliere per favore</t>
  </si>
  <si>
    <t>Prosím vybrat</t>
  </si>
  <si>
    <t>Proszę wybrać</t>
  </si>
  <si>
    <t>Kérjük, válasszon</t>
  </si>
  <si>
    <t>Prosím, vyberte</t>
  </si>
  <si>
    <t>Selecteer</t>
  </si>
  <si>
    <t>Izberite</t>
  </si>
  <si>
    <t>Välj</t>
  </si>
  <si>
    <t>Vælg venligst</t>
  </si>
  <si>
    <t>Vennligst velg</t>
  </si>
  <si>
    <t>Molimo odabrati</t>
  </si>
  <si>
    <t>mitliefern</t>
  </si>
  <si>
    <t>to be delivered</t>
  </si>
  <si>
    <t>livrer</t>
  </si>
  <si>
    <t>consegnare insieme</t>
  </si>
  <si>
    <t>součást dodávky</t>
  </si>
  <si>
    <t>uwzględnić</t>
  </si>
  <si>
    <t>szállítás része</t>
  </si>
  <si>
    <t>dodať súčasne</t>
  </si>
  <si>
    <t>meeleveren</t>
  </si>
  <si>
    <t>dobaviti</t>
  </si>
  <si>
    <t>medlevereras</t>
  </si>
  <si>
    <t>leveres</t>
  </si>
  <si>
    <t>Medfølger</t>
  </si>
  <si>
    <t>dostaviti</t>
  </si>
  <si>
    <t>nicht mitliefern</t>
  </si>
  <si>
    <t>not to be delivered</t>
  </si>
  <si>
    <t>ne pas livrer</t>
  </si>
  <si>
    <t>non consegnare insieme</t>
  </si>
  <si>
    <t>není součástí dodávky</t>
  </si>
  <si>
    <t>nie uwzględniać</t>
  </si>
  <si>
    <t>nem a szállítás része</t>
  </si>
  <si>
    <t>nedodať súčasne</t>
  </si>
  <si>
    <t>niet meeleveren</t>
  </si>
  <si>
    <t>ne dobaviti</t>
  </si>
  <si>
    <t>medlevereras ej</t>
  </si>
  <si>
    <t>leveres ikke</t>
  </si>
  <si>
    <t>Medfølger ikke</t>
  </si>
  <si>
    <t>ne dostaviti</t>
  </si>
  <si>
    <t>Einsatzmaterial [mm]</t>
  </si>
  <si>
    <t>material required [mm]</t>
  </si>
  <si>
    <t>matériau requis [mm]</t>
  </si>
  <si>
    <t>Materiale da inserire [mm]</t>
  </si>
  <si>
    <t>Použitý materiál [mm]</t>
  </si>
  <si>
    <t>Materiał wsadowy [mm]</t>
  </si>
  <si>
    <t>felhasznált anyag [mm]</t>
  </si>
  <si>
    <t>použitý materiál [mm]</t>
  </si>
  <si>
    <t>Inzetmateriaal [mm]</t>
  </si>
  <si>
    <t>Vložek [mm]</t>
  </si>
  <si>
    <t>material [mm]</t>
  </si>
  <si>
    <t>Råmateriale [mm]</t>
  </si>
  <si>
    <t>Bruksmaterial [mm]</t>
  </si>
  <si>
    <t>Potrebno materijala [mm]</t>
  </si>
  <si>
    <t>Breite</t>
  </si>
  <si>
    <t>width</t>
  </si>
  <si>
    <t>largeur</t>
  </si>
  <si>
    <t>Larghezza</t>
  </si>
  <si>
    <t>Šířka</t>
  </si>
  <si>
    <t>Szerokość</t>
  </si>
  <si>
    <t>szélesség</t>
  </si>
  <si>
    <t>šírka</t>
  </si>
  <si>
    <t>Breedte</t>
  </si>
  <si>
    <t>bredd</t>
  </si>
  <si>
    <t>Bredde</t>
  </si>
  <si>
    <t>Schrauben</t>
  </si>
  <si>
    <t>screws</t>
  </si>
  <si>
    <t>vis</t>
  </si>
  <si>
    <t>Viti</t>
  </si>
  <si>
    <t>Šrouby</t>
  </si>
  <si>
    <t>Śruby</t>
  </si>
  <si>
    <t>csavarozás</t>
  </si>
  <si>
    <t>skrutky</t>
  </si>
  <si>
    <t>Schroeven</t>
  </si>
  <si>
    <t>Vijaki</t>
  </si>
  <si>
    <t>skruvar</t>
  </si>
  <si>
    <t>Skruer</t>
  </si>
  <si>
    <t>Vijci</t>
  </si>
  <si>
    <t>Nieten</t>
  </si>
  <si>
    <t>rivets</t>
  </si>
  <si>
    <t>Nýty</t>
  </si>
  <si>
    <t>Nity</t>
  </si>
  <si>
    <t>szegecselés</t>
  </si>
  <si>
    <t>nity</t>
  </si>
  <si>
    <t>Klinknagels</t>
  </si>
  <si>
    <t>Zakovice</t>
  </si>
  <si>
    <t>nitar</t>
  </si>
  <si>
    <t>Nitter</t>
  </si>
  <si>
    <t>Spiker</t>
  </si>
  <si>
    <t>ml</t>
  </si>
  <si>
    <r>
      <t>m</t>
    </r>
    <r>
      <rPr>
        <vertAlign val="superscript"/>
        <sz val="11"/>
        <color theme="1"/>
        <rFont val="Arial"/>
        <family val="2"/>
      </rPr>
      <t>1</t>
    </r>
  </si>
  <si>
    <t>d/m</t>
  </si>
  <si>
    <t>Ausklinkungen (gesamt)</t>
  </si>
  <si>
    <t>notches (total)</t>
  </si>
  <si>
    <t>encoches (total)</t>
  </si>
  <si>
    <t>Tacche (totale)</t>
  </si>
  <si>
    <t>Výřezy (celkem)</t>
  </si>
  <si>
    <t>Nacięcia (razem)</t>
  </si>
  <si>
    <t>bemetszések (összes)</t>
  </si>
  <si>
    <t>vyseknutia (celkom)</t>
  </si>
  <si>
    <t>Inkepingen (totaal)</t>
  </si>
  <si>
    <t>Zareze (skupaj)</t>
  </si>
  <si>
    <t>urtag (totalt)</t>
  </si>
  <si>
    <t>Hak (i alt)</t>
  </si>
  <si>
    <t>Skårskjæring (samlet)</t>
  </si>
  <si>
    <t>Urezi (ukupno)</t>
  </si>
  <si>
    <t>Allgemeine Information</t>
  </si>
  <si>
    <t>General information</t>
  </si>
  <si>
    <t>Informations générales</t>
  </si>
  <si>
    <t>Informazione generali</t>
  </si>
  <si>
    <t>Obecné informace</t>
  </si>
  <si>
    <t>Informacje ogólne</t>
  </si>
  <si>
    <t>Általános információk</t>
  </si>
  <si>
    <t>všeobecná informácia</t>
  </si>
  <si>
    <t>Algemene informatie</t>
  </si>
  <si>
    <t>Splošne informacije</t>
  </si>
  <si>
    <t>Allmän information</t>
  </si>
  <si>
    <t>Generelle oplysninger</t>
  </si>
  <si>
    <t>Generell informasjon</t>
  </si>
  <si>
    <t>Opće informacije</t>
  </si>
  <si>
    <t>Passend für alle gängigen Kamintypen und für rechteckige Durchdringungen.</t>
  </si>
  <si>
    <t>Suitable for all standard chimney types as well as for rectangular roof penetrations.</t>
  </si>
  <si>
    <t>Compatible avec tous les types de cheminée courants ainsi qu’avec les pénétrations rectangulaires.</t>
  </si>
  <si>
    <t>Adatto a tutti i tipi di camino comuni e a penetrazioni rettangolari.</t>
  </si>
  <si>
    <t>Vhodné pro všechny běžné typy komínů a hranaté průchody.</t>
  </si>
  <si>
    <t>Pasuje do wszystkich popularnych typów kominów i do przepustów prostokątnych.</t>
  </si>
  <si>
    <t>Minden elterjedt kéménytípushoz és négyszögletes átvezetéshez alkalmas.</t>
  </si>
  <si>
    <t>Vhodné pre všetky bežné typy komína a pravouhlé prestupy.</t>
  </si>
  <si>
    <t>Geschikt voor alle gangbare schoorsteentypes en voor rechthoekige doorvoeren.</t>
  </si>
  <si>
    <t>Primerno za vse običajne vrste dimnikov in za pravokotne preboje.</t>
  </si>
  <si>
    <t>Lämplig för alla vanliga skorstenstyper och för rektangulära genomföringar.</t>
  </si>
  <si>
    <t>Egnet til alle gængse skorstenstyper og til rektangulære gennemføringer.</t>
  </si>
  <si>
    <t>Passer til alle vanlige kamintyper og til rektangulære gjennomføringer.</t>
  </si>
  <si>
    <t>Prikladno za sve uobičajene tipove dimnjaka i za pravokutne otvore.</t>
  </si>
  <si>
    <t>Passend für Prefa Dachsysteme (Kleinformat)</t>
  </si>
  <si>
    <t>Suitable for the PREFA roof systems (small format products)</t>
  </si>
  <si>
    <t>Compatible avec les systèmes de toiture PREFA (produits petit format)</t>
  </si>
  <si>
    <t>Adatto ai sistemi di copertura PREFA (formato piccolo)</t>
  </si>
  <si>
    <t>Vhodné pro střešní systémy PREFA (malý formát)</t>
  </si>
  <si>
    <t>Pasuje do systemów dachowych PREFA (mały format)</t>
  </si>
  <si>
    <t>PREFA tetőfedő rendszerekhez alkalmas (kis formátumú elemek)</t>
  </si>
  <si>
    <t>Vhodné pre strešné systémy PREFA (maloformát)</t>
  </si>
  <si>
    <t>Geschikt voor PREFA-daksystemen (klein formaat)</t>
  </si>
  <si>
    <t>Primerno za strešne sisteme PREFA (majhen format)</t>
  </si>
  <si>
    <t>Lämplig för PREFA taksystem (mindre format)</t>
  </si>
  <si>
    <t>Egent til PREFA tagsystemer (mindre format)</t>
  </si>
  <si>
    <t>Passer til PREFA-taksystemer (småformat)</t>
  </si>
  <si>
    <t>Prikladno za PREFA krovne sustave (mali format)</t>
  </si>
  <si>
    <t>Passend für PREFA Dachsysteme (Kleinformat)</t>
  </si>
  <si>
    <t>Klebebereich</t>
  </si>
  <si>
    <t>bonding area</t>
  </si>
  <si>
    <t>surface de collage</t>
  </si>
  <si>
    <t>Area di incollaggio</t>
  </si>
  <si>
    <t>Powierzchnia klejenia</t>
  </si>
  <si>
    <t>ragasztási felület</t>
  </si>
  <si>
    <t>lepená oblasť</t>
  </si>
  <si>
    <t>Lijmbereik</t>
  </si>
  <si>
    <t>Območje lepljenja</t>
  </si>
  <si>
    <t>klistringsområde</t>
  </si>
  <si>
    <t>Klæbeområde</t>
  </si>
  <si>
    <t>Limeområde</t>
  </si>
  <si>
    <t>Područje lijepljenja</t>
  </si>
  <si>
    <t>Solarhalter Prefalz Vario</t>
  </si>
  <si>
    <t>solar bracket PREFALZ Vario</t>
  </si>
  <si>
    <t>support solaire PREFALZ Vario</t>
  </si>
  <si>
    <t>Staffa per pannelli solari Vario PREFALZ</t>
  </si>
  <si>
    <t>Uchwyt do paneli fotowoltaicznych PREFALZ Vario</t>
  </si>
  <si>
    <t>PREFALZ Vario napelemtartó</t>
  </si>
  <si>
    <t>solárny držiak PREFALZ Vario</t>
  </si>
  <si>
    <t>Solarhouder PREFALZ Vario</t>
  </si>
  <si>
    <t>Držalo za solarni panel PREFALZ Vario</t>
  </si>
  <si>
    <t>Solhållare PREFALZ Vario</t>
  </si>
  <si>
    <t>Solcelleholder PREFALZ Vario</t>
  </si>
  <si>
    <t>Holder for solcellepanel PREFALZ, variabel</t>
  </si>
  <si>
    <t>Solar džač PREFALZ Vario</t>
  </si>
  <si>
    <t>Solarhalter PREFALZ Vario</t>
  </si>
  <si>
    <t>dauerelastische Wartungsfuge</t>
  </si>
  <si>
    <t>permanently elastic sealing joint</t>
  </si>
  <si>
    <t>joint d’étanchéité à élasticité permanente</t>
  </si>
  <si>
    <t>Fuga di manutenzione elastica</t>
  </si>
  <si>
    <t>trvale pružná údržbová spára</t>
  </si>
  <si>
    <t>trwale elastyczne złącze konserwacyjne</t>
  </si>
  <si>
    <t>tartósan rugalmas karbantartási fuga</t>
  </si>
  <si>
    <t>trvalo elastická servisná škára</t>
  </si>
  <si>
    <t>permanent elastische onderhoudsvoeg</t>
  </si>
  <si>
    <t>trajno elastična vzdrževalna fuga</t>
  </si>
  <si>
    <t>permanent elastisk underhållsfog</t>
  </si>
  <si>
    <t>permanent elastisk vedligeholdelsesfuge</t>
  </si>
  <si>
    <t>Permanent elastisk vedlikeholdsfuge</t>
  </si>
  <si>
    <t>trajno elastična fuga za održavanje</t>
  </si>
  <si>
    <t>Fensterbankhalter</t>
  </si>
  <si>
    <t>window ledge flashing strip</t>
  </si>
  <si>
    <t>Equerre-support pour tablette</t>
  </si>
  <si>
    <t>Staffa per davanzale</t>
  </si>
  <si>
    <t>Držák okenního parapetu</t>
  </si>
  <si>
    <t>Uchwyt do parapetu okiennego</t>
  </si>
  <si>
    <t>ablakpárkánytartó</t>
  </si>
  <si>
    <t>držiak parapetu</t>
  </si>
  <si>
    <t>Vensterbankhouder</t>
  </si>
  <si>
    <t>Držalo za okensko polico</t>
  </si>
  <si>
    <t>fönsterbrädeshållare</t>
  </si>
  <si>
    <t>Vindueskarmholder</t>
  </si>
  <si>
    <t>Vinduskarmholder</t>
  </si>
  <si>
    <t>Držač daske za prozor</t>
  </si>
  <si>
    <t>Vertikalschnitt – Verlegemaß</t>
  </si>
  <si>
    <t>vertical cross-section — installation dimension</t>
  </si>
  <si>
    <t>section verticale — ourne</t>
  </si>
  <si>
    <t>Sezione verticale - Misura di posa</t>
  </si>
  <si>
    <t>Vertikální řez – Rozměr pokládky</t>
  </si>
  <si>
    <t>Przekrój pionowy – wymiar montażowy</t>
  </si>
  <si>
    <t>függőleges metszet – fektetési méret</t>
  </si>
  <si>
    <t>vertikálny rez – rozmery pokládky</t>
  </si>
  <si>
    <t>Verticale doorsnede - installatieafmeting</t>
  </si>
  <si>
    <t>Vertikalni rez – dimenzija polaganja</t>
  </si>
  <si>
    <t>Vertikal sektion - läggningsmått</t>
  </si>
  <si>
    <t>Tværsnit – lægningsmål</t>
  </si>
  <si>
    <t>Vertikalsnitt – leggemål</t>
  </si>
  <si>
    <t>Okomiti presjek – dimenzije postavljanja</t>
  </si>
  <si>
    <t>Verlegemass</t>
  </si>
  <si>
    <t>INSTALLATION DIMENSION</t>
  </si>
  <si>
    <t>OURNE</t>
  </si>
  <si>
    <t>Misura di posa</t>
  </si>
  <si>
    <t>ROZMĚR POKLÁDKY</t>
  </si>
  <si>
    <t>WYMIAR MONTAŻOWY</t>
  </si>
  <si>
    <t>FEKTETÉSI MÉRET</t>
  </si>
  <si>
    <t>ROZMERY POKLÁDKY</t>
  </si>
  <si>
    <t>Installatieafmeting</t>
  </si>
  <si>
    <t>DIMENZIJA POLAGANJA</t>
  </si>
  <si>
    <t>INSTALLATIONSMÅTT</t>
  </si>
  <si>
    <t>LÆGNINGSMÅL</t>
  </si>
  <si>
    <t>LEGGEMÅL</t>
  </si>
  <si>
    <t>DIMENZIJE POSTAVLJANJA</t>
  </si>
  <si>
    <t>Konterlatte - Hinterlüftung</t>
  </si>
  <si>
    <t>counter batten - ventilation gap</t>
  </si>
  <si>
    <t>contre-latte - lame d’air ventilée</t>
  </si>
  <si>
    <t>Controlistello - Retroventilazione</t>
  </si>
  <si>
    <t>Kontrłata – wentylowana pustka powietrzna</t>
  </si>
  <si>
    <t>ellenléc - átszellőztetés</t>
  </si>
  <si>
    <t>kontralata – prevetrávaná medzera</t>
  </si>
  <si>
    <t>Contralat - ventilatie achterkant</t>
  </si>
  <si>
    <t>Kontra letev - prezračevanje zadaj</t>
  </si>
  <si>
    <t>motläkt - bakventilation</t>
  </si>
  <si>
    <t>Modlægte - ventilation</t>
  </si>
  <si>
    <t>Motlekte – baklufting</t>
  </si>
  <si>
    <t>Kontra letva – stražnja ventilacija</t>
  </si>
  <si>
    <t>Außenecke</t>
  </si>
  <si>
    <t>external corner</t>
  </si>
  <si>
    <t>angle sortant</t>
  </si>
  <si>
    <t>Angolo esterno</t>
  </si>
  <si>
    <t>Vnější roh</t>
  </si>
  <si>
    <t>Narożnik zewnętrzny</t>
  </si>
  <si>
    <t>külső sarok</t>
  </si>
  <si>
    <t>vonkajší rohový profil</t>
  </si>
  <si>
    <t>Buitenhoek</t>
  </si>
  <si>
    <t>Zunanji vogal</t>
  </si>
  <si>
    <t>ytterhörn</t>
  </si>
  <si>
    <t>Yderhjørne</t>
  </si>
  <si>
    <t>Ytterhjørne</t>
  </si>
  <si>
    <t>Fensterlaibung</t>
  </si>
  <si>
    <t>window reveals</t>
  </si>
  <si>
    <t>tableau de fenêtre</t>
  </si>
  <si>
    <t>Intradosso della finestra</t>
  </si>
  <si>
    <t>Ostění okna</t>
  </si>
  <si>
    <t>Oścież okienna</t>
  </si>
  <si>
    <t>ablakkáva</t>
  </si>
  <si>
    <t>ostenie okna</t>
  </si>
  <si>
    <t>Raamopening</t>
  </si>
  <si>
    <t>Okenska špaleta</t>
  </si>
  <si>
    <t>fönstersmyg</t>
  </si>
  <si>
    <t>Vindusåpning</t>
  </si>
  <si>
    <t>Niša prozora</t>
  </si>
  <si>
    <t>Fenstersturz</t>
  </si>
  <si>
    <t>window lintel</t>
  </si>
  <si>
    <t>linteau</t>
  </si>
  <si>
    <t>Architrave della finestra</t>
  </si>
  <si>
    <t>Okenní překlad</t>
  </si>
  <si>
    <t>Nadproże okienne</t>
  </si>
  <si>
    <t>ablaktok</t>
  </si>
  <si>
    <t>okenný preklad</t>
  </si>
  <si>
    <t>Vensterlatei</t>
  </si>
  <si>
    <t>Previs okna</t>
  </si>
  <si>
    <t>överliggare</t>
  </si>
  <si>
    <t>Vinduesoverligger</t>
  </si>
  <si>
    <t>Overligger</t>
  </si>
  <si>
    <t>Nadvoj za prozor</t>
  </si>
  <si>
    <t>Oberer Abschluss</t>
  </si>
  <si>
    <t>top connection</t>
  </si>
  <si>
    <t>raccordement supérieur</t>
  </si>
  <si>
    <t>Raccordo alla testa</t>
  </si>
  <si>
    <t>Horní ukončení</t>
  </si>
  <si>
    <t>Zakończenie górne</t>
  </si>
  <si>
    <t>felső záróelem</t>
  </si>
  <si>
    <t>horné ukončenie</t>
  </si>
  <si>
    <t>Bovenste aansluiting</t>
  </si>
  <si>
    <t>Zgornji zaključek</t>
  </si>
  <si>
    <t>Övre avslutning</t>
  </si>
  <si>
    <t>Øvre afslutning</t>
  </si>
  <si>
    <t>Øvre avslutning</t>
  </si>
  <si>
    <t>Gornji završetak</t>
  </si>
  <si>
    <t>Unterer Anschluss</t>
  </si>
  <si>
    <t>bottom connection</t>
  </si>
  <si>
    <t>raccordement inférieur</t>
  </si>
  <si>
    <t>Raccordo al piede</t>
  </si>
  <si>
    <t>Dolní napojení</t>
  </si>
  <si>
    <t>Połączenie dolne</t>
  </si>
  <si>
    <t>alsó záróelem</t>
  </si>
  <si>
    <t>spodné ukončenie</t>
  </si>
  <si>
    <t>Onderste aansluiting</t>
  </si>
  <si>
    <t>Spodnji priključek</t>
  </si>
  <si>
    <t>Nedre anslutning</t>
  </si>
  <si>
    <t>Nedre tilslutning</t>
  </si>
  <si>
    <t>Nedre tilkobling</t>
  </si>
  <si>
    <t>Donji spoj</t>
  </si>
  <si>
    <t>138 mm x 0,7 mm</t>
  </si>
  <si>
    <t>138 mm x 0,7 mm</t>
  </si>
  <si>
    <t>138 mm × 0,7 mm</t>
  </si>
  <si>
    <t>200 mm x 1,0 mm</t>
  </si>
  <si>
    <t>200 mm x 1,0 mm</t>
  </si>
  <si>
    <t>200 mm × 1,0 mm</t>
  </si>
  <si>
    <t>300 mm x 1,0 mm*</t>
  </si>
  <si>
    <t>300 mm x 1,0 mm*</t>
  </si>
  <si>
    <t>300 mm × 1,0 mm*</t>
  </si>
  <si>
    <t>300 mm x 1,2 mm</t>
  </si>
  <si>
    <t>300 mm x 1,2 mm</t>
  </si>
  <si>
    <t>300 mm × 1,2 mm</t>
  </si>
  <si>
    <t>400 mm x 1,0 mm*</t>
  </si>
  <si>
    <t>400 mm x 1,0 mm*</t>
  </si>
  <si>
    <t>400 mm × 1,0 mm*</t>
  </si>
  <si>
    <t>400 mm x 1,2 mm *</t>
  </si>
  <si>
    <t>400 mm x 1,2 mm*</t>
  </si>
  <si>
    <t>400 mm × 1,2 mm *</t>
  </si>
  <si>
    <t>400 mm x 1,2 mm *</t>
  </si>
  <si>
    <t>Abdeckung für Innenecke</t>
  </si>
  <si>
    <t>cover for internal corner</t>
  </si>
  <si>
    <t>cache d’angle rentrant</t>
  </si>
  <si>
    <t>Copertura per angolo interno</t>
  </si>
  <si>
    <t>Kryt pro vnitřní roh</t>
  </si>
  <si>
    <t>Pokrycie wewnętrznego narożnika</t>
  </si>
  <si>
    <t>takaróelem a belső sarokhoz</t>
  </si>
  <si>
    <t>krycí profil pre vnútorný rohový profil</t>
  </si>
  <si>
    <t>Afdekking voor binnenhoek</t>
  </si>
  <si>
    <t>Pokrov za notranji vogal</t>
  </si>
  <si>
    <t>beklädnad för innerhörn</t>
  </si>
  <si>
    <t>Afdækning til inderhjørne</t>
  </si>
  <si>
    <t>Tildekking for innerhjørne</t>
  </si>
  <si>
    <t>Pokrov za unutarnji kut</t>
  </si>
  <si>
    <t>Abdeckung für Stoßausbildung</t>
  </si>
  <si>
    <t>cover for joint connection</t>
  </si>
  <si>
    <t>cache de joint</t>
  </si>
  <si>
    <t>Copertura per giunto di testa</t>
  </si>
  <si>
    <t>Kryt pro provedení styku</t>
  </si>
  <si>
    <t>Pokrycie formowania połączeń</t>
  </si>
  <si>
    <t>takaróelem az illesztéses kialakításhoz</t>
  </si>
  <si>
    <t>krycí profil na vytvorenie styku</t>
  </si>
  <si>
    <t>Afdekking voor stootvoeg</t>
  </si>
  <si>
    <t>Pokrov za oblikovani spoj</t>
  </si>
  <si>
    <t>beklädnad för fogbildning</t>
  </si>
  <si>
    <t>Afdækning til samling</t>
  </si>
  <si>
    <t>Tildekking for falsoppbygging</t>
  </si>
  <si>
    <t>Pokrov za zglobni spoj</t>
  </si>
  <si>
    <t>Auf Aluminium-Unterkonstruktion</t>
  </si>
  <si>
    <t>ON ALUMINIUM SUPPORTING SUBSTRATES</t>
  </si>
  <si>
    <t>SUR SOUS-CONSTRUCTION EN ALUMINIUM</t>
  </si>
  <si>
    <t>Susottostruttura in alluminio</t>
  </si>
  <si>
    <t>NA HLINÍKOVOU SPODNÍ KONSTRUKCI</t>
  </si>
  <si>
    <t>NA ALUMINIOWEJ KONSTRUKCJI NOŚNEJ</t>
  </si>
  <si>
    <t>ALUMÍNIUM ALÁTÉTSZERKEZETEN</t>
  </si>
  <si>
    <t>NA HLINÍKOVOM NOSNOM ROŠTE</t>
  </si>
  <si>
    <t>OP ALUMINIUM ONDERCONSTRUCTIE</t>
  </si>
  <si>
    <t>NA ALUMINIJASTI PODKONSTRUKCIJI</t>
  </si>
  <si>
    <t>PÅ ALUMINIUMUNDERKONSTRUKTION</t>
  </si>
  <si>
    <t>PÅ ALUMINIUM-UNDERKONSTRUKTION</t>
  </si>
  <si>
    <t>PÅ UNDERKONSTRUKSJON I ALUMINIUM</t>
  </si>
  <si>
    <t>NA ALUMINIJSKOJ POTKONSTRUKCIJI</t>
  </si>
  <si>
    <t>Aussenecke</t>
  </si>
  <si>
    <t>VNĚJŠÍ ROH</t>
  </si>
  <si>
    <t>NAROŻNIK ZEWNĘTRZNY</t>
  </si>
  <si>
    <t>KÜLSŐ SAROK</t>
  </si>
  <si>
    <t>VONKAJŠÍ ROHOVÝ PROFIL</t>
  </si>
  <si>
    <t>BUITENHOEK</t>
  </si>
  <si>
    <t>ZUNANJI VOGAL</t>
  </si>
  <si>
    <t>YTTERHÖRN</t>
  </si>
  <si>
    <t>YDERHJØRNE</t>
  </si>
  <si>
    <t>YTTERHJØRNE</t>
  </si>
  <si>
    <t>VANJSKI KUT</t>
  </si>
  <si>
    <t>Eckprofil für Zackenprofil</t>
  </si>
  <si>
    <t>corner profile for serrated profile</t>
  </si>
  <si>
    <t>profil d’angle pour profil triangle</t>
  </si>
  <si>
    <t>Profilo angolare per profilo a zeta</t>
  </si>
  <si>
    <t>Rohový profil pro pilový profil</t>
  </si>
  <si>
    <t>Profil kątowy do profilu trójkątnego</t>
  </si>
  <si>
    <t>sarokprofil fogazott profilhoz</t>
  </si>
  <si>
    <t>rohový profil na prelamovaný profil</t>
  </si>
  <si>
    <t>Hoekprofiel voor zakprofiel</t>
  </si>
  <si>
    <t>Vogalni profil za zobčast profil</t>
  </si>
  <si>
    <t>startprofil för tandad profil</t>
  </si>
  <si>
    <t>Hjørneprofil til takket profil</t>
  </si>
  <si>
    <t>Hjørneprofil for sikksakkprofil</t>
  </si>
  <si>
    <t>Kutni profil za zupčasti profil</t>
  </si>
  <si>
    <t>Laibungsblech (Variante)</t>
  </si>
  <si>
    <t>jamb flashing  — variant</t>
  </si>
  <si>
    <t>habillage de tableau  (variante)</t>
  </si>
  <si>
    <t>Lamiera di rivestimento (variante)</t>
  </si>
  <si>
    <t>Profil ostění (varianta)</t>
  </si>
  <si>
    <t>Blacha podsufitowa (wariant)</t>
  </si>
  <si>
    <t>ablakkáva profil (változat)</t>
  </si>
  <si>
    <t>plech na ostenie (variant)</t>
  </si>
  <si>
    <t>Dakplaat (variant)</t>
  </si>
  <si>
    <t>Pločevina za špaleto (različica)</t>
  </si>
  <si>
    <t>fönstersmygplåt (variant)</t>
  </si>
  <si>
    <t>Vinduesplade (variant)</t>
  </si>
  <si>
    <t>Åpningsplate (variant)</t>
  </si>
  <si>
    <t>Lim za nišu (varijanta)</t>
  </si>
  <si>
    <t>Für die Notwendigkeit des Sturmsicherungsclips: siehe Prefa Verlegerichtlinien Fassade.</t>
  </si>
  <si>
    <t>Regarding the need for storm-proof clips: refer to the PREFA installation instructions for façades.</t>
  </si>
  <si>
    <t>En ce qui concerne la nécessité de monter des clips tempête : reportez-vous au Guide de pose PREFA relatif aux façades.</t>
  </si>
  <si>
    <t>Per sapere quando è necessario installare clip antivento: vedi le linee guida per l'installazione delle facciate PREFA.</t>
  </si>
  <si>
    <t>Ohledně nutnosti pojistného klipu proti větru viz zásady PREFA pro instalaci fasády.</t>
  </si>
  <si>
    <t>Konieczność zastosowania klipsów zabezpieczeń odgromowych: patrz wytyczne montażu elewacji PREFA.</t>
  </si>
  <si>
    <t>A viharkapocs szükségességével kapcsolatban: lásd PREFA homlokzati kivitelezési útmutató.</t>
  </si>
  <si>
    <t>Pre potrebu poistných veterných klipov: Pozri montážne smernice PREFA Fasáda.</t>
  </si>
  <si>
    <t>Voor de noodzaak van de stormbeveiligingsclip: zie de PREFA-gevelmontagerichtlijnen.</t>
  </si>
  <si>
    <t>Za nujnost varnostne sponke: glejte navodila za namestitev fasade PREFA.</t>
  </si>
  <si>
    <t>För krav på stormsäkerhetsklämmor: se PREFA monteringsanvisningar fasad.</t>
  </si>
  <si>
    <t>Om nødvendigheden af ​​stormsikringsclipsen: se PREFA monteringsvejledning Facade.</t>
  </si>
  <si>
    <t>For nødvendigheten av stormsikringsklips: se PREFA-legeretningslinje for fasade.</t>
  </si>
  <si>
    <t>Za nužnost držača za zaštitu od olujnog nevremena: pogledajte PREFA smjernice za postavljanje na fasadu.</t>
  </si>
  <si>
    <t>Für die Notwendigkeit des Sturmsicherungsclips: siehe PREFA Verlegerichtlinien Fassade.</t>
  </si>
  <si>
    <t>Horizontalschnitt – Stoßausbildung</t>
  </si>
  <si>
    <t>horizontal cross-section – joint connection</t>
  </si>
  <si>
    <t>section horizontale — réalisation des joints</t>
  </si>
  <si>
    <t>Sezione orizzontale - Giunto di testa</t>
  </si>
  <si>
    <t>Przekrój poziomy – formowanie połączeń</t>
  </si>
  <si>
    <t>vízszintes metszet – illesztéses kialakítás</t>
  </si>
  <si>
    <t>horizontálny rez – vytvorenie styku</t>
  </si>
  <si>
    <t>Horizontale doorsnede - stootvoeg</t>
  </si>
  <si>
    <t>Horizontalni rez – oblikovanje spoja</t>
  </si>
  <si>
    <t>Horisontell sektion – fogbildning</t>
  </si>
  <si>
    <t>Vandret snit – samling</t>
  </si>
  <si>
    <t>Horisontalsnitt – falsoppbygging</t>
  </si>
  <si>
    <t>Vodoravni presjek – zglobni spoj</t>
  </si>
  <si>
    <t>Stossausbildung</t>
  </si>
  <si>
    <t>joint connection</t>
  </si>
  <si>
    <t>Giunto di testa</t>
  </si>
  <si>
    <t>FORMOWANIE POŁĄCZEŃ</t>
  </si>
  <si>
    <t>ILLESZTÉSES KIALAKÍTÁS</t>
  </si>
  <si>
    <t>VYTVORENIE STYKU</t>
  </si>
  <si>
    <t>STOOTVOEG</t>
  </si>
  <si>
    <t>OBLIKOVANJE SPOJA</t>
  </si>
  <si>
    <t>FOGBILDNING</t>
  </si>
  <si>
    <t>SAMLING</t>
  </si>
  <si>
    <t>FALSOPPBYGGING</t>
  </si>
  <si>
    <t>ZGLOBNA VEZA</t>
  </si>
  <si>
    <t>MAUERWINKEL</t>
  </si>
  <si>
    <t>WALL BRACKET</t>
  </si>
  <si>
    <t>EQUERRE MURALE</t>
  </si>
  <si>
    <t>Angolo del muro</t>
  </si>
  <si>
    <t>ÚHEL (ZDIVO)</t>
  </si>
  <si>
    <t>NAROŻNIK ŚCIANY</t>
  </si>
  <si>
    <t>FALI SZÖGIDOM</t>
  </si>
  <si>
    <t>ROH MURIVA</t>
  </si>
  <si>
    <t>MUURHOEK</t>
  </si>
  <si>
    <t>ZIDNI KOT</t>
  </si>
  <si>
    <t>VÄGGVINKEL</t>
  </si>
  <si>
    <t>MURVINKEL</t>
  </si>
  <si>
    <t>ZIDNI KUTNI ELEMENT</t>
  </si>
  <si>
    <t>Siding &amp; Siding.X</t>
  </si>
  <si>
    <t>siding &amp; siding.X</t>
  </si>
  <si>
    <t>Siding et Siding.X</t>
  </si>
  <si>
    <t>Doga e Doga.X</t>
  </si>
  <si>
    <t>Siding och Siding.X</t>
  </si>
  <si>
    <t>Siding og Siding.X</t>
  </si>
  <si>
    <t>Fasadna kazeta i Fasadna kazeta.X</t>
  </si>
  <si>
    <t>SIDING &amp; SIDING.X (horizontal)</t>
  </si>
  <si>
    <t>SIDING and SIDING.X (horizontal)</t>
  </si>
  <si>
    <t>SIDING et SIDING.X (horizontal)</t>
  </si>
  <si>
    <t>Doga e Doga.X (orizzontale)</t>
  </si>
  <si>
    <t>SIDING &amp; SIDING.X (horizontální)</t>
  </si>
  <si>
    <t>SIDING &amp; SIDING.X (poziomo)</t>
  </si>
  <si>
    <t>SIDING &amp; SIDING.X (vízszintes)</t>
  </si>
  <si>
    <t>SIDING &amp; SIDING.X (horizontálny)</t>
  </si>
  <si>
    <t>SIDING &amp; SIDING.X (horizontaal)</t>
  </si>
  <si>
    <t>SIDING &amp; SIDING.X (horizontalno)</t>
  </si>
  <si>
    <t>SIDING OCH SIDING.X (horisontell)</t>
  </si>
  <si>
    <t>SIDING &amp; SIDING.X (horisontal)</t>
  </si>
  <si>
    <t>SIDING og SIDING.X (horisontal)</t>
  </si>
  <si>
    <t>FASADNA KAZETA I FASADNA KAZETA.X (vodoravne)</t>
  </si>
  <si>
    <t>mit Schattenfuge</t>
  </si>
  <si>
    <t>with shadow gap (PREFA)</t>
  </si>
  <si>
    <t>avec joint creux</t>
  </si>
  <si>
    <t>con fuga</t>
  </si>
  <si>
    <t>se spárou</t>
  </si>
  <si>
    <t>z fugami cieniowymi</t>
  </si>
  <si>
    <t>árnyékfugával</t>
  </si>
  <si>
    <t>s tieňovou špárou</t>
  </si>
  <si>
    <t>met schaduwvoeg</t>
  </si>
  <si>
    <t>s senčno fugo</t>
  </si>
  <si>
    <t>med skuggfog</t>
  </si>
  <si>
    <t>med skyggefuge</t>
  </si>
  <si>
    <t>med skyggespalte</t>
  </si>
  <si>
    <t>s naglašenim spojem</t>
  </si>
  <si>
    <t>ohne Schattenfuge</t>
  </si>
  <si>
    <t>without shadow gap (PREFA)</t>
  </si>
  <si>
    <t>sans joint creux</t>
  </si>
  <si>
    <t>senza fuga</t>
  </si>
  <si>
    <t>bez spáry</t>
  </si>
  <si>
    <t>bez fug cieniowych</t>
  </si>
  <si>
    <t>árnyékfuga nélkül</t>
  </si>
  <si>
    <t>bez tieňovej špáry</t>
  </si>
  <si>
    <t>zonder schaduwvoeg</t>
  </si>
  <si>
    <t>brez senčne fuge</t>
  </si>
  <si>
    <t>utan skuggfog</t>
  </si>
  <si>
    <t>uden skyggefuge</t>
  </si>
  <si>
    <t>uten skyggespalte</t>
  </si>
  <si>
    <t>bez naglašenog spoja</t>
  </si>
  <si>
    <t>Siding Mit Uz-Profil</t>
  </si>
  <si>
    <t>SIDING WITH UZ-PROFILE</t>
  </si>
  <si>
    <t>SIDING AVEC PROFIL UZ</t>
  </si>
  <si>
    <t>Doga con profilo UZ</t>
  </si>
  <si>
    <t>SIDING S PROFILEM UZ</t>
  </si>
  <si>
    <t>SIDING Z PROFILEM UZ</t>
  </si>
  <si>
    <t>SIDING UZ-PROFILLAL</t>
  </si>
  <si>
    <t>SIDING S UZ-PROFILOM</t>
  </si>
  <si>
    <t>SIDING MET UZ-PROFIEL</t>
  </si>
  <si>
    <t>SIDING Z UZ-PROFILOM</t>
  </si>
  <si>
    <t>SIDING MED UZ-PROFIL</t>
  </si>
  <si>
    <t>FASADNA KAZETA S UZ PROFILOM</t>
  </si>
  <si>
    <t>Clip antivento</t>
  </si>
  <si>
    <t>Pojistný klip proti větru</t>
  </si>
  <si>
    <t>Klips zabezpieczeń odgromowych</t>
  </si>
  <si>
    <t>viharkapocs</t>
  </si>
  <si>
    <t>poistný veterný klip</t>
  </si>
  <si>
    <t>Stormbeveiligingsclip</t>
  </si>
  <si>
    <t>stormsäkerhetsklämma</t>
  </si>
  <si>
    <t>Stormsikringsclips</t>
  </si>
  <si>
    <t>Stormsikringsklips</t>
  </si>
  <si>
    <t>Džač za zaštitu od olujnog nevremena</t>
  </si>
  <si>
    <t>Vertikalschnitt – Oberer Abschluss</t>
  </si>
  <si>
    <t>Vertikální řez – Horní ukončení</t>
  </si>
  <si>
    <t>Przekrój pionowy – zakończenie górne</t>
  </si>
  <si>
    <t>vertikálny rez – horné ukončenie</t>
  </si>
  <si>
    <t>Verticale doorsnede - bovenste afsluiting</t>
  </si>
  <si>
    <t>Vertikalni rez – zgornji zaključek</t>
  </si>
  <si>
    <t>Vertikal sektion – övre anslutning</t>
  </si>
  <si>
    <t>Tværsnit – øvre afslutning</t>
  </si>
  <si>
    <t>Vertikalsnitt – øvre avslutning</t>
  </si>
  <si>
    <t>Okomiti presjek – gornji završetak</t>
  </si>
  <si>
    <t>Vertikalschnitt – Produktübersicht</t>
  </si>
  <si>
    <t>vertical cross-section — product overview</t>
  </si>
  <si>
    <t>Section verticale — Aperçu des produits</t>
  </si>
  <si>
    <t>Sezione verticale - Panoramica dei prodotti</t>
  </si>
  <si>
    <t>Vertikální řez – Přehled produktů</t>
  </si>
  <si>
    <t>Przekrój pionowy – przegląd produktów</t>
  </si>
  <si>
    <t>függőleges metszet – termékek áttekintése</t>
  </si>
  <si>
    <t>vertikálny rez – prehľad produktov</t>
  </si>
  <si>
    <t>Verticale doorsnede - productoverzicht</t>
  </si>
  <si>
    <t>Vertikalni rez – pregled izdelkov</t>
  </si>
  <si>
    <t>Vertikal sektion – produktöversikt</t>
  </si>
  <si>
    <t>Tværsnit – produktoversigt</t>
  </si>
  <si>
    <t>Vertikalsnitt – produktoversikt</t>
  </si>
  <si>
    <t>Okomiti presjek – pregled proizvoda</t>
  </si>
  <si>
    <t>horizontal</t>
  </si>
  <si>
    <t>orizzontale</t>
  </si>
  <si>
    <t>horizontální</t>
  </si>
  <si>
    <t>poziomy</t>
  </si>
  <si>
    <t>vízszintes</t>
  </si>
  <si>
    <t>horizontálny</t>
  </si>
  <si>
    <t>horizontaal</t>
  </si>
  <si>
    <t>horizontalno</t>
  </si>
  <si>
    <t>horisontell</t>
  </si>
  <si>
    <t>horisontal</t>
  </si>
  <si>
    <t>vodoravno</t>
  </si>
  <si>
    <t>Siding &amp; Siding.X (Vertikal)</t>
  </si>
  <si>
    <t>SIDING and SIDING.X (vertical)</t>
  </si>
  <si>
    <t>SIDING et SIDING.X (vertical)</t>
  </si>
  <si>
    <t>Doga e Doga.X (verticale)</t>
  </si>
  <si>
    <t>SIDING &amp; SIDING.X (vertikální)</t>
  </si>
  <si>
    <t>Siding &amp; Siding.X (pionowy)</t>
  </si>
  <si>
    <t>SIDING &amp; SIDING.X (függőleges)</t>
  </si>
  <si>
    <t>SIDING &amp; SIDING.X (vertikálny)</t>
  </si>
  <si>
    <t>SIDING &amp; SIDING.X (verticaal)</t>
  </si>
  <si>
    <t>SIDING &amp; SIDING.X (vertikalno)</t>
  </si>
  <si>
    <t>SIDING OCH SIDING.X (vertikal)</t>
  </si>
  <si>
    <t>SIDING &amp; SIDING.X (vertikal)</t>
  </si>
  <si>
    <t>SIDING og SIDING.X (vertikal)</t>
  </si>
  <si>
    <t>FASADNA KAZETA i FASADNA KAZETA.X (okomito)</t>
  </si>
  <si>
    <t>Aussenecke (Variante 1)</t>
  </si>
  <si>
    <t>EXTERNAL CORNER (variant 1)</t>
  </si>
  <si>
    <t>ANGLE SORTANT (variante 1)</t>
  </si>
  <si>
    <t>Angolo esterno (variante 1)</t>
  </si>
  <si>
    <t>VNĚJŠÍ ROH (varianta 1)</t>
  </si>
  <si>
    <t>NAROŻNIK ZEWNĘTRZNY (wariant 1)</t>
  </si>
  <si>
    <t>KÜLSŐ SAROK (1. változat)</t>
  </si>
  <si>
    <t>VONKAJŠÍ ROHOVÝ PROFIL (variant 1)</t>
  </si>
  <si>
    <t>BUITENHOEK (variant 1)</t>
  </si>
  <si>
    <t>ZUNANJI VOGAL (različica 1)</t>
  </si>
  <si>
    <t>YTTERHÖRN (Variant 1)</t>
  </si>
  <si>
    <t>YDERHJØRNE (variant 1)</t>
  </si>
  <si>
    <t>YTTERHJØRNE (variant 1)</t>
  </si>
  <si>
    <t>VANJSKI KUT (varijanta 1)</t>
  </si>
  <si>
    <t>Aussenecke (Variante 2)</t>
  </si>
  <si>
    <t>EXTERNAL CORNER (variant 2)</t>
  </si>
  <si>
    <t>ANGLE SORTANT (variante 2)</t>
  </si>
  <si>
    <t>Angolo esterno (variante 2)</t>
  </si>
  <si>
    <t>VNĚJŠÍ ROH (varianta 2)</t>
  </si>
  <si>
    <t>NAROŻNIK ZEWNĘTRZNY (wariant 2)</t>
  </si>
  <si>
    <t>KÜLSŐ SAROK (2. változat)</t>
  </si>
  <si>
    <t>VONKAJŠÍ ROHOVÝ PROFIL (variant 2)</t>
  </si>
  <si>
    <t>BUITENHOEK (variant 2)</t>
  </si>
  <si>
    <t>ZUNANJI VOGAL (različica 2)</t>
  </si>
  <si>
    <t>YTTERHÖRN (Variant 2)</t>
  </si>
  <si>
    <t>YDERHJØRNE (variant 2)</t>
  </si>
  <si>
    <t>YTTERHJØRNE (variant 2)</t>
  </si>
  <si>
    <t>VANJSKI KUT (varijanta 2)</t>
  </si>
  <si>
    <t>Fenstersturz Mit Raffstore</t>
  </si>
  <si>
    <t>WINDOW LINTEL WITH BLINDS</t>
  </si>
  <si>
    <t>LINTEAU AVEC STORE À LAMELLES</t>
  </si>
  <si>
    <t>Architrave della finestra con frangisole</t>
  </si>
  <si>
    <t>OKENNÍ PŘEKLAD S VENKOVNÍ ŽALUZIÍ</t>
  </si>
  <si>
    <t>NADPROŻE OKIENNE Z ŻALUZJĄ ZEWNĘTRZNĄ</t>
  </si>
  <si>
    <t>ABLAKTOK REDŐNNYEL</t>
  </si>
  <si>
    <t>OKENNÝ PREKLAD S VONKAJŠOU ŽALÚZIOU RAFFSTORE</t>
  </si>
  <si>
    <t>VENSTERLATEI MET EXTERNE JALOEZIEËN</t>
  </si>
  <si>
    <t>PREVIS OKNA Z ŽALUZIJO</t>
  </si>
  <si>
    <t>ÖVERLIGGARE MED PERSIENN</t>
  </si>
  <si>
    <t>VINDUESOVERLIGGER MED PERSIENNE</t>
  </si>
  <si>
    <t>OVERLIGGER MED PERSIENNE</t>
  </si>
  <si>
    <t>NADVOJ ZA PROZOR SA ŽALUZINAMA</t>
  </si>
  <si>
    <t>Horizontalschnitt – AUSSENECKE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</si>
  <si>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</si>
  <si>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</si>
  <si>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</si>
  <si>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</si>
  <si>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</si>
  <si>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</si>
  <si>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</si>
  <si>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</si>
  <si>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</si>
  <si>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Horisontell sektion – YTTERHÖRN (variant 1)</t>
  </si>
  <si>
    <t>Vandret snit – YDERHJØRNE (variant 1)</t>
  </si>
  <si>
    <t>Horisontalt snitt – YTTERHJØRNE (variant 1)</t>
  </si>
  <si>
    <t>Vodoravni presjek – VANJSKI KUT (varijanta 1)</t>
  </si>
  <si>
    <t>Horizontalschnitt – AUSSENECKE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</si>
  <si>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</si>
  <si>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</si>
  <si>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</si>
  <si>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</si>
  <si>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</si>
  <si>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</si>
  <si>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</si>
  <si>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</si>
  <si>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</si>
  <si>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Horisontell sektion – YTTERHÖRN (variant 2)</t>
  </si>
  <si>
    <t>Vandret snit – YDERHJØRNE (variant 2)</t>
  </si>
  <si>
    <t>Horisontalt snitt – YTTERHJØRNE (variant 2)</t>
  </si>
  <si>
    <t>Vodoravni presjek – VANJSKI KUT (varijanta 2)</t>
  </si>
  <si>
    <t>offene Fugen</t>
  </si>
  <si>
    <t>open joints</t>
  </si>
  <si>
    <t>joints creux</t>
  </si>
  <si>
    <t>fughe aperte</t>
  </si>
  <si>
    <t>otevřené spáry</t>
  </si>
  <si>
    <t>fugi otwarte</t>
  </si>
  <si>
    <t>nyitott fugák</t>
  </si>
  <si>
    <t>otvorené škáry</t>
  </si>
  <si>
    <t>Open voegen</t>
  </si>
  <si>
    <t>Odprta fuga</t>
  </si>
  <si>
    <t>öppna fogar</t>
  </si>
  <si>
    <t>åbne fuger</t>
  </si>
  <si>
    <t>Åpne fuger</t>
  </si>
  <si>
    <t>otvorene fuge</t>
  </si>
  <si>
    <t>Prefabond</t>
  </si>
  <si>
    <t>PREFABOND</t>
  </si>
  <si>
    <t>Prefabond (geklebt)</t>
  </si>
  <si>
    <t>PREFABOND (glued)</t>
  </si>
  <si>
    <t>PREFABOND (collé)</t>
  </si>
  <si>
    <t>PREFABOND (incollato)</t>
  </si>
  <si>
    <t>PREFABOND (lepené)</t>
  </si>
  <si>
    <t>PREFABOND (klejone)</t>
  </si>
  <si>
    <t>PREFABOND (ragasztott)</t>
  </si>
  <si>
    <t>PREFABOND (lepený)</t>
  </si>
  <si>
    <t>PREFABOND (gelijmd)</t>
  </si>
  <si>
    <t>PREFABOND (lepljeno)</t>
  </si>
  <si>
    <t>PREFABOND (limmad)</t>
  </si>
  <si>
    <t>PREFABOND (limet)</t>
  </si>
  <si>
    <t>PREFABOND (limt)</t>
  </si>
  <si>
    <t>PREFABOND (lijepljeno)</t>
  </si>
  <si>
    <t>Vertikalschnitt – Wandanschluss</t>
  </si>
  <si>
    <t>vertical cross-section – wall connection</t>
  </si>
  <si>
    <t>section verticale —raccordement de couloir latéral</t>
  </si>
  <si>
    <t>Sezione verticale - Raccordo a parete</t>
  </si>
  <si>
    <t>Vertikální řez – Napojení na zeď</t>
  </si>
  <si>
    <t>Przekrój pionowy – połączenie ściany</t>
  </si>
  <si>
    <t>függőleges metszet – fali csatlakozás</t>
  </si>
  <si>
    <t>vertikálny rez – ukončenie pri stene</t>
  </si>
  <si>
    <t>Verticale doorsnede - wandaansluiting</t>
  </si>
  <si>
    <t>Vertikalni rez – stenski priključek</t>
  </si>
  <si>
    <t>Vertikal sektion – vägganslutning</t>
  </si>
  <si>
    <t>Tværsnit – vægtilslutning</t>
  </si>
  <si>
    <t>Vertikalt snitt – veggtilkobling</t>
  </si>
  <si>
    <t>Okomiti presjek – zidni spoj</t>
  </si>
  <si>
    <t>Fensterlaibung (Variante 1)</t>
  </si>
  <si>
    <t>window reveals (variant 1)</t>
  </si>
  <si>
    <t>tableau de fenêtre (variante 1)</t>
  </si>
  <si>
    <t>Rivestimento spalletta finestra (variante 1)</t>
  </si>
  <si>
    <t>OSTĚNÍ OKNA (varianta 1)</t>
  </si>
  <si>
    <t>OŚCIEŻ OKIENNA (wariant 1)</t>
  </si>
  <si>
    <t>ABLAKKÁVA (1. változat)</t>
  </si>
  <si>
    <t>OSTENIE OKNA (variant 1)</t>
  </si>
  <si>
    <t>RAAMOPENING (variant 1)</t>
  </si>
  <si>
    <t>OKENSKA ŠPALETA (različica 1)</t>
  </si>
  <si>
    <t>FÖNSTERSMYG (variant 1)</t>
  </si>
  <si>
    <t>VINDUESKARM (Variant 1)</t>
  </si>
  <si>
    <t>VINDUSÅPNING (variant 1)</t>
  </si>
  <si>
    <t>NIŠA PROZORA (varijanta 1)</t>
  </si>
  <si>
    <t>Fensterlaibung (Variante 2)</t>
  </si>
  <si>
    <t>window reveals (variant 2)</t>
  </si>
  <si>
    <t>tableau de fenêtre (variante 2)</t>
  </si>
  <si>
    <t>Rivestimento spalletta finestra (variante 2)</t>
  </si>
  <si>
    <t>OSTĚNÍ OKNA (varianta 2)</t>
  </si>
  <si>
    <t>OŚCIEŻ OKIENNA (wariant 2)</t>
  </si>
  <si>
    <t>ABLAKKÁVA (2. változat)</t>
  </si>
  <si>
    <t>OSTENIE OKNA (variant 2)</t>
  </si>
  <si>
    <t>RAAMOPENING (variant 2)</t>
  </si>
  <si>
    <t>OKENSKA ŠPALETA (različica 2)</t>
  </si>
  <si>
    <t>FÖNSTERSMYG (variant 2)</t>
  </si>
  <si>
    <t>VINDUESKARM (Variant 2)</t>
  </si>
  <si>
    <t>VINDUSÅPNING (variant 2)</t>
  </si>
  <si>
    <t>NIŠA PROZORA (varijanta 2)</t>
  </si>
  <si>
    <t>Horizontalschnitt – Fensterlaibung (Variante 1)</t>
  </si>
  <si>
    <t>horizontal cross-section — window reveals (variant 1)</t>
  </si>
  <si>
    <t>section horizontale — tableau de fenêtre (variante 1)</t>
  </si>
  <si>
    <t>Sezione orizzontale - Rivestimento spalletta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</si>
  <si>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</si>
  <si>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</si>
  <si>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</si>
  <si>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</si>
  <si>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</si>
  <si>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</si>
  <si>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</si>
  <si>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</si>
  <si>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</si>
  <si>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</si>
  <si>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</si>
  <si>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</si>
  <si>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</si>
  <si>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Sezione orizzontale - Rivestimento spalletta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</si>
  <si>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</si>
  <si>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</si>
  <si>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</si>
  <si>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</si>
  <si>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</si>
  <si>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</si>
  <si>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</si>
  <si>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</si>
  <si>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</si>
  <si>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</si>
  <si>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Prefabond (mechanisch befestigt)</t>
  </si>
  <si>
    <t>PREFABOND (fastened mechanically)</t>
  </si>
  <si>
    <t>PREFABOND (fixation mécanique)</t>
  </si>
  <si>
    <t>PREFABOND (fissato meccanicamente)</t>
  </si>
  <si>
    <t>PREFABOND (mechanicky připevněný)</t>
  </si>
  <si>
    <t>PREFABOND (mocowanie mechaniczne)</t>
  </si>
  <si>
    <t>PREFABOND (mechanikusan rögzítve)</t>
  </si>
  <si>
    <t>PREFABOND (mechanicky kotvený)</t>
  </si>
  <si>
    <t>PREFABOND (mechanisch bevestigd)</t>
  </si>
  <si>
    <t>PREFABOND (mehanska pritrditev)</t>
  </si>
  <si>
    <t>PREFABOND (mekaniskt fäst)</t>
  </si>
  <si>
    <t>PREFABOND (mekanisk fastgjort)</t>
  </si>
  <si>
    <t>PREFABOND (mekanisk festet)</t>
  </si>
  <si>
    <t>PREFABOND (mehanički pričvršćeno)</t>
  </si>
  <si>
    <t>Abschlussprofil</t>
  </si>
  <si>
    <t>end profile</t>
  </si>
  <si>
    <t>profil de fin</t>
  </si>
  <si>
    <t>profilo di chiusura; L = 2000 mm</t>
  </si>
  <si>
    <t>ukončovací profil,  délka 2000 mm</t>
  </si>
  <si>
    <t>Profil końcowy L=2000 mm</t>
  </si>
  <si>
    <t>lezáró profil H = 2.000 mm</t>
  </si>
  <si>
    <t>ukončovací profil, dĺžka 2000 mm</t>
  </si>
  <si>
    <t>afsluitprofiel L = 2000 mm</t>
  </si>
  <si>
    <t>Zaključni profil</t>
  </si>
  <si>
    <t>ändprofil L = 2.000 mm</t>
  </si>
  <si>
    <t>afslutningsprofil L = 2.000 mm</t>
  </si>
  <si>
    <t>avslutningsprofil L = 2000 mm</t>
  </si>
  <si>
    <t>Završni profil L = 2.000 mm</t>
  </si>
  <si>
    <t>Taschenprofil für Eckwinkel außen</t>
  </si>
  <si>
    <t>channel profile for external corner</t>
  </si>
  <si>
    <t>profil replié pour équerre d’angle sortant</t>
  </si>
  <si>
    <t>Profilo ripiegato per angolare esterno</t>
  </si>
  <si>
    <t>Ukončovací profil pro rohový úhelník vnější</t>
  </si>
  <si>
    <t>Profil kieszeniowy dla narożnika zewnętrznego</t>
  </si>
  <si>
    <t>zsebes profil külső sarokszeglethez</t>
  </si>
  <si>
    <t>kapsový profil pre vonkajší rohový profil</t>
  </si>
  <si>
    <t>Zakprofiel voor buitenhoek</t>
  </si>
  <si>
    <t>Žepni profil za kotnik zunaj</t>
  </si>
  <si>
    <t>fickprofil för utvändiga hörnfästen</t>
  </si>
  <si>
    <t>Taskeprofil til ydre hjørnevinkel</t>
  </si>
  <si>
    <t>Lommeprofil for hjørnevinkel utvendig</t>
  </si>
  <si>
    <t>C profil za kutni element, vanjski</t>
  </si>
  <si>
    <t>Taschenprofil für Eckwinkel innen</t>
  </si>
  <si>
    <t>channel profile for internal corner</t>
  </si>
  <si>
    <t>profil replié pour équerre d’angle rentrant</t>
  </si>
  <si>
    <t>Profilo ripiegato per angolare interno</t>
  </si>
  <si>
    <t>Ukončovací profil pro rohový úhelník vnitřní</t>
  </si>
  <si>
    <t>Profil kieszeniowy dla narożnika wewnętrznego</t>
  </si>
  <si>
    <t>zsebes profil belső sarokszeglethez</t>
  </si>
  <si>
    <t>kapsový profil pre vnútorný rohový profil</t>
  </si>
  <si>
    <t>Zakprofiel voor binnenhoek</t>
  </si>
  <si>
    <t>Žepni profil za kotnik znotraj</t>
  </si>
  <si>
    <t>fickprofil för invändiga hörnfästen</t>
  </si>
  <si>
    <t>Taskeprofil til indre hjørnevinkel</t>
  </si>
  <si>
    <t>Lommeprofil for hjørnevinkel innvendig</t>
  </si>
  <si>
    <t>C profil za kutni element, unutarnji</t>
  </si>
  <si>
    <t>Wandraute 44 × 44</t>
  </si>
  <si>
    <t>rhomboid façade tile 44 × 44</t>
  </si>
  <si>
    <t>losange de façade 44 × 44</t>
  </si>
  <si>
    <t>Scaglia per facciata 44 × 44</t>
  </si>
  <si>
    <t>Fasádní šablona 44 × 44</t>
  </si>
  <si>
    <t>Romb fasadowy 44 × 44</t>
  </si>
  <si>
    <t>homlokzatburkoló rombusz 44 × 44</t>
  </si>
  <si>
    <t>fasádna šablóna 44 × 44</t>
  </si>
  <si>
    <t>Wandspant 44 x 44</t>
  </si>
  <si>
    <t>Stenski romb 44 × 44</t>
  </si>
  <si>
    <t>väggdiamant 44 × 44</t>
  </si>
  <si>
    <t>Vægrombe 44 × 44</t>
  </si>
  <si>
    <t>Veggrombe 44 × 44</t>
  </si>
  <si>
    <t>Zidni romb 44 × 44</t>
  </si>
  <si>
    <t>Schnürmass</t>
  </si>
  <si>
    <t>CHALK-LINE SPACING</t>
  </si>
  <si>
    <t>TRAÇAGE</t>
  </si>
  <si>
    <t>Misura battitraccia</t>
  </si>
  <si>
    <t>MÍRA (PROVÁZEK)</t>
  </si>
  <si>
    <t>WYMIAR OBRYSU</t>
  </si>
  <si>
    <t>ZSINÓRMÉRET</t>
  </si>
  <si>
    <t>ROZMER ŠNÚROVANIA</t>
  </si>
  <si>
    <t>Vetersluiting</t>
  </si>
  <si>
    <t>VRVIČNA MERA</t>
  </si>
  <si>
    <t>SNÖRMÅTT</t>
  </si>
  <si>
    <t>MÅL</t>
  </si>
  <si>
    <t>SNORMÅL</t>
  </si>
  <si>
    <t>DIMENZIJE VEZA</t>
  </si>
  <si>
    <t>Startplatte für Wandraute 44 × 44</t>
  </si>
  <si>
    <t>leading plate for rhomboid façade tile 44 × 44</t>
  </si>
  <si>
    <t>demi-losange de départ 44 × 44 (façade)</t>
  </si>
  <si>
    <t>Scaglia di partenza per scaglia per copertura 44 × 44</t>
  </si>
  <si>
    <t>Startovací fasádní šablona 44 × 44</t>
  </si>
  <si>
    <t>Dachówka początkowa dla rombu ściennego 44 × 44</t>
  </si>
  <si>
    <t>indítóelem 44 × 44-as homlokzatburkoló rombuszhoz</t>
  </si>
  <si>
    <t>štartovacia šablóna pre fasádnu šablónu 44 × 44</t>
  </si>
  <si>
    <t>Startplaat voor wandspant 44 x 44</t>
  </si>
  <si>
    <t>Začetna plošča za stenski romb 44 × 44</t>
  </si>
  <si>
    <t>startplåt för väggdiamant 44 × 44</t>
  </si>
  <si>
    <t>Startplade til vægrombe 44 × 44</t>
  </si>
  <si>
    <t>Startplate for veggrombe 44 × 44</t>
  </si>
  <si>
    <t>Početna ploča za zidni romb 44 × 44</t>
  </si>
  <si>
    <t>Abdeckstreifen (Variante 1)</t>
  </si>
  <si>
    <t>cover flashing (variant 1)</t>
  </si>
  <si>
    <t>bande de recouvrement (variante 1)</t>
  </si>
  <si>
    <t>Bandella di copertura (variante 1)</t>
  </si>
  <si>
    <t>Krycí pás (varianta 1)</t>
  </si>
  <si>
    <t>Maskownica (wariant 1)</t>
  </si>
  <si>
    <t>takarócsík (1. változat)</t>
  </si>
  <si>
    <t>krycí pásik (variant 1)</t>
  </si>
  <si>
    <t>Afdekstroken (variant 1)</t>
  </si>
  <si>
    <t>Prekrivni trak (različica 1)</t>
  </si>
  <si>
    <t>maskeringsremsor (variant 1)</t>
  </si>
  <si>
    <t>Afdækningsstrimler (variant 1)</t>
  </si>
  <si>
    <t>Dekklister (variant 1)</t>
  </si>
  <si>
    <t>Pokrovna traka (varijanta 1)</t>
  </si>
  <si>
    <t>external corner for ripple profile</t>
  </si>
  <si>
    <t>sliding clip for ripple profile</t>
  </si>
  <si>
    <t>Taschenprofil für Eckprofil</t>
  </si>
  <si>
    <t>channel profile for corner profile</t>
  </si>
  <si>
    <t>profil replié pour profil d’angle</t>
  </si>
  <si>
    <t>Profilo ripiegato per profilo angolare</t>
  </si>
  <si>
    <t>Ukončovací profil pro rohový profil</t>
  </si>
  <si>
    <t>Profil kieszeniowy dla narożnika</t>
  </si>
  <si>
    <t>zsebes profil sarokprofilhoz</t>
  </si>
  <si>
    <t>kapsový profil pre rohový profil</t>
  </si>
  <si>
    <t>Zakprofiel voor hoekprofiel</t>
  </si>
  <si>
    <t>Žepni profil za vogalni profil</t>
  </si>
  <si>
    <t>fickprofil för hörnprofil</t>
  </si>
  <si>
    <t>Taskeprofil til hjørnevinkel</t>
  </si>
  <si>
    <t>Lommeprofil for hjørneprofil</t>
  </si>
  <si>
    <t>C profil za kutni profil</t>
  </si>
  <si>
    <t>Abdeckung für senkrechte Stoßausbildung</t>
  </si>
  <si>
    <t>cover for vertical joint connection</t>
  </si>
  <si>
    <t>cache de joint vertical</t>
  </si>
  <si>
    <t>Copertura per giunto di testa verticale</t>
  </si>
  <si>
    <t>Kryt pro svislé provedení styku</t>
  </si>
  <si>
    <t>Pokrycie formowania połączeń pionowych</t>
  </si>
  <si>
    <t>takaróelem függőleges illesztéses kialakításhoz</t>
  </si>
  <si>
    <t>krycí profil na zvislé vytvorenie styku</t>
  </si>
  <si>
    <t>Afdekking voor verticale stootvoeg</t>
  </si>
  <si>
    <t>Pokrov za navpični oblikovani spoj</t>
  </si>
  <si>
    <t>beklädnad för vertikal fogbildning</t>
  </si>
  <si>
    <t>Afdækning til lodret samling</t>
  </si>
  <si>
    <t>Tildekking for vinkelrett falsoppbygging</t>
  </si>
  <si>
    <t>Pokrov za okomiti zglobni spoj</t>
  </si>
  <si>
    <t>Abschlussprofil für Zackenprofil</t>
  </si>
  <si>
    <t>end profile for serrated profile (PREFA)</t>
  </si>
  <si>
    <t>profil de fin pour profil triangle</t>
  </si>
  <si>
    <t>Profilo di chiusura per profilo a zeta</t>
  </si>
  <si>
    <t>Ukončovací profil pro pilový profil</t>
  </si>
  <si>
    <t>Profil końcowy do profilu trójkątnego</t>
  </si>
  <si>
    <t>záróprofil fogazott profilhoz</t>
  </si>
  <si>
    <t>ukončovací profil pre prelamovaný profil</t>
  </si>
  <si>
    <t>Afsluitprofiel voor zakprofiel</t>
  </si>
  <si>
    <t>Zaključni profil za zobčast profil</t>
  </si>
  <si>
    <t>ändprofil för tandad profil</t>
  </si>
  <si>
    <t>Afslutningsprofil til takket profil</t>
  </si>
  <si>
    <t>Endeprofil for sikksakkprofil</t>
  </si>
  <si>
    <t>Završni profil za zupčasti profil</t>
  </si>
  <si>
    <t>sliding clip for serrated profile</t>
  </si>
  <si>
    <t>Geschosstrennung</t>
  </si>
  <si>
    <t>STOREY SEPARATION</t>
  </si>
  <si>
    <t>SÉPARATION D’ÉTAGES</t>
  </si>
  <si>
    <t>Marcapiano</t>
  </si>
  <si>
    <t>ODDĚLENÍ PATRA</t>
  </si>
  <si>
    <t>ODDZIELENIE PODŁOGI</t>
  </si>
  <si>
    <t>EMELETELVÁLASZTÓ</t>
  </si>
  <si>
    <t>ODDELENIE POSCHODIA</t>
  </si>
  <si>
    <t>VLOERAFSCHEIDING</t>
  </si>
  <si>
    <t>LOČITEV NADSTROPJA</t>
  </si>
  <si>
    <t>VÅNINGSSEPARATION</t>
  </si>
  <si>
    <t>ETAGEADSKILLELSE</t>
  </si>
  <si>
    <t>ETASJESKILLE</t>
  </si>
  <si>
    <t>ODVAJANJE KATOVA</t>
  </si>
  <si>
    <t>Höhe</t>
  </si>
  <si>
    <t>height</t>
  </si>
  <si>
    <t>Altezza</t>
  </si>
  <si>
    <t>Výška</t>
  </si>
  <si>
    <t>Wysokość</t>
  </si>
  <si>
    <t>magasság</t>
  </si>
  <si>
    <t>výška</t>
  </si>
  <si>
    <t>Hoogte</t>
  </si>
  <si>
    <t>Višina</t>
  </si>
  <si>
    <t>höjd</t>
  </si>
  <si>
    <t>Højde</t>
  </si>
  <si>
    <t>Høyde</t>
  </si>
  <si>
    <t>Visina</t>
  </si>
  <si>
    <t>Bauteil</t>
  </si>
  <si>
    <t>construction part</t>
  </si>
  <si>
    <t>Elément de construction</t>
  </si>
  <si>
    <t>Elemento costruttivo</t>
  </si>
  <si>
    <t>Díl</t>
  </si>
  <si>
    <t>Komponent</t>
  </si>
  <si>
    <t>szerkezeti elem</t>
  </si>
  <si>
    <t>konštrukčný diel</t>
  </si>
  <si>
    <t>Bouwdeel</t>
  </si>
  <si>
    <t>Komponenta</t>
  </si>
  <si>
    <t>komponent</t>
  </si>
  <si>
    <t>Byggedel</t>
  </si>
  <si>
    <t>Gesamtfläche</t>
  </si>
  <si>
    <t>overall area</t>
  </si>
  <si>
    <t>surface totale</t>
  </si>
  <si>
    <t>Superficie totale</t>
  </si>
  <si>
    <t>Celková plocha</t>
  </si>
  <si>
    <t>Powierzchnia całkowita</t>
  </si>
  <si>
    <t>összfelület</t>
  </si>
  <si>
    <t>celková plocha</t>
  </si>
  <si>
    <t>Totale oppervlakte</t>
  </si>
  <si>
    <t>Skupna površina</t>
  </si>
  <si>
    <t>totalarea</t>
  </si>
  <si>
    <t>Samlet overflade</t>
  </si>
  <si>
    <t>Samlet areal</t>
  </si>
  <si>
    <t>Ukupna površina</t>
  </si>
  <si>
    <t>Stückverhältnis auswählen</t>
  </si>
  <si>
    <t>choose proportion</t>
  </si>
  <si>
    <t>sélectionner la proportion</t>
  </si>
  <si>
    <t>Selezionare il rapporto dei pezzi</t>
  </si>
  <si>
    <t>Zvolit poměr kusů</t>
  </si>
  <si>
    <t>Wybór proporcji sztuk</t>
  </si>
  <si>
    <t>darabarány kiválasztása</t>
  </si>
  <si>
    <t>Zvoliť pomer kusov</t>
  </si>
  <si>
    <t>Stukverhouding kiezen</t>
  </si>
  <si>
    <t>Izberite razmerje kosov</t>
  </si>
  <si>
    <t>Välj styckförhållande</t>
  </si>
  <si>
    <t>Vælg stykforhold</t>
  </si>
  <si>
    <t>Velg stykkforhold</t>
  </si>
  <si>
    <t>Odaberite omjer komada</t>
  </si>
  <si>
    <t>Schritt</t>
  </si>
  <si>
    <t>step</t>
  </si>
  <si>
    <t>Etape</t>
  </si>
  <si>
    <t>Fase</t>
  </si>
  <si>
    <t>Krok</t>
  </si>
  <si>
    <t>lépés</t>
  </si>
  <si>
    <t>krok</t>
  </si>
  <si>
    <t>Stap</t>
  </si>
  <si>
    <t>Korak</t>
  </si>
  <si>
    <t>steg</t>
  </si>
  <si>
    <t>Trin</t>
  </si>
  <si>
    <t>Skritt</t>
  </si>
  <si>
    <t>Abmessungen (Länge und Höhe) der zu berechnenden Fläche eintragen</t>
  </si>
  <si>
    <t xml:space="preserve">Dimensions (length and heigth) </t>
  </si>
  <si>
    <t>indiquer les dimensions (longueur et hauteur) de la surface à calculer</t>
  </si>
  <si>
    <t>Inserire le dimensioni (lunghezza e altezza) della superficie da calcolare</t>
  </si>
  <si>
    <t>Zapsat rozměry (délka a výška) plochy, která se musí vypočítat</t>
  </si>
  <si>
    <t>Wprowadzić wymiary (długość i wysokość) powierzchni do obliczenia.</t>
  </si>
  <si>
    <t>A kiszámítandó felület méreteinek megadása (hossz és magasság)</t>
  </si>
  <si>
    <t>Zapísať rozmery (dĺžka a výška) počítanej plochy</t>
  </si>
  <si>
    <t>Voer de afmetingen (lengte en hoogte) in van de te berekenen oppervlakte</t>
  </si>
  <si>
    <t>Vnesite dimenzije (dolžino in višino) površine, ki jo želite izračunati</t>
  </si>
  <si>
    <t>Ange måtten (längd och höjd) för området som ska beräknas</t>
  </si>
  <si>
    <t>Indtast målene (længde og højde) for det område, der skal beregnes</t>
  </si>
  <si>
    <t>Angi mål (lengde og høyde) for flaten som skal beregnes</t>
  </si>
  <si>
    <t>Unesite dimenzije (duljinu i visinu) površine koju treba izračunati</t>
  </si>
  <si>
    <t>Abdeckung V 25, entgratet</t>
  </si>
  <si>
    <t>Cover V 25, deburred</t>
  </si>
  <si>
    <t>cache de protection V 25, ébavuré</t>
  </si>
  <si>
    <t>Coperchio V 25, sbavato</t>
  </si>
  <si>
    <t>Kryt V 25, zafixování</t>
  </si>
  <si>
    <t>Osłona V 25, okrawana</t>
  </si>
  <si>
    <t>Takaróelem V 25, sorjázott</t>
  </si>
  <si>
    <t>krycí profil V 25, očistený</t>
  </si>
  <si>
    <t>Afdekking V 25, ontbraamd</t>
  </si>
  <si>
    <t>Zaščita V 25, odstranjeni robovi</t>
  </si>
  <si>
    <t>beklädnad V 25, avgradad</t>
  </si>
  <si>
    <t>Afdækning V 25, afgratet</t>
  </si>
  <si>
    <t>Tildekking V 25, avgradert</t>
  </si>
  <si>
    <t>Pokrov V 25, obrađen</t>
  </si>
  <si>
    <t>Abdeckung VO 25, entgratet</t>
  </si>
  <si>
    <t>Cover VO 25, deburred</t>
  </si>
  <si>
    <t>cache de protection VO 25, ébavuré</t>
  </si>
  <si>
    <t>Coperchio VO 25, sbavato</t>
  </si>
  <si>
    <t>Kryt VO 25, zafixování</t>
  </si>
  <si>
    <t>Osłona VO 25, okrawana</t>
  </si>
  <si>
    <t>Takaróelem VO 25, sorjázott</t>
  </si>
  <si>
    <t>krycí profil VO 25, očistený</t>
  </si>
  <si>
    <t>Afdekking VO 25, ontbraamd</t>
  </si>
  <si>
    <t>Zaščita VO 25, odstranjeni robovi</t>
  </si>
  <si>
    <t>beklädnad VO 25, avgradad</t>
  </si>
  <si>
    <t>Afdækning VO 25, afgratet</t>
  </si>
  <si>
    <t>Tildekking VO 25, avgradert</t>
  </si>
  <si>
    <t>Pokrov VO 25, obrađen</t>
  </si>
  <si>
    <t>[EH]</t>
  </si>
  <si>
    <t>[U]</t>
  </si>
  <si>
    <t>[UM]</t>
  </si>
  <si>
    <t>[m.j.]</t>
  </si>
  <si>
    <t>[j.m.]</t>
  </si>
  <si>
    <t>[eenheid]</t>
  </si>
  <si>
    <t>[VV]</t>
  </si>
  <si>
    <t>[Enh.]</t>
  </si>
  <si>
    <t>[Enhed]</t>
  </si>
  <si>
    <t>[L] Innenlichte</t>
  </si>
  <si>
    <t>[L] interior lights</t>
  </si>
  <si>
    <t>[E] vide lumière</t>
  </si>
  <si>
    <t>[L] luce netta</t>
  </si>
  <si>
    <t>[L] světlá šířka</t>
  </si>
  <si>
    <t>[L] wymiar wewnętrzny w świetle</t>
  </si>
  <si>
    <t>[L] svetlá šírka</t>
  </si>
  <si>
    <t>[dm] dagmaat</t>
  </si>
  <si>
    <t>[L] notranja odprtina</t>
  </si>
  <si>
    <t>[L] Inre öppning</t>
  </si>
  <si>
    <t>[L] Indvendigt lys</t>
  </si>
  <si>
    <t>[L] Taklys</t>
  </si>
  <si>
    <t>[L] Unutrašnja širina</t>
  </si>
  <si>
    <t>[lfm]</t>
  </si>
  <si>
    <t>[rm]</t>
  </si>
  <si>
    <t>[m]</t>
  </si>
  <si>
    <t>[bm]</t>
  </si>
  <si>
    <t>[mb]</t>
  </si>
  <si>
    <t>[strekkende meter]</t>
  </si>
  <si>
    <t>[tm]</t>
  </si>
  <si>
    <t>[löpm]</t>
  </si>
  <si>
    <t>[løb. meter]</t>
  </si>
  <si>
    <t>[lm]</t>
  </si>
  <si>
    <t>[d/m]</t>
  </si>
  <si>
    <t>[mm]</t>
  </si>
  <si>
    <t>[Paar]</t>
  </si>
  <si>
    <t>[pair]</t>
  </si>
  <si>
    <t>[paire]</t>
  </si>
  <si>
    <t>[paio]</t>
  </si>
  <si>
    <t>[pár]</t>
  </si>
  <si>
    <t>[para]</t>
  </si>
  <si>
    <t>[paar-]</t>
  </si>
  <si>
    <t>[par]</t>
  </si>
  <si>
    <t>[Stk]</t>
  </si>
  <si>
    <t>[pcs]</t>
  </si>
  <si>
    <t>[pc.]</t>
  </si>
  <si>
    <t>[pz]</t>
  </si>
  <si>
    <t>[ks]</t>
  </si>
  <si>
    <t>[szt.]</t>
  </si>
  <si>
    <t>[stuks]</t>
  </si>
  <si>
    <t>[kos]</t>
  </si>
  <si>
    <t>[st]</t>
  </si>
  <si>
    <t>[Stk.]</t>
  </si>
  <si>
    <t>[stk.]</t>
  </si>
  <si>
    <t>[kom]</t>
  </si>
  <si>
    <t>[VPE]</t>
  </si>
  <si>
    <t>[packaging unit]</t>
  </si>
  <si>
    <t>[UE]</t>
  </si>
  <si>
    <t>[CF]</t>
  </si>
  <si>
    <t>[bal.]</t>
  </si>
  <si>
    <t>[CSE]</t>
  </si>
  <si>
    <t>[balenie]</t>
  </si>
  <si>
    <t>[Verpakking]</t>
  </si>
  <si>
    <t>[förpackningsenhet]</t>
  </si>
  <si>
    <t>[emballageenhed]</t>
  </si>
  <si>
    <t>[pakningsenhet]</t>
  </si>
  <si>
    <t>[PA]</t>
  </si>
  <si>
    <t>+20 % MwSt.</t>
  </si>
  <si>
    <t>+7.7 % TVA</t>
  </si>
  <si>
    <t>+27% áfával</t>
  </si>
  <si>
    <t>25/200mm</t>
  </si>
  <si>
    <t>25/200 mm</t>
  </si>
  <si>
    <t>25/200 mm</t>
  </si>
  <si>
    <t>50/150mm</t>
  </si>
  <si>
    <t>50/150 mm</t>
  </si>
  <si>
    <t>50/150 mm</t>
  </si>
  <si>
    <t>50/200mm</t>
  </si>
  <si>
    <t>50/200 mm</t>
  </si>
  <si>
    <t>50/200 mm</t>
  </si>
  <si>
    <t>80/200mm</t>
  </si>
  <si>
    <t>80/200 mm</t>
  </si>
  <si>
    <t>80/200 mm</t>
  </si>
  <si>
    <t>Abbildung 1</t>
  </si>
  <si>
    <t>Figure 1</t>
  </si>
  <si>
    <t>Illustration 1</t>
  </si>
  <si>
    <t>disegno  1</t>
  </si>
  <si>
    <t>Obr. 1</t>
  </si>
  <si>
    <t>Rysunek 1</t>
  </si>
  <si>
    <t>1. ábra</t>
  </si>
  <si>
    <t>Obrázok 1</t>
  </si>
  <si>
    <t>Afbeelding 1</t>
  </si>
  <si>
    <t>Slika 1</t>
  </si>
  <si>
    <t>Figur 1</t>
  </si>
  <si>
    <t>Bilde 1</t>
  </si>
  <si>
    <t>Abdeckung</t>
  </si>
  <si>
    <t>Cover</t>
  </si>
  <si>
    <t>cache de protection</t>
  </si>
  <si>
    <t xml:space="preserve">Kryt </t>
  </si>
  <si>
    <t>Osłona</t>
  </si>
  <si>
    <t>Takaróelem</t>
  </si>
  <si>
    <t>Kryt</t>
  </si>
  <si>
    <t>Afdekking</t>
  </si>
  <si>
    <t>Täckplåt</t>
  </si>
  <si>
    <t>TILDEKKING</t>
  </si>
  <si>
    <t>Abdeckung V 25, gebohrt und entgratet</t>
  </si>
  <si>
    <t>Cover V 25, drilled and deburred</t>
  </si>
  <si>
    <t>cache de protection V 25, percé et ébavuré</t>
  </si>
  <si>
    <t>Coperchio V 25, forato e sbavato</t>
  </si>
  <si>
    <t>Kryt V 25, svrtaný pro zafixování</t>
  </si>
  <si>
    <t>Osłona V 25, nawiercona i okrawana</t>
  </si>
  <si>
    <t>Takaróelem V 25, furatolt és sorjázott</t>
  </si>
  <si>
    <t>Kryt V 25, navŕtaný a odhrotovaný</t>
  </si>
  <si>
    <t>Afdekking V 25, geboord en afgebraamd</t>
  </si>
  <si>
    <r>
      <rPr>
        <sz val="11"/>
        <rFont val="Arial"/>
        <family val="2"/>
      </rPr>
      <t>Pokrov V 25, z izvrtinami in posnetimi robovi</t>
    </r>
  </si>
  <si>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</si>
  <si>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</si>
  <si>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</si>
  <si>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</si>
  <si>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</si>
  <si>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</si>
  <si>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cache de protection V 50, percé et ébavuré</t>
  </si>
  <si>
    <t>Coperchio V 50, forato e sbavato</t>
  </si>
  <si>
    <t>Kryt V 50, svrtaný pro zafixování</t>
  </si>
  <si>
    <t>Osłona V 50, nawiercona i okrawana</t>
  </si>
  <si>
    <t>Takaróelem V 50, furatolt és sorjázott</t>
  </si>
  <si>
    <t>Kryt V 50, navŕtaný a odhrotovaný</t>
  </si>
  <si>
    <t>Afdekking V 50, geboord en afgebraamd</t>
  </si>
  <si>
    <r>
      <rPr>
        <sz val="11"/>
        <rFont val="Arial"/>
        <family val="2"/>
      </rPr>
      <t>Pokrov V 50, z izvrtinami in posnetimi robovi</t>
    </r>
  </si>
  <si>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</si>
  <si>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</si>
  <si>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</si>
  <si>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</si>
  <si>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</si>
  <si>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</si>
  <si>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cache de protection V 80, percé et ébavuré</t>
  </si>
  <si>
    <t>Coperchio V 80, forato e sbavato</t>
  </si>
  <si>
    <t>Kryt V 80, svrtaný pro zafixování</t>
  </si>
  <si>
    <t>Osłona V 80, nawiercona i okrawana</t>
  </si>
  <si>
    <t>Takaróelem V 80, furatolt és sorjázott</t>
  </si>
  <si>
    <t>Kryt V 80, navŕtaný a odhrotovaný</t>
  </si>
  <si>
    <t>Afdekking V 80, geboord en afgebraamd</t>
  </si>
  <si>
    <r>
      <rPr>
        <sz val="11"/>
        <rFont val="Arial"/>
        <family val="2"/>
      </rPr>
      <t>Pokrov V 80, z izvrtinami in posnetimi robovi</t>
    </r>
  </si>
  <si>
    <t>Täckplåt rak 80, förborrad</t>
  </si>
  <si>
    <t>Afdækning V 80, forboret og afgratet</t>
  </si>
  <si>
    <t>TILDEKKING V 80, boret og avgradet</t>
  </si>
  <si>
    <t>Pokrov V 80, bušen i s obrađenim rubovima</t>
  </si>
  <si>
    <t>Abdeckung VO 25, gebohrt und entgratet</t>
  </si>
  <si>
    <t>Cover VO 25, drilled and deburred</t>
  </si>
  <si>
    <t>cache de protection VO 25, percé et ébavuré</t>
  </si>
  <si>
    <t>Coperchio VO 25, forato e sbavato</t>
  </si>
  <si>
    <t>Kryt VO 25, svrtaný pro zafixování</t>
  </si>
  <si>
    <t>Osłona VO 25, nawiercona i okrawana</t>
  </si>
  <si>
    <t>Takaróelem VO 25, furatolt és sorjázott</t>
  </si>
  <si>
    <t>Kryt VO 25, navŕtaný a odhrotovaný</t>
  </si>
  <si>
    <t>Afdekking VO 25, geboord en afgebraamd</t>
  </si>
  <si>
    <r>
      <rPr>
        <sz val="11"/>
        <rFont val="Arial"/>
        <family val="2"/>
      </rPr>
      <t>Pokrov VO 25, z izvrtinami in posnetimi robovi</t>
    </r>
  </si>
  <si>
    <t>Täckplåt m, vinkel 25, förborrad</t>
  </si>
  <si>
    <t>Afdækning VO 25, forboret og afgratet</t>
  </si>
  <si>
    <t>TILDEKKING VO 25, boret og avgradet</t>
  </si>
  <si>
    <t>Pokrov VO 25, bušen i s obrađenim rubovima</t>
  </si>
  <si>
    <t>Abdeckung VO 50, gebohrt und entgratet</t>
  </si>
  <si>
    <t>Cover VO 50, drilled and deburred</t>
  </si>
  <si>
    <t>cache de protection VO 50, percé et ébavuré</t>
  </si>
  <si>
    <t>Coperchio VO 50, forato e sbavato</t>
  </si>
  <si>
    <t>Kryt VO 50, svrtaný pro zafixování</t>
  </si>
  <si>
    <t>Osłona VO 50, nawiercona i okrawana</t>
  </si>
  <si>
    <t>Takaróelem VO 50, furatolt és sorjázott</t>
  </si>
  <si>
    <t>Kryt VO 50, navŕtaný a odhrotovaný</t>
  </si>
  <si>
    <t>Afdekking VO 50, geboord en afgebraamd</t>
  </si>
  <si>
    <r>
      <rPr>
        <sz val="11"/>
        <rFont val="Arial"/>
        <family val="2"/>
      </rPr>
      <t>Pokrov VO 50, z izvrtinami in posnetimi robovi</t>
    </r>
  </si>
  <si>
    <t>Täckplåt m, vinkel 50, förborrad</t>
  </si>
  <si>
    <t>Afdækning VO 50, forboret og afgratet</t>
  </si>
  <si>
    <t>TILDEKKING VO 50, boret og avgradet</t>
  </si>
  <si>
    <t>Pokrov VO 50, bušen i s obrađenim rubovima</t>
  </si>
  <si>
    <t>Abdeckung VO 80, gebohrt und entgratet</t>
  </si>
  <si>
    <t>Cover VO 80, drilled and deburred</t>
  </si>
  <si>
    <t>cache de protection VO 80, percé et ébavuré</t>
  </si>
  <si>
    <t>Coperchio VO 80, forato e sbavato</t>
  </si>
  <si>
    <t>Kryt VO 80, svrtaný pro zafixování</t>
  </si>
  <si>
    <t>Osłona VO 80, nawiercona i okrawana</t>
  </si>
  <si>
    <t>Takaróelem VO 80, furatolt és sorjázott</t>
  </si>
  <si>
    <t>Kryt VO 80, navŕtaný a odhrotovaný</t>
  </si>
  <si>
    <t>Afdekking VO 80, geboord en afgebraamd</t>
  </si>
  <si>
    <r>
      <rPr>
        <sz val="11"/>
        <rFont val="Arial"/>
        <family val="2"/>
      </rPr>
      <t>Pokrov VO 80, z izvrtinami in posnetimi robovi</t>
    </r>
  </si>
  <si>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</si>
  <si>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</si>
  <si>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</si>
  <si>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</si>
  <si>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</si>
  <si>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</si>
  <si>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Attention ! Longueur maximum pour le revêtement des batardeaux : 3000 mm</t>
  </si>
  <si>
    <t>attenzione, lunghezza max per elementi verniciati 3000mm</t>
  </si>
  <si>
    <t>Pozor! Maximální délka pro lakování 3000mm</t>
  </si>
  <si>
    <t>Uwaga: Maksymalna długość elementu lakierowanego 3000 mm</t>
  </si>
  <si>
    <t>Figyelem! A porszórt elemek maximális hossza 3000mm</t>
  </si>
  <si>
    <t>Pozor! Maximálna dĺžka pri nátere 3 000 mm</t>
  </si>
  <si>
    <t>Let op! Maximale lengte bij coating 3000 mm</t>
  </si>
  <si>
    <t>Pozor! Največja dolžina pri prevleki 3.000 mm</t>
  </si>
  <si>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</si>
  <si>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</si>
  <si>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</si>
  <si>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</si>
  <si>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</si>
  <si>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</si>
  <si>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</si>
  <si>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ATTENZIONE: troppi montanti circolari selezionati</t>
  </si>
  <si>
    <t>POZOR: vybráno příliš mnoho kruhových profilů</t>
  </si>
  <si>
    <t>UWAGA: wybrano zbyt dużo profili okrągłych</t>
  </si>
  <si>
    <t>FIGYELEM: túl sok körprofilt választott</t>
  </si>
  <si>
    <t>POZOR: je zvolených priveľa kruhových profilov</t>
  </si>
  <si>
    <t>LET OP: te veel rondprofielen geselecteerd</t>
  </si>
  <si>
    <t>POZOR: izbranih je preveč okroglih profilov</t>
  </si>
  <si>
    <t>Observera: För många rundprofiler har valts</t>
  </si>
  <si>
    <t>OBS! For mange runde profiler er valgt</t>
  </si>
  <si>
    <t>ADVARSEL: for mange rundprofiler valgt</t>
  </si>
  <si>
    <t>POZOR: odabrano previše okruglih profila</t>
  </si>
  <si>
    <t>ACHTUNG: zu viele Rundprofile gewählt</t>
  </si>
  <si>
    <t>Aluminium</t>
  </si>
  <si>
    <t>aluminium</t>
  </si>
  <si>
    <t>alluminio</t>
  </si>
  <si>
    <t>Alumínium</t>
  </si>
  <si>
    <t>Hliník</t>
  </si>
  <si>
    <t>Aluminij</t>
  </si>
  <si>
    <t>Anprall von Treibgut (nur bei Eingabe von Anströmwinkel)</t>
  </si>
  <si>
    <t>Impact of floating debris (only where it enters from the angle of the inflow)</t>
  </si>
  <si>
    <t>impact des débris flottants (requiert la saisie de l’angle d’incidence)</t>
  </si>
  <si>
    <t>Urto da detriti (solo inserendo l'angolo di afflusso)</t>
  </si>
  <si>
    <t>náraz plovoucího předmětu (pouze při zadání přítokového úhlu)</t>
  </si>
  <si>
    <t>Uderzenie od wody z zanieczyszczeniami (tylko przy wprowadzeniu kąta natarcia)</t>
  </si>
  <si>
    <t>Uszadék nekicsapódása (csak a beesési szög megadása esetén)</t>
  </si>
  <si>
    <t>Náraz plávajúceho predmetu (len ak smeruje z prítokového uhla)</t>
  </si>
  <si>
    <t>Stootkracht van drijvend materiaal (alleen bij invoer van invalshoek)</t>
  </si>
  <si>
    <t>trk naplavin (samo pri vnosu vpadnega kota),</t>
  </si>
  <si>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</si>
  <si>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</si>
  <si>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</si>
  <si>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</si>
  <si>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anprallende Treibgutmasse:</t>
  </si>
  <si>
    <t>Impacting mass of flotsam:</t>
  </si>
  <si>
    <t>Masse des débris flottants :</t>
  </si>
  <si>
    <t>massa detriti impattanti:</t>
  </si>
  <si>
    <t>náraz plovoucího předmětu váhy:</t>
  </si>
  <si>
    <t>nekisodródó uszadék:</t>
  </si>
  <si>
    <t>Hmotnosť narážajúceho predmetu:</t>
  </si>
  <si>
    <t>Massa van aanstotend drijfmateriaal:</t>
  </si>
  <si>
    <t>Masa naplavin:</t>
  </si>
  <si>
    <t>Påtryckande flytande skräpmassa:</t>
  </si>
  <si>
    <t>Påvirkning fra drivende genstande:</t>
  </si>
  <si>
    <t>Drivgodsmasse som støter imot:</t>
  </si>
  <si>
    <t>Udarajuća masa naplavina:</t>
  </si>
  <si>
    <t>anprallende Treibgutmasse: m</t>
  </si>
  <si>
    <t>Impacting mass of flotsam: m</t>
  </si>
  <si>
    <t>Masse des débris flottants : m</t>
  </si>
  <si>
    <t>massa detriti impattanti: m</t>
  </si>
  <si>
    <t>náraz plovoucího předmětu váhy: m</t>
  </si>
  <si>
    <t>oddziaływanie masy zanieczyszczeń: m</t>
  </si>
  <si>
    <t>Becsapódó uszadék: m</t>
  </si>
  <si>
    <t>Hmotnosť narážajúceho predmetu: m</t>
  </si>
  <si>
    <t>Massa van aanstotend drijfmateriaal: m</t>
  </si>
  <si>
    <t>Masa naplavin: m</t>
  </si>
  <si>
    <t>Påtryckande flytande skräpmassa: m</t>
  </si>
  <si>
    <t>Påvirkning fra drivende genstande: m</t>
  </si>
  <si>
    <t>Drivgodsmasse som støter imot: m</t>
  </si>
  <si>
    <t>Udarajuća masa naplavina: m</t>
  </si>
  <si>
    <t>Anströmwinkel [°]:</t>
  </si>
  <si>
    <t>Inflow angle [°]:</t>
  </si>
  <si>
    <t>Angle d’incidence [°] :</t>
  </si>
  <si>
    <t>angolo di afflusso [°]:</t>
  </si>
  <si>
    <t>Přítokový úhel [°]:</t>
  </si>
  <si>
    <t>Kąt padania [°]:</t>
  </si>
  <si>
    <t>Beesési szög [°]:</t>
  </si>
  <si>
    <t>Prítokový uhol [°]:</t>
  </si>
  <si>
    <t>Invalshoek [°]:</t>
  </si>
  <si>
    <t>Vpadni kot [°]:</t>
  </si>
  <si>
    <t>Infallsvinkel [°]:</t>
  </si>
  <si>
    <t>Indstrømningsvinkel [°]:</t>
  </si>
  <si>
    <t>Tilstrømmingsvinkel [°]:</t>
  </si>
  <si>
    <t>Kut pritjecanja [°]:</t>
  </si>
  <si>
    <t>Anströmwinkel:</t>
  </si>
  <si>
    <t>Inflow angle:</t>
  </si>
  <si>
    <t>Angle d’incidence :</t>
  </si>
  <si>
    <t>Angolo di afflusso:</t>
  </si>
  <si>
    <t>Přítokový úhel:</t>
  </si>
  <si>
    <t>Kąt natarcia:</t>
  </si>
  <si>
    <t>Beesési szög:</t>
  </si>
  <si>
    <t>Prítokový uhol:</t>
  </si>
  <si>
    <t>Invalshoek:</t>
  </si>
  <si>
    <t>Vpadni kot:</t>
  </si>
  <si>
    <t>Infallsvinkel:</t>
  </si>
  <si>
    <t>Indstrømningsvinkel:</t>
  </si>
  <si>
    <t>Tilstrømmingsvinkel:</t>
  </si>
  <si>
    <t>Kut pritjecanja:</t>
  </si>
  <si>
    <t>Anzahl der Felder:</t>
  </si>
  <si>
    <t>Number of fields:</t>
  </si>
  <si>
    <t>Nombre de travées :</t>
  </si>
  <si>
    <t>numero campate:</t>
  </si>
  <si>
    <t>Počet polí:</t>
  </si>
  <si>
    <t>Liczba przęłseł:</t>
  </si>
  <si>
    <t>Mezők száma:</t>
  </si>
  <si>
    <t>Aantal velden:</t>
  </si>
  <si>
    <t>Število polj:</t>
  </si>
  <si>
    <t>Antal fält:</t>
  </si>
  <si>
    <t>Antal felter:</t>
  </si>
  <si>
    <t>Antall felter:</t>
  </si>
  <si>
    <t>Broj polja:</t>
  </si>
  <si>
    <t>Anzahl der gleichen Systeme:</t>
  </si>
  <si>
    <t>Number of the same systems:</t>
  </si>
  <si>
    <t>Nombre de systèmes identiques :</t>
  </si>
  <si>
    <t>numero campate uguali:</t>
  </si>
  <si>
    <t>Počet stejných systémů:</t>
  </si>
  <si>
    <t>Liczba identycznych systemów:</t>
  </si>
  <si>
    <t>Azonos rendszerek száma:</t>
  </si>
  <si>
    <t>Počet rovnakých systémov:</t>
  </si>
  <si>
    <t>Aantal gelijke systemen:</t>
  </si>
  <si>
    <t>Število enakih sistemov:</t>
  </si>
  <si>
    <t>Antal identiska system:</t>
  </si>
  <si>
    <t>Antal tilsvarende systemer:</t>
  </si>
  <si>
    <t>Antall like systemer:</t>
  </si>
  <si>
    <t>Broj istih sustava:</t>
  </si>
  <si>
    <t>Surcharge for groove milling of side sections for barrier panel</t>
  </si>
  <si>
    <t>Supplément pour fraisage des parties latérales des batardeaux</t>
  </si>
  <si>
    <t>sovrapprezzo per fresatura montanti laterali</t>
  </si>
  <si>
    <t>Příplatek za odfrézování bočních dílů pro hrázní bloky</t>
  </si>
  <si>
    <t>Dopłata za frezowanie części bocznych belek zaporowych</t>
  </si>
  <si>
    <t>Oldalsó elemek kimarásának felára</t>
  </si>
  <si>
    <t>Príplatok za vyfrézovanie bočných dielov pre hradidlá</t>
  </si>
  <si>
    <t>Toeslag uitfrezen zijdelen voor Dambalk</t>
  </si>
  <si>
    <t>Doplačilo za izrez stranskih delov za zajezitvene lamele</t>
  </si>
  <si>
    <t>Pristillägg urfräsning profiler för DÄMMBALK</t>
  </si>
  <si>
    <t>Tillæg for udfræsning af sidevanger til dæmningsbjælker</t>
  </si>
  <si>
    <t>Pristillegg utfresning av sidedeler for bjelkestengsler</t>
  </si>
  <si>
    <t>Doplata za obradu frezom bočnih dijelova za dasku brane</t>
  </si>
  <si>
    <t>Surcharge for length adjustment of side sections</t>
  </si>
  <si>
    <t>Supplément pour modification de longueur des parties latérales</t>
  </si>
  <si>
    <t>sovrapprezzo per modifiche di lunghezza dei montanti</t>
  </si>
  <si>
    <t xml:space="preserve">Příplatek za nestandardní délky bočních dílů </t>
  </si>
  <si>
    <t>Dopłata za zmianę długości profili ściennych</t>
  </si>
  <si>
    <t>Oldalsó elemek hosszméret-módosításának felára</t>
  </si>
  <si>
    <t>Príplatok za zmenu dĺžky bočných dielov</t>
  </si>
  <si>
    <t>Toeslag lengtewijziging zijdelen</t>
  </si>
  <si>
    <t>Doplačilo za spremembo dolžine stranskih delov</t>
  </si>
  <si>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</si>
  <si>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</si>
  <si>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</si>
  <si>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</si>
  <si>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</si>
  <si>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</si>
  <si>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</si>
  <si>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</si>
  <si>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Příplatek za hodinu projekční práce</t>
  </si>
  <si>
    <t>Dopłata godzinna za projektowanie</t>
  </si>
  <si>
    <t>Tervezési óra felára</t>
  </si>
  <si>
    <t>Príplatok za hodinu plánovania</t>
  </si>
  <si>
    <t>Toeslag planning (per uur)</t>
  </si>
  <si>
    <t>Doplačilo za uro načrtovanja</t>
  </si>
  <si>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</si>
  <si>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</si>
  <si>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</si>
  <si>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</si>
  <si>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</si>
  <si>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</si>
  <si>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</si>
  <si>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</si>
  <si>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Příplatek za přivařené kotevní trny (á 300mm)</t>
  </si>
  <si>
    <t>Dopłata za zakotwienie spawane (za 300 mm)</t>
  </si>
  <si>
    <t>Hegesztett lehorgonyzóelem felára (á 300mm)</t>
  </si>
  <si>
    <t>Príplatok za privarenie ukotvenia (každých 300 mm)</t>
  </si>
  <si>
    <t>Toeslag verankering vastgelast (300 mm)</t>
  </si>
  <si>
    <r>
      <rPr>
        <sz val="11"/>
        <rFont val="Arial"/>
        <family val="2"/>
      </rPr>
      <t>Doplačilo za varjenje sider (na 300 mm)</t>
    </r>
  </si>
  <si>
    <t>Pristillägg svetsad förankring (300 mm)</t>
  </si>
  <si>
    <t>Tillæg for påsvejset forankring (hver 300 mm)</t>
  </si>
  <si>
    <t>Pristillegg påsveiset forankring (300 mm)</t>
  </si>
  <si>
    <t>Doplata za navareno usidrenje (300mm)</t>
  </si>
  <si>
    <t>Surcharge for side sections for barrier panel</t>
  </si>
  <si>
    <t>Fraisage des parties latérales des batardeaux</t>
  </si>
  <si>
    <t>fresatura sulle sponde</t>
  </si>
  <si>
    <t>Odfrézování bočních dílů pro hrázní bloky</t>
  </si>
  <si>
    <t>Frezowanie części bocznych belek zapór</t>
  </si>
  <si>
    <t>Oldalsó elemek kimarása gátgerendához</t>
  </si>
  <si>
    <t>Vyfrézovanie bočných dielov pre hradidlá</t>
  </si>
  <si>
    <t>Uitfrezen zijdelen voor SP</t>
  </si>
  <si>
    <t>Izrez stranskih delov za zajezitveni prečnik</t>
  </si>
  <si>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</si>
  <si>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</si>
  <si>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</si>
  <si>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</si>
  <si>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</si>
  <si>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</si>
  <si>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</si>
  <si>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</si>
  <si>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Typ provedení</t>
  </si>
  <si>
    <t>Sposób wykonania</t>
  </si>
  <si>
    <t>Kialakítás</t>
  </si>
  <si>
    <t>Typ vyhotovenia</t>
  </si>
  <si>
    <t>Uitvoeringswijze</t>
  </si>
  <si>
    <t>Vrsta izvedbe</t>
  </si>
  <si>
    <t>Konstruktionstyp</t>
  </si>
  <si>
    <t>Arten af udførelsen</t>
  </si>
  <si>
    <t>Utførelsesmåte</t>
  </si>
  <si>
    <t>Način izvedbe</t>
  </si>
  <si>
    <t>Ausnutzung HD:</t>
  </si>
  <si>
    <t>Utilisation of HD:</t>
  </si>
  <si>
    <t>Charge statique HD :</t>
  </si>
  <si>
    <t>Utilizzo HD:</t>
  </si>
  <si>
    <t>Využití HD:</t>
  </si>
  <si>
    <t>Wykorzystanie HD:</t>
  </si>
  <si>
    <t>Kihasználtság HD:</t>
  </si>
  <si>
    <t>Využitie HD:</t>
  </si>
  <si>
    <t>Benutting HD:</t>
  </si>
  <si>
    <t>Izkoristek HD:</t>
  </si>
  <si>
    <t>Utnyttjande HD:</t>
  </si>
  <si>
    <t>Udnyttelse HD:</t>
  </si>
  <si>
    <t>Utnyttelse HD:</t>
  </si>
  <si>
    <t>Iskorištenje HD:</t>
  </si>
  <si>
    <t>Ausnutzung HD+HS:</t>
  </si>
  <si>
    <t>Utilisation of HD + HS:</t>
  </si>
  <si>
    <t>Charge statique HD + HS :</t>
  </si>
  <si>
    <t>Utilizzo HD+HS:</t>
  </si>
  <si>
    <t>Využití HD+HS:</t>
  </si>
  <si>
    <t>Wykorzystanie HD+HS</t>
  </si>
  <si>
    <t>Kihasználtság HD+HS:</t>
  </si>
  <si>
    <t>Využitie HD+HS:</t>
  </si>
  <si>
    <t>Benutting HD+HS:</t>
  </si>
  <si>
    <t>Izkoristek HD+HS:</t>
  </si>
  <si>
    <t>Utnyttjande HD+HS:</t>
  </si>
  <si>
    <t>Udnyttelse HD+HS:</t>
  </si>
  <si>
    <t>Utnyttelse HD+HS:</t>
  </si>
  <si>
    <t>Iskorištenje HD+HS:</t>
  </si>
  <si>
    <t>Ausnutzung HS:</t>
  </si>
  <si>
    <t>Utilisation of HS:</t>
  </si>
  <si>
    <t>Charge statique HS :</t>
  </si>
  <si>
    <t>Utilizzo HS:</t>
  </si>
  <si>
    <t>Využití HS:</t>
  </si>
  <si>
    <t>Wykorzystanie HS:</t>
  </si>
  <si>
    <t>Kihasználtság HS:</t>
  </si>
  <si>
    <t>Využitie HS:</t>
  </si>
  <si>
    <t>Benutting HS:</t>
  </si>
  <si>
    <t>Izkoristek HS:</t>
  </si>
  <si>
    <t>Utnyttjande HS:</t>
  </si>
  <si>
    <t>Udnyttelse HS:</t>
  </si>
  <si>
    <t>Utnyttelse HS:</t>
  </si>
  <si>
    <t>Iskorištenje HS:</t>
  </si>
  <si>
    <t>Ausnutzung zufolge</t>
  </si>
  <si>
    <t>Utilisation according to</t>
  </si>
  <si>
    <t>en fonction de la charge statique</t>
  </si>
  <si>
    <t>Utilizzo in conformità</t>
  </si>
  <si>
    <t>Využití od</t>
  </si>
  <si>
    <t>Wykorzystanie zgodnie z</t>
  </si>
  <si>
    <t>Kihasználtság a köv. következtében</t>
  </si>
  <si>
    <t>Využitie v dôsledku</t>
  </si>
  <si>
    <t>Benutting overeenkomstig</t>
  </si>
  <si>
    <t>Izkoristek kot posledica</t>
  </si>
  <si>
    <t>Utnyttjande beroende på</t>
  </si>
  <si>
    <t>Udnyttelse som følge af</t>
  </si>
  <si>
    <t>Utnyttelse i følge</t>
  </si>
  <si>
    <t>Iskorištenje prema</t>
  </si>
  <si>
    <t>Ausnutzung:</t>
  </si>
  <si>
    <t>Utilisation:</t>
  </si>
  <si>
    <t>Charge statique :</t>
  </si>
  <si>
    <t>Utilizzo:</t>
  </si>
  <si>
    <t>Využití:</t>
  </si>
  <si>
    <t>Wykorzystanie:</t>
  </si>
  <si>
    <t>Kihasználtság:</t>
  </si>
  <si>
    <t>Využitie:</t>
  </si>
  <si>
    <t>Benutting:</t>
  </si>
  <si>
    <t>Izkoristek:</t>
  </si>
  <si>
    <t>Utnyttjande:</t>
  </si>
  <si>
    <t>Udnyttelse:</t>
  </si>
  <si>
    <t>Utnyttelse:</t>
  </si>
  <si>
    <t>Iskorištenje:</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</si>
  <si>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</si>
  <si>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</si>
  <si>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</si>
  <si>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</si>
  <si>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Při neodborné montáži a/nebo údržbě nebo při použití neoriginálního příslušenství nepřebírá PREFA žádnou záruku.</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</si>
  <si>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</si>
  <si>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</si>
  <si>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Pri neodbornej montáži a/alebo údržbe alebo pri použití iného ako originálneho príslušenstva nepreberá PREFA žiadnu záruku.</t>
  </si>
  <si>
    <t>Bij ondeskundige montage/onderhoud of bij gebruik van niet-originele toebehoren is PREFA niet aansprakelijk.</t>
  </si>
  <si>
    <t>PREFA ne prevzema nobene odgovornosti v primeru nestrokovne montaže in/ali vzdrževanja ali uporabe neoriginalne dodatne opreme.</t>
  </si>
  <si>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</si>
  <si>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</si>
  <si>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</si>
  <si>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</si>
  <si>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Bei nicht fachgerechter Montage und/oder Wartung oder bei Benutzung von nicht originalem Zubehör übernimmt PREFA keinerlei Haftung.</t>
  </si>
  <si>
    <t>Bei System 25 nur 1 Feld möglich!</t>
  </si>
  <si>
    <t>Only 1 field possible for system 25!</t>
  </si>
  <si>
    <t>Une seule travée possible pour le système 25 !</t>
  </si>
  <si>
    <t>con il sistema 25 è realizzabile solamente la campata singola!</t>
  </si>
  <si>
    <t>U systému 25 možné pouze 1 pole!</t>
  </si>
  <si>
    <t>Przy systemie 25 możliwe tylko jedno pole!</t>
  </si>
  <si>
    <t>25-s rendszernél csak 1 mező lehetséges!</t>
  </si>
  <si>
    <t>Pre systém 25 je možné len 1 pole!</t>
  </si>
  <si>
    <t>Bij systeem 25 slechts 1 veld mogelijk!</t>
  </si>
  <si>
    <t>Pri sistemu 25 je mogoče le 1 polje!</t>
  </si>
  <si>
    <t>Med system 25 är bara 1 fält möjligt!</t>
  </si>
  <si>
    <t>Med system 25 er kun 1 felt muligt!</t>
  </si>
  <si>
    <t>Ved system 25 kun 1 felt mulig!</t>
  </si>
  <si>
    <t>Za sustav 25 moguće samo 1 polje!</t>
  </si>
  <si>
    <t>Bemaßung</t>
  </si>
  <si>
    <t>Dimensions (length and height)</t>
  </si>
  <si>
    <t>Dimensionnement</t>
  </si>
  <si>
    <t>Quotatura</t>
  </si>
  <si>
    <t>Wymiarowanie</t>
  </si>
  <si>
    <t>Méretezés</t>
  </si>
  <si>
    <t>Maatvoering</t>
  </si>
  <si>
    <t>Dimenzioniranje</t>
  </si>
  <si>
    <t>dimensioner</t>
  </si>
  <si>
    <t>Dimensjonering</t>
  </si>
  <si>
    <t>Bemessungsmoment HD:</t>
  </si>
  <si>
    <t>Rated torque HD:</t>
  </si>
  <si>
    <t>Moment de calcul HD :</t>
  </si>
  <si>
    <t>Coppia nominale HD:</t>
  </si>
  <si>
    <t>Výpočtový moment HD:</t>
  </si>
  <si>
    <t>Moment kalkulacji HD:</t>
  </si>
  <si>
    <t>Mértékadó nyomaték HD:</t>
  </si>
  <si>
    <t>Menovitý krútiaci moment HD:</t>
  </si>
  <si>
    <t>Meetmoment HD:</t>
  </si>
  <si>
    <t>Nazivni navor HD:</t>
  </si>
  <si>
    <t>Mätmoment HD:</t>
  </si>
  <si>
    <t>Beregningsmoment HD:</t>
  </si>
  <si>
    <t>Kalibreringsmoment HD:</t>
  </si>
  <si>
    <t>Projektirani moment HD:</t>
  </si>
  <si>
    <t>Bemessungsmoment HD+HS:</t>
  </si>
  <si>
    <t>Rated torque HD + HS:</t>
  </si>
  <si>
    <t>Moment de calcul HD + HS :</t>
  </si>
  <si>
    <t>Coppia nominale HD+HS:</t>
  </si>
  <si>
    <t>Výpočtový moment HD+HS:</t>
  </si>
  <si>
    <t>Moment kalkulacji HD+HS:</t>
  </si>
  <si>
    <t>Mértékadó nyomaték HD+HS:</t>
  </si>
  <si>
    <t>Menovitý krútiaci moment HD+HS:</t>
  </si>
  <si>
    <t>Meetmoment HD+HS:</t>
  </si>
  <si>
    <t>Nazivni navor HD+HS:</t>
  </si>
  <si>
    <t>Mätmoment HD+HS:</t>
  </si>
  <si>
    <t>Beregningsmoment HD+HS:</t>
  </si>
  <si>
    <t>Kalibreringsmoment HD+HS:</t>
  </si>
  <si>
    <t>Projektirani moment HD+HS:</t>
  </si>
  <si>
    <t>Bemessungsmoment HS:</t>
  </si>
  <si>
    <t>Rated torque HS:</t>
  </si>
  <si>
    <t>Moment de calcul HS :</t>
  </si>
  <si>
    <t>Coppia nominale HS:</t>
  </si>
  <si>
    <t>Výpočtový moment HS:</t>
  </si>
  <si>
    <t>Moment kalkulacji HS:</t>
  </si>
  <si>
    <t>Mértékadó nyomaték HS:</t>
  </si>
  <si>
    <t>Menovitý krútiaci moment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</si>
  <si>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</si>
  <si>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</si>
  <si>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</si>
  <si>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</si>
  <si>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</si>
  <si>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</si>
  <si>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</si>
  <si>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</si>
  <si>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</si>
  <si>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Coppia nominale detriti:</t>
  </si>
  <si>
    <t>Výpočtový moment plovoucí předmět:</t>
  </si>
  <si>
    <t>Moment kalkulacji, materiał naniesiony:</t>
  </si>
  <si>
    <t>Mértékadó nyomaték uszadék:</t>
  </si>
  <si>
    <t>Menovitý krútiaci moment plávajúceho predmetu:</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</si>
  <si>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</si>
  <si>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</si>
  <si>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</si>
  <si>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</si>
  <si>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</si>
  <si>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</si>
  <si>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</si>
  <si>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</si>
  <si>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</si>
  <si>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Coppia nominale:</t>
  </si>
  <si>
    <t>Výpočtový moment:</t>
  </si>
  <si>
    <t>Moment kalkulacji:</t>
  </si>
  <si>
    <t>Mértékadó nyomaték:</t>
  </si>
  <si>
    <t>Menovitý krútiaci moment:</t>
  </si>
  <si>
    <t>Meetmoment:</t>
  </si>
  <si>
    <t>Nazivni navor:</t>
  </si>
  <si>
    <t>Mätmoment:</t>
  </si>
  <si>
    <t>Beregningsmoment:</t>
  </si>
  <si>
    <t>Kalibreringsmoment:</t>
  </si>
  <si>
    <t>Projektirani moment:</t>
  </si>
  <si>
    <t>Berechnung U-Profilhöhe bei Montage in Leibung zum Einfädeln</t>
  </si>
  <si>
    <t>Calcul du profil U-pour le montage en embrasure, vide lumière</t>
  </si>
  <si>
    <t>Calcolo dell'altezza dei profili a U per l'inserimento</t>
  </si>
  <si>
    <t>Určení výšky U-Profilu pro umožnění zasunutí hrázního bloku při montáži "zapuštěné do ostění"</t>
  </si>
  <si>
    <t>Obliczenie wysokości profilu U do montażu w otworze w celu gwintowania</t>
  </si>
  <si>
    <t xml:space="preserve">U-profilok magasságának számítása nyílásban történő beépítésnél, a gerendák behelyezhetőségének ellenőrzéséhez. </t>
  </si>
  <si>
    <t>Výpočet výšky U-profilu pri montáži na vloženie do ostenia</t>
  </si>
  <si>
    <t>Beräkning U-profilhöjd vid diagonal inpassning av dämmbalk</t>
  </si>
  <si>
    <t>beschichtet</t>
  </si>
  <si>
    <t>Coated</t>
  </si>
  <si>
    <t>Thermolaqué</t>
  </si>
  <si>
    <t>verniciato</t>
  </si>
  <si>
    <t>lakovaný</t>
  </si>
  <si>
    <t>powlekany</t>
  </si>
  <si>
    <t>Bevonatos</t>
  </si>
  <si>
    <t>S povrchovou úpravou</t>
  </si>
  <si>
    <t>Gecoat</t>
  </si>
  <si>
    <t>prevlečeno</t>
  </si>
  <si>
    <t>Belagd</t>
  </si>
  <si>
    <t>Beklædt</t>
  </si>
  <si>
    <t>Med belegg</t>
  </si>
  <si>
    <t>plastificirano</t>
  </si>
  <si>
    <t>Beschichtung</t>
  </si>
  <si>
    <t>Coating</t>
  </si>
  <si>
    <t>Thermolaquage:</t>
  </si>
  <si>
    <t>verniciatura</t>
  </si>
  <si>
    <t>Lakování</t>
  </si>
  <si>
    <t>powłoka</t>
  </si>
  <si>
    <t xml:space="preserve">Bevonat  </t>
  </si>
  <si>
    <t>Povrchová úprava</t>
  </si>
  <si>
    <t>Prevleka</t>
  </si>
  <si>
    <t>Beläggning</t>
  </si>
  <si>
    <t>Beklædning</t>
  </si>
  <si>
    <t>Belegg</t>
  </si>
  <si>
    <t>Plastifikacija</t>
  </si>
  <si>
    <t>BHW = Bemessungshochwasser</t>
  </si>
  <si>
    <t>BHW = Flood water measurement</t>
  </si>
  <si>
    <t>BHW : hauteur de retenue d’eau</t>
  </si>
  <si>
    <t>BHW = Misura del livello di piena</t>
  </si>
  <si>
    <t>BHW = návrhová výška vzdutí</t>
  </si>
  <si>
    <t>BHW = powódź projektowa </t>
  </si>
  <si>
    <t>MÁSZ = mértékadó árvízszint</t>
  </si>
  <si>
    <t>BHW = menovitá výška hladiny vody</t>
  </si>
  <si>
    <t>BHW = maatgevende hoogwaterstand</t>
  </si>
  <si>
    <t>BHW = visoka voda za dimenzioniranje</t>
  </si>
  <si>
    <t>BHW = Högsta högvattennivå</t>
  </si>
  <si>
    <t>BHW = Design-højvandsstand</t>
  </si>
  <si>
    <t>BHW = flommåling</t>
  </si>
  <si>
    <t>BHW = projektna poplava</t>
  </si>
  <si>
    <t>aluminium naturel</t>
  </si>
  <si>
    <t>alluminio naturale</t>
  </si>
  <si>
    <t>přírodní</t>
  </si>
  <si>
    <t>naturalny</t>
  </si>
  <si>
    <t>Natúr alumínium</t>
  </si>
  <si>
    <t>Prírodný hliník</t>
  </si>
  <si>
    <t>Blank</t>
  </si>
  <si>
    <t>prazno</t>
  </si>
  <si>
    <t>Blank / Blankt</t>
  </si>
  <si>
    <t>prirodni aluminij</t>
  </si>
  <si>
    <t>Bodendichtung 25</t>
  </si>
  <si>
    <t>Ground seal 25</t>
  </si>
  <si>
    <t>joint au sol 25</t>
  </si>
  <si>
    <t>guarnizione a pavimento 25</t>
  </si>
  <si>
    <t>Spodní těsnění 25</t>
  </si>
  <si>
    <t>Uszczelmienie dolne 25</t>
  </si>
  <si>
    <t>Talajtömítés 25</t>
  </si>
  <si>
    <t>Spodné tesnenie 25</t>
  </si>
  <si>
    <t>Bodemafdichting 25</t>
  </si>
  <si>
    <t>Talno tesnilo 25</t>
  </si>
  <si>
    <t>GOLVTÄTNING 25</t>
  </si>
  <si>
    <t>Bundtætning 25</t>
  </si>
  <si>
    <t>Bunntetning 25</t>
  </si>
  <si>
    <t>Brtvljenje prema tlu 25</t>
  </si>
  <si>
    <t>Bodendichtung 50</t>
  </si>
  <si>
    <t>Ground seal 50</t>
  </si>
  <si>
    <t>joint au sol 50</t>
  </si>
  <si>
    <t>guarnizione a pavimento 50</t>
  </si>
  <si>
    <t>Spodní těsnění 50</t>
  </si>
  <si>
    <t>Uszczelmienie dolne 50</t>
  </si>
  <si>
    <t>Talajtömítés 50</t>
  </si>
  <si>
    <t>Spodné tesnenie 50</t>
  </si>
  <si>
    <t>Bodemafdichting 50</t>
  </si>
  <si>
    <t>Talno tesnilo 50</t>
  </si>
  <si>
    <t>GOLVTÄTNING 50</t>
  </si>
  <si>
    <t>Bundtætning 50</t>
  </si>
  <si>
    <t>Bunntetning 50</t>
  </si>
  <si>
    <t>Brtvljenje prema tlu 50</t>
  </si>
  <si>
    <t>Bodendichtung 80</t>
  </si>
  <si>
    <t>Ground seal 80</t>
  </si>
  <si>
    <t>joint au sol 80</t>
  </si>
  <si>
    <t>guarnizione a pavimento 80</t>
  </si>
  <si>
    <t>Spodní těsnění 80</t>
  </si>
  <si>
    <t>Uszczelmienie dolne 80</t>
  </si>
  <si>
    <t>Talajtömítés 80</t>
  </si>
  <si>
    <t>Spodné tesnenie 80</t>
  </si>
  <si>
    <t>Bodemafdichting 80</t>
  </si>
  <si>
    <t>Talno tesnilo 80</t>
  </si>
  <si>
    <t>GOLVTÄTNING 80</t>
  </si>
  <si>
    <t>Bundtætning 80</t>
  </si>
  <si>
    <t>Bunntetning 80</t>
  </si>
  <si>
    <t>Brtvljenje prema tlu 80</t>
  </si>
  <si>
    <t>Bodenhülse</t>
  </si>
  <si>
    <t>Ground sleeve</t>
  </si>
  <si>
    <t>douille de sol</t>
  </si>
  <si>
    <t>piantone</t>
  </si>
  <si>
    <t>Zemní pouzdro</t>
  </si>
  <si>
    <t>Tuleja do mocowania kolumny</t>
  </si>
  <si>
    <t xml:space="preserve">Padlóhüvely  </t>
  </si>
  <si>
    <t>Zemné puzdro</t>
  </si>
  <si>
    <t>Bodemhuls</t>
  </si>
  <si>
    <t>Talna puša</t>
  </si>
  <si>
    <t>Markhylsa</t>
  </si>
  <si>
    <t>Bundmuffe</t>
  </si>
  <si>
    <t>JORDANKER</t>
  </si>
  <si>
    <t>Podna čaška</t>
  </si>
  <si>
    <t>Bodenhülse 50/80 Aluminium beschichtet inkl. Deckel mit Dichtung</t>
  </si>
  <si>
    <t>Ground sleeve 50/80 aluminium-coated incl. cover with seal</t>
  </si>
  <si>
    <t>douille de sol 50/80 ; aluminium prélaqué, fourni avec couvercle et joint</t>
  </si>
  <si>
    <t>piantone 50/80 alluminio verniciato, compreso coperchio con guarnizione</t>
  </si>
  <si>
    <t>Zemní pouzdro 50/80, lakovaný hliník vč. víka s těsněním</t>
  </si>
  <si>
    <t>Tuleja 50/80 do mocowania kolumny, aluminum powlekane z deklem i uszczelnieniem</t>
  </si>
  <si>
    <t xml:space="preserve">Padlóhüvely 50/80 bevonatos alumínium, tömített fedéllel  </t>
  </si>
  <si>
    <t>Zemné puzdro 50/80 hliník s povrchovou úpravou vrát. veka s tesnením</t>
  </si>
  <si>
    <t>Bodemhuls 50/80 aluminium coating incl. deksel met afdichting</t>
  </si>
  <si>
    <t>Talna puša 50/80, prevlečeni aluminij, vključno s pokrovom in tesnilom</t>
  </si>
  <si>
    <r>
      <t>Markhylsa 50/80 aluminiu</t>
    </r>
    <r>
      <rPr>
        <sz val="11"/>
        <rFont val="Arial"/>
        <family val="2"/>
      </rPr>
      <t>m, ytbehandlad</t>
    </r>
    <r>
      <rPr>
        <sz val="11"/>
        <color theme="1"/>
        <rFont val="Arial"/>
        <family val="2"/>
      </rPr>
      <t>, inkl. lock med tätning</t>
    </r>
  </si>
  <si>
    <t>Bundmuffe 50/80 aluminiumbeklædt, inkl. dæksel med tætning</t>
  </si>
  <si>
    <t>JORDANKER 50/80 aluminium med belegg inkl. lokk med tetning</t>
  </si>
  <si>
    <t>Podna čaška 50/80 plastificirani aluminij uklj. poklopac s brtvom</t>
  </si>
  <si>
    <t>Bodenhülse 50/80 Edelstahl beschichtet inkl. Deckel mit Dichtung</t>
  </si>
  <si>
    <t>Ground sleeve 50/80 stainless steel-coated incl. cover with seal</t>
  </si>
  <si>
    <t>douille de sol 50/80 ; acier inoxydable prélaqué, fourni avec couvercle et joint</t>
  </si>
  <si>
    <t>piantone 50/80 acciaio inox verniciato, compreso coperchio con guarnizione</t>
  </si>
  <si>
    <t>Zemní pouzdro 50/80, lakovaný nerez vč. víka s těsněním</t>
  </si>
  <si>
    <t>Tuleja 50/80 do mocowania kolumny, stal nierdzewna powlekana z deklem i uszczelnieniem</t>
  </si>
  <si>
    <t xml:space="preserve">Padlóhüvely 50/80 rozsdamentes acél, tömített fedéllel  </t>
  </si>
  <si>
    <t>Zemné puzdro 50/80 ušľachtilá oceľ s povrchovou úpravou vrát. veka s tesnením</t>
  </si>
  <si>
    <t>Bodemhuls 50/80 rvs coating incl. deksel met afdichting</t>
  </si>
  <si>
    <t>Talna puša 50/80, prevlečeno nerjavno jeklo, vključno s pokrovom in tesnilom</t>
  </si>
  <si>
    <r>
      <t xml:space="preserve">Markhylsa 50/80 rostfritt stål, </t>
    </r>
    <r>
      <rPr>
        <sz val="11"/>
        <rFont val="Arial"/>
        <family val="2"/>
      </rPr>
      <t>ytbehandlad</t>
    </r>
    <r>
      <rPr>
        <sz val="11"/>
        <color theme="1"/>
        <rFont val="Arial"/>
        <family val="2"/>
      </rPr>
      <t>, inkl. lock med tätning</t>
    </r>
  </si>
  <si>
    <t>Bundmuffe 50/80 beklædt med rustfrit stål, inkl. dæksel med tætning</t>
  </si>
  <si>
    <t>JORDANKER 50/80 rustfritt stål med belegg inkl. lokk med tetning</t>
  </si>
  <si>
    <t>Podna čaška 50/80 plastificirani nehrđajući čelik uklj. poklopac s brtvom</t>
  </si>
  <si>
    <t>Bodenhülse 50/80 Vario Aluminium beschichtet inkl. Deckel mit Dichtung</t>
  </si>
  <si>
    <t>Ground sleeve 50/80 Vario aluminium-coated incl. cover with seal</t>
  </si>
  <si>
    <t>douille de sol 50/80 Vario ; aluminium prélaqué, fourni avec couvercle et joint</t>
  </si>
  <si>
    <t>piantone 50/80 Vario alluminio verniciato, compreso coperchio con guarnizione</t>
  </si>
  <si>
    <t>Zemní pouzdro 50/80 Vario, lakovaný hliník vč. víka s těsněním</t>
  </si>
  <si>
    <t>Tuleja 50/80 VARIO do mocowania kolumny, aluminum powlekane z deklem i uszczelnieniem</t>
  </si>
  <si>
    <t xml:space="preserve">Padlóhüvely Vario 50/80 bevonatos alumínium, tömített fedéllel  </t>
  </si>
  <si>
    <t>Zemné puzdro 50/80 Vario, hliník s povrchovou úpravou vrát. veka s tesnením</t>
  </si>
  <si>
    <t>Bodemhuls 50/80 Vario aluminium coating incl. deksel met afdichting</t>
  </si>
  <si>
    <t>Talna puša 50/80, Vario aluminij, vključno s pokrovom in tesnilom</t>
  </si>
  <si>
    <r>
      <t>Markhylsa 50/80 Vario aluminium,</t>
    </r>
    <r>
      <rPr>
        <sz val="11"/>
        <color rgb="FFFFFF00"/>
        <rFont val="Arial"/>
        <family val="2"/>
      </rPr>
      <t xml:space="preserve"> </t>
    </r>
    <r>
      <rPr>
        <sz val="11"/>
        <rFont val="Arial"/>
        <family val="2"/>
      </rPr>
      <t>ytbehandlad</t>
    </r>
    <r>
      <rPr>
        <sz val="11"/>
        <color theme="1"/>
        <rFont val="Arial"/>
        <family val="2"/>
      </rPr>
      <t>, inkl. lock med tätning</t>
    </r>
  </si>
  <si>
    <t>Bundmuffe 50/80 beklædt med Vario aluminium, inkl. dæksel med tætning</t>
  </si>
  <si>
    <t>JORDANKER 50/80 Vario aluminium med belegg inkl. lokk med tetning</t>
  </si>
  <si>
    <t>Podna čaška 50/80 vario plastificirani aluminij uklj. poklopac s brtvom</t>
  </si>
  <si>
    <t>Bodenhülse 50/80 Vario Edelstahl beschichtet inkl. Deckel mit Dichtung</t>
  </si>
  <si>
    <t>Ground sleeve 50/80 Vario stainless steel-coated incl. cover with seal</t>
  </si>
  <si>
    <t>douille de sol 50/80 Vario ; acier inoxydable prélaqué, fourni avec couvercle et joint</t>
  </si>
  <si>
    <t>piantone 50/80 Vario acciaio inox verniciato, compreso coperchio con guarnizione</t>
  </si>
  <si>
    <t>Zemní pouzdro 50/80 Vario, lakovaný nerez vč. víka s těsněním</t>
  </si>
  <si>
    <t>Tuleja 50/80 VARIO do mocowania kolumny, stal nierdzewna powlekana z deklem i uszczelnieniem</t>
  </si>
  <si>
    <t xml:space="preserve">Padlóhüvely Vario 50/80 rozsdamentes acél, tömített fedéllel  </t>
  </si>
  <si>
    <t>Zemné puzdro 50/80 Vario, ušľachtilá oceľ s povrchovou úpravou vrát. veka s tesnením</t>
  </si>
  <si>
    <t>Bodemhuls 50/80 Vario rvs coating incl. deksel met afdichting</t>
  </si>
  <si>
    <t>Talna puša 50/80, Vario nerjavno jeklo, vključno s pokrovom in tesnilom</t>
  </si>
  <si>
    <r>
      <t xml:space="preserve">Markhylsa 50/80 Vario rostfritt stål, </t>
    </r>
    <r>
      <rPr>
        <sz val="11"/>
        <rFont val="Arial"/>
        <family val="2"/>
      </rPr>
      <t>ytbehandlad</t>
    </r>
    <r>
      <rPr>
        <sz val="11"/>
        <color theme="1"/>
        <rFont val="Arial"/>
        <family val="2"/>
      </rPr>
      <t>, inkl. lock med tätning</t>
    </r>
  </si>
  <si>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</si>
  <si>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</si>
  <si>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</si>
  <si>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</si>
  <si>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</si>
  <si>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couvercle de douille de sol</t>
  </si>
  <si>
    <t>coperchio per piantone</t>
  </si>
  <si>
    <t>Víko zemního pouzdra</t>
  </si>
  <si>
    <t>Pokrywa tulei do mocowania kolumny</t>
  </si>
  <si>
    <t>Padlóhüvely-fedél</t>
  </si>
  <si>
    <t>Veko zemného puzdra</t>
  </si>
  <si>
    <t>Bodemhulsdeksel</t>
  </si>
  <si>
    <t>Pokrov za talno pušo</t>
  </si>
  <si>
    <t>Lock till Markhylsa</t>
  </si>
  <si>
    <t>Dæksel til bundmuffe</t>
  </si>
  <si>
    <t>Jordankerlokk</t>
  </si>
  <si>
    <t>Poklopac podne čaške</t>
  </si>
  <si>
    <t>Bündig</t>
  </si>
  <si>
    <t>Flush</t>
  </si>
  <si>
    <t>intégré dans l’embrasure</t>
  </si>
  <si>
    <t>a filo</t>
  </si>
  <si>
    <t>Zapuštěný v ostění</t>
  </si>
  <si>
    <t>zwięzły</t>
  </si>
  <si>
    <t>Falsíkba süllyesztett</t>
  </si>
  <si>
    <t>Zapustené</t>
  </si>
  <si>
    <t>Geïntegreerd</t>
  </si>
  <si>
    <r>
      <rPr>
        <sz val="11"/>
        <rFont val="Arial"/>
        <family val="2"/>
      </rPr>
      <t>Zvezno</t>
    </r>
  </si>
  <si>
    <t>Slät</t>
  </si>
  <si>
    <t>På niveau</t>
  </si>
  <si>
    <t>I flukt</t>
  </si>
  <si>
    <t>U ravnini</t>
  </si>
  <si>
    <t>Dammbalken</t>
  </si>
  <si>
    <t>barrier panel</t>
  </si>
  <si>
    <t>batardeau</t>
  </si>
  <si>
    <t>sponda</t>
  </si>
  <si>
    <t>Hrázní blok</t>
  </si>
  <si>
    <t>Belka zapory</t>
  </si>
  <si>
    <t>Gátgerenda</t>
  </si>
  <si>
    <t>Hradidlo</t>
  </si>
  <si>
    <t>Dambalk</t>
  </si>
  <si>
    <r>
      <rPr>
        <sz val="11"/>
        <rFont val="Arial"/>
        <family val="2"/>
      </rPr>
      <t>Zajezitvene lamele</t>
    </r>
  </si>
  <si>
    <t>DÄMMBALK</t>
  </si>
  <si>
    <t>Dæmningsbjælker</t>
  </si>
  <si>
    <t>Bjelkestengsler / FLOMSIKRINGSELEMENT</t>
  </si>
  <si>
    <t>Daska brane</t>
  </si>
  <si>
    <t>Dammbalken 25/200 exkl. Dichtung, gesägt und entgratet</t>
  </si>
  <si>
    <t>barrier panel 25/200 excl. seal, cut to size and deburred</t>
  </si>
  <si>
    <t>batardeau 25/200, fourni sans joint, scié et ébavuré</t>
  </si>
  <si>
    <t>sponda 25/200 esclusa guarnizione, segato e sbavato</t>
  </si>
  <si>
    <t>Hrázní blok 25/200, bez těsnění, řezaný na délku, bez otřepů</t>
  </si>
  <si>
    <t>Belka zapory 25/200, bez uszczelnienia, docięta i okrawana</t>
  </si>
  <si>
    <t>Gátgerenda 25/200 tömítés nélkül, méretre vágva, sorjázva</t>
  </si>
  <si>
    <t>Hradidlo 25/200 bez tesnenia, pílené a odhrotované</t>
  </si>
  <si>
    <t>Dambalk 25/200 excl. afdichting, gezaagd en afgebraamd</t>
  </si>
  <si>
    <t>Zajezitvena lamela 25/200, brez tesnila, odrezana, s posnetimi robovi</t>
  </si>
  <si>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</si>
  <si>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</si>
  <si>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</si>
  <si>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</si>
  <si>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</si>
  <si>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barrier panel 50/150 excl. seal, cut to size and deburred</t>
  </si>
  <si>
    <t>batardeau 50/150, fourni sans joint, scié et ébavuré</t>
  </si>
  <si>
    <t>sponda 50/150 esclusa guarnizione, segato e sbavato</t>
  </si>
  <si>
    <t>Hrázní blok 50/150, bez těsnění, řezaný na délku, bez otřepů</t>
  </si>
  <si>
    <t>Belka zapory 50/150, bez uszczelnienia, docięta i okrawana</t>
  </si>
  <si>
    <t>Gátgerenda 50/150 tömítés nélkül, méretre vágva, sorjázva</t>
  </si>
  <si>
    <t>Hradidlo 50/150 bez tesnenia, pílené a odhrotované</t>
  </si>
  <si>
    <t>Dambalk 50/150 excl. afdichting, gezaagd en afgebraamd</t>
  </si>
  <si>
    <t>Zajezitvena lamela 50/150, brez tesnila, odrezana, s posnetimi robovi</t>
  </si>
  <si>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</si>
  <si>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</si>
  <si>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</si>
  <si>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</si>
  <si>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</si>
  <si>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barrier panel 50/200 excl. seal, cut to size and deburred</t>
  </si>
  <si>
    <t>batardeau 50/200, fourni sans joint, scié et ébavuré</t>
  </si>
  <si>
    <t>sponda 50/200 esclusa guarnizione, segato e sbavato</t>
  </si>
  <si>
    <t>Hrázní blok 50/200, bez těsnění, řezaný na délku, bez otřepů</t>
  </si>
  <si>
    <t>Belka zapory 50/200, bez uszczelnienia, docięta i okrawana</t>
  </si>
  <si>
    <t>Gátgerenda 50/200 tömítés nélkül, méretre vágva, sorjázva</t>
  </si>
  <si>
    <t>Hradidlo 50/200 bez tesnenia, pílené a odhrotované</t>
  </si>
  <si>
    <t>Dambalk 50/200 excl. afdichting, gezaagd en afgebraamd</t>
  </si>
  <si>
    <t>Zajezitvena lamela 50/200, brez tesnila, odrezana, s posnetimi robovi</t>
  </si>
  <si>
    <r>
      <t>DÄMMBALK 50/200 exkl. tätning,</t>
    </r>
    <r>
      <rPr>
        <sz val="11"/>
        <rFont val="Arial"/>
        <family val="2"/>
      </rPr>
      <t xml:space="preserve"> kapad &amp; avgradad</t>
    </r>
  </si>
  <si>
    <t>Dæmningsbjælker 50/200 ekskl. tætning, savet og afgratet</t>
  </si>
  <si>
    <t>FLOMSIKRINGSELEMENT 50/200 ekskl. tetning, saget og avgradet</t>
  </si>
  <si>
    <t>Daska brane 50/200 bez brtve, piljena i s obrađenim rubovima</t>
  </si>
  <si>
    <t>Dammbalken 80/200 exkl. Dichtung, gesägt und entgratet</t>
  </si>
  <si>
    <t>barrier panel 80/200 excl. seal, cut to size and deburred</t>
  </si>
  <si>
    <t>batardeau 80/200, fourni sans joint, scié et ébavuré</t>
  </si>
  <si>
    <t>sponda 80/200 esclusa guarnizione, segato e sbavato</t>
  </si>
  <si>
    <t>Hrázní blok 80/200, bez těsnění, řezaný na délku, bez otřepů</t>
  </si>
  <si>
    <t>Belka zapory 80/200, bez uszczelnienia, docięta i okrawana</t>
  </si>
  <si>
    <t>Gátgerenda 80/200 tömítés nélkül, méretre vágva, sorjázva</t>
  </si>
  <si>
    <t>Hradidlo 80/200 bez tesnenia, pílené a odhrotované</t>
  </si>
  <si>
    <t>Dambalk 80/200 excl. afdichting, gezaagd en afgebraamd</t>
  </si>
  <si>
    <t>Zajezitvena lamela 80/200, brez tesnila, odrezana, s posnetimi robovi</t>
  </si>
  <si>
    <r>
      <t>DÄMMBALK 80/200 exkl. tätning, kapad &amp;</t>
    </r>
    <r>
      <rPr>
        <sz val="11"/>
        <rFont val="Arial"/>
        <family val="2"/>
      </rPr>
      <t xml:space="preserve"> avgradad</t>
    </r>
  </si>
  <si>
    <t>Dæmningsbjælker 80/200 ekskl. tætning, savet og afgratet</t>
  </si>
  <si>
    <t>FLOMSIKRINGSELEMENT 80/200 ekskl. tetning, saget og avgradet</t>
  </si>
  <si>
    <t>Daska brane 80/200 bez brtve, piljena i s obrađenim rubovima</t>
  </si>
  <si>
    <t>Dammbalkendichtung (25)</t>
  </si>
  <si>
    <t>Stop log seal (25)</t>
  </si>
  <si>
    <t>joint de batardeau (25)</t>
  </si>
  <si>
    <t>guarnizione per sponde (25)</t>
  </si>
  <si>
    <t>Těsnění hrázního bloku (25)</t>
  </si>
  <si>
    <t>Uszczelka belki zapory (25)</t>
  </si>
  <si>
    <t>Gátgerenda tömítés (25)</t>
  </si>
  <si>
    <t>Tesnenie hradidla (25)</t>
  </si>
  <si>
    <t>Dambalkafdichting (25)</t>
  </si>
  <si>
    <t>Tesnilo za zajezitveno lamelo (25)</t>
  </si>
  <si>
    <t>Dämmbalkstätning (25)</t>
  </si>
  <si>
    <t>Dæmningsbjælketætning (25)</t>
  </si>
  <si>
    <t>FLOMSIRKINGSELEMENTTETNING (25)</t>
  </si>
  <si>
    <t>Brtvljenje daske brane (25)</t>
  </si>
  <si>
    <t>Dammbalkendichtung (50+80)</t>
  </si>
  <si>
    <t>Stop log seal (50+80)</t>
  </si>
  <si>
    <t>joint de batardeau (50 + 80)</t>
  </si>
  <si>
    <t>guarnizione per sponde (50+80)</t>
  </si>
  <si>
    <t>Těsnění hrázního bloku (50+80)_CZ</t>
  </si>
  <si>
    <t>Uszczelka belki zapory (50+80)</t>
  </si>
  <si>
    <t>Gátgerenda tömítés (50+80)</t>
  </si>
  <si>
    <t>Tesnenie hradidla (50+80)</t>
  </si>
  <si>
    <t>Dambalkafdichting (50+80)</t>
  </si>
  <si>
    <t>Tesnilo za zajezitveno lamelo (50+80)</t>
  </si>
  <si>
    <t>Dämmbalkstätning (50+80)</t>
  </si>
  <si>
    <t>Dæmningsbjælketætning (50 + 80)</t>
  </si>
  <si>
    <t>FLOMSIRKINGSELEMENTTETNING (50+80)</t>
  </si>
  <si>
    <t>Brtvljenje daske brane (50+80)</t>
  </si>
  <si>
    <t>Dammbalkenhaken</t>
  </si>
  <si>
    <t>Crochet pour batardeau</t>
  </si>
  <si>
    <t>Gancio per sponde</t>
  </si>
  <si>
    <t>Hák hrázního bloku</t>
  </si>
  <si>
    <t>Haki belki zapory</t>
  </si>
  <si>
    <t>gátgerenda kampó</t>
  </si>
  <si>
    <t>Hák na hradidlo</t>
  </si>
  <si>
    <t>Dambalkhaak</t>
  </si>
  <si>
    <t>Kavelj za iztisnjen profil</t>
  </si>
  <si>
    <t>DÄMMBALKSKROK</t>
  </si>
  <si>
    <t>Dæmningsbjælkekrog</t>
  </si>
  <si>
    <t>Kroker til flomsikringselement</t>
  </si>
  <si>
    <t>Kuka za dasku brane</t>
  </si>
  <si>
    <t>Dammbalkenlänge:</t>
  </si>
  <si>
    <t>Longueur du batardeau</t>
  </si>
  <si>
    <t>Lunghezza sponde:</t>
  </si>
  <si>
    <t>Délka hrázního bloku:</t>
  </si>
  <si>
    <t>Długość belki zapory:</t>
  </si>
  <si>
    <t>Gátgerenda hosszméret:</t>
  </si>
  <si>
    <t>Dĺžka hradidla:</t>
  </si>
  <si>
    <t>Dambalklengte:</t>
  </si>
  <si>
    <t>Dolžina izstisnjenega profila:</t>
  </si>
  <si>
    <t>DÄMMBALKLÄNDG:</t>
  </si>
  <si>
    <t>Dæmningsbjælkelængde:</t>
  </si>
  <si>
    <t>Lengde på flomsikringselement:</t>
  </si>
  <si>
    <t>Duljina daske brane:</t>
  </si>
  <si>
    <t>darunter auch Beschädigung durch mechanische Einwirkung von Personen oder Gegenständen, ausschlussgebend für eine Haftung seitens Prefa.</t>
  </si>
  <si>
    <t>including damage caused by the mechanical actions of persons or objects.</t>
  </si>
  <si>
    <t>così come danni causati dall'azione meccanica di persone o oggetti, costituiscono una esclusione di responsabilità da parte di PREFA.</t>
  </si>
  <si>
    <t>jakož i poškození mechanickým působením osob nebo předmětů.</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</si>
  <si>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</si>
  <si>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</si>
  <si>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ako aj poškodenia mechanickým pôsobením osôb alebo predmetov nepodliehajú záruke zo strany firmy PREFA.</t>
  </si>
  <si>
    <t>waaronder ook beschadiging als gevolg van mechanische inwerking door personen of voorwerpen.</t>
  </si>
  <si>
    <t>in nestrokovne uporabe gradbenih elementov, med drugim tudi pri poškodbah zaradi mehanskega vpliva oseb in predmetov.</t>
  </si>
  <si>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</si>
  <si>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</si>
  <si>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</si>
  <si>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</si>
  <si>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darunter auch Beschädigung durch mechanische Einwirkung von Personen oder Gegenständen, ausschlussgebend für eine Haftung seitens PREFA.</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</si>
  <si>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</si>
  <si>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</si>
  <si>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</si>
  <si>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</si>
  <si>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Výpočet zohledňuje požadavky na návrh dle návodu Merkblatt BWK/6, vydání prosinec 2005:</t>
  </si>
  <si>
    <t>Narzędzie obliczeniowe uwzględnia wymagania ulotki 6 / BWK, wydanie grudzień 2005:</t>
  </si>
  <si>
    <t>A segédlet által figyelembe vett követelmények: Merkblatt 6/BWK Ausgabe Dezember 2005:</t>
  </si>
  <si>
    <t>Výpočtový nástroj zohľadňuje požiadavky uvedené v návode Merkblatt 6/BWK, vydanie december 2005:</t>
  </si>
  <si>
    <t>De berekeningstool voldoet aan de relevante Duits normen voor hoogwaterbescherming (Merkblatt 6 BWK, editie dec. 2005):</t>
  </si>
  <si>
    <t>Orodje za izračun upošteva zahteve tehničnega lista 6/BWK, izdaja december 2005:</t>
  </si>
  <si>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</si>
  <si>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</si>
  <si>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</si>
  <si>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</si>
  <si>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</si>
  <si>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</si>
  <si>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</si>
  <si>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Lo strumento di calcolo si riferisce esclusivamente ai sistemi PREFA di protezione contro le inondazioni.</t>
  </si>
  <si>
    <t>Výpočtový nástroj se vztahuje výlučně na PREFA protipovodňové systémy.</t>
  </si>
  <si>
    <t>Narzędzie obliczeniowe odnosi się wyłącznie do systemów ochrony przeciwpowodziowej PREFA.</t>
  </si>
  <si>
    <t>A számítási segédlet kizárólag PREFA árvízvédelmi rendszerhez alkalmazható.</t>
  </si>
  <si>
    <t>Výpočtový nástroj sa vzťahuje výlučne na protipovodňové systémy PREFA.</t>
  </si>
  <si>
    <t>De berekeningstool heeft uitsluitend betrekking op PREFA-systemen.</t>
  </si>
  <si>
    <t>Orodje za izračun se nanaša izključno na sisteme protipoplavne zaščite PREFA.</t>
  </si>
  <si>
    <r>
      <t>Beräkningsverktyget är uteslutande avsett för PREFA-</t>
    </r>
    <r>
      <rPr>
        <sz val="11"/>
        <color rgb="FFFFFF00"/>
        <rFont val="Arial"/>
        <family val="2"/>
      </rPr>
      <t xml:space="preserve">. </t>
    </r>
    <r>
      <rPr>
        <sz val="11"/>
        <rFont val="Arial"/>
        <family val="2"/>
      </rPr>
      <t>översvämningsskydd</t>
    </r>
  </si>
  <si>
    <t>Beregningsværktøjet vedrører udelukkende PREFA højvandsbeskyttelsessystemer.</t>
  </si>
  <si>
    <t>Beregningsverktøyet gjelder kun for flombeskyttelsessystemer fra PREFA.</t>
  </si>
  <si>
    <t>Proračunski alat odnosi se isključivo na PREFA sustave za zaštitu od poplave.</t>
  </si>
  <si>
    <t>Das Berechnungstool bezieht sich ausschließlich auf PREFA Hochwasserschutzsysteme.</t>
  </si>
  <si>
    <t>Dateneingabe</t>
  </si>
  <si>
    <t>Data entry</t>
  </si>
  <si>
    <t>Saisie des données</t>
  </si>
  <si>
    <t>inserimento dati</t>
  </si>
  <si>
    <t>Zadání údajů</t>
  </si>
  <si>
    <t>Wprowadzanie danych</t>
  </si>
  <si>
    <t>Adatok megadása</t>
  </si>
  <si>
    <t>Zadanie údajov</t>
  </si>
  <si>
    <t>Gegevensinvoer</t>
  </si>
  <si>
    <t>Vnos podatkov</t>
  </si>
  <si>
    <t>Datainmatning</t>
  </si>
  <si>
    <t>Dataindlæsning</t>
  </si>
  <si>
    <t>Inntasting av data</t>
  </si>
  <si>
    <t>Unos podataka</t>
  </si>
  <si>
    <t>Dauerbodendichtung 25</t>
  </si>
  <si>
    <t>Permanent base seal 50</t>
  </si>
  <si>
    <t>Joint au sol permanent 25</t>
  </si>
  <si>
    <t>guarnizione a pavimento a lunga durata 25</t>
  </si>
  <si>
    <t>Trvalé spodní těsnění 25</t>
  </si>
  <si>
    <t>Stałe uszczelnienie podłogowe 25</t>
  </si>
  <si>
    <t>Bentmaradó talajtömítés 25</t>
  </si>
  <si>
    <t>Trvalo pružné spodné tesnenie 25</t>
  </si>
  <si>
    <t>Duurzame Bodemafdichting 25</t>
  </si>
  <si>
    <t>Trajno talno tesnilo 25</t>
  </si>
  <si>
    <t>PERMANENTGOLVTÄTNING 25</t>
  </si>
  <si>
    <t>Permanent bundtætning 25</t>
  </si>
  <si>
    <t>Permanent bunntetning 25</t>
  </si>
  <si>
    <t>Trajno brtvljenje prema tlu 25</t>
  </si>
  <si>
    <t>Dauerbodendichtung 50</t>
  </si>
  <si>
    <t>Joint au sol permanent 50</t>
  </si>
  <si>
    <t>guarnizione a pavimento a lunga durata 50</t>
  </si>
  <si>
    <t>Trvalé spodní těsnění 50</t>
  </si>
  <si>
    <t>Stałe uszczelnienie podłogowe 50</t>
  </si>
  <si>
    <t>Bentmaradó talajtömítés 50</t>
  </si>
  <si>
    <t>Trvalo pružné spodné tesnenie 50</t>
  </si>
  <si>
    <t>Duurzame Bodemafdichting 50</t>
  </si>
  <si>
    <r>
      <rPr>
        <sz val="11"/>
        <rFont val="Arial"/>
        <family val="2"/>
      </rPr>
      <t>Trajno talno tesnilo 50</t>
    </r>
  </si>
  <si>
    <t>PERMANENTGOLVTÄTNING 50</t>
  </si>
  <si>
    <t>Permanent bundtætning 50</t>
  </si>
  <si>
    <t>Permanent bunntetning 50</t>
  </si>
  <si>
    <t>Trajno brtvljenje prema tlu 50</t>
  </si>
  <si>
    <t>Dauerbodendichtung 80</t>
  </si>
  <si>
    <t>Permanent base seal 80</t>
  </si>
  <si>
    <t>Joint au sol permanent 80</t>
  </si>
  <si>
    <t>guarnizione a pavimento a lunga durata 80</t>
  </si>
  <si>
    <t>Trvalé spodní těsnění 80</t>
  </si>
  <si>
    <t>Stałe uszczelnienie podłogowe 80</t>
  </si>
  <si>
    <t>Bentmaradó talajtömítés 80</t>
  </si>
  <si>
    <t>Trvalo pružné spodné tesnenie 80</t>
  </si>
  <si>
    <t>Duurzame Bodemafdichting 80</t>
  </si>
  <si>
    <r>
      <rPr>
        <sz val="11"/>
        <rFont val="Arial"/>
        <family val="2"/>
      </rPr>
      <t>Trajno talno tesnilo 80</t>
    </r>
  </si>
  <si>
    <t>PERMANENTGOLVTÄTNING 80</t>
  </si>
  <si>
    <t>Permanent bundtætning 80</t>
  </si>
  <si>
    <t>Permanent bunntetning 80</t>
  </si>
  <si>
    <t>Trajno brtvljenje prema tlu 80</t>
  </si>
  <si>
    <t>Dauerbodendichtung:</t>
  </si>
  <si>
    <t>Permanent base seal:</t>
  </si>
  <si>
    <t>Joint au sol permanent</t>
  </si>
  <si>
    <t>guarnizione a pavimento a lunga durata:</t>
  </si>
  <si>
    <t>Trvalé spodní těsnění:</t>
  </si>
  <si>
    <t>Stałe uszczelnienie podłogowe:</t>
  </si>
  <si>
    <t>Bentmaradó talajtömítés:</t>
  </si>
  <si>
    <t>Trvalo pružné spodné tesnenie:</t>
  </si>
  <si>
    <t>Duurzame Bodemafdichting:</t>
  </si>
  <si>
    <r>
      <rPr>
        <sz val="11"/>
        <rFont val="Arial"/>
        <family val="2"/>
      </rPr>
      <t>Trajno talno tesnilo:</t>
    </r>
  </si>
  <si>
    <t>PERMANENTGOLVTÄTNING:</t>
  </si>
  <si>
    <t>Permanent bundtætning:</t>
  </si>
  <si>
    <t>Permanent bunntetning:</t>
  </si>
  <si>
    <t>Trajno brtvljenje prema tlu:</t>
  </si>
  <si>
    <t>Definition Feld Innenlichte:</t>
  </si>
  <si>
    <t>Definition of field interior lights:</t>
  </si>
  <si>
    <t>Définition de l’entraxe (espacement) entre les travées :</t>
  </si>
  <si>
    <t>definizione campo luce netta:</t>
  </si>
  <si>
    <t>Definice vnitřní světlosti pole:</t>
  </si>
  <si>
    <t>Definicja pola w świetle:</t>
  </si>
  <si>
    <t>Mező fesztávolsága:</t>
  </si>
  <si>
    <t>Definícia poľa svetlej šírky:</t>
  </si>
  <si>
    <t>Definitie veld dagmaat:</t>
  </si>
  <si>
    <t>Določitev polja notranje odprtine:</t>
  </si>
  <si>
    <t>Definition av fält inre öppning:</t>
  </si>
  <si>
    <t>Definition af felt for indvendigt lys:</t>
  </si>
  <si>
    <t>Definisjonsfelt taklys:</t>
  </si>
  <si>
    <t>Definicija polja unutrašnje širine:</t>
  </si>
  <si>
    <t>Dichte Wasser inkl. Geschiebe:</t>
  </si>
  <si>
    <t>Density of water incl. bed load:</t>
  </si>
  <si>
    <t>Masse volumique de l’eau (avec matériaux de charriage) :</t>
  </si>
  <si>
    <t>Densità dell'acqua incl. sedimenti:</t>
  </si>
  <si>
    <t>hustota vody vč. příměsí</t>
  </si>
  <si>
    <t>Gęsta woda z materiałem gleby:</t>
  </si>
  <si>
    <t>Víz fajsúlya hordalékkal::</t>
  </si>
  <si>
    <t>Hustota vody vrát. prímesí:</t>
  </si>
  <si>
    <t>Dichtheid water incl. meegevoerd materiaal:</t>
  </si>
  <si>
    <t>Gostota vode, vključno s prodnim nanosom:</t>
  </si>
  <si>
    <t>Vattendensitet inkl. slam:</t>
  </si>
  <si>
    <t>Vandtæthed, inkl. sediment:</t>
  </si>
  <si>
    <t>Tetthet for vann inkl. rullestein:</t>
  </si>
  <si>
    <t>Gustoća vode uklj. nanose:</t>
  </si>
  <si>
    <r>
      <t>Dichte Wasser inkl. Geschiebe:  r</t>
    </r>
    <r>
      <rPr>
        <vertAlign val="subscript"/>
        <sz val="11"/>
        <rFont val="Arial"/>
        <family val="2"/>
      </rPr>
      <t>w</t>
    </r>
  </si>
  <si>
    <r>
      <t>Dense water incl. debris:  r</t>
    </r>
    <r>
      <rPr>
        <vertAlign val="subscript"/>
        <sz val="11"/>
        <color rgb="FF000000"/>
        <rFont val="Arial"/>
        <family val="2"/>
      </rPr>
      <t>w</t>
    </r>
  </si>
  <si>
    <t>Masse volumique de l’eau (avec matériaux de charriage) : rw</t>
  </si>
  <si>
    <t>Densità dell'acqua incl. sedimenti  rw</t>
  </si>
  <si>
    <t>hustota vody vč. příměsí:  rw</t>
  </si>
  <si>
    <t>Gęstość wody włącznie z transportowanym materiałem:  rw</t>
  </si>
  <si>
    <t>Víz sűrűsége hordalékkal:  rw</t>
  </si>
  <si>
    <r>
      <t>Hustota vody vrát. prímesí:  r</t>
    </r>
    <r>
      <rPr>
        <vertAlign val="subscript"/>
        <sz val="11"/>
        <color rgb="FF000000"/>
        <rFont val="Arial"/>
        <family val="2"/>
      </rPr>
      <t>w</t>
    </r>
  </si>
  <si>
    <t>Dichtheid water incl. meegevoerd materiaal:  rw</t>
  </si>
  <si>
    <r>
      <rPr>
        <sz val="11"/>
        <rFont val="Arial"/>
        <family val="2"/>
      </rPr>
      <t>Gostota vode, vključno s prodnim nanosom: r</t>
    </r>
    <r>
      <rPr>
        <vertAlign val="subscript"/>
        <sz val="11"/>
        <rFont val="Arial"/>
        <family val="2"/>
      </rPr>
      <t>w</t>
    </r>
  </si>
  <si>
    <r>
      <t>Vattendensitet inkl. slam:  r</t>
    </r>
    <r>
      <rPr>
        <vertAlign val="subscript"/>
        <sz val="11"/>
        <color rgb="FF000000"/>
        <rFont val="Arial"/>
        <family val="2"/>
      </rPr>
      <t>w</t>
    </r>
  </si>
  <si>
    <r>
      <t>Vandtæthed, inkl. sediment:  r</t>
    </r>
    <r>
      <rPr>
        <vertAlign val="subscript"/>
        <sz val="11"/>
        <color rgb="FF000000"/>
        <rFont val="Arial"/>
        <family val="2"/>
      </rPr>
      <t>w</t>
    </r>
  </si>
  <si>
    <r>
      <t>Tetthet for vann inkl. rullestein:  r</t>
    </r>
    <r>
      <rPr>
        <vertAlign val="subscript"/>
        <sz val="11"/>
        <color rgb="FF000000"/>
        <rFont val="Arial"/>
        <family val="2"/>
      </rPr>
      <t>w</t>
    </r>
  </si>
  <si>
    <r>
      <t>Gustoća vode uklj. nanose:  r</t>
    </r>
    <r>
      <rPr>
        <vertAlign val="subscript"/>
        <sz val="11"/>
        <color rgb="FF000000"/>
        <rFont val="Arial"/>
        <family val="2"/>
      </rPr>
      <t>w</t>
    </r>
  </si>
  <si>
    <t>Dichtung für Deckel und Bodenhülse gross DM 230 mm</t>
  </si>
  <si>
    <t>Seal for cover and ground sleeve, large Ø 230 mm</t>
  </si>
  <si>
    <t>joint pour couvercle et grande douille de sol (diamètre : 230 mm)</t>
  </si>
  <si>
    <t>guarnizione per coperchio e piantone grande D230 mm</t>
  </si>
  <si>
    <t>Těsnění pro víko a zemní pouzdro velké Ø 230mm</t>
  </si>
  <si>
    <t>Uszczelka do pokrywy i tulei duża DM 230 mm</t>
  </si>
  <si>
    <t>Tömítés padlóhüvely-fedélhez nagy ø DM 230 mm</t>
  </si>
  <si>
    <t>Tesnenie pre veko a zemné puzdro veľké, priemer 230 mm</t>
  </si>
  <si>
    <t>Afdichting voor deksel en bodemhuls groot diam. 230 mm</t>
  </si>
  <si>
    <r>
      <rPr>
        <sz val="11"/>
        <rFont val="Arial"/>
        <family val="2"/>
      </rPr>
      <t>Tesnilo za pokrov in talno pušo, veliko, premer 230 mm</t>
    </r>
  </si>
  <si>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</si>
  <si>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</si>
  <si>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</si>
  <si>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</si>
  <si>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</si>
  <si>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</si>
  <si>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joint pour couvercle et petite douille de sol (diamètre : 170 mm)</t>
  </si>
  <si>
    <t>guarnizione per coperchio e piantone piccolo D170 mm</t>
  </si>
  <si>
    <t>Těsnění pro víko a zemní pouzdro malé Ø 170mm</t>
  </si>
  <si>
    <t>Uszczelka do pokrywy i tulei mała DM 170 mm</t>
  </si>
  <si>
    <t>Tömítés padlóhüvely-fedélhez kicsi ø DM 170 mm</t>
  </si>
  <si>
    <t>Tesnenie pre veko a zemné puzdro malé, priemer 170 mm</t>
  </si>
  <si>
    <t>Afdichting voor deksel en bodemhuls klein diam. 170 mm</t>
  </si>
  <si>
    <r>
      <rPr>
        <sz val="11"/>
        <rFont val="Arial"/>
        <family val="2"/>
      </rPr>
      <t>Tesnilo za pokrov in talno pušo, majhno, premer 170 mm</t>
    </r>
  </si>
  <si>
    <t>Tätning för lock och markhylsa, liten Ø 170 mm</t>
  </si>
  <si>
    <t>Tætning til dæksel og bundmuffe lille Ø 170 mm</t>
  </si>
  <si>
    <t>Tetning for lokk og jordanker liten Ø 170 mm</t>
  </si>
  <si>
    <t>Brtva za poklopac i podnu čašku mala promj. 170 mm</t>
  </si>
  <si>
    <t>Dichtungsroller 25/50</t>
  </si>
  <si>
    <t>Pressure roller 25/50</t>
  </si>
  <si>
    <t>rouleau de pression 25/50</t>
  </si>
  <si>
    <t>Rullo di pressione 25/50</t>
  </si>
  <si>
    <t>Pomůcka pro zatlačování izolace 25/50</t>
  </si>
  <si>
    <t>Rolka uszczelniająca 25/50</t>
  </si>
  <si>
    <t>tömítő görgő 25/50</t>
  </si>
  <si>
    <t>tesniaci valček 25/50</t>
  </si>
  <si>
    <t>Pakkingrol 25/50</t>
  </si>
  <si>
    <t>Valjček za tesnilo 25/50</t>
  </si>
  <si>
    <t>tätningsvals 25/50</t>
  </si>
  <si>
    <t>Tætningsvalse 25/50</t>
  </si>
  <si>
    <t>Tetningsrulle 25/50</t>
  </si>
  <si>
    <t>Brtveni valjak 25/50</t>
  </si>
  <si>
    <t>Dichtungsroller 80</t>
  </si>
  <si>
    <t>Pressure roller 80</t>
  </si>
  <si>
    <t>rouleau de pression 80</t>
  </si>
  <si>
    <t>Rullo di pressione 80</t>
  </si>
  <si>
    <t>Pomůcka pro zatlačování izolace 80</t>
  </si>
  <si>
    <t>Rolka uszczelniająca 80</t>
  </si>
  <si>
    <t>tömítő görgő 80</t>
  </si>
  <si>
    <t>tesniaci valček 80</t>
  </si>
  <si>
    <t>Pakkingrol 80</t>
  </si>
  <si>
    <t>Valjček za tesnilo 80</t>
  </si>
  <si>
    <t>tätningsvals 80</t>
  </si>
  <si>
    <t>Tætningsvalse 80</t>
  </si>
  <si>
    <t>Tetningsrulle 80</t>
  </si>
  <si>
    <t>Brtveni valjak 80</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</si>
  <si>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</si>
  <si>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</si>
  <si>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</si>
  <si>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I risultati del calcolo non sono applicabili ad altri prodotti.</t>
  </si>
  <si>
    <t>Výsledky výpočtu nelze použít pro jiné produkty nebo aplikace.</t>
  </si>
  <si>
    <t>Wyniki obliczeń nie mają zastosowania do innych produktów lub zastosowań. </t>
  </si>
  <si>
    <t>A számítási eredmények nem érvényesek más termékre, vagy eltérő felhasználásra.</t>
  </si>
  <si>
    <t>Výsledky výpočtov sa nedajú aplikovať na iné produkty alebo spôsoby použitia.</t>
  </si>
  <si>
    <t>De berekeningsresultaten zijn niet op andere producten of situaties van toepassing.</t>
  </si>
  <si>
    <t>Rezultati izračuna niso uporabni za druge izdelke ali uporabe.</t>
  </si>
  <si>
    <r>
      <t>Beräkningsresultaten kan inte tillämpas på andra produkter eller</t>
    </r>
    <r>
      <rPr>
        <sz val="11"/>
        <color rgb="FFFFFF00"/>
        <rFont val="Arial"/>
        <family val="2"/>
      </rPr>
      <t xml:space="preserve"> </t>
    </r>
    <r>
      <rPr>
        <sz val="11"/>
        <rFont val="Arial"/>
        <family val="2"/>
      </rPr>
      <t>användningsområden.</t>
    </r>
  </si>
  <si>
    <t>Beregningsresultaterne kan ikke overføres til andre produkter eller anvendelser.</t>
  </si>
  <si>
    <t>Beregningsresultatene kan ikke brukes for andre produkter eller andre typer bruk.</t>
  </si>
  <si>
    <t>Rezultati proračuna nisu primjenjivi na druge proizvode ili primjene.</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</si>
  <si>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</si>
  <si>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</si>
  <si>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</si>
  <si>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I risultati del calcolo devono essere utilizzati solo per il sistema di protezione contro le inondazioni relativo ai dati inseriti.</t>
  </si>
  <si>
    <t>Výsledky výpočtu lze použít pouze na protipovodňový systém dle zadaných údajů.</t>
  </si>
  <si>
    <t>Wyniki obliczeń mogą być wykorzystywane tylko dla systemu ochrony przeciwpowodziowej zapisanego przez dane wejściowe.</t>
  </si>
  <si>
    <t>A számítási eredmények kizárólag a beírt adatok alapján számított árvízvédelmi rendszerre érvényesek.</t>
  </si>
  <si>
    <t>Výsledky výpočtov sa majú používať len na protipovodňový systém podľa zadaných údajov.</t>
  </si>
  <si>
    <t>De berekeningsresultaten zijn alleen van toepassing op het specifieke hoogwaterbeschermingssysteem waarvoor de gegevens zijn ingevoerd.</t>
  </si>
  <si>
    <t>Rezultati izračuna so uporabni samo za sistem protipoplavne zaščite, ki ga zajemajo vhodni podatki.</t>
  </si>
  <si>
    <r>
      <t xml:space="preserve">Beräkningsresultaten ska bara användas för det </t>
    </r>
    <r>
      <rPr>
        <sz val="11"/>
        <rFont val="Arial"/>
        <family val="2"/>
      </rPr>
      <t xml:space="preserve">övervämningsskydd </t>
    </r>
    <r>
      <rPr>
        <sz val="11"/>
        <color theme="1"/>
        <rFont val="Arial"/>
        <family val="2"/>
      </rPr>
      <t>som inmatade data hänvisar till.</t>
    </r>
  </si>
  <si>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</si>
  <si>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</si>
  <si>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</si>
  <si>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Die hinterlegten Preise gelten bis Neuauflage der Preisliste vorbehaltlich vorgezogener Preisanpassungen</t>
  </si>
  <si>
    <t>The stated prices are valid until a new price list is issued and are subject to early price adjustments</t>
  </si>
  <si>
    <t>Les prix définis dans ce document sont valables jusqu’à la nouvelle édition de la liste de prix sous réserve d’ajustements de prix anticipés</t>
  </si>
  <si>
    <t>I prezzi inseriti sono validi fino alla prossima revisione del Listino Prezzi o al prossimo aggiornamento prezzi.</t>
  </si>
  <si>
    <t>Uvedené ceny platí do nového ceníku s výhradou dřívějších cenových úprav</t>
  </si>
  <si>
    <t>Zamieszczone w nim ceny obowiązują do czasu opublikowania nowego cennika, z zastrzeżeniem możliwości wcześniejszych korekt cenowych</t>
  </si>
  <si>
    <t>Az elmentett árak az új árlista kiadásáig, de az előzetes árváltoztatás jogát fenntartva érvényesek.</t>
  </si>
  <si>
    <t>Uvedené ceny sú platné do vydania nového cenníka, pričom je vyhradené právo na skoršie zmeny.</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</si>
  <si>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</si>
  <si>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</si>
  <si>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</si>
  <si>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</si>
  <si>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</si>
  <si>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</si>
  <si>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</si>
  <si>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</si>
  <si>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</si>
  <si>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</si>
  <si>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Uživatelem zadané údaje jsou výpočtem automaticky zpracovány. Výpočtový nástroj nemá možnost kontroly správnosti zadaných dat.</t>
  </si>
  <si>
    <t>Dane wprowadzane przez użytkownika są przetwarzane automatycznie przez narzędzie obliczeniowe bez możliwości sprawdzenia ich poprawności.</t>
  </si>
  <si>
    <t>A felhasználó által beírt adatokat a segédlet automatikusan átveszi, azok helyességét nem ellenőrzi.</t>
  </si>
  <si>
    <t>Údaje zadané používateľom automaticky spracuje výpočtový nástroj, ktorý však nemôže skontrolovať ich správnosť.</t>
  </si>
  <si>
    <t>De door de gebruiker ingevoerde gegevens worden door de berekeningstool automatisch verwerkt, zonder dat ze op juistheid kunnen worden gecontroleerd.</t>
  </si>
  <si>
    <t>Orodje za izračun samodejno obdela podatke, ki jih vnese uporabnik, brez preverjanja njihove pravilnosti.</t>
  </si>
  <si>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</si>
  <si>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</si>
  <si>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</si>
  <si>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</si>
  <si>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Durchbiegung</t>
  </si>
  <si>
    <t>Deflection</t>
  </si>
  <si>
    <t>flèche</t>
  </si>
  <si>
    <t>Průhyb</t>
  </si>
  <si>
    <t>Ugięcie</t>
  </si>
  <si>
    <t>Kihajlás</t>
  </si>
  <si>
    <t>Prehyb</t>
  </si>
  <si>
    <t>Doorbuiging</t>
  </si>
  <si>
    <t>Upogibanje</t>
  </si>
  <si>
    <t>Nedböjning</t>
  </si>
  <si>
    <t>Nedbøjning</t>
  </si>
  <si>
    <t>Nedbøyning</t>
  </si>
  <si>
    <t>Progib</t>
  </si>
  <si>
    <t>Durchbiegung HD:</t>
  </si>
  <si>
    <t>Deflection HD:</t>
  </si>
  <si>
    <t>Flèche HD :</t>
  </si>
  <si>
    <t>Průhyb HD:</t>
  </si>
  <si>
    <t>Ugięcie HD:</t>
  </si>
  <si>
    <t>Kihajlás HD:</t>
  </si>
  <si>
    <t>Prehyb HD:</t>
  </si>
  <si>
    <t>Doorbuiging HD:</t>
  </si>
  <si>
    <t>Upogibanje HD:</t>
  </si>
  <si>
    <t>Nedböjning HD:</t>
  </si>
  <si>
    <t>Nedbøjning HD:</t>
  </si>
  <si>
    <t>Nedbøyning HD:</t>
  </si>
  <si>
    <t>Progib HD:</t>
  </si>
  <si>
    <t>Durchbiegung HD+HS:</t>
  </si>
  <si>
    <t>Deflection HD + HS:</t>
  </si>
  <si>
    <t>Flèche HD + HS :</t>
  </si>
  <si>
    <t>Průhyb HD+HS:</t>
  </si>
  <si>
    <t>Ugięcie HD+HS:</t>
  </si>
  <si>
    <t>Kihajlás HD+HS:</t>
  </si>
  <si>
    <t>Prehyb HD+HS:</t>
  </si>
  <si>
    <t>Doorbuiging HD+HS:</t>
  </si>
  <si>
    <t>Upogibanje HD+HS:</t>
  </si>
  <si>
    <t>Nedböjning HD+HS:</t>
  </si>
  <si>
    <t>Nedbøjning HD+HS:</t>
  </si>
  <si>
    <t>Nedbøyning HD+HS:</t>
  </si>
  <si>
    <t>Progib HD+HS:</t>
  </si>
  <si>
    <t>Durchbiegung HS:</t>
  </si>
  <si>
    <t>Deflection HS:</t>
  </si>
  <si>
    <t>Flèche HS :</t>
  </si>
  <si>
    <t>Průhyb HS:</t>
  </si>
  <si>
    <t>Ugięcie HS:</t>
  </si>
  <si>
    <t>Kihajlás HS:</t>
  </si>
  <si>
    <t>Prehyb HS:</t>
  </si>
  <si>
    <t>Doorbuiging HS:</t>
  </si>
  <si>
    <t>Upogibanje HS:</t>
  </si>
  <si>
    <t>Nedböjning HS:</t>
  </si>
  <si>
    <t>Nedbøjning HS:</t>
  </si>
  <si>
    <t>Nedbøyning HS:</t>
  </si>
  <si>
    <t>Progib HS:</t>
  </si>
  <si>
    <t>Durchbiegung:</t>
  </si>
  <si>
    <t>Deflection:</t>
  </si>
  <si>
    <t>Flèche :</t>
  </si>
  <si>
    <t>Průhyb:</t>
  </si>
  <si>
    <t>Ugięcie:</t>
  </si>
  <si>
    <t>Kihajlás:</t>
  </si>
  <si>
    <t>Prehyb:</t>
  </si>
  <si>
    <t>Doorbuiging:</t>
  </si>
  <si>
    <t>Upogibanje:</t>
  </si>
  <si>
    <t>Nedböjning:</t>
  </si>
  <si>
    <t>Nedbøjning:</t>
  </si>
  <si>
    <t>Nedbøyning:</t>
  </si>
  <si>
    <t>Progib:</t>
  </si>
  <si>
    <t>Dynamische Daten:</t>
  </si>
  <si>
    <t>Dynamic data:</t>
  </si>
  <si>
    <t>Données dynamiques :</t>
  </si>
  <si>
    <t>Dati dinamici:</t>
  </si>
  <si>
    <t>Dynamické hodnoty:</t>
  </si>
  <si>
    <t>Dane dynamiczne:</t>
  </si>
  <si>
    <t>Dinamikai adatok:</t>
  </si>
  <si>
    <t>Dynamické údaje:</t>
  </si>
  <si>
    <t>Dynamische gegevens:</t>
  </si>
  <si>
    <t>Dinamični podatki:</t>
  </si>
  <si>
    <t>Dynamiska data:</t>
  </si>
  <si>
    <t>Dynamiske data:</t>
  </si>
  <si>
    <t>Dinamički podaci:</t>
  </si>
  <si>
    <t>E Modul: EAL</t>
  </si>
  <si>
    <t>E module: EAL</t>
  </si>
  <si>
    <t>E modul</t>
  </si>
  <si>
    <t>E modul: EAL</t>
  </si>
  <si>
    <t>Elektrische module: EAL</t>
  </si>
  <si>
    <t>E-modul: EAL</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</si>
  <si>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</si>
  <si>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</si>
  <si>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</si>
  <si>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Allo stesso modo i difetti strutturali, in particolare la non impermeabilità del materiale di costruzione, la forza idrostatica e la manipolazione impropria dei componenti,</t>
  </si>
  <si>
    <t>Rovněž tak vylučující záruku ze strany PREFA jsou stavební závady, především nedostatečně těsné stavební součásti stavebního objektu, hydrostatické působení a neodborná manipulace s komponenty,</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</si>
  <si>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</si>
  <si>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</si>
  <si>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Rovnako aj stavebné nedostatky, predovšetkým nedostatočne tesné súčasti stavebného objektu, hydrostatické pôsobenie a neprimerané zaobchádzanie so stavebnými dielmi,</t>
  </si>
  <si>
    <t>PREFA is evenmin aansprakelijk voor bouwkundige gebreken, in het bijzonder de gebrekkige waterdichtheid van bestaande constructies, de hydrostatische krachtinwerking en ondeskundige omgang met bouwonderdelen,</t>
  </si>
  <si>
    <t>Izključitev odgovornosti PREFA velja tudi v primeru gradbenih pomanjkljivosti, zlasti v primeru neustrezno vodotesne gradbene osnove gradbenega objekta, delovanja hidrostatične sile</t>
  </si>
  <si>
    <r>
      <t>Även strukturella brister, i synnerhet</t>
    </r>
    <r>
      <rPr>
        <sz val="11"/>
        <color rgb="FFFFFF00"/>
        <rFont val="Arial"/>
        <family val="2"/>
      </rPr>
      <t xml:space="preserve"> </t>
    </r>
    <r>
      <rPr>
        <sz val="11"/>
        <rFont val="Arial"/>
        <family val="2"/>
      </rPr>
      <t>byggnadskonstruction</t>
    </r>
    <r>
      <rPr>
        <sz val="11"/>
        <color theme="1"/>
        <rFont val="Arial"/>
        <family val="2"/>
      </rPr>
      <t xml:space="preserve"> som inte är vattentät, hydrostatisk kraft och felaktig hantering av komponenter,</t>
    </r>
  </si>
  <si>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</si>
  <si>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</si>
  <si>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</si>
  <si>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Edelstahl</t>
  </si>
  <si>
    <t>Stainless steel</t>
  </si>
  <si>
    <t>acier inoxydable</t>
  </si>
  <si>
    <t>acciaio inox</t>
  </si>
  <si>
    <t>Nerez</t>
  </si>
  <si>
    <t>Stal nierdzewna</t>
  </si>
  <si>
    <t>Rozsdamentes acél</t>
  </si>
  <si>
    <t>Ušľachtilá oceľ</t>
  </si>
  <si>
    <t>Rvs</t>
  </si>
  <si>
    <t>Nerjavno jeklo</t>
  </si>
  <si>
    <t>Rostfritt stål</t>
  </si>
  <si>
    <t>Rustfrit stål</t>
  </si>
  <si>
    <t>Rustfritt stål</t>
  </si>
  <si>
    <t>Nehrđajući čelik</t>
  </si>
  <si>
    <t>Einverständniserklärung</t>
  </si>
  <si>
    <t>Declaration of consent</t>
  </si>
  <si>
    <t>Déclaration de consentement</t>
  </si>
  <si>
    <t>consenso</t>
  </si>
  <si>
    <t>Prohlášení o souhlasu</t>
  </si>
  <si>
    <t>deklaracja zgody</t>
  </si>
  <si>
    <t>Beleegyező nyilatkozat</t>
  </si>
  <si>
    <t>Vyhlásenie o súhlase</t>
  </si>
  <si>
    <t>Instemmingsverklaring</t>
  </si>
  <si>
    <t>Soglasje</t>
  </si>
  <si>
    <t>Godkännande</t>
  </si>
  <si>
    <t>Samtykkeerklæring</t>
  </si>
  <si>
    <t>Izjava o suglasnosti</t>
  </si>
  <si>
    <t>eMail:</t>
  </si>
  <si>
    <t>Email :</t>
  </si>
  <si>
    <t>E-mailadres:</t>
  </si>
  <si>
    <t>E-naslov:</t>
  </si>
  <si>
    <t>E-postadress:</t>
  </si>
  <si>
    <t>e-post:</t>
  </si>
  <si>
    <t>e-pošta:</t>
  </si>
  <si>
    <t>Endsumme</t>
  </si>
  <si>
    <t>Final total</t>
  </si>
  <si>
    <t>Somme totale</t>
  </si>
  <si>
    <t>totale</t>
  </si>
  <si>
    <t>Celková suma</t>
  </si>
  <si>
    <t>suma końcowa</t>
  </si>
  <si>
    <t>Végösszeg</t>
  </si>
  <si>
    <t>Eindtotaal</t>
  </si>
  <si>
    <t>Končna vsota</t>
  </si>
  <si>
    <t>Slutsumma</t>
  </si>
  <si>
    <t>Slutsum</t>
  </si>
  <si>
    <t>Sluttsum</t>
  </si>
  <si>
    <t>Konačni zbroj</t>
  </si>
  <si>
    <t>Endsumme exkl. MwSt.</t>
  </si>
  <si>
    <t>Total sum ex. Tax</t>
  </si>
  <si>
    <t>Somme total sans TVA</t>
  </si>
  <si>
    <t>Totale IVA esclusa</t>
  </si>
  <si>
    <t>Celková suma bez DPH</t>
  </si>
  <si>
    <t>Suma końcowa bez VAT</t>
  </si>
  <si>
    <t>Végösszeg áfa nélkül</t>
  </si>
  <si>
    <t>koncová suma bez DPH</t>
  </si>
  <si>
    <t>Eindbedrag excl. btw</t>
  </si>
  <si>
    <t>Končni znesek brez DDV</t>
  </si>
  <si>
    <t>Totalt exklusive moms</t>
  </si>
  <si>
    <t>Slutbeløb eks. moms</t>
  </si>
  <si>
    <t>Totalsum ekskl. MVA</t>
  </si>
  <si>
    <t>Ukupno bez PDV-a</t>
  </si>
  <si>
    <t>Endsumme inkl. MwSt.</t>
  </si>
  <si>
    <t>Total sum incl. Tax</t>
  </si>
  <si>
    <t>Somme total avec TVA</t>
  </si>
  <si>
    <t>Totale IVA inclusa</t>
  </si>
  <si>
    <t>Celková suma vč. DPH</t>
  </si>
  <si>
    <t>Suma końcowa z VAT</t>
  </si>
  <si>
    <t>Végösszeg áfával</t>
  </si>
  <si>
    <t>koncová suma s DPH</t>
  </si>
  <si>
    <t>Eindbedrag incl. btw</t>
  </si>
  <si>
    <t>Končni znesek vklj. z DDV</t>
  </si>
  <si>
    <t>Totalt inklusive moms</t>
  </si>
  <si>
    <t>Slutbeløb inkl. moms</t>
  </si>
  <si>
    <t>Totalsum inkl. MVA</t>
  </si>
  <si>
    <t>Ukupno uključujući PDV</t>
  </si>
  <si>
    <t>erf. Profilhöhe f. Spanner:</t>
  </si>
  <si>
    <t>Profile height:</t>
  </si>
  <si>
    <t>Hauteur de profil requise pour les pièces de serrage :</t>
  </si>
  <si>
    <t>altezza del profilo per elemento di bloccaggio:</t>
  </si>
  <si>
    <t>nutná výška pro napínák</t>
  </si>
  <si>
    <t>Wysokość profilu:</t>
  </si>
  <si>
    <t>Profilmagasság:</t>
  </si>
  <si>
    <t>Potrebná Výška profilu pre napinák:</t>
  </si>
  <si>
    <t>Profielhoogte:</t>
  </si>
  <si>
    <t>Višina profila:</t>
  </si>
  <si>
    <t>Profilhöjd:</t>
  </si>
  <si>
    <t>Profilhøjde:</t>
  </si>
  <si>
    <t>Profilhøyde:</t>
  </si>
  <si>
    <t>Visina profila:</t>
  </si>
  <si>
    <t>Ersatzfedersteifigkeit:</t>
  </si>
  <si>
    <t>Rigidity of replacement spring:</t>
  </si>
  <si>
    <t>Résistance à la flexion :</t>
  </si>
  <si>
    <t>Rigidità del ricambio molla</t>
  </si>
  <si>
    <t>Ekvivalentní pružinová tuhost:</t>
  </si>
  <si>
    <t>Sztywność zastępcza:</t>
  </si>
  <si>
    <t>Helyettesítő rugómerevség:</t>
  </si>
  <si>
    <t>Ekvivalent tuhosti pružiny:</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</si>
  <si>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</si>
  <si>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</si>
  <si>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</si>
  <si>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</si>
  <si>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</si>
  <si>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</si>
  <si>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</si>
  <si>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</si>
  <si>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</si>
  <si>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Scambio di carico per detriti impattanti</t>
  </si>
  <si>
    <t>Zatížení od nárazu plov. předmětu:</t>
  </si>
  <si>
    <t>Obciążenie zastępcze w przypadku uderzenia naniesionym materiałem:</t>
  </si>
  <si>
    <t>Uszadékot helyettesítő teher:</t>
  </si>
  <si>
    <t>Ekvivalent záťaže pri náraze plávajúceho predmetu:</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</si>
  <si>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</si>
  <si>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</si>
  <si>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</si>
  <si>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</si>
  <si>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</si>
  <si>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</si>
  <si>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exkl. MwSt.</t>
  </si>
  <si>
    <t>excl. Tax</t>
  </si>
  <si>
    <t>Sans TVA</t>
  </si>
  <si>
    <t>IVA esclusa</t>
  </si>
  <si>
    <t>ÁFA nélkül</t>
  </si>
  <si>
    <t>Fahrtkosten</t>
  </si>
  <si>
    <t>Travel expenses</t>
  </si>
  <si>
    <t>frais de déplacement</t>
  </si>
  <si>
    <t>Spese di viaggio</t>
  </si>
  <si>
    <t>Jízdní náklady</t>
  </si>
  <si>
    <t>Koszty podróży</t>
  </si>
  <si>
    <t>útiköltségek</t>
  </si>
  <si>
    <t>cestovné náklady</t>
  </si>
  <si>
    <t>Reiskosten</t>
  </si>
  <si>
    <t>Potni stroški</t>
  </si>
  <si>
    <t>körkostnader</t>
  </si>
  <si>
    <t>Kørselsomkostninger</t>
  </si>
  <si>
    <t>Kjørekostnader</t>
  </si>
  <si>
    <t>Troškovi vožnje</t>
  </si>
  <si>
    <t>FB = Freibord</t>
  </si>
  <si>
    <t>FB = Free board</t>
  </si>
  <si>
    <t>FB : franc-bord</t>
  </si>
  <si>
    <t>FB = Bordo libero</t>
  </si>
  <si>
    <t>FB = volný bok</t>
  </si>
  <si>
    <t>SZO = szabadoldal</t>
  </si>
  <si>
    <t>FB = voľný diel</t>
  </si>
  <si>
    <t>VB = Vrijboord</t>
  </si>
  <si>
    <t>FB = nadvodje</t>
  </si>
  <si>
    <t>FB = Fribord</t>
  </si>
  <si>
    <t>FB = fribord</t>
  </si>
  <si>
    <t>FB = nadvođe</t>
  </si>
  <si>
    <t>Feld</t>
  </si>
  <si>
    <t>Field</t>
  </si>
  <si>
    <t>Travée</t>
  </si>
  <si>
    <t>Campata nr.</t>
  </si>
  <si>
    <t>Pole</t>
  </si>
  <si>
    <t>Mező</t>
  </si>
  <si>
    <t>Veld</t>
  </si>
  <si>
    <t>Polje</t>
  </si>
  <si>
    <t>Fält</t>
  </si>
  <si>
    <t>Felt</t>
  </si>
  <si>
    <t>Feld Nr.</t>
  </si>
  <si>
    <t>Field no</t>
  </si>
  <si>
    <t>Nº de travée</t>
  </si>
  <si>
    <t>Pole nr.</t>
  </si>
  <si>
    <t>Mező ssz.</t>
  </si>
  <si>
    <t>Č. poľa</t>
  </si>
  <si>
    <t>Veldnr.</t>
  </si>
  <si>
    <t>Polje št.</t>
  </si>
  <si>
    <t>Fält, nr</t>
  </si>
  <si>
    <t>Felt nr.</t>
  </si>
  <si>
    <t>Br. polja</t>
  </si>
  <si>
    <t>Fließgeschwindigkeit:</t>
  </si>
  <si>
    <t>Flow speed:</t>
  </si>
  <si>
    <t>Vitesse d’écoulement :</t>
  </si>
  <si>
    <t>Velocità di flusso:</t>
  </si>
  <si>
    <t>rychlost toku:</t>
  </si>
  <si>
    <t>Prędkość przepływu:</t>
  </si>
  <si>
    <t xml:space="preserve">Folyási sebesség:  </t>
  </si>
  <si>
    <t>Rýchlosť toku:</t>
  </si>
  <si>
    <t>Stroomsnelheid:</t>
  </si>
  <si>
    <t>Hitrost pretoka:</t>
  </si>
  <si>
    <t>Flödeshastighet:</t>
  </si>
  <si>
    <t>Strømningshastighed:</t>
  </si>
  <si>
    <t>Strømningshastighet:</t>
  </si>
  <si>
    <t>Brzina toka:</t>
  </si>
  <si>
    <t>Fließgeschwindigkeit: v</t>
  </si>
  <si>
    <t>Flow speed: v</t>
  </si>
  <si>
    <t>Vitesse d’écoulement : v</t>
  </si>
  <si>
    <t>velocità di flusso: v</t>
  </si>
  <si>
    <t>Natężenie przepływu: v</t>
  </si>
  <si>
    <t>Folyási sebesség: v</t>
  </si>
  <si>
    <t>Rýchlosť toku: v</t>
  </si>
  <si>
    <t>Stroomsnelheid: v</t>
  </si>
  <si>
    <t>Hitrost pretoka: v</t>
  </si>
  <si>
    <t>Flödeshastighet: v</t>
  </si>
  <si>
    <t>Strømningshastighed: v</t>
  </si>
  <si>
    <t>Strømningshastighet: v</t>
  </si>
  <si>
    <t>Brzina toka: v</t>
  </si>
  <si>
    <t>Folgende Nachweise werden berechnet bzw berücksichtigt:</t>
  </si>
  <si>
    <t>Proof of the following is calculated or taken into account:</t>
  </si>
  <si>
    <t>Les justificatifs suivants sont calculés ou pris en compte :</t>
  </si>
  <si>
    <t>Le seguenti verifiche sono state calcolate / considerate:</t>
  </si>
  <si>
    <t>Ve výpočtu jsou posuzeny tyto možnosti:</t>
  </si>
  <si>
    <t>Następujące dowody są obliczane lub brane pod uwagę: </t>
  </si>
  <si>
    <t>A következő tényezőket számoljuk ki, illetve vesszük figyelembe:</t>
  </si>
  <si>
    <t>Pri výpočte sa používa, resp. zohľadňuje táto evidencia:</t>
  </si>
  <si>
    <t>De volgende factoren worden meegenomen in de berekeningen:</t>
  </si>
  <si>
    <t>Izračunajo oziroma upoštevajo se naslednji dokazi:</t>
  </si>
  <si>
    <t>Följande underlag beräknas eller tas hänsyn till:</t>
  </si>
  <si>
    <t>Følgende data beregnes eller tages i betragtning:</t>
  </si>
  <si>
    <t>Følgende dokumentasjon beregnes eller tas hensyn til:</t>
  </si>
  <si>
    <t>Izračunavaju se, odnosno uzimaju u obzir sljedeći atesti:</t>
  </si>
  <si>
    <t>Frachtkosten</t>
  </si>
  <si>
    <t>frais de transport</t>
  </si>
  <si>
    <t>Spese di trasporto</t>
  </si>
  <si>
    <t>Náklady na dopravu</t>
  </si>
  <si>
    <t>Koszty transportu</t>
  </si>
  <si>
    <t>szállítási költségek</t>
  </si>
  <si>
    <t>dopravné náklady</t>
  </si>
  <si>
    <t>Vrachtkosten</t>
  </si>
  <si>
    <t>Stroški dostave</t>
  </si>
  <si>
    <t>fraktkostnader</t>
  </si>
  <si>
    <t>Fragtpris</t>
  </si>
  <si>
    <t>Fraktkostnader</t>
  </si>
  <si>
    <t>Vozarina</t>
  </si>
  <si>
    <t>Freibord [mm]:</t>
  </si>
  <si>
    <t>Free board [mm]:</t>
  </si>
  <si>
    <t>Franc-bord [mm] :</t>
  </si>
  <si>
    <t>Bordo libero [mm]:</t>
  </si>
  <si>
    <t>Volný bok [mm]:</t>
  </si>
  <si>
    <t>Wolna burta [mm]:</t>
  </si>
  <si>
    <t>Szabadoldal [mm]:</t>
  </si>
  <si>
    <t>Voľný diel [mm]:</t>
  </si>
  <si>
    <t>Vrijboord [mm]:</t>
  </si>
  <si>
    <t>Nadvodje [mm]:</t>
  </si>
  <si>
    <t>Fribord [mm]:</t>
  </si>
  <si>
    <t>Nadvođe [mm]:</t>
  </si>
  <si>
    <t>Gerade V</t>
  </si>
  <si>
    <t>Straight V</t>
  </si>
  <si>
    <t>droit V</t>
  </si>
  <si>
    <t>dritto V</t>
  </si>
  <si>
    <t>rovný V</t>
  </si>
  <si>
    <t>prosty V</t>
  </si>
  <si>
    <t>Egyenes V</t>
  </si>
  <si>
    <t>Rovný V</t>
  </si>
  <si>
    <t>Recht V</t>
  </si>
  <si>
    <t>ravno V</t>
  </si>
  <si>
    <t>Rak V</t>
  </si>
  <si>
    <t>Lige V</t>
  </si>
  <si>
    <t>Rett V</t>
  </si>
  <si>
    <t>Ravno V</t>
  </si>
  <si>
    <t>Gesamt Länge</t>
  </si>
  <si>
    <t>Total length</t>
  </si>
  <si>
    <t>longueur totale</t>
  </si>
  <si>
    <t>lunghezza totale</t>
  </si>
  <si>
    <t>Celková délka</t>
  </si>
  <si>
    <t>długość całkowita</t>
  </si>
  <si>
    <t>Teljes hossz</t>
  </si>
  <si>
    <t>Celková dĺžka</t>
  </si>
  <si>
    <t>Totale lengte</t>
  </si>
  <si>
    <t>Skupna dolžina</t>
  </si>
  <si>
    <t>Total längd</t>
  </si>
  <si>
    <t>Samlet længde</t>
  </si>
  <si>
    <t>Total lengde</t>
  </si>
  <si>
    <t>Ukupna duljina</t>
  </si>
  <si>
    <t>Grundprofil 50 (H-Profil v.d.L.) exkl. Dichtung, gebohrt und entgratet</t>
  </si>
  <si>
    <t>Base profile 50 (H profile in front of soffit) excl. seal, drilled and deburred</t>
  </si>
  <si>
    <t>profil en applique 50 (profil en h monté en applique), fourni sans joint, percé et ébavuré</t>
  </si>
  <si>
    <t>montante per parete 50 (profilo ad H dav. apert.) esclusa guarnizione, forato e sbavato</t>
  </si>
  <si>
    <t>Základní profil 50 (h-Profil před ostění), bez těsnění, vrtaný, bez otřepů</t>
  </si>
  <si>
    <t>Profil podstawowy 50 (profil H v. d. L. ) bez uszczelnienia, nawiercony i okrawany</t>
  </si>
  <si>
    <t>H-profil 50, tömítés nélkül, furatolva és sorjázva</t>
  </si>
  <si>
    <t>Základný profil 50 (H-profil pred ostením) bez tesnenia, navŕtaný a odhrotovaný</t>
  </si>
  <si>
    <t>Basisprofiel 50 (H-profiel op de dag) excl. afdichting, geboord en afgebraamd</t>
  </si>
  <si>
    <t>Osnovni profil 50 (H-profil pred špaleto) brez tesnila, z izvrtinami in posnetimi robovi</t>
  </si>
  <si>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</si>
  <si>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</si>
  <si>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</si>
  <si>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</si>
  <si>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Grundprofil 50 (H-Profil v.d.L.) Sonderlänge exkl. Dichtung, (Stangenware)</t>
  </si>
  <si>
    <t>Base profile 50 (H profile in front of soffit) Special length excl. seal, drilled and deburred</t>
  </si>
  <si>
    <t>profil en applique 50 (profil en h monté en applique), longueur personnalisée, fourni sans joint, percé et ébavuré</t>
  </si>
  <si>
    <t>montante per parete 50 (profilo ad H dav. apert.) lunghezza fuori standard esclusa guarnizione, forato e sbavato</t>
  </si>
  <si>
    <t>Základní profil 50 (h-Profil před ostění), zvláštní délka, bez těsnění, vrtaný, bez otřepů</t>
  </si>
  <si>
    <t>Profil podstawowy 50 (profil H v. d. L. ), długość specjalna bez uszczelnienia, nawiercony i okrawany</t>
  </si>
  <si>
    <t>H-profil 50, egyedi hosszméret, tömítés nélkül, furatolva és sorjázva</t>
  </si>
  <si>
    <t>Základný profil 50 (H-profil pred ostením), neštandardná dĺžka, bez tesnenia, navŕtaný a odhrotovaný</t>
  </si>
  <si>
    <t>Basisprofiel 50 (H-profiel op de dag) Aangepaste lengte excl. afdichting, geboord en afgebraamd</t>
  </si>
  <si>
    <t>Osnovni profil 50 (H-profil pred špaleto) Posebna dolžina brez tesnila, z izvrtinami in posnetimi robovi</t>
  </si>
  <si>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</si>
  <si>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</si>
  <si>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</si>
  <si>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</si>
  <si>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</si>
  <si>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</si>
  <si>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en applique 50 (profil en h monté en applique), profilés, fourni sans joint, percé et ébavuré</t>
  </si>
  <si>
    <t>montante per parete 50 (profilo ad H dav. apert.) profilati in barre esclusa guarnizione, forato e sbavato</t>
  </si>
  <si>
    <t>Základní profil 50 (h-Profil před ostění), tyčové zboží, bez těsnění, vrtaný, bez otřepů</t>
  </si>
  <si>
    <t>Profil podstawowy 50 (profil H v. d. L. ), długość sztaby bez uszczelnienia, nawiercony i okrawany</t>
  </si>
  <si>
    <t>H-profil 50, szálban, tömítés nélkül, furatolva és sorjázva</t>
  </si>
  <si>
    <t>Základný profil 50 (H-profil pred ostením), tyčový tovar, bez tesnenia, navŕtaný a odhrotovaný</t>
  </si>
  <si>
    <t>Basisprofiel 50 (H-profiel op de dag) Standaardlengte excl. afdichting, geboord en afgebraamd</t>
  </si>
  <si>
    <t>Osnovni profil 50 (H-profil pred špaleto) V palicah, brez tesnila, z izvrtinami in posnetimi robovi</t>
  </si>
  <si>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</si>
  <si>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</si>
  <si>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</si>
  <si>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</si>
  <si>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</si>
  <si>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</si>
  <si>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en applique 80 (profil en h monté en applique), fourni sans joint, percé et ébavuré</t>
  </si>
  <si>
    <t>montante per parete 80 (profilo ad H dav. apert.) esclusa guarnizione, forate e sbavato</t>
  </si>
  <si>
    <t>Základní profil 80 (h-Profil před ostění), bez těsnění, vrtaný, bez otřepů</t>
  </si>
  <si>
    <t>Profil podstawowy 80 (profil H v. d. L. ) bez uszczelnienia, nawiercony i okrawany</t>
  </si>
  <si>
    <t>H-profil 80, tömítés nélkül, furatolva és sorjázva</t>
  </si>
  <si>
    <t>Základný profil 80 (H-profil pred ostením) bez tesnenia, navŕtaný a odhrotovaný</t>
  </si>
  <si>
    <t>Basisprofiel 80 (H-profiel op de dag) excl. afdichting, geboord en afgebraamd</t>
  </si>
  <si>
    <t>Osnovni profil 80 (H-profil pred špaleto) brez tesnila, z izvrtinami in posnetimi robovi</t>
  </si>
  <si>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</si>
  <si>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</si>
  <si>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</si>
  <si>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</si>
  <si>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Grundprofil 80 (H-Profil v.d.L.) Sonderlänge exkl. Dichtung, (Stangenware)</t>
  </si>
  <si>
    <t>Base profile 80 (H profile in front of soffit) Special length excl. seal, drilled and deburred</t>
  </si>
  <si>
    <t>profil en applique 80 (profil en h monté en applique), longueur personnalisée, fourni sans joint, percé et ébavuré</t>
  </si>
  <si>
    <t>montante per parete 80 (profilo ad H dav. apert.) lunghezza fuori standard esclusa guarnizione, forate e sbavato</t>
  </si>
  <si>
    <t>Základní profil 80 (h-Profil před ostění), zvláštní délka, bez těsnění, vrtaný, bez otřepů</t>
  </si>
  <si>
    <t>Profil podstawowy 80 (profil H v. d. L. ), długość specjalna bez uszczelnienia, nawiercony i okrawany</t>
  </si>
  <si>
    <t>H-profil 80, egyedi hosszméret, tömítés nélkül, furatolva és sorjázva</t>
  </si>
  <si>
    <t>Základný profil 80 (H-profil pred ostením), neštandardná dĺžka, bez tesnenia, navŕtaný a odhrotovaný</t>
  </si>
  <si>
    <t>Basisprofiel 80 (H-profiel op de dag) Aangepaste lengte excl. afdichting, geboord en afgebraamd</t>
  </si>
  <si>
    <t>Osnovni profil 80 (H-profil pred špaleto) Posebna dolžina brez tesnila, z izvrtinami in posnetimi robovi</t>
  </si>
  <si>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</si>
  <si>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</si>
  <si>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</si>
  <si>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</si>
  <si>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</si>
  <si>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</si>
  <si>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profil en applique 80 (profil en h monté en applique), profilés, fourni sans joint, percé et ébavuré</t>
  </si>
  <si>
    <t>montante per parete 80 (profilo ad H dav. apert.) profilati in barre esclusa guarnizione, forate e sbavato</t>
  </si>
  <si>
    <t>Základní profil 80 (h-Profil před ostění), tyčové zboží, bez těsnění, vrtaný, bez otřepů</t>
  </si>
  <si>
    <t>Profil podstawowy 80 (profil H v. d. L. ), długość sztaby bez uszczelnienia, nawiercony i okrawany</t>
  </si>
  <si>
    <t>H-profil 80, szálban, tömítés nélkül, furatolva és sorjázva</t>
  </si>
  <si>
    <t>Základný profil 80 (H-profil pred ostením), tyčový tovar, bez tesnenia, navŕtaný a odhrotovaný</t>
  </si>
  <si>
    <t>Basisprofiel 80 (H-profiel op de dag) Standaardlengte excl. afdichting, geboord en afgebraamd</t>
  </si>
  <si>
    <t>Osnovni profil 80 (H-profil pred špaleto) V palicah, brez tesnila, z izvrtinami in posnetimi robovi</t>
  </si>
  <si>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</si>
  <si>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</si>
  <si>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</si>
  <si>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</si>
  <si>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</si>
  <si>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</si>
  <si>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joint de profil en applique</t>
  </si>
  <si>
    <t>guarnizione per montante</t>
  </si>
  <si>
    <t>Těsnění do základního profilu</t>
  </si>
  <si>
    <t>Uszczelka profilu podstawowego</t>
  </si>
  <si>
    <t>H-profil tömítés</t>
  </si>
  <si>
    <t>Tesnenie základného profilu</t>
  </si>
  <si>
    <t>Basisprofielafdichting</t>
  </si>
  <si>
    <t>Tesnilo za osnovni profil</t>
  </si>
  <si>
    <t>Grundprofiltätning</t>
  </si>
  <si>
    <t>Tætning til grundprofil</t>
  </si>
  <si>
    <t>Grunnprofiltetning</t>
  </si>
  <si>
    <t>Brtva osnovnog profila</t>
  </si>
  <si>
    <t>Halterung für Dammbalken</t>
  </si>
  <si>
    <t>Bracket for barrier panels</t>
  </si>
  <si>
    <t>console murale pour batardeaux</t>
  </si>
  <si>
    <t>staffa di stoccaggio per sponde</t>
  </si>
  <si>
    <t>Konzole pro hrázní bloky</t>
  </si>
  <si>
    <t>Uchwyt ścienny do belek</t>
  </si>
  <si>
    <t>gátgerenda kampó elem</t>
  </si>
  <si>
    <t>Konzolový držiak na hradidlá</t>
  </si>
  <si>
    <t>Houder voor Dambalk</t>
  </si>
  <si>
    <r>
      <rPr>
        <sz val="11"/>
        <rFont val="Arial"/>
        <family val="2"/>
      </rPr>
      <t>Držalo za zajezitveno lamelo</t>
    </r>
  </si>
  <si>
    <t>Hållare för DÄMMBALK</t>
  </si>
  <si>
    <t>Holder til dæmningsbjælker</t>
  </si>
  <si>
    <t>Holder for bjelkestengsel</t>
  </si>
  <si>
    <t>Nosač za daske brane</t>
  </si>
  <si>
    <t>Brackets for barrier panels side part</t>
  </si>
  <si>
    <t>support pour partie latérale de batardeau</t>
  </si>
  <si>
    <t>Staffa di stoccaggio per sponde - Parte laterale</t>
  </si>
  <si>
    <t>Konzole pro hrázní bloky, boční díl</t>
  </si>
  <si>
    <t>Wspornik dla części bocznej belki zaporowej</t>
  </si>
  <si>
    <t>tartóelem a gátgerenda oldalsó részéhez</t>
  </si>
  <si>
    <t>držiak pre hradidlo bočný diel</t>
  </si>
  <si>
    <t>Beugel voor zijdeel van de dambalk</t>
  </si>
  <si>
    <t>Nosilci za jezovni tram stranski del</t>
  </si>
  <si>
    <t>fäste för sidopanel stoppstock</t>
  </si>
  <si>
    <t>Holder til dæmningsbjælker sidedel</t>
  </si>
  <si>
    <t>Holder for flomsikringselement, sidedel</t>
  </si>
  <si>
    <t>Držač za bočni dio daske brane</t>
  </si>
  <si>
    <t>Halterungen Dammbalken:</t>
  </si>
  <si>
    <t>Brackets for barrier panels:</t>
  </si>
  <si>
    <t>Consoles murales pour batardeaux :</t>
  </si>
  <si>
    <t>staffe di stoccaggio per sponde:</t>
  </si>
  <si>
    <t>Wspornik belki</t>
  </si>
  <si>
    <t>gátgerenda kampó elem:</t>
  </si>
  <si>
    <t>Konzolové držiaky na hradidlá:</t>
  </si>
  <si>
    <t>Houders voor Dambalk:</t>
  </si>
  <si>
    <r>
      <rPr>
        <sz val="11"/>
        <rFont val="Arial"/>
        <family val="2"/>
      </rPr>
      <t>Držalo za zajezitveno lamelo:</t>
    </r>
  </si>
  <si>
    <t>Hållare DÄMMBALK:</t>
  </si>
  <si>
    <t>Holdere dæmningsbjælker:</t>
  </si>
  <si>
    <t>Holdere bjelkestenglser:</t>
  </si>
  <si>
    <t>Nosači dasaka brane:</t>
  </si>
  <si>
    <t>Hebehilfe</t>
  </si>
  <si>
    <t>Lifting aid</t>
  </si>
  <si>
    <t>levier</t>
  </si>
  <si>
    <t>leva</t>
  </si>
  <si>
    <t>Zvedací pomůcka</t>
  </si>
  <si>
    <t>Podnośnik</t>
  </si>
  <si>
    <t>gemelési segédeszköz</t>
  </si>
  <si>
    <t>Pomôcka na zdvíhanie</t>
  </si>
  <si>
    <t>Hijshulp</t>
  </si>
  <si>
    <r>
      <rPr>
        <sz val="11"/>
        <rFont val="Arial"/>
        <family val="2"/>
      </rPr>
      <t>Pripomoček za dviganje</t>
    </r>
  </si>
  <si>
    <t>Lyfthjälpmedel</t>
  </si>
  <si>
    <t>Løfteassistance</t>
  </si>
  <si>
    <t>Løftehjelp</t>
  </si>
  <si>
    <t>Pomagalo za dizanje</t>
  </si>
  <si>
    <t>Hinweis: Preisgültigkeit 1 Monat; Lieferzeit auf Anfrage; kein Montagematerial enthalten</t>
  </si>
  <si>
    <t>conditions: price validity 1 month, Lead time on request, no fixing material included.</t>
  </si>
  <si>
    <t>Remarque : prix valable 1 mois ; délai de livraison sur demande ; aucun matériel de montage inclus</t>
  </si>
  <si>
    <t>Nota: Validità del prezzo 1 mese; tempi di consegna su richiesta; nessun materiale di montaggio incluso</t>
  </si>
  <si>
    <t>Upozornění: Cenová nabídka platí 1 měsíc; termín dodání na požádání; nabídka nezahrnuje montážní materiál</t>
  </si>
  <si>
    <t>Wskazówka: Cena obowiązuje: 1 miesiąc; termin dostawy: prosimy o zapytanie; nie obejmuje materiałów montażowych</t>
  </si>
  <si>
    <t>Megjegyzés: Az ár érvényessége 1 hónap; szállítási idő kérésre; a szerelési anyagot nem tartalmazza</t>
  </si>
  <si>
    <t>Upozornenie: Platnosť ceny 1 mesiac: Dodacia lehota na požiadanie; nie je zahrnutý žiadny montážny materiál</t>
  </si>
  <si>
    <t>Opmerking: Prijs geldig voor 1 maand; levertijd op aanvraag; geen montagemateriaal inbegrepen</t>
  </si>
  <si>
    <t>Napotek: veljavnost cene je 1 mesec; Čas dostave na zahtevo; material za montažo ni vključen</t>
  </si>
  <si>
    <t>Information: Pris giltighet 1 månad; everanstid på begäran; inget monteringsmaterial ingår</t>
  </si>
  <si>
    <t>Bemærk: Pris gyldighed 1 måned; leveringstid på forespørgsel; intet monteringsmateriale medfølger</t>
  </si>
  <si>
    <t>Merknad: Pris er gyldig i 1 måned, leveringstid får på forespørsel, intet monteringsmateriale medfølger</t>
  </si>
  <si>
    <t>Uputa: Rok važenja cijene 1 mjesec; Vrijeme isporuke na upit; nije uključen materijal za montažu</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</si>
  <si>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</si>
  <si>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</si>
  <si>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Cet outil a été conçu par PREFA pour aider les partenaires, mais ne les dispense pas de l’obligation de vérifier la conformité des résultats au cas par cas.</t>
  </si>
  <si>
    <t xml:space="preserve"> i risultati del calcolo possono essere letti solamente raccomandazioni indicative.</t>
  </si>
  <si>
    <t>protipovodňového systému a možného chybného zadání považovány pouze za nezávazná doporučení.</t>
  </si>
  <si>
    <t>System ochrony przeciwpowodziowej i ewentualne błędne wprowadzenie podstaw obliczeniowych są tylko niewiążącymi zaleceniami.</t>
  </si>
  <si>
    <t xml:space="preserve">és a lehetséges adatbeviteli hibák következtében felelősséget nem vállalunk. </t>
  </si>
  <si>
    <t>protipovodňového systému a na možné chybné zadanie, považovať len za nezáväzné odporúčania.</t>
  </si>
  <si>
    <t>systeem en vanwege eventueel verkeerd ingevoerde gegevens slechts als vrijblijvende aanbeveling.</t>
  </si>
  <si>
    <t>sistema protipoplavne zaščite in možnega napačnega vnosa podatkov za izračun predstavljajo le neobvezujoča priporočila.</t>
  </si>
  <si>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</si>
  <si>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</si>
  <si>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</si>
  <si>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</si>
  <si>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Hydrodynamisch (HD) &amp; Hydrostatisch (HS)</t>
  </si>
  <si>
    <t>Hydrodynamic (HD) &amp; hydrostatic (HS)</t>
  </si>
  <si>
    <t>Hydrodynamique (HD) et hydrostatique (HS)</t>
  </si>
  <si>
    <t>Idrodinamica (HD) &amp; Idrostatica (HS)</t>
  </si>
  <si>
    <t>Hydrodynamický (HD) &amp; Hydrostatický (HS)</t>
  </si>
  <si>
    <t>Hydrodynamiczne (HD) i hydrostatyczne (HS)</t>
  </si>
  <si>
    <t>Hidrodinamikai (HD) &amp; hidrosztatikai (HS)</t>
  </si>
  <si>
    <t>Hydrodynamický (HD) a hydrostatický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</si>
  <si>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</si>
  <si>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</si>
  <si>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</si>
  <si>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</si>
  <si>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</si>
  <si>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</si>
  <si>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 Einwirkung</t>
  </si>
  <si>
    <t>Hydrodynamic effects</t>
  </si>
  <si>
    <t>action hydrodynamique</t>
  </si>
  <si>
    <t>azione idrodinamica</t>
  </si>
  <si>
    <t>hydrodynamické působení</t>
  </si>
  <si>
    <t>Oddziaływanie hydrodynamiczne </t>
  </si>
  <si>
    <t>Hidrodinamikai hatás</t>
  </si>
  <si>
    <t>Hydrodynamické pôsobenie</t>
  </si>
  <si>
    <t>Hydrodynamische inwerking</t>
  </si>
  <si>
    <t>hidrodinamični vpliv,</t>
  </si>
  <si>
    <t>Hydrodynamisk verkan</t>
  </si>
  <si>
    <t>Hydrodynamisk påvirkning</t>
  </si>
  <si>
    <t>Hidrodinamičko djelovanje</t>
  </si>
  <si>
    <t>Hydrodynamischer Druck am Balken:</t>
  </si>
  <si>
    <t>Hydrodynamic pressure on panel:</t>
  </si>
  <si>
    <t>Pression hydrodynamique exercée sur le batardeau :</t>
  </si>
  <si>
    <t>Carico idrodinamico sulle sponde:</t>
  </si>
  <si>
    <t>Hydrodynamický tlak na hrázní bloky:</t>
  </si>
  <si>
    <t>Ciśnienie hydrodynamiczne oddziałujące na belkę:</t>
  </si>
  <si>
    <t>Hidrodinamikai nyomás a gerendán:</t>
  </si>
  <si>
    <t>Hydrodynamický tlak na hradidlá:</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</si>
  <si>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</si>
  <si>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</si>
  <si>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</si>
  <si>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</si>
  <si>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</si>
  <si>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</si>
  <si>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</si>
  <si>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</si>
  <si>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</si>
  <si>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Carico idrodinamico sui montanti:</t>
  </si>
  <si>
    <t>Hydrodynamický tlak na sloupky:</t>
  </si>
  <si>
    <t>Ciśnienie hydrodynamiczne oddziałujące na stojak:</t>
  </si>
  <si>
    <t>Hidrodinamikai nyomás az oszlopon:</t>
  </si>
  <si>
    <t>Hydrodynamický tlak na stĺpy:</t>
  </si>
  <si>
    <t>Hydrodynamische druk op de pijler:</t>
  </si>
  <si>
    <t>Hidrodinamični tlak na nosilcu:</t>
  </si>
  <si>
    <t>Hydrodynamiskt tryck på påle:</t>
  </si>
  <si>
    <t>Hydrodynamisk tryk på pæl:</t>
  </si>
  <si>
    <t>Hydrodynamisk trykk på bukken:</t>
  </si>
  <si>
    <t>Hidrodinamički tlak na stupu:</t>
  </si>
  <si>
    <t>Hydrostatisch &amp; -dynamisch</t>
  </si>
  <si>
    <t>Hydrostatic &amp; dynamic</t>
  </si>
  <si>
    <t>Hydrostatique et hydrodynamique</t>
  </si>
  <si>
    <t>idrostatico e idrodinamico</t>
  </si>
  <si>
    <t>Hydrostatický &amp; -dynamický</t>
  </si>
  <si>
    <t>hydrostatyczny &amp; -dynamiczny</t>
  </si>
  <si>
    <t>Hidrosztatikai és dinamikus</t>
  </si>
  <si>
    <t>Hydrostatický a hydrodynamický</t>
  </si>
  <si>
    <t>Hydrostatisch en -dynamisch</t>
  </si>
  <si>
    <t>Hidrostatično in dinamično</t>
  </si>
  <si>
    <t>Hydrostatisk och -dynamisk</t>
  </si>
  <si>
    <t>Hydrostatisk og dynamisk</t>
  </si>
  <si>
    <t>Hydrostatisk og -dynamisk</t>
  </si>
  <si>
    <t>Hidrostatski i hidrodinamički</t>
  </si>
  <si>
    <t>Hydrostatische Einwirkung</t>
  </si>
  <si>
    <t>Hydrostatic effects</t>
  </si>
  <si>
    <t>action hydrostatique</t>
  </si>
  <si>
    <t>azione idrostatica</t>
  </si>
  <si>
    <t>hydrostatické působení</t>
  </si>
  <si>
    <t>Oddziaływanie hydrostatyczne </t>
  </si>
  <si>
    <t>Hidrosztatikai hatás</t>
  </si>
  <si>
    <t>Hydrostatické pôsobenie</t>
  </si>
  <si>
    <t>Hydrostatische inwerking</t>
  </si>
  <si>
    <t>hidrostatični vpliv,</t>
  </si>
  <si>
    <t>Hydrostatisk verkan</t>
  </si>
  <si>
    <t>Hydrostatisk påvirkning</t>
  </si>
  <si>
    <t>Hidrostatsko djelovanje</t>
  </si>
  <si>
    <t>Hydrostatischer + Hydrodynamischer Druck am Balken:</t>
  </si>
  <si>
    <t>Hydrostatic + hydrodynamic pressure on panel:</t>
  </si>
  <si>
    <t>Pressions hydrostatique et hydrodynamique exercées sur le batardeau :</t>
  </si>
  <si>
    <t>Carico idrostatico + idrodinamico sulle sponde:</t>
  </si>
  <si>
    <t>Hydrostatický + hydrodynamický tlak na hrázní bloky:</t>
  </si>
  <si>
    <t>Ciśnienie hydrostatyczne + hydrodynamiczne oddziałujące na belkę:</t>
  </si>
  <si>
    <t>Hidrosztatikai és hidrodinamikai nyomás a gerendán:</t>
  </si>
  <si>
    <t>Hydrostatický + hydrodynamický tlak na hradidlá:</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</si>
  <si>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</si>
  <si>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</si>
  <si>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</si>
  <si>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</si>
  <si>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</si>
  <si>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</si>
  <si>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</si>
  <si>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</si>
  <si>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</si>
  <si>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Carico idrostatico sulle sponde</t>
  </si>
  <si>
    <t>Hydrostatický tlak na hrázní bloky:</t>
  </si>
  <si>
    <t>Ciśnienie hydrostatyczne oddziałujące na belkę:</t>
  </si>
  <si>
    <t>Hidrosztatikai nyomás a gerendán:</t>
  </si>
  <si>
    <t>Hydrostatický tlak na hradidlá:</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</si>
  <si>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</si>
  <si>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</si>
  <si>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</si>
  <si>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</si>
  <si>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</si>
  <si>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</si>
  <si>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</si>
  <si>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</si>
  <si>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</si>
  <si>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Carico idrostatico sui montanti:</t>
  </si>
  <si>
    <t>Hydrostatický tlak na sloupky:</t>
  </si>
  <si>
    <t>Ciśnienie hydrostatyczne oddziałujące na stojak:</t>
  </si>
  <si>
    <t>Hidrosztatikai nyomás a z oszlopon:</t>
  </si>
  <si>
    <t>Hydrostatický tlak na stĺpy:</t>
  </si>
  <si>
    <t>Hydrostatische druk op de pijler:</t>
  </si>
  <si>
    <t>Hidrostatični tlak na nosilcu:</t>
  </si>
  <si>
    <t>Hydrostatiskt tryck på påle:</t>
  </si>
  <si>
    <t>Hydrostatisk tryk på pæl:</t>
  </si>
  <si>
    <t>Hydrostatisk trykk på bukken:</t>
  </si>
  <si>
    <t>Hidrostatski tlak na stupu:</t>
  </si>
  <si>
    <t>In der Leibung</t>
  </si>
  <si>
    <t>In the soffit</t>
  </si>
  <si>
    <t>Dans l’embrasure</t>
  </si>
  <si>
    <t>V ostění</t>
  </si>
  <si>
    <t>w ścianie</t>
  </si>
  <si>
    <t>Síkban</t>
  </si>
  <si>
    <t>V ostení</t>
  </si>
  <si>
    <t>In de dag</t>
  </si>
  <si>
    <r>
      <rPr>
        <sz val="11"/>
        <rFont val="Arial"/>
        <family val="2"/>
      </rPr>
      <t>V špaleti</t>
    </r>
  </si>
  <si>
    <t>Öppning invändigt</t>
  </si>
  <si>
    <t>I pladeunderside</t>
  </si>
  <si>
    <t>I åpningen</t>
  </si>
  <si>
    <t>U otvoru</t>
  </si>
  <si>
    <t>inkl. MwSt.</t>
  </si>
  <si>
    <t>TVA incluse</t>
  </si>
  <si>
    <t>IVA inclusa</t>
  </si>
  <si>
    <t>ÁFÁval</t>
  </si>
  <si>
    <t>KALKULATION</t>
  </si>
  <si>
    <t>ESTIMATE</t>
  </si>
  <si>
    <t>CALCUL</t>
  </si>
  <si>
    <t>Dimensionamento</t>
  </si>
  <si>
    <t>KALKULACE</t>
  </si>
  <si>
    <t>KALKULACJA</t>
  </si>
  <si>
    <t>SZÁMÍTÁS</t>
  </si>
  <si>
    <t>VÝPOČET</t>
  </si>
  <si>
    <t>CALCULATIE</t>
  </si>
  <si>
    <t>KALKULACIJA</t>
  </si>
  <si>
    <t>KALKYLERING</t>
  </si>
  <si>
    <t>KALKULASJON</t>
  </si>
  <si>
    <t>keine</t>
  </si>
  <si>
    <t>none</t>
  </si>
  <si>
    <t>aucun(e)</t>
  </si>
  <si>
    <t>nessuna</t>
  </si>
  <si>
    <t>žádný</t>
  </si>
  <si>
    <t>małe</t>
  </si>
  <si>
    <t>nincs</t>
  </si>
  <si>
    <t>Žiadny</t>
  </si>
  <si>
    <t>Geen</t>
  </si>
  <si>
    <t>brez</t>
  </si>
  <si>
    <t>ingen</t>
  </si>
  <si>
    <t>nema</t>
  </si>
  <si>
    <t>kg/m³</t>
  </si>
  <si>
    <t>kg/Stk</t>
  </si>
  <si>
    <t>kg/pcs</t>
  </si>
  <si>
    <t>kg/pc.</t>
  </si>
  <si>
    <t>kg/pezzo</t>
  </si>
  <si>
    <t>kg/ks</t>
  </si>
  <si>
    <t>kg/szt.</t>
  </si>
  <si>
    <t>kg/db</t>
  </si>
  <si>
    <t>Kg/stuk</t>
  </si>
  <si>
    <t>kg/kos</t>
  </si>
  <si>
    <t>kg/st.</t>
  </si>
  <si>
    <t>Kg/stk.</t>
  </si>
  <si>
    <t>kg/stk.</t>
  </si>
  <si>
    <t>kg/kom</t>
  </si>
  <si>
    <t>kN/m³</t>
  </si>
  <si>
    <t>Kombination Hydrodynamisch + Hydrostatisch + Treibgut</t>
  </si>
  <si>
    <t>Combination of hydrodynamic + hydrostatic + flotsam</t>
  </si>
  <si>
    <t>Combinaison hydrodynamique + hydrostatique + débris flottants</t>
  </si>
  <si>
    <t>Combinazione Idrodinamica + Idrostatica + detriti</t>
  </si>
  <si>
    <t>Kombinace hydrodyn. + hadrostat. + plovoucí předmět</t>
  </si>
  <si>
    <t>Kombinacja hydrodynamiczna + hydrostatyczna + naniesiony materiał</t>
  </si>
  <si>
    <t>Hidrodinamikai + hidrosztatikai + uszadék kombinációja</t>
  </si>
  <si>
    <t>Kombinácia hydrodynamika + hydrostatika + plávajúci predmet</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</si>
  <si>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</si>
  <si>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</si>
  <si>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</si>
  <si>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</si>
  <si>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</si>
  <si>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</si>
  <si>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</si>
  <si>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</si>
  <si>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</si>
  <si>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Coefficiente di combinazione</t>
  </si>
  <si>
    <t>Součinitel kombinace:</t>
  </si>
  <si>
    <t>Współczynnik łączny:</t>
  </si>
  <si>
    <t>Kombinációs együttható:</t>
  </si>
  <si>
    <t>Koeficient kombinácie:</t>
  </si>
  <si>
    <t>Combinatiefactor:</t>
  </si>
  <si>
    <t>Kombinacijski koeficient:</t>
  </si>
  <si>
    <t>Kombinationskoefficient:</t>
  </si>
  <si>
    <t>Kombinasjonsparameter:</t>
  </si>
  <si>
    <t>Koeficijent kombinacije:</t>
  </si>
  <si>
    <t>können die Berechnungsergebnisse zufolge der individuellen konstruktiven Besonderheiten jedes</t>
  </si>
  <si>
    <t>However, due to the calculation results being based on the individual design features of each</t>
  </si>
  <si>
    <t>Emises à titre indicatif et sans aucun engagement de la part de PREFA en raison des spécificités de chaque système de protection contre les crues et des éventuelles erreurs de saisie des données servant de base aux calculs.</t>
  </si>
  <si>
    <t>date le caratteristiche specifiche di ogni singolo progetto ed un possibile inserimento errato dei  dati,</t>
  </si>
  <si>
    <t>Přesto však mohou být výsledky s ohledem na individuální konstrukční zvláštnost každého</t>
  </si>
  <si>
    <t>wyniki obliczeń mogą być obliczane zgodnie z indywidualnym icharakterystykami projektowymi każdegoz nich. </t>
  </si>
  <si>
    <t>a számítási eredményekért az egyes árvízvédelmi rendszerek egyedi kialakítási sajátosságai miatt</t>
  </si>
  <si>
    <t>Napriek tomu sa môžu výsledky výpočtov, vzhľadom na individuálne zvláštnosti konštrukcie každého</t>
  </si>
  <si>
    <t>dienen de berekeningsresultaten vanwege individuele bouwkundige bijzonderheden van elk</t>
  </si>
  <si>
    <t>lahko rezultati izračuna zaradi individualnih konstrukcijskih posebnosti vsakega</t>
  </si>
  <si>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</si>
  <si>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</si>
  <si>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</si>
  <si>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</si>
  <si>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Contact person:</t>
  </si>
  <si>
    <t>Personne de contacte;</t>
  </si>
  <si>
    <t>Kontakt személy:</t>
  </si>
  <si>
    <t>Kundennummer:</t>
  </si>
  <si>
    <t>Reference number:</t>
  </si>
  <si>
    <t>Numéro de client :</t>
  </si>
  <si>
    <t>Numero cliente:</t>
  </si>
  <si>
    <t>Číslo zákazníka:</t>
  </si>
  <si>
    <t>Numer klienta:</t>
  </si>
  <si>
    <t>Vevő szám:</t>
  </si>
  <si>
    <t>Č. zákazníka:</t>
  </si>
  <si>
    <t>Klantnummer:</t>
  </si>
  <si>
    <t>Številka stranke:</t>
  </si>
  <si>
    <t>Kundnummer:</t>
  </si>
  <si>
    <t>Kundenummer:</t>
  </si>
  <si>
    <t>Broj kupca:</t>
  </si>
  <si>
    <t>Lagerabdeckung</t>
  </si>
  <si>
    <t>Warehouse cover</t>
  </si>
  <si>
    <t>cage de protection</t>
  </si>
  <si>
    <t>coperchio per stoccaggio sponde</t>
  </si>
  <si>
    <t>Skladovací kryt</t>
  </si>
  <si>
    <t>Pokrywa ochronna</t>
  </si>
  <si>
    <t>Tartódoboz takaróelem</t>
  </si>
  <si>
    <t>Kryt úložiska</t>
  </si>
  <si>
    <t>Opbergbox</t>
  </si>
  <si>
    <r>
      <rPr>
        <sz val="11"/>
        <rFont val="Arial"/>
        <family val="2"/>
      </rPr>
      <t>Zakriti ležaji</t>
    </r>
  </si>
  <si>
    <t>Förvaringslåda</t>
  </si>
  <si>
    <t>Lejeafdækning</t>
  </si>
  <si>
    <t>Lagerdeksel</t>
  </si>
  <si>
    <t>Skladišni pokrov</t>
  </si>
  <si>
    <t>Landschaftsschutz</t>
  </si>
  <si>
    <t>Landscape protection</t>
  </si>
  <si>
    <t>protection des paysages</t>
  </si>
  <si>
    <t>protezione aree esterne</t>
  </si>
  <si>
    <t>Ochrana území</t>
  </si>
  <si>
    <t>Ochrona krajobrazu</t>
  </si>
  <si>
    <t>Tájvédelem</t>
  </si>
  <si>
    <t>Ochrana životného prostredia</t>
  </si>
  <si>
    <t>Landschapsbescherming</t>
  </si>
  <si>
    <t>Zaščita okolice</t>
  </si>
  <si>
    <t>Landskapsskydd</t>
  </si>
  <si>
    <t>Beskyttelse af landskaber</t>
  </si>
  <si>
    <t>Landskapsvern</t>
  </si>
  <si>
    <t>Zaštita okoline</t>
  </si>
  <si>
    <t>Length adjustment of side sections</t>
  </si>
  <si>
    <t>modification de longueur des parties latérales</t>
  </si>
  <si>
    <t>modifica lunghezza montanti laterali</t>
  </si>
  <si>
    <t>Úprava délky bočního dílu</t>
  </si>
  <si>
    <t>Zmiany wymiarów części bocznych</t>
  </si>
  <si>
    <t>Oldalelemek hosszváltozása</t>
  </si>
  <si>
    <t>Zmena dĺžky bočných dielov</t>
  </si>
  <si>
    <t>Lengtewijziging zijdelen</t>
  </si>
  <si>
    <t>Sprememba dolžine stranskih delov</t>
  </si>
  <si>
    <t xml:space="preserve">Annan längd "sidodelar"? </t>
  </si>
  <si>
    <t>Ændring af sidevangernes længde</t>
  </si>
  <si>
    <t>Lengdeendring sidedeler</t>
  </si>
  <si>
    <t>Promjena duljine bočnih dijelova</t>
  </si>
  <si>
    <t>Lichteweite [mm]:</t>
  </si>
  <si>
    <t>Desired system length [mm]:</t>
  </si>
  <si>
    <t>Vide lumière [mm] :</t>
  </si>
  <si>
    <t>lunghezza prevista del sistema [mm]:</t>
  </si>
  <si>
    <t>Světlá délka [mm]:</t>
  </si>
  <si>
    <t>Oczekiwana długość systemu</t>
  </si>
  <si>
    <t>tervezett rendszerhossz [mm]:</t>
  </si>
  <si>
    <t>Svetelná šírka [mm]:</t>
  </si>
  <si>
    <t>Gewenste systeemlengte [mm]:</t>
  </si>
  <si>
    <t>Želena dolžina sistema [mm]:</t>
  </si>
  <si>
    <t>Önskad systemlängd [mm]:</t>
  </si>
  <si>
    <t>Ønsket systemlængde [mm]:</t>
  </si>
  <si>
    <t>Ønsket systemlengde [mm]:</t>
  </si>
  <si>
    <t>željena duljina sustava [mm]:</t>
  </si>
  <si>
    <t>Links</t>
  </si>
  <si>
    <t>Left</t>
  </si>
  <si>
    <t>gauche</t>
  </si>
  <si>
    <t>sinistra</t>
  </si>
  <si>
    <t>nalevo</t>
  </si>
  <si>
    <t>lewo</t>
  </si>
  <si>
    <t>Bal</t>
  </si>
  <si>
    <t>Vľavo</t>
  </si>
  <si>
    <t>Levo</t>
  </si>
  <si>
    <t>Vänster</t>
  </si>
  <si>
    <t>Venstre</t>
  </si>
  <si>
    <t>Linkovi</t>
  </si>
  <si>
    <t>m/s</t>
  </si>
  <si>
    <t>m/sek.</t>
  </si>
  <si>
    <t>Materialdaten:</t>
  </si>
  <si>
    <t>Material data:</t>
  </si>
  <si>
    <t>Informations relatives au matériau :</t>
  </si>
  <si>
    <t>Specifiche del materiale:</t>
  </si>
  <si>
    <t>Materiálové hodnoty:</t>
  </si>
  <si>
    <t>Dane materiału:</t>
  </si>
  <si>
    <t>Alapanyag adatok:</t>
  </si>
  <si>
    <t>Údaje o materiáli:</t>
  </si>
  <si>
    <t>Materiaalgegevens:</t>
  </si>
  <si>
    <t>Podatki o materialu:</t>
  </si>
  <si>
    <t>Materialdata:</t>
  </si>
  <si>
    <t>Materialedata:</t>
  </si>
  <si>
    <t>Podaci o materijalu:</t>
  </si>
  <si>
    <t>Maximale Durchbiegung Dammbalken (1/150 = Standard)</t>
  </si>
  <si>
    <t>max. Deflection barrier panel (1/150 = Standard)</t>
  </si>
  <si>
    <t>Flèch maximale du batardeau (1/150 = Standard)</t>
  </si>
  <si>
    <t>Freccia max delle sponde (1/150 = Standard)</t>
  </si>
  <si>
    <t>maximální průhyb hrázních bloků (1/150 = Standard)</t>
  </si>
  <si>
    <t>Maksymalne ugięcie belki zaporowej (1/150 = standard)</t>
  </si>
  <si>
    <t>max. Kihajlás Gátgerenda (1/150 = Standard)</t>
  </si>
  <si>
    <t>Maximálny prehyb hradidla (1/150 = štandard)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</si>
  <si>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</si>
  <si>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</si>
  <si>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</si>
  <si>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</si>
  <si>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</si>
  <si>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</si>
  <si>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</si>
  <si>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</si>
  <si>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Flèche maximale du profil rond (1/150 = Standard)</t>
  </si>
  <si>
    <t>Freccia max del montante  (1/150 = Standard)</t>
  </si>
  <si>
    <t>maximální průhyb sloupků (1/150 = Standard)</t>
  </si>
  <si>
    <t>Maksymalne ugięcie słupka pionowego (1/150 = standard)</t>
  </si>
  <si>
    <t>max. Kihajlás Körprofil (1/150 = Standard)</t>
  </si>
  <si>
    <t>Maximálny prehyb okrúhleho stĺpa (1/150 = štandard)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</si>
  <si>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</si>
  <si>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</si>
  <si>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</si>
  <si>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</si>
  <si>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</si>
  <si>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</si>
  <si>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Mindestüberstand über Stauhöhe:</t>
  </si>
  <si>
    <t>Minimum projection above water level:</t>
  </si>
  <si>
    <t>Dépassement minimal au-dessus de la hauteur de retenue :</t>
  </si>
  <si>
    <t>Sbalzo minimo sopra il livello di accumulo</t>
  </si>
  <si>
    <t>Minimální přesah přes výšku vzdutí:</t>
  </si>
  <si>
    <t>Minimalny wysięg powyżej wysokości wody:</t>
  </si>
  <si>
    <t>Minimális kinyúlás a védelmi magasság felett</t>
  </si>
  <si>
    <t>Minimálna výška nad hladinou vody:</t>
  </si>
  <si>
    <t>Minimum overstek boven stuwhoogte:</t>
  </si>
  <si>
    <t>Najmanjši previs nad vodno gladino:</t>
  </si>
  <si>
    <t>Minimihöjd över vattennivå:</t>
  </si>
  <si>
    <t>Minimum udhæng over vandstand:</t>
  </si>
  <si>
    <t>Minste høyde over vannstand:</t>
  </si>
  <si>
    <t>Minimalni višak iznad usporne visine:</t>
  </si>
  <si>
    <t>mit Treibgut</t>
  </si>
  <si>
    <t>with floating debris</t>
  </si>
  <si>
    <t>avec débris flottants</t>
  </si>
  <si>
    <t>con detriti</t>
  </si>
  <si>
    <t>s plovoucími předměty</t>
  </si>
  <si>
    <t>ze szczątkami niesionymi przez wodę</t>
  </si>
  <si>
    <t>hordalékkal</t>
  </si>
  <si>
    <t>S plávajúcimi predmetmi</t>
  </si>
  <si>
    <t>Met drijvend materiaal</t>
  </si>
  <si>
    <t>z naplavinami</t>
  </si>
  <si>
    <t>Flytande skräp</t>
  </si>
  <si>
    <t>med drivende genstande</t>
  </si>
  <si>
    <t>Med drivgods</t>
  </si>
  <si>
    <t>s naplavinom</t>
  </si>
  <si>
    <t>Moment zufolge Gesamtdruck:</t>
  </si>
  <si>
    <t>Torque due to total pressure:</t>
  </si>
  <si>
    <t>Moment en fonction de la pression totale :</t>
  </si>
  <si>
    <t>Coppia dovuta alla pressione totale:</t>
  </si>
  <si>
    <t>Moment od celkového tlaku:</t>
  </si>
  <si>
    <t>Chwilowo zależności od ciśnienia całkowitego:</t>
  </si>
  <si>
    <t>Teljes nyomásra fellépő nyomaték:</t>
  </si>
  <si>
    <t>Moment v dôsledku celkového tlaku:</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</si>
  <si>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</si>
  <si>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</si>
  <si>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</si>
  <si>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</si>
  <si>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</si>
  <si>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</si>
  <si>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</si>
  <si>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</si>
  <si>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</si>
  <si>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Coppia dovuta a HD:</t>
  </si>
  <si>
    <t>Moment od HD:</t>
  </si>
  <si>
    <t>Chwilowo HD:</t>
  </si>
  <si>
    <t>HD nyomaték:</t>
  </si>
  <si>
    <t>Moment v dôsledku HD:</t>
  </si>
  <si>
    <t>Moment overeenkomstig HD:</t>
  </si>
  <si>
    <t>Navor zaradi HD:</t>
  </si>
  <si>
    <t>Moment beroende på HD:</t>
  </si>
  <si>
    <t>Moment som følge af HD:</t>
  </si>
  <si>
    <t>Moment iht. HD:</t>
  </si>
  <si>
    <t>Moment prema HD:</t>
  </si>
  <si>
    <t>Moment zufolge HD+HS:</t>
  </si>
  <si>
    <t>Torque due to HD + HS:</t>
  </si>
  <si>
    <t>Moment en fonction de HD + HS :</t>
  </si>
  <si>
    <t>Coppia dovuta a HD+HS:</t>
  </si>
  <si>
    <t>Moment od HD+HS:</t>
  </si>
  <si>
    <t>Chwilowo HD+HS:</t>
  </si>
  <si>
    <t>HD+HS nyomaték:</t>
  </si>
  <si>
    <t>Moment v dôsledku HD+HS:</t>
  </si>
  <si>
    <t>Moment overeenkomstig HD+HS:</t>
  </si>
  <si>
    <t>Navor zaradi HD+HS:</t>
  </si>
  <si>
    <t>Moment beroende på HD+HS:</t>
  </si>
  <si>
    <t>Moment som følge af HD+HS:</t>
  </si>
  <si>
    <t>Moment iht. HD+HS:</t>
  </si>
  <si>
    <t>Moment prema HD+HS:</t>
  </si>
  <si>
    <t>Moment zufolge HS:</t>
  </si>
  <si>
    <t>Torque due to HS:</t>
  </si>
  <si>
    <t>Moment en fonction de HS :</t>
  </si>
  <si>
    <t>Coppia dovuta a HS:</t>
  </si>
  <si>
    <t>Moment od HS:</t>
  </si>
  <si>
    <t>Chwilowo HS:</t>
  </si>
  <si>
    <t>HS nyomaték:</t>
  </si>
  <si>
    <t>Moment v dôsledku HS:</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</si>
  <si>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</si>
  <si>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</si>
  <si>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</si>
  <si>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</si>
  <si>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</si>
  <si>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</si>
  <si>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</si>
  <si>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</si>
  <si>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</si>
  <si>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Coppia dovuta a detriti:</t>
  </si>
  <si>
    <t>Moment od plovoucího předmětu:</t>
  </si>
  <si>
    <t>Chwilowo, materiał naniesiony:</t>
  </si>
  <si>
    <t>Uszadék okozta nyomaték:</t>
  </si>
  <si>
    <t>Moment v dôsledku plávajúceho predmetu:</t>
  </si>
  <si>
    <t>Moment overeenkomstig drijfmateriaal:</t>
  </si>
  <si>
    <t>Navor zaradi naplavin:</t>
  </si>
  <si>
    <t>Moment beroende på flytande skräp:</t>
  </si>
  <si>
    <t>Moment som følge af drivende genstande:</t>
  </si>
  <si>
    <t>Moment iht. drivgods:</t>
  </si>
  <si>
    <t>Moment prema naplavini:</t>
  </si>
  <si>
    <t>Montage</t>
  </si>
  <si>
    <t>installation</t>
  </si>
  <si>
    <t>Montaggio</t>
  </si>
  <si>
    <t>Montaż</t>
  </si>
  <si>
    <t>Szerelés</t>
  </si>
  <si>
    <t>Montageart</t>
  </si>
  <si>
    <t>Type of assembly</t>
  </si>
  <si>
    <t>Type de pose</t>
  </si>
  <si>
    <t>tipo di montaggio</t>
  </si>
  <si>
    <t>Způsob montáže</t>
  </si>
  <si>
    <t>Sposób montażu</t>
  </si>
  <si>
    <t>Beépítési mód</t>
  </si>
  <si>
    <t>Spôsob montáže</t>
  </si>
  <si>
    <t>Montagewijze</t>
  </si>
  <si>
    <r>
      <rPr>
        <sz val="11"/>
        <rFont val="Arial"/>
        <family val="2"/>
      </rPr>
      <t>Vrsta montaže</t>
    </r>
  </si>
  <si>
    <t>Monteringstyp</t>
  </si>
  <si>
    <t>Arten af montering</t>
  </si>
  <si>
    <t>Monteringstype</t>
  </si>
  <si>
    <t>Način montaže</t>
  </si>
  <si>
    <t>Montagehilfe Bodenhülse</t>
  </si>
  <si>
    <t>Assembly aid ground sleeve</t>
  </si>
  <si>
    <t>aide à la pose de la douille de sol</t>
  </si>
  <si>
    <t>dima di montaggio per i piantoni</t>
  </si>
  <si>
    <t>Montážní pomůcka pro zemní pouzdro</t>
  </si>
  <si>
    <t>Przyrząd montażowy tulei</t>
  </si>
  <si>
    <t xml:space="preserve">Padlóhüvely beépítősablon  </t>
  </si>
  <si>
    <t>Pomôcka na montáž zemného puzdra</t>
  </si>
  <si>
    <t>Montagehulp bodemhuls</t>
  </si>
  <si>
    <r>
      <rPr>
        <sz val="11"/>
        <rFont val="Arial"/>
        <family val="2"/>
      </rPr>
      <t>Montažni pripomoček za talno pušo</t>
    </r>
  </si>
  <si>
    <t>Monteringshjälpmedel markhylsa</t>
  </si>
  <si>
    <t>MONTAGEHJÆLP TIL bundmuffer</t>
  </si>
  <si>
    <t>Monteringshjelp jordanker</t>
  </si>
  <si>
    <t>Pomagalo za montažu podne čaške</t>
  </si>
  <si>
    <t>Montagematerial</t>
  </si>
  <si>
    <t>Installation accessories</t>
  </si>
  <si>
    <t>matériel de montage</t>
  </si>
  <si>
    <t>Materiale di montaggio</t>
  </si>
  <si>
    <t>Montážní materiál</t>
  </si>
  <si>
    <t>Materiał montażowy</t>
  </si>
  <si>
    <t>Szerelőanyag</t>
  </si>
  <si>
    <t>montážny materiál</t>
  </si>
  <si>
    <t>Montagemateriaal</t>
  </si>
  <si>
    <t>Material za montažo</t>
  </si>
  <si>
    <t>monteringsmaterial</t>
  </si>
  <si>
    <t>Monteringsmateriale</t>
  </si>
  <si>
    <t>Montažni materijal</t>
  </si>
  <si>
    <t>Multiplikator</t>
  </si>
  <si>
    <t>Multiplier</t>
  </si>
  <si>
    <t>Coefficient multiplicateur</t>
  </si>
  <si>
    <t>moltiplicatore</t>
  </si>
  <si>
    <t>Násobitel</t>
  </si>
  <si>
    <t>mnożnik</t>
  </si>
  <si>
    <t>Szorzó</t>
  </si>
  <si>
    <t>Násobiteľ</t>
  </si>
  <si>
    <t>Multiplicator</t>
  </si>
  <si>
    <t>Nach Ablauf des Datums (noch</t>
  </si>
  <si>
    <t>After date (</t>
  </si>
  <si>
    <t>Après cette date (encore</t>
  </si>
  <si>
    <t>Dopo la data (ancora</t>
  </si>
  <si>
    <t>Po datu (zbývají</t>
  </si>
  <si>
    <t>Po upływie terminu (jeszcze</t>
  </si>
  <si>
    <t>Dátum lejárata után (még</t>
  </si>
  <si>
    <t>Po uplynutí dátumu (ešte</t>
  </si>
  <si>
    <t>Na passeren van de datum (nog</t>
  </si>
  <si>
    <t>Po preteku datuma (še</t>
  </si>
  <si>
    <t>Efter datumet (fortfarande</t>
  </si>
  <si>
    <t>Efter datoens udløb (endnu</t>
  </si>
  <si>
    <t>Etter at datoen er utløpt (gjenstående</t>
  </si>
  <si>
    <t>Nakon isteka datuma (još</t>
  </si>
  <si>
    <t>Niederhalter Dammbalken:max.1750</t>
  </si>
  <si>
    <t>retainer for barrier panel: max. 1750</t>
  </si>
  <si>
    <t>Poteau intermédiaire de renfort pour les batardeaux : max. 1 750 mm</t>
  </si>
  <si>
    <t>paletto di rinforzo sponde:max.1750</t>
  </si>
  <si>
    <t>Podpěrné táhlo hrázních bloků: max. 1750mm</t>
  </si>
  <si>
    <t>Element trzymający belki: maks. 1750 mm</t>
  </si>
  <si>
    <t>Gátgerenda leszorítóelem:max.1750</t>
  </si>
  <si>
    <t>Kotviace zariadenie na hradidlo: max. 1 750</t>
  </si>
  <si>
    <t>Neerhouder dambalk: max. 1750</t>
  </si>
  <si>
    <r>
      <rPr>
        <sz val="11"/>
        <rFont val="Arial"/>
        <family val="2"/>
      </rPr>
      <t>Držalo za zajezitveno lamelo: najv. 1750</t>
    </r>
  </si>
  <si>
    <t>NEDHÅLLARE DÄMMBALK: max. 1 750</t>
  </si>
  <si>
    <t>MELLEM SPÆNDESTYKKE dæmningsbjælker:maks.1750</t>
  </si>
  <si>
    <t>KLEMSTYKKE MIDT FLOMSIKRINGSELEMENT: maks. 1750</t>
  </si>
  <si>
    <t>Zatezni držač daske brane: maks.1750</t>
  </si>
  <si>
    <t>Niederhalter inkl. Spannstück, Verbundanker und Gewindestange</t>
  </si>
  <si>
    <t>retainer incl. clamping element, embedded anchor and threaded rod</t>
  </si>
  <si>
    <t>Poteau intermédiaire de renfort ; pièce de serrage, dispositif d’ancrage et tige filetée compris</t>
  </si>
  <si>
    <t>Podpěrné táhlo vč. napínáku, svorníkové kotvy a závitové tyče</t>
  </si>
  <si>
    <t>Zacisk przytrzymujący wraz zelementem zaciskowym, kotwą zespoloną i prętem gwintowanym </t>
  </si>
  <si>
    <t>Leszorítóelem feszítőelemmel, lehorgonyzóval és menetes szárral</t>
  </si>
  <si>
    <t>Kotviace zariadenie vrátane upevňovacej zarážky, spájacej kotvy a závitovej tyče</t>
  </si>
  <si>
    <t>Neerhouder incl. Fixeerstuk, verbindingsanker en draadstang</t>
  </si>
  <si>
    <t>Držalo, vključno z vpenjalnim kosom, sidrom in navojno palico</t>
  </si>
  <si>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</si>
  <si>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</si>
  <si>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</si>
  <si>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</si>
  <si>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</si>
  <si>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</si>
  <si>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protection des bâtiments</t>
  </si>
  <si>
    <t>protezione singola apertura</t>
  </si>
  <si>
    <t>Ochrana objektu</t>
  </si>
  <si>
    <t>Ochrona obiektowa</t>
  </si>
  <si>
    <t>Épületvédelem</t>
  </si>
  <si>
    <t>Objectbescherming</t>
  </si>
  <si>
    <t>Zaščita objektov</t>
  </si>
  <si>
    <t>Objektskydd</t>
  </si>
  <si>
    <t>Beskyttelse mod genstande</t>
  </si>
  <si>
    <t>Objektvern</t>
  </si>
  <si>
    <t>Zaštita objekata</t>
  </si>
  <si>
    <t>Obwohl das Berechnungstool von Prefa mit größtmöglicher Sorgfalt erstellt wurde,</t>
  </si>
  <si>
    <t>PREFA’s calculation tool has been created with the utmost care.</t>
  </si>
  <si>
    <t xml:space="preserve">Bien que l’outil de calcul PREFA ait été développé avec le plus grand soin, les résultats des calculs ne peuvent être considérés que comme des recommandations. </t>
  </si>
  <si>
    <t>sebbene lo strumento di calcolo PREFA sia stato creato con la massima cura,</t>
  </si>
  <si>
    <t xml:space="preserve">Výpočtový nástroj od PREFA byl vytvořen s nejvyšší pečlivostí. </t>
  </si>
  <si>
    <t>Chociaż narzędzie obliczeniowe zostało stworzone przez PREFA z największą możliwą starannością, </t>
  </si>
  <si>
    <t>Bár a PREFA számítási segédlete a legnagyobb körültekintéssel készült,</t>
  </si>
  <si>
    <t>Výpočtový nástroj od PREFA bol vytvorený mimoriadne starostlivo.</t>
  </si>
  <si>
    <t>Hoewel de berekeningstool door PREFA met de grootst mogelijke zorg is samengesteld,</t>
  </si>
  <si>
    <t>Čeprav je orodje za izračun PREFA izdelano z največjo skrbnostjo,</t>
  </si>
  <si>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</si>
  <si>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</si>
  <si>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</si>
  <si>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</si>
  <si>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Obwohl das Berechnungstool von PREFA mit größtmöglicher Sorgfalt erstellt wurde,</t>
  </si>
  <si>
    <t>Pa</t>
  </si>
  <si>
    <t>Plan-Dammbalken</t>
  </si>
  <si>
    <t>barrier panel plan</t>
  </si>
  <si>
    <t>Longueur du batardeau pour la commande</t>
  </si>
  <si>
    <t>disegno-sponda</t>
  </si>
  <si>
    <t>Navržené hrázní bloky</t>
  </si>
  <si>
    <t>Projektowanie belez zaporowych</t>
  </si>
  <si>
    <t>Gátgerenda-terv</t>
  </si>
  <si>
    <t>Plán hradidiel</t>
  </si>
  <si>
    <t>Geplande dambalk</t>
  </si>
  <si>
    <t>Ravna zajezitvena lamela</t>
  </si>
  <si>
    <r>
      <rPr>
        <sz val="11"/>
        <rFont val="Arial"/>
        <family val="2"/>
      </rPr>
      <t>Ritning-</t>
    </r>
    <r>
      <rPr>
        <sz val="11"/>
        <color theme="1"/>
        <rFont val="Arial"/>
        <family val="2"/>
      </rPr>
      <t>DÄMMBALK</t>
    </r>
  </si>
  <si>
    <t>Plan-dæmningsbjælker</t>
  </si>
  <si>
    <t>Plan-bjelkestengsel</t>
  </si>
  <si>
    <t>Ravna daska brane</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</si>
  <si>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</si>
  <si>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</si>
  <si>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</si>
  <si>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offre all'utente uno strumento di calcolo gratuito per i sistemi di protezione dalle inondazioni.</t>
  </si>
  <si>
    <t>PREFA nabízí uživateli bezplatný výpočtový nástroj pro PREFA protipovodňové systémy (HWS).</t>
  </si>
  <si>
    <t>PREFA oferuje użytkownikowi bezpłatne narzędzie obliczeniowe do systemów ochrony przeciwpowodziowej.</t>
  </si>
  <si>
    <t>A felhasználók számára a PREFA ingyenes számítási segédletet biztosít a PREFA mobilgátakhoz.</t>
  </si>
  <si>
    <t>PREFA ponúka používateľom bezplatný výpočtový nástroj pre protipovodňové systémy PREFA.</t>
  </si>
  <si>
    <t>PREFA biedt de gebruiker een gratis berekeningstool voor PREFA-hoogwaterbeschermingen.</t>
  </si>
  <si>
    <t>PREFA nudi uporabnikom brezplačno orodje za izračun sistemov protipoplavne zaščite PREFA.</t>
  </si>
  <si>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</si>
  <si>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</si>
  <si>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</si>
  <si>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</si>
  <si>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PREFA bietet dem Anwender ein kostenloses Berechnungstool für PREFA Hochwasserschutzsysteme.</t>
  </si>
  <si>
    <t>Prefa Hochwasserschutz System</t>
  </si>
  <si>
    <t>PREFA FLOOD PROTECTION SYSTEM</t>
  </si>
  <si>
    <t>SYSTÈME PREFA DE PROTECTION CONTRE LES CRUES</t>
  </si>
  <si>
    <t>PREFA Sistema anti esondazione</t>
  </si>
  <si>
    <t>PREFA PROTIPOVODŇOVÝ SYSTÉM</t>
  </si>
  <si>
    <t>SYSTEM OCHRONY PRZECIWPOWODZIOWEJ PREFA</t>
  </si>
  <si>
    <t>PREFA ÁRVÍZVÉDELMI RENDSZER</t>
  </si>
  <si>
    <t>PREFA PROTIPOVODŇOVÁ OCHRANA</t>
  </si>
  <si>
    <t>PREFA SYSTEEM VOOR HOOGWATERBESCHERMING</t>
  </si>
  <si>
    <t>SISTEM PROTIPOPLAVNE ZAŠČITE PREFA</t>
  </si>
  <si>
    <t>PREFA System för Översvämningsskydd</t>
  </si>
  <si>
    <t>PREFA HØJVANDSBESKYTTELSE</t>
  </si>
  <si>
    <t>PREFA FLOMBESKYTTELSESSYSTEM</t>
  </si>
  <si>
    <t>PREFA SUSTAV ZAŠTITE OD POPLAVE</t>
  </si>
  <si>
    <t>PREFA HOCHWASSERSCHUTZ SYSTEM</t>
  </si>
  <si>
    <t>Prefa HWS Berechnungstool</t>
  </si>
  <si>
    <t>PREFA FLOOD PROTECTION DATA ENTRY FORM</t>
  </si>
  <si>
    <t>FORMULAIRE DE SAISIE POUR LES SYSTÈMES DE PROTECTION CONTRE LES CRUES PREFA</t>
  </si>
  <si>
    <t>Foglio di calcolo Diga Prefa</t>
  </si>
  <si>
    <t>PREFA HWS ZADÁVACÍ FORMULÁŘ</t>
  </si>
  <si>
    <t>FORMULARZ BADANIA PREFA</t>
  </si>
  <si>
    <t>PREFA ÁRVÍZVÉDELMI RENDSZER AJÁNLATKÉRŐ ÍV</t>
  </si>
  <si>
    <t>PREFA ZADÁVACÍ FORMULÁR PRE PROTIPOVODŇOVÚ OCHRANU</t>
  </si>
  <si>
    <t>PREFA HWB-SYSTEEM – VRAGENLIJST</t>
  </si>
  <si>
    <t>VPRAŠALNIK ZA IZBIRO SISTEMA PROTIPOPLAVNE ZAŠČITE PREFA</t>
  </si>
  <si>
    <r>
      <t>Frågeformulär för PREFA</t>
    </r>
    <r>
      <rPr>
        <sz val="11"/>
        <color rgb="FFFFFF00"/>
        <rFont val="Arial"/>
        <family val="2"/>
      </rPr>
      <t>-</t>
    </r>
    <r>
      <rPr>
        <sz val="11"/>
        <rFont val="Arial"/>
        <family val="2"/>
      </rPr>
      <t>översvämningsskydd</t>
    </r>
  </si>
  <si>
    <t>PREFA SPØRGESKEMA OM HØJVANDSBESKYTTELSE</t>
  </si>
  <si>
    <t>PREFA HWS SPØRRESKJEMA</t>
  </si>
  <si>
    <t>PREFA UPITNI OBRAZAC ZA ZAŠTITU OD POPLAVE</t>
  </si>
  <si>
    <t>PREFA HWS BERECHNUNGSTOOL</t>
  </si>
  <si>
    <t>Prefa HWS Erhebungsbogen</t>
  </si>
  <si>
    <t>PREFA FLOOD PROTECTION SURVEY SHEET</t>
  </si>
  <si>
    <t>Formulaire de demande pour la protection contre les crues PREFA</t>
  </si>
  <si>
    <t>Questionario Diga Prefa</t>
  </si>
  <si>
    <t>FORMULARZ ANKIETY PREFA HWS</t>
  </si>
  <si>
    <t>PREFA Árvízvédelmi ajánlatkérő formanyomtatvány</t>
  </si>
  <si>
    <t>PREFA SYSTÉM PROTIPOVODŇOVEJ OCHRANY FORMULÁR</t>
  </si>
  <si>
    <t>PREFA HWS ENQUÊTEFORMULIER</t>
  </si>
  <si>
    <t>VPRAŠALNIK PREFA HWS</t>
  </si>
  <si>
    <t>PREFA HWS FRÅGEFORMULÄR</t>
  </si>
  <si>
    <t>PREFA HWS SPØRGESKEMA</t>
  </si>
  <si>
    <t>PREFA HWS-SKJEMA</t>
  </si>
  <si>
    <t>PREFA HWS UPITNIK</t>
  </si>
  <si>
    <t>PREFA HWS ERHEBUNGSBOGEN</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</si>
  <si>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</si>
  <si>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</si>
  <si>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</si>
  <si>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</si>
  <si>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s ohledem na to nepřebírá žádnou záruku za správnost nebo úplnost výpočtových výsledků nebo za z toho odvozené nároky na náhradu škod.</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</si>
  <si>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</si>
  <si>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</si>
  <si>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neručí za správnosť a úplnosť výsledkov výpočtu alebo za náhradu škôd, ktoré na základe nich vzniknú.</t>
  </si>
  <si>
    <t>PREFA is in dezen niet aansprakelijk voor de juistheid of volledigheid van de berekeningsresultaten dan wel hieruit voortvloeiende schadeclaims.</t>
  </si>
  <si>
    <t>PREFA v zvezi s tem ne prevzema nobene odgovornosti za pravilnost ali popolnost rezultatov izračuna ali za odškodninske zahtevke, ki izhajajo iz tega.</t>
  </si>
  <si>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</si>
  <si>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</si>
  <si>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</si>
  <si>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</si>
  <si>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PREFA übernimmt im Hinblick hierauf keinerlei Haftung für die Richtigkeit oder Vollständigkeit der Berechnungsergebnisse oder für hieraus abgeleitete Schadenersatzansprüche.</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</si>
  <si>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</si>
  <si>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</si>
  <si>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</si>
  <si>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</si>
  <si>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nepřejímá záruku za absolutní zamezení škod</t>
  </si>
  <si>
    <t>PREFA nie gwarantuje bezwzględnego zapobiegania szkodom.</t>
  </si>
  <si>
    <t>A PREFA nem vállal garanciát az abszolút kármegelőzésért.</t>
  </si>
  <si>
    <t>PREFA neručí za úplné zabránenie vzniku škôd.</t>
  </si>
  <si>
    <t>De garantie van PREFA omvat geen maatregelen voor volledige schadepreventie.</t>
  </si>
  <si>
    <t>PREFA ne prevzema nobene garancije za absolutno preprečevanje škode.</t>
  </si>
  <si>
    <t>PREFA garanterar inte absolut skadeförebyggande.</t>
  </si>
  <si>
    <t>PREFA påtager sig intet ansvar for ikke absolut skadeforebyggelse.</t>
  </si>
  <si>
    <t>PREFA garanterer ikke absolutt forhindring av skader.</t>
  </si>
  <si>
    <t>PREFA ne garantira apsolutno sprječavanje šteta.</t>
  </si>
  <si>
    <t>PREFA übernimmt keine Garantie für absolute Schadensverhinderung.</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</si>
  <si>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</si>
  <si>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</si>
  <si>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</si>
  <si>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per PREFA questo strumento di calcolo è per il  tecnico specialista un aiuto che non lo esenta dall'obbligo di eseguire un esame indipendente.</t>
  </si>
  <si>
    <t>PREFA považuje výpočtový nástroj jako podporu pro odborné realizátory, která je však nezbavuje povinnosti vlastního přezkoušení návrhu pro každý jednotlivý případ.</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</si>
  <si>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</si>
  <si>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</si>
  <si>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považuje výpočtový nástroj za pomôcku pre odborníkov, ktorá ich však nezbavuje povinnosti preveriť návrh pre každý individuálny prípad.</t>
  </si>
  <si>
    <t>PREFA beschouwt de berekeningstool als hulpmiddel voor vaklieden. De tool ontslaat hen echter niet van de verplichting om voor specifieke gevallen zelfstandig controles uit te voeren.</t>
  </si>
  <si>
    <t>PREFA razume orodje za izračun kot pripomoček za strokovnjaka, ki pa ga v posamičnem primeru ne odvezuje obveznosti za samostojno preverjanje.</t>
  </si>
  <si>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</si>
  <si>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</si>
  <si>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</si>
  <si>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</si>
  <si>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PREFA versteht das Berechnungstool als Hilfestellung an den Fachmann, die diesen aber nicht von der Pflicht zur eigenständigen Prüfung im Einzelfall entbindet.</t>
  </si>
  <si>
    <t>Prix</t>
  </si>
  <si>
    <t>cena</t>
  </si>
  <si>
    <t>Ár</t>
  </si>
  <si>
    <t>Preis exkl.MwSt</t>
  </si>
  <si>
    <t>Price excl. VAT</t>
  </si>
  <si>
    <t>Prix sans TVA</t>
  </si>
  <si>
    <t>prezzo senza IVA</t>
  </si>
  <si>
    <t>cena bez DPH</t>
  </si>
  <si>
    <t>cena bez podatku VAT</t>
  </si>
  <si>
    <t>Nettó ár</t>
  </si>
  <si>
    <t>Cena bez DPH</t>
  </si>
  <si>
    <t>Prijs excl. btw</t>
  </si>
  <si>
    <t>Cena brez DDV</t>
  </si>
  <si>
    <t>Pris exkl. moms</t>
  </si>
  <si>
    <t>Pris ekskl. moms</t>
  </si>
  <si>
    <t>Pris ekskl. mva.</t>
  </si>
  <si>
    <t>Cijena bez PDV-a</t>
  </si>
  <si>
    <t>Preis pro lfm od. Stk</t>
  </si>
  <si>
    <t>Price per rm/pc</t>
  </si>
  <si>
    <t>Prix au mètre ou à la pièce</t>
  </si>
  <si>
    <t>€/metro - €/pezzo</t>
  </si>
  <si>
    <t>cena za bm nebo ks</t>
  </si>
  <si>
    <t>cena za mb lub sztukę</t>
  </si>
  <si>
    <t>Ár / fm, vagy db</t>
  </si>
  <si>
    <t>Cena za bm alebo ks</t>
  </si>
  <si>
    <t>Prijs per strekkende meter of per stuk</t>
  </si>
  <si>
    <t>Cena na tm ali kos</t>
  </si>
  <si>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</si>
  <si>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</si>
  <si>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</si>
  <si>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</si>
  <si>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</si>
  <si>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</si>
  <si>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</si>
  <si>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</si>
  <si>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příliš velká výška</t>
  </si>
  <si>
    <t>Wysokość profilu za wysoka!</t>
  </si>
  <si>
    <t>Túl magas profilok!</t>
  </si>
  <si>
    <t>Príliš veľká výška profilu!</t>
  </si>
  <si>
    <t>Profielhoogte te hoog!</t>
  </si>
  <si>
    <t>Prevelika višina profila!</t>
  </si>
  <si>
    <t>Profilhöjd för hög!</t>
  </si>
  <si>
    <t>Profilhøjde for høj!</t>
  </si>
  <si>
    <t>Profilhøyde for høy!</t>
  </si>
  <si>
    <t>Visina profila previsoka!</t>
  </si>
  <si>
    <t>Rabatt</t>
  </si>
  <si>
    <t>Discount</t>
  </si>
  <si>
    <t>Rabais</t>
  </si>
  <si>
    <t>sconto</t>
  </si>
  <si>
    <t>rabat</t>
  </si>
  <si>
    <t>Kedvezmény</t>
  </si>
  <si>
    <t>Zľava</t>
  </si>
  <si>
    <t>Korting</t>
  </si>
  <si>
    <t>Popust</t>
  </si>
  <si>
    <t>Rabat</t>
  </si>
  <si>
    <t>RAL oder Prefa Farbe:</t>
  </si>
  <si>
    <t>RAL or PREFA colour:</t>
  </si>
  <si>
    <t>Couleur RAL ou PREFA :</t>
  </si>
  <si>
    <t>RAL / colore PREFA:</t>
  </si>
  <si>
    <t>RAL nebo PREFA barva</t>
  </si>
  <si>
    <t>kolor wg RAL lub kolor PREFA:</t>
  </si>
  <si>
    <t>RAL, vagy PREFA szín:</t>
  </si>
  <si>
    <t>RAL alebo PREFA farba:</t>
  </si>
  <si>
    <t>RAL- of PREFA-kleur:</t>
  </si>
  <si>
    <t>Barva RAL ali PREFA:</t>
  </si>
  <si>
    <t>RAL- eller PREFA-färg:</t>
  </si>
  <si>
    <t>RAL- eller PREFA-farve:</t>
  </si>
  <si>
    <t>RAL- eller PREFA-farge:</t>
  </si>
  <si>
    <t>RAL ili PREFA boja:</t>
  </si>
  <si>
    <t>RAL oder PREFA Farbe:</t>
  </si>
  <si>
    <t>Rechts</t>
  </si>
  <si>
    <t>Right</t>
  </si>
  <si>
    <t>droite</t>
  </si>
  <si>
    <t>destra</t>
  </si>
  <si>
    <t>napravo</t>
  </si>
  <si>
    <t>prawo</t>
  </si>
  <si>
    <t>Jobb</t>
  </si>
  <si>
    <t>Vpravo</t>
  </si>
  <si>
    <t>Desno</t>
  </si>
  <si>
    <t>Höger</t>
  </si>
  <si>
    <t>Højre</t>
  </si>
  <si>
    <t>Høyre</t>
  </si>
  <si>
    <t>Rundprofil</t>
  </si>
  <si>
    <t>Round profile</t>
  </si>
  <si>
    <t>profil rond</t>
  </si>
  <si>
    <t>profilo circolare</t>
  </si>
  <si>
    <t>Kruhový profil</t>
  </si>
  <si>
    <t>Profil okrągły (kolumna środkowa)</t>
  </si>
  <si>
    <t>Körprofil</t>
  </si>
  <si>
    <t>Rondprofiel</t>
  </si>
  <si>
    <t>Okrogli profil</t>
  </si>
  <si>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</si>
  <si>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</si>
  <si>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</si>
  <si>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</si>
  <si>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</si>
  <si>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</si>
  <si>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Kruhový profil 50, bez těsnění, vrtaný, bez otřepů</t>
  </si>
  <si>
    <t>Profil okrągły 50 bez uszczelki, nawiercona i okrawana</t>
  </si>
  <si>
    <t>Körprofil 50, tömítés nélkül, furatolva és sorjázva</t>
  </si>
  <si>
    <t>Kruhový profil 50 bez tesnenia, navŕtaný a odhrotovaný</t>
  </si>
  <si>
    <t>Rondprofiel 50 excl. afdichting, geboord en afgebraamd</t>
  </si>
  <si>
    <t>Okrogli profil 50 brez tesnila, z izvrtinami in posnetimi robovi</t>
  </si>
  <si>
    <t>Rundprofil 50 exkl. tätning, borrad och avgradad</t>
  </si>
  <si>
    <t>Rund profil 50 ekskl. tætning, forboret og afgratet</t>
  </si>
  <si>
    <t>Rundprofil 50 ekskl. tetning, boret og avgradet</t>
  </si>
  <si>
    <t>Okrugli profil 50 bez brtve, bušen i s obrađenim rubovima</t>
  </si>
  <si>
    <t>Rundprofil 50 Sonderlänge exkl. Dichtung, (Stangenware)</t>
  </si>
  <si>
    <t>Round profile 50 special length excl. seal, drilled and deburred</t>
  </si>
  <si>
    <t>Profil rond 50, longueur personnalisée, fourni sans joint, percé et ébavuré</t>
  </si>
  <si>
    <t>profilo circolare 50 lunghezza fuori standard, esclusa guarnizione, forato e sbavato</t>
  </si>
  <si>
    <t>Kruhový profil 50, zvláštní délka, bez těsnění,vrtaný, bez otřepů</t>
  </si>
  <si>
    <t>Profil okrągły 50 długość specjalna bez uszczelki, nawiercona i okrawana</t>
  </si>
  <si>
    <t>Körprofil 50,egyedi hosszméret, tömítés nélkül, furatolva és sorjázva</t>
  </si>
  <si>
    <t>Kruhový profil 50, neštandardná dĺžka, bez tesnenia, navŕtaný a odhrotovaný</t>
  </si>
  <si>
    <t>Rondprofiel 50 aangepaste lengte excl. afdichting, geboord en afgebraamd</t>
  </si>
  <si>
    <t>Okrogli profil 50, posebna dolžina, brez tesnila, z izvrtinami in posnetimi robovi</t>
  </si>
  <si>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</si>
  <si>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</si>
  <si>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</si>
  <si>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</si>
  <si>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Rundprofil 50-90° exkl. Dichtung, gebohrt und entgratet</t>
  </si>
  <si>
    <t>Round profile 50–90° excl. seal, drilled and deburred</t>
  </si>
  <si>
    <t>Profil rond 50 (90°), fourni sans joint, percé et ébavuré</t>
  </si>
  <si>
    <t>profilo circolare 50-90°, esclusa guarnizione, forato e sbavato</t>
  </si>
  <si>
    <t>Kruhový profil 50-90°, bez těsnění,vrtaný, bez otřepů</t>
  </si>
  <si>
    <t>Profil okrągły 50-90° bez uszczelki, nawiercony i okrawany</t>
  </si>
  <si>
    <t>Körprofil 50-90° tömítés nélkül, furatolva és sorjázva</t>
  </si>
  <si>
    <t>Kruhový profil 50 – 90° bez tesnenia, navŕtaný a odhrotovaný</t>
  </si>
  <si>
    <t>Rondprofiel 50-90° excl. afdichting, geboord en afgebraamd</t>
  </si>
  <si>
    <t>Okrogli profil 50–90°, brez tesnila, z izvrtinami in posnetimi robovi</t>
  </si>
  <si>
    <t>Rundprofil 50–90° exkl. tätning, borrad och avgradad</t>
  </si>
  <si>
    <t>Rund profil 50-90 ° ekskl. tætning, forboret og afgratet</t>
  </si>
  <si>
    <t>Rundprofil 50-90° ekskl. tetning, boret og avgradet</t>
  </si>
  <si>
    <t>Okrugli profil 50-90° bez brtve, bušen i s obrađenim rubovima</t>
  </si>
  <si>
    <t>Rundprofil 50-90° Sonderlänge exkl. Dichtung, (Stangenware)</t>
  </si>
  <si>
    <t>Round profile 50–90° special length excl. seal, drilled and deburred</t>
  </si>
  <si>
    <t>Profil rond 50 (90°), longueur personnalisée, fourni sans joint, percé et ébavuré</t>
  </si>
  <si>
    <t>profilo circolare 50-90° lunghezza fuori standard, esclusa guarnizione, forato e sbavato</t>
  </si>
  <si>
    <t>Kruhový profil 50-90°, zvláštní délka, bez těsnění, vrtaný, bez otřepů</t>
  </si>
  <si>
    <t>Profil okrągły 50-90° długość specjalna bez uszczelki, nawiercony i okrawany</t>
  </si>
  <si>
    <t>Körprofil 50-90° tömítés nélkül, egyedi hosszméret, furatolva és sorjázva</t>
  </si>
  <si>
    <t>Kruhový profil 50 – 90°, neštandardná dĺžka, bez tesnenia, navŕtaný a odhrotovaný</t>
  </si>
  <si>
    <t>Rondprofiel 50-90° aangepaste lengte excl. afdichting, geboord en afgebraamd</t>
  </si>
  <si>
    <t>Okrogli profil 50–90°, posebna dolžina, brez tesnila, z izvrtinami in posnetimi robovi</t>
  </si>
  <si>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</si>
  <si>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</si>
  <si>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</si>
  <si>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</si>
  <si>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</si>
  <si>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</si>
  <si>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</si>
  <si>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</si>
  <si>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Kruhový profil 50-Vario, bez těsnění, vrtaný, bez otřepů</t>
  </si>
  <si>
    <t>Profil okrągły 50-Vario bez uszczelki, nawiercony i okrawany</t>
  </si>
  <si>
    <t>Körprofil 50-Vario tömítés nélkül, furatolva és sorjázva</t>
  </si>
  <si>
    <t>Kruhový profil 50 – Vario bez tesnenia, navŕtaný a odhrotovaný</t>
  </si>
  <si>
    <t>Rondprofiel 50-Vario excl. afdichting, geboord en afgebraamd</t>
  </si>
  <si>
    <t>Okrogli profil 50-Vario, brez tesnila, z izvrtinami in posnetimi robovi</t>
  </si>
  <si>
    <t>Rundprofil 50-Vario exkl. tätning, borrad och avgradad</t>
  </si>
  <si>
    <t>Rund profil 50-Vario ekskl. tætning, forboret og afgratet</t>
  </si>
  <si>
    <t>Rundprofil 50-Vario ekskl. tetning, boret og avgradet</t>
  </si>
  <si>
    <t>Okrugli profil 50-vario bez brtve, bušen i s obrađenim rubovima</t>
  </si>
  <si>
    <t>Rundprofil 50-Vario Sonderlänge exkl. Dichtung, (Stangenware)</t>
  </si>
  <si>
    <t>Round profile 50 Vario special length excl. seal, drilled and deburred</t>
  </si>
  <si>
    <t>Profil rond 50 (Vario), longueur personnalisée, fourni sans joint, percé et ébavuré</t>
  </si>
  <si>
    <t>profilo circolare 50-vario lunghezza fuori standard, esclusa guarnizione, forato e sbavato</t>
  </si>
  <si>
    <t>Kruhový profil 50-Vario, zvláštní délka, bez těsnění,vrtaný, bez otřepů</t>
  </si>
  <si>
    <t>Profil okrągły 50-Vario, długość specjalna bez uszczelki, nawiercony i okrawany</t>
  </si>
  <si>
    <t>Körprofil 50-Vario tömítés nélkül, egyedi hosszméret, furatolva és sorjázva</t>
  </si>
  <si>
    <t>Kruhový profil 50 – Vario, neštandardná dĺžka, bez tesnenia, navŕtaný a odhrotovaný</t>
  </si>
  <si>
    <t>Rondprofiel 50-Vario aangepaste lengte excl. afdichting, geboord en afgebraamd</t>
  </si>
  <si>
    <t>Okrogli profil 50-Vario, posebna dolžina, brez tesnila, z izvrtinami in posnetimi robovi</t>
  </si>
  <si>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</si>
  <si>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</si>
  <si>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</si>
  <si>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</si>
  <si>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</si>
  <si>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</si>
  <si>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</si>
  <si>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</si>
  <si>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Kruhový profil 80, bez těsnění, vrtaný, bez otřepů</t>
  </si>
  <si>
    <t>Profil okrągły 80 bez uszczelki, nawiercony i okrawany</t>
  </si>
  <si>
    <t>Körprofil 80, tömítés nélkül, furatolva és sorjázva</t>
  </si>
  <si>
    <t>Kruhový profil 80 bez tesnenia, navŕtaný a odhrotovaný</t>
  </si>
  <si>
    <t>Rondprofiel 80 excl. afdichting, geboord en afgebraamd</t>
  </si>
  <si>
    <t>Okrogli profil 80 brez tesnila, z izvrtinami in posnetimi robovi</t>
  </si>
  <si>
    <t>Rundprofil 80 exkl. tätning, borrad och avgradad</t>
  </si>
  <si>
    <t>Rund profil 80 ekskl. tætning, forboret og afgratet</t>
  </si>
  <si>
    <t>Rundprofil 80 ekskl. tetning, boret og avgradet</t>
  </si>
  <si>
    <t>Okrugli profil 80 bez brtve, bušen i s obrađenim rubovima</t>
  </si>
  <si>
    <t>Rundprofil 80 gr. exkl. Dichtung, gebohrt und entgratet</t>
  </si>
  <si>
    <t>Round profile 80 large excl. seal, drilled and deburred</t>
  </si>
  <si>
    <t>Profil rond 80 (grand format), fourni sans joint, percé et ébavuré</t>
  </si>
  <si>
    <t>profilo circolare 80 gr., esclusa guarnizione, forato e sbavato</t>
  </si>
  <si>
    <t>Kruhový profil 80 velký, bez těsnění, vrtaný, bez otřepů</t>
  </si>
  <si>
    <t>Profil okrągły 80 gr. bez uszczelki, nawiercony i okrawany</t>
  </si>
  <si>
    <t>Körprofil 80 nagy, tömítés nélkül, furatolva és sorjázva</t>
  </si>
  <si>
    <t>Kruhový profil 80 veľký, bez tesnenia, navŕtaný a odhrotovaný</t>
  </si>
  <si>
    <t>Rondprofiel 80 groot excl. afdichting, geboord en afgebraamd</t>
  </si>
  <si>
    <t>Okrogli profil 80°, brez tesnila, z izvrtinami in posnetimi robovi</t>
  </si>
  <si>
    <t>Rundprofil 80 stor exkl. tätning, borrad och avgradad</t>
  </si>
  <si>
    <t>Rund profil 80 stor, ekskl. tætning, forboret og afgratet</t>
  </si>
  <si>
    <t>Rundprofil 80 str. ekskl. tetning, boret og avgradet</t>
  </si>
  <si>
    <t>Okrugli profil 80 vel. bez brtve, bušen i s obrađenim rubovima</t>
  </si>
  <si>
    <t>Rundprofil 80 gr. Sonderlänge exkl. Dichtung, (Stangenware)</t>
  </si>
  <si>
    <t>Round profile 80 large special length excl. seal, drilled and deburred</t>
  </si>
  <si>
    <t>Profil rond 80 (grand format), longueur personnalisée, fourni sans joint, percé et ébavuré</t>
  </si>
  <si>
    <t>profilo circolare 80 gr. lunghezza fuori standard, esclusa guarnizione, forato e sbavato</t>
  </si>
  <si>
    <t>Kruhový profil 80 velký, zvláštní délka, bez těsnění, vrtaný, bez otřepů</t>
  </si>
  <si>
    <t>Profil okrągły 80 gr. długość specjalna bez uszczelki, nawiercony i okrawany</t>
  </si>
  <si>
    <t>Körprofil 80 nagy, egyedi hosszméretben, tömítés nélkül, furatolva és sorjázva</t>
  </si>
  <si>
    <t>Kruhový profil 80 veľký, neštandardná dĺžka, bez tesnenia, navŕtaný a odhrotovaný</t>
  </si>
  <si>
    <t>Rondprofiel 80 groot aangepaste lengte excl. afdichting, geboord en afgebraamd</t>
  </si>
  <si>
    <t>Okrogli profil 80°, Posebna dolžina brez tesnila, z izvrtinami in posnetimi robovi</t>
  </si>
  <si>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</si>
  <si>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</si>
  <si>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</si>
  <si>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</si>
  <si>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Rundprofil 80 Sonderlänge exkl. Dichtung, (Stangenware)</t>
  </si>
  <si>
    <t>Round profile 80 special length excl. seal, drilled and deburred</t>
  </si>
  <si>
    <t>Profil rond 80, longueur personnalisée, fourni sans joint, percé et ébavuré</t>
  </si>
  <si>
    <t>profilo circolare 80 lunghezza fuori standard, esclusa guarnizione, forato e sbavato</t>
  </si>
  <si>
    <t>Kruhový profil 80, zvláštní délka, bez těsnění,vrtaný, bez otřepů</t>
  </si>
  <si>
    <t>Profil okrągły 80 gr. Długość specjalna bez uszczelki, nawiercony i okrawany</t>
  </si>
  <si>
    <t>Körprofil 80, egyedi hosszméretben, tömítés nélkül, furatolva és sorjázva</t>
  </si>
  <si>
    <t>Kruhový profil 80, neštandardná dĺžka, bez tesnenia, navŕtaný a odhrotovaný</t>
  </si>
  <si>
    <t>Rondprofiel 80 aangepaste lengte excl. afdichting, geboord en afgebraamd</t>
  </si>
  <si>
    <t>Okrogli profil 80, posebna dolžina, brez tesnila, z izvrtinami in posnetimi robovi</t>
  </si>
  <si>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</si>
  <si>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</si>
  <si>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</si>
  <si>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</si>
  <si>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Rundprofil 80-90° exkl. Dichtung, gebohrt und entgratet</t>
  </si>
  <si>
    <t>Round profile 80–90° excl. seal, drilled and deburred</t>
  </si>
  <si>
    <t>Profil rond 80 (90°), fourni sans joint, percé et ébavuré</t>
  </si>
  <si>
    <t>profilo circolare 80-90°, esclusa guarnizione, forato e sbavato</t>
  </si>
  <si>
    <t>Kruhový profil 80-90°, bez těsnění,vrtaný, bez otřepů</t>
  </si>
  <si>
    <t>Profil okrągły 80-90° bez uszczelki, nawiercony i okrawany</t>
  </si>
  <si>
    <t>Körprofil 80-90° tömítés nélkül, furatolva és sorjázva</t>
  </si>
  <si>
    <t>Kruhový profil 80 – 90° bez tesnenia, navŕtaný a odhrotovaný</t>
  </si>
  <si>
    <t>Rondprofiel 80-90° excl. afdichting, geboord en afgebraamd</t>
  </si>
  <si>
    <t>Okrogli profil 80–90°, brez tesnila, z izvrtinami in posnetimi robovi</t>
  </si>
  <si>
    <t>Rundprofil 80–90° exkl. tätning, borrad och avgradad</t>
  </si>
  <si>
    <t>Rund profil 80-90 ° ekskl. tætning, forboret og afgratet</t>
  </si>
  <si>
    <t>Rundprofil 80-90° ekskl. tetning, boret og avgradet</t>
  </si>
  <si>
    <t>Okrugli profil 80-90° bez brtve, bušen i s obrađenim rubovima</t>
  </si>
  <si>
    <t>Rundprofil 80-90° Sonderlänge exkl. Dichtung, (Stangenware)</t>
  </si>
  <si>
    <t>Round profile 80–90° special length excl. seal, drilled and deburred</t>
  </si>
  <si>
    <t>Profil rond 80 (90°), longueur personnalisée, fourni sans joint, percé et ébavuré</t>
  </si>
  <si>
    <t>profilo circolare 80-90° lunghezza fuori standard, esclusa guarnizione, forato e sbavato</t>
  </si>
  <si>
    <t>Kruhový profil 80-90°, zvláštní délka, bez těsnění, vrtaný, bez otřepů</t>
  </si>
  <si>
    <t>Profil okrągły 80-90° długość specjalna bez uszczelki, nawiercony i okrawany</t>
  </si>
  <si>
    <t>Körprofil 80-90° tömítés nélkül, egyedi hosszméret, furatolva és sorjázva</t>
  </si>
  <si>
    <t>Kruhový profil 80 – 90°, neštandardná dĺžka, bez tesnenia, navŕtaný a odhrotovaný</t>
  </si>
  <si>
    <t>Rondprofiel 80-90° aangepaste lengte excl. afdichting, geboord en afgebraamd</t>
  </si>
  <si>
    <t>Okrogli profil 80–90°, posebna dolžina, brez tesnila, z izvrtinami in posnetimi robovi</t>
  </si>
  <si>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</si>
  <si>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</si>
  <si>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</si>
  <si>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</si>
  <si>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</si>
  <si>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</si>
  <si>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</si>
  <si>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</si>
  <si>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Kruhový profil 80-Vario, bez těsnění, vrtaný, bez otřepů</t>
  </si>
  <si>
    <t>Profil okrągły 80 Vario bez uszczelki, nawiercony i okrawany</t>
  </si>
  <si>
    <t>Körprofil 80-Vario tömítés nélkül, furatolva és sorjázva</t>
  </si>
  <si>
    <t>Kruhový profil 80 – Vario bez tesnenia, navŕtaný a odhrotovaný</t>
  </si>
  <si>
    <t>Rondprofiel 80-Vario excl. afdichting, geboord en afgebraamd</t>
  </si>
  <si>
    <t>Okrogli profil 80-Vario, brez tesnila, z izvrtinami in posnetimi robovi</t>
  </si>
  <si>
    <t>Rundprofil 80-Vario exkl. tätning, borrad och avgradad</t>
  </si>
  <si>
    <t>Rund profil 80-Vario ekskl. tætning, forboret og afgratet</t>
  </si>
  <si>
    <t>Rundprofil 80-Vario ekskl. tetning, boret og avgradet</t>
  </si>
  <si>
    <t>Okrugli profil 80-vario bez brtve, bušen i s obrađenim rubovima</t>
  </si>
  <si>
    <t>Rundprofil 80-Vario Sonderlänge exkl. Dichtung, (Stangenware)</t>
  </si>
  <si>
    <t>Round profile 80 Vario special length excl. seal, drilled and deburred</t>
  </si>
  <si>
    <t>Profil rond 80 (Vario), longueur personnalisée, fourni sans joint, percé et ébavuré</t>
  </si>
  <si>
    <t>profilo circolare 80-vario lunghezza fuori standard, esclusa guarnizione, forato e sbavato</t>
  </si>
  <si>
    <t>Kruhový profil 80-Vario, zvláštní délka, bez těsnění,vrtaný, bez otřepů</t>
  </si>
  <si>
    <t>Profil okrągły 80-Vario, długość specjalna bez uszczelki, nawiercony i okrawany</t>
  </si>
  <si>
    <t>Körprofil 80-Vario tömítés nélkül, egyedi hosszméret, furatolva és sorjázva</t>
  </si>
  <si>
    <t>Kruhový profil 80 – Vario, neštandardná dĺžka, bez tesnenia, navŕtaný a odhrotovaný</t>
  </si>
  <si>
    <t>Rondprofiel 80-Vario aangepaste lengte excl. afdichting, geboord en afgebraamd</t>
  </si>
  <si>
    <t>Okrogli profil 80-Vario, posebna dolžina, brez tesnila, z izvrtinami in posnetimi robovi</t>
  </si>
  <si>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</si>
  <si>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</si>
  <si>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</si>
  <si>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</si>
  <si>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</si>
  <si>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</si>
  <si>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 rond (90°)</t>
  </si>
  <si>
    <t>profilo circolare 90°</t>
  </si>
  <si>
    <t>Kruhový profil 90°</t>
  </si>
  <si>
    <t>Profil okrągły 90°</t>
  </si>
  <si>
    <t>Körprofil 90°</t>
  </si>
  <si>
    <t>Rondprofiel 90°</t>
  </si>
  <si>
    <t>Okrogli profil 90°</t>
  </si>
  <si>
    <t>Rund profil 90 °</t>
  </si>
  <si>
    <t>Okrugli profil 90°</t>
  </si>
  <si>
    <t>Rundprofil Groß</t>
  </si>
  <si>
    <t>Round profile large</t>
  </si>
  <si>
    <t>profil rond (grand format)</t>
  </si>
  <si>
    <t>profilo circolare grande</t>
  </si>
  <si>
    <t>Kruhový profil velký</t>
  </si>
  <si>
    <t>Profil okrągły duży</t>
  </si>
  <si>
    <t>Körprofil nagy</t>
  </si>
  <si>
    <t>Kruhový profil veľký</t>
  </si>
  <si>
    <t>Rondprofiel groot</t>
  </si>
  <si>
    <t>Okrogli profil, velik</t>
  </si>
  <si>
    <t>Rundprofil stor</t>
  </si>
  <si>
    <t>Rund profil, stor</t>
  </si>
  <si>
    <t>Okrugli profil veliki</t>
  </si>
  <si>
    <t>Rundprofil Vario</t>
  </si>
  <si>
    <t>Round profile Vario</t>
  </si>
  <si>
    <t>profil rond (Vario)</t>
  </si>
  <si>
    <t>profilo circolare vario</t>
  </si>
  <si>
    <t>Kruhový profil Vario</t>
  </si>
  <si>
    <t>Profil okrągły Vario</t>
  </si>
  <si>
    <t>Körprofil Vario</t>
  </si>
  <si>
    <t>Kruhový profil Vario</t>
  </si>
  <si>
    <t>Rondprofiel Vario</t>
  </si>
  <si>
    <t>Okrogli profil Vario</t>
  </si>
  <si>
    <t>Rund profil, Vario</t>
  </si>
  <si>
    <t>Okrugli profil vario</t>
  </si>
  <si>
    <t>Side sections</t>
  </si>
  <si>
    <t>Profilé latéral</t>
  </si>
  <si>
    <t>profilo laterale</t>
  </si>
  <si>
    <t>Boční díly</t>
  </si>
  <si>
    <t>Części boczne</t>
  </si>
  <si>
    <t>Oldalsó elemek</t>
  </si>
  <si>
    <t>Bočné diely</t>
  </si>
  <si>
    <t>Zijdelen</t>
  </si>
  <si>
    <r>
      <rPr>
        <sz val="11"/>
        <rFont val="Arial"/>
        <family val="2"/>
      </rPr>
      <t>Stranski deli</t>
    </r>
  </si>
  <si>
    <t>Sidodelar</t>
  </si>
  <si>
    <t>Sidevanger</t>
  </si>
  <si>
    <t>Sidedeler</t>
  </si>
  <si>
    <t>Bočni dijelovi</t>
  </si>
  <si>
    <t>Setzwerkzeug Verbundanker</t>
  </si>
  <si>
    <t>Setting tool embedded anchor</t>
  </si>
  <si>
    <t>Outil de pose pour dispositif d’ancrage</t>
  </si>
  <si>
    <t>Ancorante chimico</t>
  </si>
  <si>
    <t>Osazovací nástroj pro chemické patrony</t>
  </si>
  <si>
    <t>Narzędzie do ustawiania kotew zespolonych</t>
  </si>
  <si>
    <t>Lehorgonyzóelem elhelyezőszerszám</t>
  </si>
  <si>
    <t>Osadzovací nástroj na spájaciu kotvu</t>
  </si>
  <si>
    <t>Plaatsingsgereedschap verbindingsanker</t>
  </si>
  <si>
    <t>Montažno orodje za sidranje</t>
  </si>
  <si>
    <t>Monteringsverktyg för kemankare</t>
  </si>
  <si>
    <t>Indstillingsværktøj kompositankre</t>
  </si>
  <si>
    <t>Setteverktøy kompoundanker</t>
  </si>
  <si>
    <t>Alat za postavljanje spojnih sidra</t>
  </si>
  <si>
    <t>Sicherungsschraube Abdeckung:</t>
  </si>
  <si>
    <t>locking screw cover:</t>
  </si>
  <si>
    <t>Vis de sécurité pour cache de protection :</t>
  </si>
  <si>
    <t>vite di sicurezza copertura:</t>
  </si>
  <si>
    <t>Fixační šroub krytu:</t>
  </si>
  <si>
    <t>Śruba blokująca pokrywę:</t>
  </si>
  <si>
    <t>Takaróelem biztosítócsavar:</t>
  </si>
  <si>
    <t>Poistná skrutka krycieho profilu:</t>
  </si>
  <si>
    <t>Borgbout afdekking:</t>
  </si>
  <si>
    <r>
      <rPr>
        <sz val="11"/>
        <rFont val="Arial"/>
        <family val="2"/>
      </rPr>
      <t>Varnostni vijak za pokrov:</t>
    </r>
  </si>
  <si>
    <t>Skruv, Täckplåt</t>
  </si>
  <si>
    <t>Holdeskrue dæksel:</t>
  </si>
  <si>
    <t>Låseskrue tildekking:</t>
  </si>
  <si>
    <t>Sigurnosni vijak pokrova:</t>
  </si>
  <si>
    <t>Sicherungsschraube für Abdeckung</t>
  </si>
  <si>
    <t>locking screw for cover</t>
  </si>
  <si>
    <t>vis de sécurité pour cache de protection</t>
  </si>
  <si>
    <t>vite di sicurezza per la copertura</t>
  </si>
  <si>
    <t>fixační šroub pro kryt</t>
  </si>
  <si>
    <t>Śruba blokująca do pokrywy</t>
  </si>
  <si>
    <t>Takaróelem biztosítócsavar</t>
  </si>
  <si>
    <t>Poistná skrutka krycieho profilu</t>
  </si>
  <si>
    <t>Borgbout voor afdekking</t>
  </si>
  <si>
    <r>
      <rPr>
        <sz val="11"/>
        <rFont val="Arial"/>
        <family val="2"/>
      </rPr>
      <t>Varnostni vijak za pokrov</t>
    </r>
  </si>
  <si>
    <t>Skruv till Täckplåt</t>
  </si>
  <si>
    <t>Holdeskrue til dæksel:</t>
  </si>
  <si>
    <t>Låseskrue for tildekking</t>
  </si>
  <si>
    <t>Sigurnosni vijak za pokrov</t>
  </si>
  <si>
    <t>Sonderkosten</t>
  </si>
  <si>
    <t>Special costs</t>
  </si>
  <si>
    <t>Frais spéciaux</t>
  </si>
  <si>
    <t>costi extra</t>
  </si>
  <si>
    <t>zvláštní náklady</t>
  </si>
  <si>
    <t>Koszty specjalne</t>
  </si>
  <si>
    <t>Felárak</t>
  </si>
  <si>
    <t>Mimoriadne náklady</t>
  </si>
  <si>
    <t>Speciale kosten</t>
  </si>
  <si>
    <r>
      <rPr>
        <sz val="11"/>
        <rFont val="Arial"/>
        <family val="2"/>
      </rPr>
      <t>Posebni stroški</t>
    </r>
  </si>
  <si>
    <t>Särskilda kostnader</t>
  </si>
  <si>
    <t>Særlige omkostninger</t>
  </si>
  <si>
    <t>Spesialkostnader</t>
  </si>
  <si>
    <t>Posebni troškovi</t>
  </si>
  <si>
    <t>Sonderrabatt</t>
  </si>
  <si>
    <t>Special discount</t>
  </si>
  <si>
    <t>Rabais spéciale</t>
  </si>
  <si>
    <t>sconto speciale</t>
  </si>
  <si>
    <t>zvláštní rabat</t>
  </si>
  <si>
    <t>Rabat specjalny</t>
  </si>
  <si>
    <t>Egyedi kedvezmény</t>
  </si>
  <si>
    <t>Mimoriadna zľava</t>
  </si>
  <si>
    <t>Speciale korting</t>
  </si>
  <si>
    <t>Posebni popust</t>
  </si>
  <si>
    <t>Särskild rabatt</t>
  </si>
  <si>
    <t>Særrabat</t>
  </si>
  <si>
    <t>Spesialrabatt</t>
  </si>
  <si>
    <t>Posebni rabat</t>
  </si>
  <si>
    <t>Spannstück mit Sechskantschraube</t>
  </si>
  <si>
    <t>compression clamp with hex-head screw</t>
  </si>
  <si>
    <t>Pièce de serrage avec vis à six pans</t>
  </si>
  <si>
    <t>Elemento di bloccaggio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</si>
  <si>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</si>
  <si>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</si>
  <si>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</si>
  <si>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</si>
  <si>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</si>
  <si>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</si>
  <si>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</si>
  <si>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</si>
  <si>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</si>
  <si>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</si>
  <si>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</si>
  <si>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Spannstück mit Sechskantschraube:</t>
  </si>
  <si>
    <t>compression clamp with hex-head screw:</t>
  </si>
  <si>
    <t>Pièce de serrage avec vis à six pans :</t>
  </si>
  <si>
    <t>Elemento di bloccaggio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</si>
  <si>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</si>
  <si>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</si>
  <si>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</si>
  <si>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</si>
  <si>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</si>
  <si>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</si>
  <si>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</si>
  <si>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</si>
  <si>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</si>
  <si>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</si>
  <si>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</si>
  <si>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Spannstück mit Sterngriff</t>
  </si>
  <si>
    <t>compression clamp with star grip screw</t>
  </si>
  <si>
    <t>Pièce de serrage à poignée étoile</t>
  </si>
  <si>
    <t>Elemento di bloccaggio con manopola a stella</t>
  </si>
  <si>
    <t>Napínák s hvězdicovým kolečkem</t>
  </si>
  <si>
    <t>Element dociskowy z uchwytem gwiazdkowym</t>
  </si>
  <si>
    <t>Feszítőelem csillagmarkolattal</t>
  </si>
  <si>
    <t>Upevňovacia zarážka s hviezdicovým úchopom</t>
  </si>
  <si>
    <t>Fixeerstuk met sterknop</t>
  </si>
  <si>
    <t>Vpenjalni kos z zvezdastim gumbom</t>
  </si>
  <si>
    <t>Spännstycke med stjärngrepp</t>
  </si>
  <si>
    <t>Spændestykke med stjerneformet greb</t>
  </si>
  <si>
    <t>KLEMSTYKKE SIDE med stjernegrep</t>
  </si>
  <si>
    <t>Zatezni element sa zvjezdastom ručkom</t>
  </si>
  <si>
    <t>Spannstück mit Sterngriff:</t>
  </si>
  <si>
    <t>compression clamp with star grip screw:</t>
  </si>
  <si>
    <t>Pièce de serrage à poignée étoile :</t>
  </si>
  <si>
    <t>Elemento di bloccaggio con manopola a stella:</t>
  </si>
  <si>
    <t>Napínák s hvězdicovým kolečkem:</t>
  </si>
  <si>
    <t>Element dociskowy z uchwytem gwiazdkowym:</t>
  </si>
  <si>
    <t>Feszítőelem csillagmarkolattal:</t>
  </si>
  <si>
    <t>Upevňovacia zarážka s hviezdicovým úchopom:</t>
  </si>
  <si>
    <t>Fixeerstuk met sterknop:</t>
  </si>
  <si>
    <r>
      <rPr>
        <sz val="11"/>
        <rFont val="Arial"/>
        <family val="2"/>
      </rPr>
      <t>Vpenjalni kos z zvezdastim gumbom:</t>
    </r>
  </si>
  <si>
    <t>Spännstycke med stjärngrepp:</t>
  </si>
  <si>
    <t>Spændestykke med stjerneformet greb:</t>
  </si>
  <si>
    <t>KLEMSTYKKE SIDE med stjernegrep:</t>
  </si>
  <si>
    <t>Zatezni element sa zvjezdastom ručkom:</t>
  </si>
  <si>
    <t>Spannung  infolge Treibgut:</t>
  </si>
  <si>
    <t>Pressure due to flotsam:</t>
  </si>
  <si>
    <t>Tension générée par les débris flottants :</t>
  </si>
  <si>
    <t>Tensione da detriti:</t>
  </si>
  <si>
    <t>Napětí od plovoucího předmětu:</t>
  </si>
  <si>
    <t>Naprężenie związane z naniesionym materiałem:</t>
  </si>
  <si>
    <t>Uszadék okozta feszültség:</t>
  </si>
  <si>
    <t>Napätie v dôsledku plávajúceho predmetu:</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</si>
  <si>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</si>
  <si>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</si>
  <si>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</si>
  <si>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</si>
  <si>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</si>
  <si>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</si>
  <si>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</si>
  <si>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</si>
  <si>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</si>
  <si>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Tensione HD:</t>
  </si>
  <si>
    <t>Napětí HD:</t>
  </si>
  <si>
    <t>Naprężenie HD:</t>
  </si>
  <si>
    <t>HD feszültség:</t>
  </si>
  <si>
    <t>Napätie HD:</t>
  </si>
  <si>
    <t>Spanning HD:</t>
  </si>
  <si>
    <t>Napetost HD:</t>
  </si>
  <si>
    <t>Spänning HD:</t>
  </si>
  <si>
    <t>Spænding HD:</t>
  </si>
  <si>
    <t>Spenning HD:</t>
  </si>
  <si>
    <t>Naprezanje HD:</t>
  </si>
  <si>
    <t>Spannung HD+HS:</t>
  </si>
  <si>
    <t>Pressure HD + HS:</t>
  </si>
  <si>
    <t>Tension HD + HS :</t>
  </si>
  <si>
    <t>Tensione HD+HS:</t>
  </si>
  <si>
    <t>Napětí HD+HS:</t>
  </si>
  <si>
    <t>Naprężenie HD+HS:</t>
  </si>
  <si>
    <t>HD+HS feszültség:</t>
  </si>
  <si>
    <t>Napätie HD+HS:</t>
  </si>
  <si>
    <t>Spanning HD+HS:</t>
  </si>
  <si>
    <t>Napetost HD+HS:</t>
  </si>
  <si>
    <t>Spänning HD+HS:</t>
  </si>
  <si>
    <t>Spænding HD+HS:</t>
  </si>
  <si>
    <t>Spenning HD+HS:</t>
  </si>
  <si>
    <t>Naprezanje HD+HS:</t>
  </si>
  <si>
    <t>Spannung HS:</t>
  </si>
  <si>
    <t>Pressure HS:</t>
  </si>
  <si>
    <t>Tension HS :</t>
  </si>
  <si>
    <t>Tensione HS:</t>
  </si>
  <si>
    <t>Napětí HS:</t>
  </si>
  <si>
    <t>Naprężenie HS:</t>
  </si>
  <si>
    <t>HS feszültség:</t>
  </si>
  <si>
    <t>Napätie HS:</t>
  </si>
  <si>
    <t>Spanning HS:</t>
  </si>
  <si>
    <t>Napetost HS:</t>
  </si>
  <si>
    <t>Spänning HS:</t>
  </si>
  <si>
    <t>Spænding HS:</t>
  </si>
  <si>
    <t>Spenning HS:</t>
  </si>
  <si>
    <t>Naprezanje HS:</t>
  </si>
  <si>
    <t>Spannung infolge Treibgut:</t>
  </si>
  <si>
    <t>Naprężenia związane z naniesionym materiałem:</t>
  </si>
  <si>
    <t>Spänning p.g.a. flytande skräp:</t>
  </si>
  <si>
    <t>Spenning iht. drivgods:</t>
  </si>
  <si>
    <t>Spannung zufolge</t>
  </si>
  <si>
    <t>Pressure due to</t>
  </si>
  <si>
    <t>en fonction de la tension</t>
  </si>
  <si>
    <t>Tensione da</t>
  </si>
  <si>
    <t>Napětí od</t>
  </si>
  <si>
    <t>W zależności od naprężenia</t>
  </si>
  <si>
    <t>Feszültség a köv. következtében:</t>
  </si>
  <si>
    <t>Napätie v dôsledku</t>
  </si>
  <si>
    <t>Spanning overeenkomstig</t>
  </si>
  <si>
    <t>Napetost zaradi</t>
  </si>
  <si>
    <t>Spänning beroende på</t>
  </si>
  <si>
    <t>Spænding som følge af</t>
  </si>
  <si>
    <t>Spenning iht.</t>
  </si>
  <si>
    <t>Naprezanje prema</t>
  </si>
  <si>
    <t>Spannung:</t>
  </si>
  <si>
    <t>Pressure:</t>
  </si>
  <si>
    <t>Tension :</t>
  </si>
  <si>
    <t>Tensione:</t>
  </si>
  <si>
    <t>Napětí:</t>
  </si>
  <si>
    <t>Naprężenie:</t>
  </si>
  <si>
    <t>Feszültség:</t>
  </si>
  <si>
    <t>Napätie:</t>
  </si>
  <si>
    <t>Spanning:</t>
  </si>
  <si>
    <t>Napetost:</t>
  </si>
  <si>
    <t>Spänning:</t>
  </si>
  <si>
    <t>Spænding:</t>
  </si>
  <si>
    <t>Spenning:</t>
  </si>
  <si>
    <t>Naprezanje:</t>
  </si>
  <si>
    <t>Statik</t>
  </si>
  <si>
    <t>STATIC</t>
  </si>
  <si>
    <t>STATIQUE</t>
  </si>
  <si>
    <t>Statica</t>
  </si>
  <si>
    <t>STATIKA</t>
  </si>
  <si>
    <t>STATYKA</t>
  </si>
  <si>
    <t>STATICA</t>
  </si>
  <si>
    <t>STATIK</t>
  </si>
  <si>
    <t>STATIKK</t>
  </si>
  <si>
    <t>Statik Dammbalken</t>
  </si>
  <si>
    <t>STATICS BARRIER PANELS</t>
  </si>
  <si>
    <t>STATIQUE DES BATARDEAUX</t>
  </si>
  <si>
    <t>Statica sponde</t>
  </si>
  <si>
    <t>STATIKA HRÁZNÍCH BLOKŮ</t>
  </si>
  <si>
    <t>WARTOŚĆ STATYCZNA DLA BELKI ZAPOROWEJ</t>
  </si>
  <si>
    <t>GÁTGERENDA STATIKAI</t>
  </si>
  <si>
    <t>STATIKA HRADIDLA</t>
  </si>
  <si>
    <t>STATICA DAMBALK</t>
  </si>
  <si>
    <t>STATIKA ZAJEZITVENI PREČNIK</t>
  </si>
  <si>
    <t>STATIK BJÄLKSÄTT</t>
  </si>
  <si>
    <t>STATIK DÆMPNINGSBJÆLKER</t>
  </si>
  <si>
    <t>STATIKK BJELKESTENGSEL</t>
  </si>
  <si>
    <t>STATIKA BRANE DASKE</t>
  </si>
  <si>
    <t>Statik Rundsteher</t>
  </si>
  <si>
    <t>STATICS ROUND COLUMN</t>
  </si>
  <si>
    <t>STATIQUE DES POTEAUX RONDS</t>
  </si>
  <si>
    <t>Statica montante circolare</t>
  </si>
  <si>
    <t>STATIKA KRUHOVÉHO SLOUPKU</t>
  </si>
  <si>
    <t>WARTOŚĆ STATYCZNA DLA SŁUPKA PIONOWEGO</t>
  </si>
  <si>
    <t>OSZLOP STATIKAI</t>
  </si>
  <si>
    <t>STATIKA OKRÚHLEHO STĹPU</t>
  </si>
  <si>
    <t>STATICA RONDE PIJLER</t>
  </si>
  <si>
    <t>STATIKA OKROGLI NOSILEC</t>
  </si>
  <si>
    <t>STATIK RUNDPÅLE</t>
  </si>
  <si>
    <t>STATIK RUNDPÆLE</t>
  </si>
  <si>
    <t>STATIKK RUNDBUKK</t>
  </si>
  <si>
    <t>STATIKA OKRUGLOG STUPA</t>
  </si>
  <si>
    <t>Statische Ausnutzung Dammbalken in %</t>
  </si>
  <si>
    <t>Static utilisation of barrier panel in %</t>
  </si>
  <si>
    <t>Charge statique des batardeaux en %</t>
  </si>
  <si>
    <t>Statické využití hrázních bloků v %</t>
  </si>
  <si>
    <t>Statyczne wykorzystanie belek w %</t>
  </si>
  <si>
    <t>Gátgerenda statikai kihasználtsága %-ban</t>
  </si>
  <si>
    <t>Statické využitie hradidiel v %</t>
  </si>
  <si>
    <t>Statische benutting dambalk in %</t>
  </si>
  <si>
    <t>Statični izkoristek zajezitvene lamele v %</t>
  </si>
  <si>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</si>
  <si>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</si>
  <si>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</si>
  <si>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</si>
  <si>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</si>
  <si>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</si>
  <si>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</si>
  <si>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Statické využití sloupků v %</t>
  </si>
  <si>
    <t>Statische Ausnutzung Steher in %_DE</t>
  </si>
  <si>
    <t>Oszlopok statikai kihasználtsága %-ban</t>
  </si>
  <si>
    <t>Statické využitie stĺpov v %</t>
  </si>
  <si>
    <t>Statische benutting pijler in %</t>
  </si>
  <si>
    <t>Statični izkoristek stojal v %</t>
  </si>
  <si>
    <t>Statiskt utnyttjande av stolpe i %</t>
  </si>
  <si>
    <t>Statistisk udnyttelse af lukker i %</t>
  </si>
  <si>
    <t>Statisk utnyttelse av stopper i %</t>
  </si>
  <si>
    <t>Statičko iskorištenje stupa u %</t>
  </si>
  <si>
    <t>Statische Berechnung</t>
  </si>
  <si>
    <t>Static calculation</t>
  </si>
  <si>
    <t>Calcul statique</t>
  </si>
  <si>
    <t>calcolo statico</t>
  </si>
  <si>
    <t>Statický výpočet</t>
  </si>
  <si>
    <t>Obliczenia statyczne</t>
  </si>
  <si>
    <t>Statikai számítás</t>
  </si>
  <si>
    <t>Výpočet statiky</t>
  </si>
  <si>
    <t>Statische berekening</t>
  </si>
  <si>
    <t>Statični izračun</t>
  </si>
  <si>
    <t>Statisk beräkning</t>
  </si>
  <si>
    <t>Statisk beregning</t>
  </si>
  <si>
    <t>Statički proračun</t>
  </si>
  <si>
    <t>Stauhöhe (BHW) [mm]:</t>
  </si>
  <si>
    <t>Design flood (BHW) [mm]:</t>
  </si>
  <si>
    <t>Hauteur de retenue d’eau [mm] :</t>
  </si>
  <si>
    <t>Altezza di accumulo (BHW) [mm]:</t>
  </si>
  <si>
    <t>Výška vzdutí (BHW) [mm]:</t>
  </si>
  <si>
    <t>Wysokość zapory(BHW) [mm]:</t>
  </si>
  <si>
    <t>Árvízszint (MÁSZ) [mm]:</t>
  </si>
  <si>
    <t>Výška hladiny (BHW) [mm]:</t>
  </si>
  <si>
    <t>Stuwhoogte (maatgevende hoogwaterstand) [mm]:</t>
  </si>
  <si>
    <t>Zajezitvena višina (Visoka voda za dimenzioniranje) [mm]:</t>
  </si>
  <si>
    <t>Uppdämningshöjd (BHW) [mm]:</t>
  </si>
  <si>
    <t>Normal vandstandshøjde (BHW) [mm]:</t>
  </si>
  <si>
    <t>Stablehøyde (BHW) [mm]:</t>
  </si>
  <si>
    <t>Usporna visina (BHW) [mm]:</t>
  </si>
  <si>
    <t>Std</t>
  </si>
  <si>
    <t>hrs</t>
  </si>
  <si>
    <t>h</t>
  </si>
  <si>
    <t>ore</t>
  </si>
  <si>
    <t>hod.</t>
  </si>
  <si>
    <t>godziny</t>
  </si>
  <si>
    <t>Óra</t>
  </si>
  <si>
    <t>hod</t>
  </si>
  <si>
    <t>Uur</t>
  </si>
  <si>
    <t>Ure</t>
  </si>
  <si>
    <t>Tim.</t>
  </si>
  <si>
    <t>Timer</t>
  </si>
  <si>
    <t>Stan.</t>
  </si>
  <si>
    <t>Steher Nr.</t>
  </si>
  <si>
    <t>Support no</t>
  </si>
  <si>
    <t>Nº de poteau</t>
  </si>
  <si>
    <t>nr. profilo circolare</t>
  </si>
  <si>
    <t>Sloupek Nr.</t>
  </si>
  <si>
    <t>Nr pala</t>
  </si>
  <si>
    <t>Oszlop ssz.</t>
  </si>
  <si>
    <t>Stĺp č.</t>
  </si>
  <si>
    <t>Pijler nr.</t>
  </si>
  <si>
    <t>Stojalo št.</t>
  </si>
  <si>
    <r>
      <rPr>
        <sz val="11"/>
        <rFont val="Arial"/>
        <family val="2"/>
      </rPr>
      <t xml:space="preserve">Stolpe </t>
    </r>
    <r>
      <rPr>
        <sz val="11"/>
        <color theme="1"/>
        <rFont val="Arial"/>
        <family val="2"/>
      </rPr>
      <t>nr</t>
    </r>
  </si>
  <si>
    <t>Lukker nr.</t>
  </si>
  <si>
    <t>Stopper nr.</t>
  </si>
  <si>
    <t>Br. stupova</t>
  </si>
  <si>
    <t>Stk</t>
  </si>
  <si>
    <t>pcs</t>
  </si>
  <si>
    <t>pezzo</t>
  </si>
  <si>
    <t>Db.</t>
  </si>
  <si>
    <t>Stuks</t>
  </si>
  <si>
    <t>Kos</t>
  </si>
  <si>
    <t>St.</t>
  </si>
  <si>
    <t>Kom</t>
  </si>
  <si>
    <t>Streckgrenze Rp 0,2:</t>
  </si>
  <si>
    <t>Yield Strength Rp 0.2:</t>
  </si>
  <si>
    <t>Limite d’élasticité Rp 0,2 :</t>
  </si>
  <si>
    <t>Snervamento Rp 0,2:</t>
  </si>
  <si>
    <t>Mez kluzu Rp 0,2:</t>
  </si>
  <si>
    <t>Folyáshatár Rp 0,2:</t>
  </si>
  <si>
    <t>Medza klzu Rp 0,2:</t>
  </si>
  <si>
    <t>Rekgrens Rp 0,2:</t>
  </si>
  <si>
    <t>Meja raztezanja Rp 0,2:</t>
  </si>
  <si>
    <t>Resttöjningsgräns Rp 0,2:</t>
  </si>
  <si>
    <t>Strækgrænse Rp 0,2:</t>
  </si>
  <si>
    <t>Strekkgrense Rp 0,2:</t>
  </si>
  <si>
    <t>Granica rastezanja Rp 0,2:</t>
  </si>
  <si>
    <t>Stück</t>
  </si>
  <si>
    <t>pièce(s)</t>
  </si>
  <si>
    <t>kusy</t>
  </si>
  <si>
    <t>sztuk</t>
  </si>
  <si>
    <t>Darab</t>
  </si>
  <si>
    <t>Kus</t>
  </si>
  <si>
    <t>Styck</t>
  </si>
  <si>
    <t>Stykke</t>
  </si>
  <si>
    <t>Stykk</t>
  </si>
  <si>
    <t>Komada</t>
  </si>
  <si>
    <t>Stützweite / Durchbiegung HD:</t>
  </si>
  <si>
    <t>Span / Deflection HD:</t>
  </si>
  <si>
    <t>Distance entre appuis / flèche HD :</t>
  </si>
  <si>
    <t>Campata / Freccia HD:</t>
  </si>
  <si>
    <t>Rozpětí / Průhyb HD:</t>
  </si>
  <si>
    <t>Rozpiętość podpory / ugięcie HD:</t>
  </si>
  <si>
    <t>Fesztáv / kihajlás HD:</t>
  </si>
  <si>
    <t>Rozpätie/prehyb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</si>
  <si>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</si>
  <si>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</si>
  <si>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</si>
  <si>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</si>
  <si>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</si>
  <si>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</si>
  <si>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</si>
  <si>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</si>
  <si>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</si>
  <si>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Campata / Freccia HD+HS:</t>
  </si>
  <si>
    <t>Rozpětí / Průhyb HD+HS:</t>
  </si>
  <si>
    <t>Rozpiętość podpory / ugięcie HD+HS:</t>
  </si>
  <si>
    <t>Fesztáv / kihajlás HD+HS:</t>
  </si>
  <si>
    <t>Rozpätie/prehyb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</si>
  <si>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</si>
  <si>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</si>
  <si>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</si>
  <si>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</si>
  <si>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</si>
  <si>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</si>
  <si>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</si>
  <si>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</si>
  <si>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</si>
  <si>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Campata / Freccia HS:</t>
  </si>
  <si>
    <t>Rozpětí / Průhyb HS:</t>
  </si>
  <si>
    <t>Rozpiętość podpory / ugięcie HS:</t>
  </si>
  <si>
    <t>Fesztáv / kihajlás HS:</t>
  </si>
  <si>
    <t>Rozpätie/prehyb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</si>
  <si>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</si>
  <si>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</si>
  <si>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</si>
  <si>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</si>
  <si>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</si>
  <si>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</si>
  <si>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</si>
  <si>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</si>
  <si>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</si>
  <si>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Campata / Freccia:</t>
  </si>
  <si>
    <t>Rozpětí / Průhyb:</t>
  </si>
  <si>
    <t>Rozpiętość podpory / ugięcie:</t>
  </si>
  <si>
    <t>Fesztáv / kihajlás:</t>
  </si>
  <si>
    <t>Rozpätie/prehyb:</t>
  </si>
  <si>
    <t>Overspanning / doorbuiging:</t>
  </si>
  <si>
    <t>Oporna širina/upogibanje:</t>
  </si>
  <si>
    <t>Hållarbredd/nedböjning:</t>
  </si>
  <si>
    <t>Støttevidde/nedbøjning:</t>
  </si>
  <si>
    <t>Støttebredde/nedbøyning:</t>
  </si>
  <si>
    <t>Razmak potpornja / progib:</t>
  </si>
  <si>
    <t>System 25:</t>
  </si>
  <si>
    <t>Système 25 :</t>
  </si>
  <si>
    <t>sistema 25:</t>
  </si>
  <si>
    <t>Systém 25</t>
  </si>
  <si>
    <t>25-s rendszer</t>
  </si>
  <si>
    <t>Systém 25:</t>
  </si>
  <si>
    <t>Systeem 25:</t>
  </si>
  <si>
    <t>Sistem 25:</t>
  </si>
  <si>
    <t>Sustav 25:</t>
  </si>
  <si>
    <t>System 50 + 80:</t>
  </si>
  <si>
    <t>Système 50 + 80 :</t>
  </si>
  <si>
    <t>sistema 50 + 80:</t>
  </si>
  <si>
    <t>Systém 50 + 80</t>
  </si>
  <si>
    <t>50 + 80-s rendszer</t>
  </si>
  <si>
    <t>Systém 50 + 80:</t>
  </si>
  <si>
    <t>Systeem 50 + 80:</t>
  </si>
  <si>
    <t>Sistem 50 + 80:</t>
  </si>
  <si>
    <t>Sustav 50 + 80:</t>
  </si>
  <si>
    <t>System 50:</t>
  </si>
  <si>
    <t>Système 50 :</t>
  </si>
  <si>
    <t>sistema 50:</t>
  </si>
  <si>
    <t>Systém 50</t>
  </si>
  <si>
    <t>50-s rendszer</t>
  </si>
  <si>
    <t>Systém 50:</t>
  </si>
  <si>
    <t>Systeem 50:</t>
  </si>
  <si>
    <t>Sistem 50:</t>
  </si>
  <si>
    <t>Sustav 50:</t>
  </si>
  <si>
    <t>System 80:</t>
  </si>
  <si>
    <t>Système 80 :</t>
  </si>
  <si>
    <t>sistema 80:</t>
  </si>
  <si>
    <t>Systém 80</t>
  </si>
  <si>
    <t>80-s rendszer</t>
  </si>
  <si>
    <t>Systém 80:</t>
  </si>
  <si>
    <t>Systeem 80:</t>
  </si>
  <si>
    <t>Sistem 80:</t>
  </si>
  <si>
    <t>Sustav 80:</t>
  </si>
  <si>
    <t>t</t>
  </si>
  <si>
    <t>d</t>
  </si>
  <si>
    <t>Tage)</t>
  </si>
  <si>
    <t>days to go)</t>
  </si>
  <si>
    <t xml:space="preserve">jours), </t>
  </si>
  <si>
    <t>giorni)</t>
  </si>
  <si>
    <t>dny)</t>
  </si>
  <si>
    <t>dni)</t>
  </si>
  <si>
    <t>napig)</t>
  </si>
  <si>
    <t>dní)</t>
  </si>
  <si>
    <t>dagen)</t>
  </si>
  <si>
    <t>dagar)</t>
  </si>
  <si>
    <t>dage)</t>
  </si>
  <si>
    <t>dager)</t>
  </si>
  <si>
    <t>dana)</t>
  </si>
  <si>
    <t>Teilsicherheit Last:</t>
  </si>
  <si>
    <t>Partial safety load:</t>
  </si>
  <si>
    <t>Sécurité partielle (charge) :</t>
  </si>
  <si>
    <t>Carico sicurezza parziale:</t>
  </si>
  <si>
    <t>součinitel bezpečnosti zatížení:</t>
  </si>
  <si>
    <t>Minimalna wytrzymałość, obciążenie</t>
  </si>
  <si>
    <t>Teher részbiztonsági tényező::</t>
  </si>
  <si>
    <t>Koeficient bezpečnosti zaťaženia:</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</si>
  <si>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</si>
  <si>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</si>
  <si>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</si>
  <si>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</si>
  <si>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</si>
  <si>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</si>
  <si>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</si>
  <si>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</si>
  <si>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</si>
  <si>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Materiale sicurezza parziale:</t>
  </si>
  <si>
    <t>součinitel bezpečnosti materiálu:</t>
  </si>
  <si>
    <t>Minimalna wytrzymałość, materiał</t>
  </si>
  <si>
    <t>Alapanyag részbiztonsági tényező:</t>
  </si>
  <si>
    <t>Koeficient bezpečnosti materiálu:</t>
  </si>
  <si>
    <t>Partiële factor materiaal:</t>
  </si>
  <si>
    <t>Varnost delov material:</t>
  </si>
  <si>
    <t>Delsäkerhet material:</t>
  </si>
  <si>
    <t>Delsikkerhed materiale:</t>
  </si>
  <si>
    <t>Delsikkerhet material:</t>
  </si>
  <si>
    <t>Djelomična sigurnost materijal:</t>
  </si>
  <si>
    <t>Tragsicherheit</t>
  </si>
  <si>
    <t>Load safety</t>
  </si>
  <si>
    <t>Coefficient de sécurité</t>
  </si>
  <si>
    <t>stato limite ultimo</t>
  </si>
  <si>
    <t>Únosnost</t>
  </si>
  <si>
    <t>bezpieczeństwo nośności</t>
  </si>
  <si>
    <t>Teherbírási biztonság</t>
  </si>
  <si>
    <t>Bezpečnosť záťaže</t>
  </si>
  <si>
    <t>Constructieve veiligheid</t>
  </si>
  <si>
    <t>Nosilna zanesljivost</t>
  </si>
  <si>
    <r>
      <rPr>
        <sz val="11"/>
        <rFont val="Arial"/>
        <family val="2"/>
      </rPr>
      <t xml:space="preserve">Strukturell </t>
    </r>
    <r>
      <rPr>
        <sz val="11"/>
        <color theme="1"/>
        <rFont val="Arial"/>
        <family val="2"/>
      </rPr>
      <t>säkerhet</t>
    </r>
  </si>
  <si>
    <t>Strukturel sikkerhed</t>
  </si>
  <si>
    <t>Bæresikkerhet</t>
  </si>
  <si>
    <t>Strukturalna sigurnost</t>
  </si>
  <si>
    <t>Tragsicherheitsauslastung</t>
  </si>
  <si>
    <t>Treibgut</t>
  </si>
  <si>
    <t>Flotsam</t>
  </si>
  <si>
    <t>débris flottants</t>
  </si>
  <si>
    <t>Detriti</t>
  </si>
  <si>
    <t>Plovoucí předmět</t>
  </si>
  <si>
    <t>Naniesiony materiał</t>
  </si>
  <si>
    <t>Uszadék</t>
  </si>
  <si>
    <t>Plávajúci predmet</t>
  </si>
  <si>
    <t>Drijfmateriaal</t>
  </si>
  <si>
    <t>Naplavine</t>
  </si>
  <si>
    <t>Drivende genstande</t>
  </si>
  <si>
    <t>Drivgods</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</si>
  <si>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</si>
  <si>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</si>
  <si>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</si>
  <si>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</si>
  <si>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těsnění, před ostění, vrtaný, bez otřepů</t>
  </si>
  <si>
    <t>U-Profil 25 bez uszczelki, przed otworem, nawiercona i okrawana</t>
  </si>
  <si>
    <t>U-Profil 25 tömítés nélkül,  falsík előtt, furatolt és sorjázott</t>
  </si>
  <si>
    <t>U-profil 25 bez tesnenia, pred ostením, navŕtaný a odhrotovaný</t>
  </si>
  <si>
    <t>U-profiel 25 excl. afdichting, op de dag, geboord en afgebraamd</t>
  </si>
  <si>
    <t>U-profil 25, brez tesnila pred špaleto, z izvrtinami in posnetimi robovi</t>
  </si>
  <si>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</si>
  <si>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</si>
  <si>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</si>
  <si>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</si>
  <si>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</si>
  <si>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</si>
  <si>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</si>
  <si>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</si>
  <si>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těsnění, vrtaný, bez otřepů</t>
  </si>
  <si>
    <t>U-Profil 25 bez uszczelki, nawiercona i okrawana</t>
  </si>
  <si>
    <t>U-Profil 25 tömítés nélkül, furatolt és sorjázott</t>
  </si>
  <si>
    <t>U-profil 25 bez tesnenia, navŕtaný a odhrotovaný</t>
  </si>
  <si>
    <t>U-profiel 25 excl. afdichting, geboord en afgebraamd</t>
  </si>
  <si>
    <t>U-profil 25, brez tesnila, z izvrtinami in posnetimi robovi</t>
  </si>
  <si>
    <t>U-profil 25 exkl. tätning, borrad och avgradad</t>
  </si>
  <si>
    <t>U-profil 25 ekskl. tætning, forboret og afgratet</t>
  </si>
  <si>
    <t>U-profil 25 ekskl. tetning, boret og avgradet</t>
  </si>
  <si>
    <t>U profil 25 bez brtve, bušen i s obrađenim rubovima</t>
  </si>
  <si>
    <t>U-Profil 25 Sonderlänge exkl. Dichtung Vor Laibung, (Stangenware)</t>
  </si>
  <si>
    <t>U profile 25 special length excl. seal in front of soffit, drilled and deburred</t>
  </si>
  <si>
    <t>Profil en U 25, longueur personnalisée, fourni sans joint, monté en applique, percé et ébavuré</t>
  </si>
  <si>
    <t>profilo a U 25 lunghezza fuori standard, esclusa guarnizione, davanti a intradosso, forato e sbavato</t>
  </si>
  <si>
    <t>U-Profil 25, bez těsnění, před ostění, zvláštní délka, vrtaný, bez otřepů</t>
  </si>
  <si>
    <t>U-Profil 25 długość specjalna bez uszczelki, przed otworem, nawiercona i okrawana</t>
  </si>
  <si>
    <t>U-Profil 25 tömítés nélkül, egyedi hosszméretben, falsík előtt, furatolt és sorjázott</t>
  </si>
  <si>
    <t>U-profil 25, neštandardná dĺžka, bez tesnenia, pred ostením, navŕtaný a odhrotovaný</t>
  </si>
  <si>
    <t>U-profiel 25 aangepaste lengte excl. afdichting, op de dag, geboord en afgebraamd</t>
  </si>
  <si>
    <t>U-profil 25, posebna dolžina, brez tesnila pred špaleto, z izvrtinami in posnetimi robovi</t>
  </si>
  <si>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</si>
  <si>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</si>
  <si>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</si>
  <si>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</si>
  <si>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U-Profil 25 Sonderlänge exkl. Dichtung, (Stangenware)</t>
  </si>
  <si>
    <t>U profile 25 special length excl. seal, drilled and deburred</t>
  </si>
  <si>
    <t>Profil en U 25, longueur personnalisée, fourni sans joint, percé et ébavuré</t>
  </si>
  <si>
    <t>profilo a U 25 lunghezza fuori standard, esclusa guarnizione, forato e sbavato</t>
  </si>
  <si>
    <t>U-Profil 25, bez těsnění, zvláštní délka, vrtaný, bez otřepů</t>
  </si>
  <si>
    <t>U-Profil 25 długość specjalna bez uszczelki, nawiercona i okrawana</t>
  </si>
  <si>
    <t>U-Profil 25 tömítés nélkül, egyedi hosszméretben, furatolt és sorjázott</t>
  </si>
  <si>
    <t>U-profil 25, neštandardná dĺžka, bez tesnenia, navŕtaný a odhrotovaný</t>
  </si>
  <si>
    <t>U-profiel 25 aangepaste lengte excl. afdichting, geboord en afgebraamd</t>
  </si>
  <si>
    <t>U-profil 25, posebna dolžina, brez tesnila, z izvrtinami in posnetimi robovi</t>
  </si>
  <si>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</si>
  <si>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</si>
  <si>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</si>
  <si>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</si>
  <si>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</si>
  <si>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</si>
  <si>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</si>
  <si>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</si>
  <si>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těsnění, vrtaný, bez otřepů</t>
  </si>
  <si>
    <t>U-Profil 50 bez uszczelki, nawiercona i okrawana</t>
  </si>
  <si>
    <t>U-Profil 50 tömítés nélkül, furatolt és sorjázott</t>
  </si>
  <si>
    <t>U-profil 50 bez tesnenia, navŕtaný a odhrotovaný</t>
  </si>
  <si>
    <t>U-profiel 50 excl. afdichting, geboord en afgebraamd</t>
  </si>
  <si>
    <t>U-profil 50 brez tesnila, z izvrtinami in posnetimi robovi</t>
  </si>
  <si>
    <t>U-profil 50 exkl. tätning, borrad och avgradad</t>
  </si>
  <si>
    <t>U-profil 50 ekskl. tætning, forboret og afgratet</t>
  </si>
  <si>
    <t>U-profil 50 ekskl. tetning, boret og avgradet</t>
  </si>
  <si>
    <t>U profil 50 bez brtve, bušen i s obrađenim rubovima</t>
  </si>
  <si>
    <t>U-Profil 50 Sonderlänge exkl. Dichtung, (Stangenware)</t>
  </si>
  <si>
    <t>U profile 50 special length excl. seal, drilled and deburred</t>
  </si>
  <si>
    <t>Profil en U 50, longueur personnalisée, fourni sans joint, percé et ébavuré</t>
  </si>
  <si>
    <t>profilo a U 50 lunghezza fuori standard, esclusa guarnizione, forato e sbavato</t>
  </si>
  <si>
    <t>U-Profil 50, bez těsnění, zvláštní délka, vrtaný, bez otřepů</t>
  </si>
  <si>
    <t>U-Profil 50 długość specjalna bez uszczelki, nawiercona i okrawana</t>
  </si>
  <si>
    <t>U-Profil 50 tömítés nélkül, egyedi hosszméretben, furatolt és sorjázott</t>
  </si>
  <si>
    <t>U-profil 50, neštandardná dĺžka, bez tesnenia, navŕtaný a odhrotovaný</t>
  </si>
  <si>
    <t>U-profiel 50 aangepaste lengte excl. afdichting, geboord en afgebraamd</t>
  </si>
  <si>
    <t>U-profil 50, posebna dolžina, brez tesnila, z izvrtinami in posnetimi robovi</t>
  </si>
  <si>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</si>
  <si>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</si>
  <si>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</si>
  <si>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</si>
  <si>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</si>
  <si>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</si>
  <si>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</si>
  <si>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</si>
  <si>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těsnění, vrtaný, bez otřepů</t>
  </si>
  <si>
    <t>U-Profil 80 bez uszczelki, nawiercona i okrawana</t>
  </si>
  <si>
    <t>U-Profil 80 tömítés nélkül, furatolt és sorjázott</t>
  </si>
  <si>
    <t>U-profil 80 bez tesnenia, navŕtaný a odhrotovaný</t>
  </si>
  <si>
    <t>U-profiel 80 excl. afdichting, geboord en afgebraamd</t>
  </si>
  <si>
    <t>U-profil 80, brez tesnila, z izvrtinami in posnetimi robovi</t>
  </si>
  <si>
    <t>U-profil 80 exkl. tätning, borrad och avgradad</t>
  </si>
  <si>
    <t>U-profil 80 ekskl. tætning, forboret og afgratet</t>
  </si>
  <si>
    <t>U-profil 80 ekskl. tetning, boret og avgradet</t>
  </si>
  <si>
    <t>U profil 80 bez brtve, bušen i s obrađenim rubovima</t>
  </si>
  <si>
    <t>U-Profil 80 Sonderlänge exkl. Dichtung, (Stangenware)</t>
  </si>
  <si>
    <t>U profile 80 special length excl. seal, drilled and deburred</t>
  </si>
  <si>
    <t>Profil en U 80, longueur personnalisée, fourni sans joint, percé et ébavuré</t>
  </si>
  <si>
    <t>profilo a U 80 lunghezza fuori standard, esclusa guarnizione, forato e sbavato</t>
  </si>
  <si>
    <t>U-Profil 80 bez těsnění, zvláštní délka, vrtaný, bez otřepů</t>
  </si>
  <si>
    <t>U-Profil 80 długość specjalna bez uszczelki, nawiercona i okrawana</t>
  </si>
  <si>
    <t>U-Profil 80 tömítés nélkül, egyedi hosszméretben, furatolt és sorjázott</t>
  </si>
  <si>
    <t>U-profil 80, neštandardná dĺžka, bez tesnenia, navŕtaný a odhrotovaný</t>
  </si>
  <si>
    <t>U-profiel 80 aangepaste lengte excl. afdichting, geboord en afgebraamd</t>
  </si>
  <si>
    <t>U-profil 80, posebna dolžina brez tesnila, z izvrtinami in posnetimi robovi</t>
  </si>
  <si>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</si>
  <si>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</si>
  <si>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</si>
  <si>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</si>
  <si>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</si>
  <si>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</si>
  <si>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système d’ancrage, soudé, 300 mm</t>
  </si>
  <si>
    <t>saldatura ancoraggio 300mm</t>
  </si>
  <si>
    <t>Přivařené kotevní trny 300mm</t>
  </si>
  <si>
    <t>Kotwa przyspawana na wysokości 300 mm</t>
  </si>
  <si>
    <t>Lehorgonyzó elem, felhegesztett 300mm</t>
  </si>
  <si>
    <t>Privarené ukotvenie 300 mm</t>
  </si>
  <si>
    <t>Verankering vastgelast 300 mm</t>
  </si>
  <si>
    <r>
      <rPr>
        <sz val="11"/>
        <rFont val="Arial"/>
        <family val="2"/>
      </rPr>
      <t>Navarjeno sidro 300 mm</t>
    </r>
  </si>
  <si>
    <t>Påsvetsade montageöron</t>
  </si>
  <si>
    <t>Påsvejset forankring 300 mm</t>
  </si>
  <si>
    <t>Forankring påsveiset 300 mm</t>
  </si>
  <si>
    <t>Navareno usidrenje 300mm</t>
  </si>
  <si>
    <t>verliert die Excel seine Funktionsfähigkeit</t>
  </si>
  <si>
    <t>the excel file will lose its functionality</t>
  </si>
  <si>
    <t>le fichier Excel ne sera plus valable.</t>
  </si>
  <si>
    <t>Excel perde la sua funzionalità</t>
  </si>
  <si>
    <t>ztratí excelová tabulka platnost</t>
  </si>
  <si>
    <t>Excel traci swoją funkcjonalność</t>
  </si>
  <si>
    <t>az Excel táblázat elveszíti hatását</t>
  </si>
  <si>
    <t>stratí excelová tabuľka funkčnosť</t>
  </si>
  <si>
    <t>kan de Excel niet meer worden gebruikt</t>
  </si>
  <si>
    <t>Excel izgubi svojo funkcijo</t>
  </si>
  <si>
    <t>förlorar Excel sin funktion</t>
  </si>
  <si>
    <t>mister Excel sin funktion</t>
  </si>
  <si>
    <t>fungerer ikke Excel som det skal</t>
  </si>
  <si>
    <t>Excel gubi svoju funkcionalnost</t>
  </si>
  <si>
    <t>Versione:</t>
  </si>
  <si>
    <t>Verze:</t>
  </si>
  <si>
    <t>Verziószám:</t>
  </si>
  <si>
    <t>Verzia:</t>
  </si>
  <si>
    <t>Versjon:</t>
  </si>
  <si>
    <t>Volleinstau</t>
  </si>
  <si>
    <t>Complete flood</t>
  </si>
  <si>
    <t>hauteur totale du système de protection anti-crues</t>
  </si>
  <si>
    <t>linea di massima piena</t>
  </si>
  <si>
    <t>plné zaplavení</t>
  </si>
  <si>
    <t>Całkowite zatrzymanie</t>
  </si>
  <si>
    <t>Teljes elárasztás</t>
  </si>
  <si>
    <t>Plné zaplavenie</t>
  </si>
  <si>
    <t>Volledige stuwing</t>
  </si>
  <si>
    <t>Popolna zajezitev</t>
  </si>
  <si>
    <t>Invändigt öppning</t>
  </si>
  <si>
    <t>Fuldt reservoir</t>
  </si>
  <si>
    <t>Full oppdemming</t>
  </si>
  <si>
    <t>Potpuno zadržavanje</t>
  </si>
  <si>
    <t>Vor der Leibung</t>
  </si>
  <si>
    <t>In front of the soffit</t>
  </si>
  <si>
    <t>monté en applique</t>
  </si>
  <si>
    <t>davanti alla spalletta</t>
  </si>
  <si>
    <t>Před ostěním</t>
  </si>
  <si>
    <t>před ostěním</t>
  </si>
  <si>
    <t>Falsík előtt</t>
  </si>
  <si>
    <t>Pred ostením</t>
  </si>
  <si>
    <t>Op de dag</t>
  </si>
  <si>
    <r>
      <rPr>
        <sz val="11"/>
        <rFont val="Arial"/>
        <family val="2"/>
      </rPr>
      <t>Pred špaleto</t>
    </r>
  </si>
  <si>
    <t>Framför öppning</t>
  </si>
  <si>
    <t>Foran pladeunderside</t>
  </si>
  <si>
    <t>Før åpningen</t>
  </si>
  <si>
    <t>Ispred otvora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</si>
  <si>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</si>
  <si>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</si>
  <si>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</si>
  <si>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</si>
  <si>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Předpoklady statického výpočtu (dle potřeby lze změnit):</t>
  </si>
  <si>
    <t>Założenia do weryfikacji statycznej (wrazie potrzeby można je zmienić): </t>
  </si>
  <si>
    <t>A statikai számításhoz szükséges előre beállított értékek (igény esetén módosíthatóak):</t>
  </si>
  <si>
    <t>Predpoklady evidencie o statike (podľa potreby možno zmeniť):</t>
  </si>
  <si>
    <t>Aannames voor de statische berekening (indien nodig aanpasbaar):</t>
  </si>
  <si>
    <t>predpostavke za statično dokazilo (po potrebi se lahko spremenijo):</t>
  </si>
  <si>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</si>
  <si>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</si>
  <si>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</si>
  <si>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</si>
  <si>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t>VS = Volleinstau</t>
  </si>
  <si>
    <t>VS = Full reservoir</t>
  </si>
  <si>
    <t>VS = hauteur totale du système de protection anti-crues</t>
  </si>
  <si>
    <t>VS = Massima piena</t>
  </si>
  <si>
    <t>VS = plné zaplavení</t>
  </si>
  <si>
    <t>VS = całkowite zatrzymanie</t>
  </si>
  <si>
    <t>TÁ = teljes elárasztás</t>
  </si>
  <si>
    <t>VS = plné zaplavenie</t>
  </si>
  <si>
    <t>VS = Volledige stuwing</t>
  </si>
  <si>
    <t>VS = popolna zajezitev</t>
  </si>
  <si>
    <t>VS = Full infiltration</t>
  </si>
  <si>
    <t>VS = fuldt reservoir</t>
  </si>
  <si>
    <t>VS = Fullinnstabling</t>
  </si>
  <si>
    <t>VS = maks. visina zadržavanja</t>
  </si>
  <si>
    <r>
      <t>Wichte Wasser: g</t>
    </r>
    <r>
      <rPr>
        <vertAlign val="subscript"/>
        <sz val="11"/>
        <rFont val="Arial"/>
        <family val="2"/>
      </rPr>
      <t>w</t>
    </r>
  </si>
  <si>
    <r>
      <t>Heavy water: g</t>
    </r>
    <r>
      <rPr>
        <vertAlign val="subscript"/>
        <sz val="11"/>
        <color rgb="FF000000"/>
        <rFont val="Arial"/>
        <family val="2"/>
      </rPr>
      <t>w</t>
    </r>
  </si>
  <si>
    <t>Poids spécifique de l’eau : gw</t>
  </si>
  <si>
    <t>peso specifico acqua: gw</t>
  </si>
  <si>
    <t>specifická hmotnost vody: gw</t>
  </si>
  <si>
    <t>ciężar właściwy wody: gw</t>
  </si>
  <si>
    <t>Víz fajsúlya: gw</t>
  </si>
  <si>
    <r>
      <t>Špecifická hmotnosť vody: g</t>
    </r>
    <r>
      <rPr>
        <vertAlign val="subscript"/>
        <sz val="11"/>
        <color rgb="FF000000"/>
        <rFont val="Arial"/>
        <family val="2"/>
      </rPr>
      <t>w</t>
    </r>
  </si>
  <si>
    <t>Soortelijk gewicht water: gw</t>
  </si>
  <si>
    <r>
      <rPr>
        <sz val="11"/>
        <rFont val="Arial"/>
        <family val="2"/>
      </rPr>
      <t>Gostota vode: g</t>
    </r>
    <r>
      <rPr>
        <vertAlign val="subscript"/>
        <sz val="11"/>
        <rFont val="Arial"/>
        <family val="2"/>
      </rPr>
      <t>w</t>
    </r>
  </si>
  <si>
    <r>
      <t>Vattnets densitet: g</t>
    </r>
    <r>
      <rPr>
        <vertAlign val="subscript"/>
        <sz val="11"/>
        <color rgb="FF000000"/>
        <rFont val="Arial"/>
        <family val="2"/>
      </rPr>
      <t>w</t>
    </r>
  </si>
  <si>
    <r>
      <t>Vægt af vand: g</t>
    </r>
    <r>
      <rPr>
        <vertAlign val="subscript"/>
        <sz val="11"/>
        <color rgb="FF000000"/>
        <rFont val="Arial"/>
        <family val="2"/>
      </rPr>
      <t>w</t>
    </r>
  </si>
  <si>
    <r>
      <t>Volumvekt vann: g</t>
    </r>
    <r>
      <rPr>
        <vertAlign val="subscript"/>
        <sz val="11"/>
        <color rgb="FF000000"/>
        <rFont val="Arial"/>
        <family val="2"/>
      </rPr>
      <t>w</t>
    </r>
  </si>
  <si>
    <r>
      <t>Specifična težina vode: g</t>
    </r>
    <r>
      <rPr>
        <vertAlign val="subscript"/>
        <sz val="11"/>
        <color rgb="FF000000"/>
        <rFont val="Arial"/>
        <family val="2"/>
      </rPr>
      <t>w</t>
    </r>
  </si>
  <si>
    <t>Winkelabdeckung VO</t>
  </si>
  <si>
    <t>Angular cover plate VO</t>
  </si>
  <si>
    <t>profil de protection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</si>
  <si>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</si>
  <si>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</si>
  <si>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</si>
  <si>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</si>
  <si>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</si>
  <si>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</si>
  <si>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</si>
  <si>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</si>
  <si>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</si>
  <si>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</si>
  <si>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</si>
  <si>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Zubehör</t>
  </si>
  <si>
    <t>Accessories</t>
  </si>
  <si>
    <t>accessoires</t>
  </si>
  <si>
    <t>accessori</t>
  </si>
  <si>
    <t>Příslušenství</t>
  </si>
  <si>
    <t>Osprzęt</t>
  </si>
  <si>
    <t>Kiegészítők</t>
  </si>
  <si>
    <t>Príslušenstvo</t>
  </si>
  <si>
    <t>Toebehoren</t>
  </si>
  <si>
    <t>Dodatna oprema</t>
  </si>
  <si>
    <t>Tillbehör</t>
  </si>
  <si>
    <t>Tilbehør</t>
  </si>
  <si>
    <t>Pribor</t>
  </si>
  <si>
    <t>Zwischensumme</t>
  </si>
  <si>
    <t>Subtotal</t>
  </si>
  <si>
    <t>somme intermédiaire</t>
  </si>
  <si>
    <t>subtotale</t>
  </si>
  <si>
    <t>Mezisoučet</t>
  </si>
  <si>
    <t>Suma częściowa</t>
  </si>
  <si>
    <t>Áthozott érték</t>
  </si>
  <si>
    <t>Predbežná suma</t>
  </si>
  <si>
    <t>Subtotaal</t>
  </si>
  <si>
    <t>Vmesna vsota</t>
  </si>
  <si>
    <t>Mellansumma</t>
  </si>
  <si>
    <t>Međuzbroj</t>
  </si>
  <si>
    <t>Einfassung Vario, 120-600 mm, stucco</t>
  </si>
  <si>
    <t>Vario Weatherings, 120-600 mm, stucco</t>
  </si>
  <si>
    <t>abergement Vario, 120-600 mm, stucco</t>
  </si>
  <si>
    <t>Conversa Vario, 120-600 mm, goffrata</t>
  </si>
  <si>
    <t>Lemování Vario, 120–600 mm, stucco</t>
  </si>
  <si>
    <t>Obramowanie Vario, 120–600 mm, stucco</t>
  </si>
  <si>
    <t>Keret Vario, 120–600 mm, stukkó</t>
  </si>
  <si>
    <t>lemovanie Vario, 120 – 600 mm, stucco</t>
  </si>
  <si>
    <t>Border Vario, 120-600 mm, stucwerk</t>
  </si>
  <si>
    <t>Okvir Vario, 120-600 mm, štukatura</t>
  </si>
  <si>
    <t>kantlist Vario, 120–600 mm, stuckatur</t>
  </si>
  <si>
    <t>Indfalsning Vario, 120-600 mm, stucco</t>
  </si>
  <si>
    <t>Variabel innfatning, 120–600 mm, stucco</t>
  </si>
  <si>
    <t>Opšav Vario, 120-600 mm, stucco</t>
  </si>
  <si>
    <t>Einfassung Vario, 600-1.020 mm, stucco</t>
  </si>
  <si>
    <t>Vario Weatherings, 600-1,020 mm, stucco</t>
  </si>
  <si>
    <t>abergement Vario, 600-1 020 mm, stucco</t>
  </si>
  <si>
    <t>Conversa Vario, 600-1.020 mm, goffrata</t>
  </si>
  <si>
    <t>Lemování Vario, 600–1020 mm, stucco</t>
  </si>
  <si>
    <t>Obramowanie Vario, 600–1020 mm, stucco</t>
  </si>
  <si>
    <t>Keret Vario, 600–1020 mm, stukkó</t>
  </si>
  <si>
    <t>lemovanie Vario, 600 – 1 020 mm, stucco</t>
  </si>
  <si>
    <t>Border Vario, 600-1.020 mm, stucwerk</t>
  </si>
  <si>
    <t>Okvir Vario, 600-1.020 mm, štukatura</t>
  </si>
  <si>
    <t>kantlist Vario, 600-1 020 mm, stuckatur</t>
  </si>
  <si>
    <t>Indfalsning Vario, 600-1.020 mm, stucco</t>
  </si>
  <si>
    <t>Variabel innfatning, 600–1020 mm, stucco</t>
  </si>
  <si>
    <t>Opšav Vario, 600-1.020 mm, stucco</t>
  </si>
  <si>
    <t>Rohrverbinder Stärke 1,6 mm</t>
  </si>
  <si>
    <t>Pipe connector strength 1.6 mm</t>
  </si>
  <si>
    <t>réduction de tuyau, épaisseur : 1,6 mm</t>
  </si>
  <si>
    <t>Bicchiere di congiunzione spessore 1,6 mm</t>
  </si>
  <si>
    <t>Potrubní spojka, tloušťka 1,6 mm</t>
  </si>
  <si>
    <t>Grubość złącza rurowego 1,6 mm</t>
  </si>
  <si>
    <t>Csőcsatlakozó, vastagság 1,6 mm</t>
  </si>
  <si>
    <t>zvodová spojka hrúbka 1,6 mm</t>
  </si>
  <si>
    <t>Pijpverbindingsdikte 1,6 mm</t>
  </si>
  <si>
    <t>Spojnik za cevi debeline 1,6 mm</t>
  </si>
  <si>
    <t>röranslutningstjocklek 1,6 mm</t>
  </si>
  <si>
    <t>Rørforbinder tykkelse 1,6 mm</t>
  </si>
  <si>
    <t>Rørforbinder, tykkelse 1,6 mm</t>
  </si>
  <si>
    <t>Debljina cijevne spojnice 1,6 mm</t>
  </si>
  <si>
    <t>Ausbesserungslack</t>
  </si>
  <si>
    <t>Retouching paint</t>
  </si>
  <si>
    <t>peinture de retouche</t>
  </si>
  <si>
    <t>Vernice di ritocco</t>
  </si>
  <si>
    <t>Opravný lak</t>
  </si>
  <si>
    <t>Lakier do poprawek malarskich; puszka</t>
  </si>
  <si>
    <t>javítófesték</t>
  </si>
  <si>
    <t>korekčný lak</t>
  </si>
  <si>
    <t>Retoucheerverf</t>
  </si>
  <si>
    <t>Popravilna barva</t>
  </si>
  <si>
    <t>bättringsfärg</t>
  </si>
  <si>
    <t>Reparationsmaling</t>
  </si>
  <si>
    <t>Utbedringslakk</t>
  </si>
  <si>
    <t>Boja za popravak</t>
  </si>
  <si>
    <t>12 ml</t>
  </si>
  <si>
    <t>12 ml</t>
  </si>
  <si>
    <t>Ausbesserungsstift</t>
  </si>
  <si>
    <t>Touch up pen</t>
  </si>
  <si>
    <t>stylo de retouche</t>
  </si>
  <si>
    <t>Penna per ritocco</t>
  </si>
  <si>
    <t>Opravný lak v tužce</t>
  </si>
  <si>
    <t>Marker do poprawek</t>
  </si>
  <si>
    <t>javítóstift</t>
  </si>
  <si>
    <t>opravné pero</t>
  </si>
  <si>
    <t>Retoucheerstift</t>
  </si>
  <si>
    <t>Popravilno pisalo</t>
  </si>
  <si>
    <t>bättringspenna</t>
  </si>
  <si>
    <t>Reparationsstift</t>
  </si>
  <si>
    <t>Utbedringspenn</t>
  </si>
  <si>
    <t>Olovka za popravak</t>
  </si>
  <si>
    <t>11 ml</t>
  </si>
  <si>
    <t>11 ml</t>
  </si>
  <si>
    <t>Quadratrohr 80 mm</t>
  </si>
  <si>
    <t>Square downpipe 80 mm</t>
  </si>
  <si>
    <t>tuyau de descente carré 80 mm</t>
  </si>
  <si>
    <t>Pluviale quadro 80 mm</t>
  </si>
  <si>
    <t>Hranatý svod 80 mm</t>
  </si>
  <si>
    <t>Rura kwadratowa 80 mm</t>
  </si>
  <si>
    <t>szögletes lefolyócső 80 mm</t>
  </si>
  <si>
    <t>štvorcový zvod 80 mm</t>
  </si>
  <si>
    <t>Vierkante buis 80 mm</t>
  </si>
  <si>
    <t>Kvadratna cev 80 mm</t>
  </si>
  <si>
    <t>fyrkantsrör 80 mm</t>
  </si>
  <si>
    <t>Kvadratrør 80 mm</t>
  </si>
  <si>
    <t>Firkantrenne 80 mm</t>
  </si>
  <si>
    <t>Kvadratna cijev 80 mm</t>
  </si>
  <si>
    <t>Quadratrohr 100 mm</t>
  </si>
  <si>
    <t>Square downpipe 100 mm</t>
  </si>
  <si>
    <t>tuyau de descente carré 100 mm</t>
  </si>
  <si>
    <t>Pluviale quadro 100 mm</t>
  </si>
  <si>
    <t>Hranatý svod 100 mm</t>
  </si>
  <si>
    <t>Rura kwadratowa 100 mm</t>
  </si>
  <si>
    <t>szögletes lefolyócső 100 mm</t>
  </si>
  <si>
    <t>štvorcový zvod 100 mm</t>
  </si>
  <si>
    <t>Vierkante buis 100 mm</t>
  </si>
  <si>
    <t>Kvadratna cev 100 mm</t>
  </si>
  <si>
    <t>fyrkantsrör 100 mm</t>
  </si>
  <si>
    <t>Kvadratrør 100 mm</t>
  </si>
  <si>
    <t>Firkantrenne 100 mm</t>
  </si>
  <si>
    <t>Kvadratna cijev 100 mm</t>
  </si>
  <si>
    <t>Quadratrohrbogen 80 mm, 72°, lang</t>
  </si>
  <si>
    <t>Square downpipe elbow 80 mm, 72°, large</t>
  </si>
  <si>
    <t>coude de tuyau carré 80 mm, 72°, long</t>
  </si>
  <si>
    <t>Gomito per pluviale quadro 80 mm, 72°, lungo</t>
  </si>
  <si>
    <t>Koleno hranatého svodu 80 mm, 72°, dlouhé</t>
  </si>
  <si>
    <t>Kolanko kwadratowe 80 mm, 72°, długie</t>
  </si>
  <si>
    <t>szögletes lefolyócső 80 mm, 72°, hosszú</t>
  </si>
  <si>
    <t>štvorcové koleno 80 mm, 72°, dlhé</t>
  </si>
  <si>
    <t>Vierkante pijpbocht 80 mm, 72°, lang</t>
  </si>
  <si>
    <t>Koleno kvadratne cevi 80 mm, 72°, dolgo</t>
  </si>
  <si>
    <t>fyrkantig rörböj 80 mm, 72°, lång</t>
  </si>
  <si>
    <t>Kvadratrørsvinkel 80 mm, 72°, lang</t>
  </si>
  <si>
    <t>Firkantet rørkne 80 mm, 72°, langt</t>
  </si>
  <si>
    <t>Koljeno kvadratne cijevi 80 mm, 72°, dugo</t>
  </si>
  <si>
    <t>Quadratrohrbogen 100 mm, 72°, lang</t>
  </si>
  <si>
    <t>Square downpipe elbow 100 mm, 72°, large</t>
  </si>
  <si>
    <t>coude de tuyau carré 100 mm, 72°, long</t>
  </si>
  <si>
    <t>Gomito per pluviale quadro 100 mm, 72°, lungo</t>
  </si>
  <si>
    <t>Koleno hranatého svodu 100 mm, 72°, dlouhé</t>
  </si>
  <si>
    <t>Kolanko kwadratowe 100 mm, 72°, długie</t>
  </si>
  <si>
    <t>szögletes lefolyócső 100 mm, 72°, hosszú</t>
  </si>
  <si>
    <t>štvorcové koleno 100 mm, 72°, dlhé</t>
  </si>
  <si>
    <t>Vierkante pijpbocht 100 mm, 72°, lang</t>
  </si>
  <si>
    <t>Koleno kvadratne cevi 100 mm, 72°, dolgo</t>
  </si>
  <si>
    <t>fyrkantig rörböj 100 mm, 72°, lång</t>
  </si>
  <si>
    <t>Kvadratrørsvinkel 100 mm, 72°, lang</t>
  </si>
  <si>
    <t>Firkantet rørkne 100 mm, 72°, langt</t>
  </si>
  <si>
    <t>Koljeno kvadratne cijevi 100 mm, 72°, dugo</t>
  </si>
  <si>
    <t>Quadratrohrbogen 80 mm, 72°, kurz</t>
  </si>
  <si>
    <t>Square downpipe elbow 80 mm, 72°, small</t>
  </si>
  <si>
    <t>coude de tuyau carré 80 mm, 72°, court</t>
  </si>
  <si>
    <t>Gomito per pluviale quadro 80 mm, 72°, corto</t>
  </si>
  <si>
    <t>Koleno hranatého svodu 80 mm, 72°, krátké</t>
  </si>
  <si>
    <t>Kolanko kwadratowe 80 mm, 72°, krótkie</t>
  </si>
  <si>
    <t>szögletes lefolyócső 80 mm, 72°, rövid</t>
  </si>
  <si>
    <t>štvorcové koleno 80 mm, 72°, krátke</t>
  </si>
  <si>
    <t>Vierkante pijpbocht 80 mm, 72°, kort</t>
  </si>
  <si>
    <t>Koleno kvadratne cevi 80 mm, 72°, kratko</t>
  </si>
  <si>
    <t>fyrkantig rörböj 80 mm, 72°, kort</t>
  </si>
  <si>
    <t>Kvadratrørsvinkel 80 mm, 72°, kort</t>
  </si>
  <si>
    <t>Firkantet rørkne 80 mm, 72°, kort</t>
  </si>
  <si>
    <t>Koljeno kvadratne cijevi 80 mm, 72°, kratko</t>
  </si>
  <si>
    <t>Quadratrohrbogen 100 mm, 72°, kurz</t>
  </si>
  <si>
    <t>Square downpipe elbow 100 mm, 72°, small</t>
  </si>
  <si>
    <t>coude de tuyau carré 100 mm, 72°, court</t>
  </si>
  <si>
    <t>Gomito per pluviale quadro 100 mm, 72°, corto</t>
  </si>
  <si>
    <t>Koleno hranatého svodu 100 mm, 72°, krátké</t>
  </si>
  <si>
    <t>Kolanko kwadratowe 100 mm, 72°, krótkie</t>
  </si>
  <si>
    <t>szögletes lefolyócső 100 mm, 72°, rövid</t>
  </si>
  <si>
    <t>štvorcové koleno 100 mm, 72°, krátke</t>
  </si>
  <si>
    <t>Vierkante pijpbocht 100 mm, 72°, kort</t>
  </si>
  <si>
    <t>Koleno kvadratne cevi 100 mm, 72°, kratko</t>
  </si>
  <si>
    <t>fyrkantig rörböj 100 mm, 72°, kort</t>
  </si>
  <si>
    <t>Kvadratrørsvinkel 100 mm, 72°, kort</t>
  </si>
  <si>
    <t>Firkantet rørkne 100 mm, 72°, kort</t>
  </si>
  <si>
    <t>Koljeno kvadratne cijevi 100 mm, 72°, kratko</t>
  </si>
  <si>
    <t>Quadratrohr 80 mm, Wasserfangkasten</t>
  </si>
  <si>
    <t>Square downpipe 80 mm, leader head</t>
  </si>
  <si>
    <t>tuyau de descente carré 80 mm, boîte à eau</t>
  </si>
  <si>
    <t>Cassetta di raccolta per pluviale quadro, 80 mm</t>
  </si>
  <si>
    <t>Hranatý svod 80 mm, sběrný kotlík</t>
  </si>
  <si>
    <t>Rura kwadratowa 80 mm, kosz zlewiskowy</t>
  </si>
  <si>
    <t>szögletes lefolyócső 80 mm, szögletes vízgyűjtő üst</t>
  </si>
  <si>
    <t>štvorcový zvod 80 mm, zberný kotlík</t>
  </si>
  <si>
    <t>Vierkante buis 80 mm, wateropvangbak</t>
  </si>
  <si>
    <t>Kvadratna cev 80 mm, zbiralnik vode</t>
  </si>
  <si>
    <t>fyrkantsrör 80 mm, vattenuppsamlingslåda</t>
  </si>
  <si>
    <t>Kvadratrør 80 mm, vandopsamlingskasse</t>
  </si>
  <si>
    <t>Firkantrenne 80 mm, vanndrenering</t>
  </si>
  <si>
    <t>Kvadratna cijev 80 mm, kutija za prihvat vode</t>
  </si>
  <si>
    <t>Quadratrohr 100 mm, Wasserfangkasten</t>
  </si>
  <si>
    <t>Square downpipe 100 mm, leader head</t>
  </si>
  <si>
    <t>tuyau de descente carré 100 mm, boîte à eau</t>
  </si>
  <si>
    <t>Cassetta di raccolta per pluviale quadro, 100 mm</t>
  </si>
  <si>
    <t>Hranatý svod 100 mm, sběrný kotlík</t>
  </si>
  <si>
    <t>Rura kwadratowa 100 mm, kosz zlewiskowy</t>
  </si>
  <si>
    <t>szögletes lefolyócső 100 mm, szögletes vízgyűjtő üst</t>
  </si>
  <si>
    <t>štvorcový zvod 100 mm, zberný kotlík</t>
  </si>
  <si>
    <t>Vierkante buis 100 mm, wateropvangbak</t>
  </si>
  <si>
    <t>Kvadratna cev 100 mm, zbiralnik vode</t>
  </si>
  <si>
    <t>fyrkantsrör 100 mm, vattenuppsamlingslåda</t>
  </si>
  <si>
    <t>Kvadratrør 100 mm, vandopsamlingskasse</t>
  </si>
  <si>
    <t>Firkantrenne 100 mm, vanndrenering</t>
  </si>
  <si>
    <t>Kvadratna cijev 100 mm, kutija za prihvat vode</t>
  </si>
  <si>
    <t>Quadratrohr 80 mm, Kessel</t>
  </si>
  <si>
    <t>Square downpipe 80 mm, boiler</t>
  </si>
  <si>
    <t>tuyau de descente carré 80 mm, naissance</t>
  </si>
  <si>
    <t>Bocchetta di scarico per pluviale quadro, 80 mm</t>
  </si>
  <si>
    <t>Hranatý svod 80 mm, kotlík</t>
  </si>
  <si>
    <t>Rura kwadratowa 80 mm, sztucer do rynny</t>
  </si>
  <si>
    <t>szögletes lefolyócső 80 mm, üst</t>
  </si>
  <si>
    <t>štvorcový zvod 80 mm, kotlík</t>
  </si>
  <si>
    <t>Vierkante buis 80 mm, ketel</t>
  </si>
  <si>
    <t>Kvadratna cev 80 mm, kotel</t>
  </si>
  <si>
    <t>fyrkantsrör 80 mm, panna</t>
  </si>
  <si>
    <t>Kvadratrør 80 mm, kammer</t>
  </si>
  <si>
    <t>Firkantrenne 80 mm, tappstykke</t>
  </si>
  <si>
    <t>Kvadratna cijev 80 mm, odvod</t>
  </si>
  <si>
    <t>Quadratrohr 100 mm, Kessel</t>
  </si>
  <si>
    <t>Square downpipe 100 mm, boiler</t>
  </si>
  <si>
    <t>tuyau de descente carré 100 mm, naissance</t>
  </si>
  <si>
    <t>Bocchetta di scarico per pluviale quadro, 100 mm</t>
  </si>
  <si>
    <t>Hranatý svod 100 mm, kotlík</t>
  </si>
  <si>
    <t>Rura kwadratowa 100 mm, sztucer do rynny</t>
  </si>
  <si>
    <t>szögletes lefolyócső 100 mm, üst</t>
  </si>
  <si>
    <t>štvorcový zvod 100 mm, kotlík</t>
  </si>
  <si>
    <t>Vierkante buis 100 mm, ketel</t>
  </si>
  <si>
    <t>Kvadratna cev 100 mm, kotel</t>
  </si>
  <si>
    <t>fyrkantsrör 100 mm, panna</t>
  </si>
  <si>
    <t>Kvadratrør 100 mm, kammer</t>
  </si>
  <si>
    <t>Firkantrenne 100 mm, tappstykke</t>
  </si>
  <si>
    <t>Kvadratna cijev 100 mm, odvod</t>
  </si>
  <si>
    <t>Quadratrohr 80 mm, Speiereinmündung</t>
  </si>
  <si>
    <t>Square downpipe 80 mm, parapet outlet</t>
  </si>
  <si>
    <t>tuyau de descente carré 80 mm, embranchement d’évacuation rond pour toits plats</t>
  </si>
  <si>
    <t>Bocchettone da incasso per pluviale quadro, 80 mm</t>
  </si>
  <si>
    <t>Hranatý svod 80 mm, fasádní kotlík se zaústěním</t>
  </si>
  <si>
    <t>Rura kwadratowa 80 mm, wylot zlewiskowy rury kwadratowej</t>
  </si>
  <si>
    <t>szögletes lefolyócső 80 mm, attikafal-vízgyűjtő üst</t>
  </si>
  <si>
    <t>štvorcový zvod 80 mm, fasádny kotlík so zaústením pre strešný chrlič</t>
  </si>
  <si>
    <t>Vierkante buis 80 mm, spuitmond</t>
  </si>
  <si>
    <t>Kvadratna cev 80 mm, ustje bljuvača</t>
  </si>
  <si>
    <t>fyrkantsrör 80 mm, pipsammanflöde</t>
  </si>
  <si>
    <t>Kvadratrør 80 mm, dræningsåbning</t>
  </si>
  <si>
    <t>Firkantrenne 80 mm, nedløpsåpning</t>
  </si>
  <si>
    <t>Kvadratna cijev 80 mm, bočni uljev</t>
  </si>
  <si>
    <t>Quadratrohr 100 mm, Speiereinmündung</t>
  </si>
  <si>
    <t>Square downpipe 100 mm, parapet outlet</t>
  </si>
  <si>
    <t>tuyau de descente carré 100 mm, embranchement d’évacuation rond pour toits plats</t>
  </si>
  <si>
    <t>Bocchettone da incasso per pluviale quadro, 100 mm</t>
  </si>
  <si>
    <t>Hranatý svod 100 mm, fasádní kotlík se zaústěním</t>
  </si>
  <si>
    <t>Rura kwadratowa 100 mm, wylot zlewiskowy rury kwadratowej</t>
  </si>
  <si>
    <t>szögletes lefolyócső 100 mm, attikafal-vízgyűjtő üst</t>
  </si>
  <si>
    <t>štvorcový zvod 100 mm, fasádny kotlík so zaústením pre strešný chrlič</t>
  </si>
  <si>
    <t>Vierkante buis 100 mm, spuitmond</t>
  </si>
  <si>
    <t>Kvadratna cev 100 mm, ustje bljuvača</t>
  </si>
  <si>
    <t>fyrkantsrör 100 mm, pipsammanflöde</t>
  </si>
  <si>
    <t>Kvadratrør 100 mm, dræningsåbning</t>
  </si>
  <si>
    <t>Firkantrenne 100 mm, nedløpsåpning</t>
  </si>
  <si>
    <t>Kvadratna cijev 100 mm, bočni uljev</t>
  </si>
  <si>
    <t>Quadratrohr 80 mm, Muffe</t>
  </si>
  <si>
    <t>Square downpipe 80 mm, outlet</t>
  </si>
  <si>
    <t>tuyau de descente carré 80 mm, manchon de jonction</t>
  </si>
  <si>
    <t>Riduzione per pluviale quadro, 80 mm</t>
  </si>
  <si>
    <t>Hranatý svod 80 mm, spojka</t>
  </si>
  <si>
    <t>Rura kwadratowa 80 mm, przejściówka na rurę</t>
  </si>
  <si>
    <t>szögletes lefolyócső 80 mm, karmantyú</t>
  </si>
  <si>
    <t>štvorcový zvod 80 mm, prechodka</t>
  </si>
  <si>
    <t>Vierkante buis 80 mm, mof</t>
  </si>
  <si>
    <t>Kvadratna cev 80 mm, objemka</t>
  </si>
  <si>
    <t>fyrkantsrör 80 mm, hylsa</t>
  </si>
  <si>
    <t>Kvadratrør 80 mm, muffe</t>
  </si>
  <si>
    <t>Firkantrenne 80 mm, muffe</t>
  </si>
  <si>
    <t>Kvadratna cijev 80 mm, kolčak</t>
  </si>
  <si>
    <t>Quadratrohr 100 mm, Muffe</t>
  </si>
  <si>
    <t>Square downpipe 100 mm, outlet</t>
  </si>
  <si>
    <t>tuyau de descente carré 100 mm, manchon de jonction</t>
  </si>
  <si>
    <t>Riduzione per pluviale quadro, 100 mm</t>
  </si>
  <si>
    <t>Hranatý svod 100 mm, spojka</t>
  </si>
  <si>
    <t>Rura kwadratowa 100 mm, przejściówka na rurę</t>
  </si>
  <si>
    <t>szögletes lefolyócső 100 mm, karmantyú</t>
  </si>
  <si>
    <t>štvorcový zvod 100 mm, prechodka</t>
  </si>
  <si>
    <t>Vierkante buis 100 mm, mof</t>
  </si>
  <si>
    <t>Kvadratna cev 100 mm, objemka</t>
  </si>
  <si>
    <t>fyrkantsrör 100 mm, hylsa</t>
  </si>
  <si>
    <t>Kvadratrør 100 mm, muffe</t>
  </si>
  <si>
    <t>Firkantrenne 100 mm, muffe</t>
  </si>
  <si>
    <t>Kvadratna cijev 100 mm, kolčak</t>
  </si>
  <si>
    <t>Quadratrohr 80 mm, mit Reinigungsöffnung</t>
  </si>
  <si>
    <t>Square downpipe 80 mm, with cleanout</t>
  </si>
  <si>
    <t>tuyau de descente carré 80 mm, avec ouverture de nettoyage</t>
  </si>
  <si>
    <t>Pluviale quadro 80 mm, con apertura d'ispezione</t>
  </si>
  <si>
    <t>Hranatý svod 80 mm, s čistícím otvorem</t>
  </si>
  <si>
    <t>Rura kwadratowa 80 mm, z otworem rewizyjnym</t>
  </si>
  <si>
    <t>szögletes lefolyócső 80 mm, tisztítónyílással</t>
  </si>
  <si>
    <t>štvorcový zvod 80 mm, s čistiacim otvorom</t>
  </si>
  <si>
    <t>Vierkante buis 80 mm, met reinigingsopening</t>
  </si>
  <si>
    <t>Kvadratna cev 80 mm, z odprtino za čiščenje</t>
  </si>
  <si>
    <t>fyrkantsrör 80 mm, med rengöringsöppning</t>
  </si>
  <si>
    <t>Kvadratrør 80 mm, med rengøringsåbning</t>
  </si>
  <si>
    <t>Firkantrenne 80 mm, med rengjøringsåpning</t>
  </si>
  <si>
    <t>Kvadratna cijev 80 mm, s revizionim otvorom</t>
  </si>
  <si>
    <t>Quadratrohr 100 mm, mit Reinigungsöffnung</t>
  </si>
  <si>
    <t>Square downpipe 100 mm, with cleanout</t>
  </si>
  <si>
    <t>tuyau de descente carré 100 mm, avec ouverture de nettoyage</t>
  </si>
  <si>
    <t>Pluviale quadro 100 mm, con apertura d'ispezione</t>
  </si>
  <si>
    <t>Hranatý svod 100 mm, s čistícím otvorem</t>
  </si>
  <si>
    <t>Rura kwadratowa 100 mm, z otworem rewizyjnym</t>
  </si>
  <si>
    <t>szögletes lefolyócső 100 mm, tisztítónyílással</t>
  </si>
  <si>
    <t>štvorcový zvod 100 mm, s čistiacim otvorom</t>
  </si>
  <si>
    <t>Vierkante buis 100 mm, met reinigingsopening</t>
  </si>
  <si>
    <t>Kvadratna cev 100 mm, z odprtino za čiščenje</t>
  </si>
  <si>
    <t>fyrkantsrör 100 mm, med rengöringsöppning</t>
  </si>
  <si>
    <t>Kvadratrør 100 mm, med rengøringsåbning</t>
  </si>
  <si>
    <t>Firkantrenne 100 mm, med rengjøringsåpning</t>
  </si>
  <si>
    <t>Kvadratna cijev 100 mm, s revizionim otvorom</t>
  </si>
  <si>
    <t>Wassersammler für Quadratrohr 100 mm</t>
  </si>
  <si>
    <t>square downpipe water collector 100 mm</t>
  </si>
  <si>
    <t>collecteur d’eau pour tuyau de descente carré 100 mm</t>
  </si>
  <si>
    <t>Collettore d'acqua per pluviale quadro 100 mm</t>
  </si>
  <si>
    <t>Sběrač dešťové vody pro hranatý svod 100 mm</t>
  </si>
  <si>
    <t>Zbieracz deszczówki 100 mm</t>
  </si>
  <si>
    <t>automata esővízkivezető elem szögletes lefolyócsőhöz 100 mm</t>
  </si>
  <si>
    <t>zberač dažďovej vody pre štvorcový zvod 100 mm</t>
  </si>
  <si>
    <t>Waterverzamelaar voor vierkante buis 100 mm</t>
  </si>
  <si>
    <t>Zbiralnik vode za kvadratno cev 100 mm</t>
  </si>
  <si>
    <t>vattenuppsamlare för fyrkantsrör 100 mm</t>
  </si>
  <si>
    <t>Vandsamler til kvadratrør 100 mm</t>
  </si>
  <si>
    <t>Vannoppsamler til firkantrenne 100 mm</t>
  </si>
  <si>
    <t>Sakupljač vode za kvadratnu cijev od 100 mm</t>
  </si>
  <si>
    <t>Balkonniete 5 x 14 mm -  K 15 -  Material: Edelstahl mit Edelstahl-Dorn</t>
  </si>
  <si>
    <t>Balcony rivet 5 x 14 mm – K 15 - Material: Stainless steel with stainless pin</t>
  </si>
  <si>
    <t>rivet de balcon 5 x 14 mm –  K 15 –  matériau : inox avec tige inox</t>
  </si>
  <si>
    <t>Rivetto per balcone 5 x 14 mm - K 15 - Materiale: Acciaio inox con spina in acciaio inox</t>
  </si>
  <si>
    <t>Balkónové nýty 5 × 14 mm -  K 15 -  materiál: ušlechtilá ocel s nerezovými trny</t>
  </si>
  <si>
    <t>Nit do balkonów 5 x 14 mm – K 15 – Materiał: Stal nierdzewna z trzpieniem ze stali nierdzewnej</t>
  </si>
  <si>
    <t>erkélyszegecs 5 x 14 mm –  K 15 -  anyag: rozsdamentes acél fej és szegecsszár</t>
  </si>
  <si>
    <t>Balkónové nity 5 x 14 mm – K 15 – materiál: nerezová oceľ s tŕňom z nerezovej ocele</t>
  </si>
  <si>
    <t>Balkonklinknagel 5 x 14 mm - K 15 - materiaal: Roestvrij staal met roestvrijstalen doorn</t>
  </si>
  <si>
    <t>Balkonska zakovica 5 x 14 mm -  K 15 -  Material: Nerjavno jeklo z osnikom iz nerjavnega jekla</t>
  </si>
  <si>
    <t>balkongnit 5 x 14 mm - K 15 - material: rostfritt stål med rostfri dorn</t>
  </si>
  <si>
    <t>Balkonnitte 5 x 14 mm -  K 15 -  materiale: Rustfrit stål med dorn i rustfrit stål</t>
  </si>
  <si>
    <t>Balkongskjøter 5 x 14 mm – K 15 – materiale: rustfritt stål med stift i rustfritt stål</t>
  </si>
  <si>
    <t>Balkonska zakovica 5 x 14 mm – K 15 – materijal: Nehrđajući čelik s trnom od nehrđajućeg čelika</t>
  </si>
  <si>
    <t>Fassadenniete 5 x 14 mm -  K 16 -  Material: Aluminium mit Edelstahl-Dorn</t>
  </si>
  <si>
    <t>Façade rivet 5 x 14 mm – K 16 - Material: Aluminium with stainless pin</t>
  </si>
  <si>
    <t>rivet de façade 5 x 14 mm –  K 16 –  matériau : aluminium avec tige inox</t>
  </si>
  <si>
    <t>Rivetto per facciata 5 x 14 mm - K 16 - Materiale: Alluminio con spina in acciaio inox</t>
  </si>
  <si>
    <t>Fasádní nýty 5 × 14 mm -  K 16 -  materiál: hliník s nerezovými trny</t>
  </si>
  <si>
    <t>Nit do elewacji 5 x 14 mm – K 16 – Materiał: Aluminium z trzpieniem ze stali nierdzewnej</t>
  </si>
  <si>
    <t>homlokzati szegecs 5 x 14 mm –  K 16 -  anyag: alumínium rozsdamentes acél tüskével</t>
  </si>
  <si>
    <t>Fasádne nity 5 x 14 mm – K 16 – materiál: hliník s tŕňom z nerezovej ocele</t>
  </si>
  <si>
    <t>Gevelklinknagel 5 x 14 mm - K 16 - materiaal: Aluminium met roestvrijstalen doorn</t>
  </si>
  <si>
    <t>Fasadna zakovica 5 x 14 mm -  K 16 -  Material: Aluminij z osnikom iz nerjavnega jekla</t>
  </si>
  <si>
    <t>fasadnit 5 x 14 mm - K 16 - material: Aluminium med dorn i rostfritt stål</t>
  </si>
  <si>
    <t>Facadenitte 5 x 14 mm -  K 16 -  materiale: Aluminium med dorn i rustfrit stål</t>
  </si>
  <si>
    <t>Fasadeskjøter 5 x 14 mm – K 16 – materiale: aluminium med stift i rustfritt stål</t>
  </si>
  <si>
    <t>Fasadna zakovica 5 x 14 mm – K 16 – materijal: Aluminij s trnom od nehrđajućeg čelika</t>
  </si>
  <si>
    <t>Passend für Prefa Entwässerungsprodukte.</t>
  </si>
  <si>
    <t>Suitable for PREFA drainage products.</t>
  </si>
  <si>
    <t>Compatible avec les produits d’évacuation des eaux de pluie PREFA.</t>
  </si>
  <si>
    <t>Adatto per prodotti per smaltimento acque PREFA.</t>
  </si>
  <si>
    <t>Vhodné pro odvodňovací produkty PREFA.</t>
  </si>
  <si>
    <t>Pasuje do produktów PREFA do odprowadzania wody.</t>
  </si>
  <si>
    <t>PREFA vízelvezető termékekhez alkalmas.</t>
  </si>
  <si>
    <t>Hodí sa pre odvodňovacie produkty PREFA.</t>
  </si>
  <si>
    <t>Geschikt voor PREFA-afvoerproducten.</t>
  </si>
  <si>
    <t>Primerno za drenažne izdelke PREFA.</t>
  </si>
  <si>
    <t>Lämplig för PREFA dräneringsprodukter.</t>
  </si>
  <si>
    <t>Velegnet til PREFA drænprodukter.</t>
  </si>
  <si>
    <t>Egnet til PREFA-dreneringsprodukter.</t>
  </si>
  <si>
    <t>Prikladno za PREFA proizvode za odvodnju krova.</t>
  </si>
  <si>
    <t>Passend für PREFA Entwässerungsprodukte.</t>
  </si>
  <si>
    <t>Rinnenausführung:</t>
  </si>
  <si>
    <t>Gutter design:</t>
  </si>
  <si>
    <t>conception de gouttières:</t>
  </si>
  <si>
    <t>Finitura della grondaia:</t>
  </si>
  <si>
    <t>Provedení žlabu:</t>
  </si>
  <si>
    <t>Konstrukcja rynny:</t>
  </si>
  <si>
    <t>ereszkivitelezés:</t>
  </si>
  <si>
    <t>Vyhotovenie žľabu:</t>
  </si>
  <si>
    <t>Gootuitvoering:</t>
  </si>
  <si>
    <t>Izvedba žleba:</t>
  </si>
  <si>
    <t>utförande ränna:</t>
  </si>
  <si>
    <t>Tagrendedesign:</t>
  </si>
  <si>
    <t>Renneutførelse:</t>
  </si>
  <si>
    <t>Konstrukcija žlijeba:</t>
  </si>
  <si>
    <t>Quadratrohr 80x80mm</t>
  </si>
  <si>
    <t>square downpipe 80x80mm</t>
  </si>
  <si>
    <t>tuyau de descente carré 80x80mm</t>
  </si>
  <si>
    <t>Pluviale quadro 80x80mm</t>
  </si>
  <si>
    <t>Hranatý svod 80 × 80 mm</t>
  </si>
  <si>
    <t>Rura kwadratowa 80 x 80 mm</t>
  </si>
  <si>
    <t>szögletes lefolyócső 80x80 mm</t>
  </si>
  <si>
    <t>štvorcový zvod 80 x 80 mm</t>
  </si>
  <si>
    <t>Vierkante buis 80 x 80 mm</t>
  </si>
  <si>
    <t>Kvadratna cev 80x80mm</t>
  </si>
  <si>
    <t>fyrkantsrör 80 x 80 mm</t>
  </si>
  <si>
    <t>Kvadratrør 80x80mm</t>
  </si>
  <si>
    <t>firkantrenne 80 x 80 mm</t>
  </si>
  <si>
    <t>Kvadratna cijev 80x80 mm</t>
  </si>
  <si>
    <t>Quadratrohr 100x100mm</t>
  </si>
  <si>
    <t>tuyau de descente carré 100x100mm</t>
  </si>
  <si>
    <t>Pluviale quadro 100x100mm</t>
  </si>
  <si>
    <t>Hranatý svod 100 × 100 mm</t>
  </si>
  <si>
    <t>Rura kwadratowa 100 x 100 mm</t>
  </si>
  <si>
    <t>szögletes lefolyócső 100x100 mm</t>
  </si>
  <si>
    <t>štvorcový zvod 100 x 100 mm</t>
  </si>
  <si>
    <t>Vierkante buis 100 x 100 mm</t>
  </si>
  <si>
    <t>Kvadratna cev 100x100mm</t>
  </si>
  <si>
    <t>fyrkantsrör 100 x 100 mm</t>
  </si>
  <si>
    <t>Kvadratrør 100x100mm</t>
  </si>
  <si>
    <t>firkantrenne 100 x 100 mm</t>
  </si>
  <si>
    <t>Kvadratna cijev 100x100 mm</t>
  </si>
  <si>
    <t>Schweißnaht</t>
  </si>
  <si>
    <t>Welding seam</t>
  </si>
  <si>
    <t>cordon de soudure</t>
  </si>
  <si>
    <t>Saldatura</t>
  </si>
  <si>
    <t>Svar</t>
  </si>
  <si>
    <t>Szew spawalniczy</t>
  </si>
  <si>
    <t>hegesztési varrat</t>
  </si>
  <si>
    <t>zváraný spoj</t>
  </si>
  <si>
    <t>Lasnaad</t>
  </si>
  <si>
    <t>Zvar</t>
  </si>
  <si>
    <t>svetsnit</t>
  </si>
  <si>
    <t>Svejsesøm</t>
  </si>
  <si>
    <t>Sveiseskjøt</t>
  </si>
  <si>
    <t>Zavareni šav</t>
  </si>
  <si>
    <t>Ergänzungsband glatt</t>
  </si>
  <si>
    <t>Complementary coil smooth</t>
  </si>
  <si>
    <t>bande complémentaire lisse</t>
  </si>
  <si>
    <t>Nastro per lattoneria liscio</t>
  </si>
  <si>
    <t>Doplňkový svitek, hladký</t>
  </si>
  <si>
    <t>Uzupełniająca taśma elewacyjna gładka</t>
  </si>
  <si>
    <t>kiegészítő lemez sima</t>
  </si>
  <si>
    <t>doplnkový pás hladký</t>
  </si>
  <si>
    <t>Aanvullende band glad</t>
  </si>
  <si>
    <t>Dopolnilni trak gladek</t>
  </si>
  <si>
    <t>slätt kompletterande band</t>
  </si>
  <si>
    <t>Ekstra bånd, glat</t>
  </si>
  <si>
    <t>Fasadekompletteringsbånd, glatt</t>
  </si>
  <si>
    <t>Dopunska traka, glatka</t>
  </si>
  <si>
    <t>Ergänzungsband glatt mit Folie</t>
  </si>
  <si>
    <t>Complementary coil smooth with plastic</t>
  </si>
  <si>
    <t>bande complémentaire lisse avec film</t>
  </si>
  <si>
    <t>Nastro per lattoneria liscio con lamina</t>
  </si>
  <si>
    <t>Doplňkový svitek, hladký s fólií</t>
  </si>
  <si>
    <t>Uzupełniająca taśma elewacyjna gładka z folią</t>
  </si>
  <si>
    <t>kiegészítő lemez sima fóliával</t>
  </si>
  <si>
    <t>doplnkový pás hladký s fóliou</t>
  </si>
  <si>
    <t>Aanvullende band glad met folie</t>
  </si>
  <si>
    <t>Dopolnilni trak gladek s folijo</t>
  </si>
  <si>
    <t>slätt kompletterande band med folie</t>
  </si>
  <si>
    <t>Ekstra bånd, glat med folie</t>
  </si>
  <si>
    <t>Fasadekompletteringsbånd, glatt med folie</t>
  </si>
  <si>
    <t>Dopunska traka, glatka, s folijom</t>
  </si>
  <si>
    <t>Oberteil</t>
  </si>
  <si>
    <t>Upper part</t>
  </si>
  <si>
    <t>partie supérieure</t>
  </si>
  <si>
    <t>Parte superiore</t>
  </si>
  <si>
    <t>Horní díl</t>
  </si>
  <si>
    <t>Część górna</t>
  </si>
  <si>
    <t>felső rész</t>
  </si>
  <si>
    <t>horný diel</t>
  </si>
  <si>
    <t>Bovenste deel</t>
  </si>
  <si>
    <t>Zgornji del</t>
  </si>
  <si>
    <t>övre del</t>
  </si>
  <si>
    <t>Overdel</t>
  </si>
  <si>
    <t>Gornji dio</t>
  </si>
  <si>
    <t>Unterteil</t>
  </si>
  <si>
    <t>Lower part</t>
  </si>
  <si>
    <t>partie inférieure</t>
  </si>
  <si>
    <t>Parte inferiore</t>
  </si>
  <si>
    <t>Dolní díl</t>
  </si>
  <si>
    <t>Część dolna</t>
  </si>
  <si>
    <t>alsó rész</t>
  </si>
  <si>
    <t>spodný diel</t>
  </si>
  <si>
    <t>Onderste deel</t>
  </si>
  <si>
    <t>Spodnji del</t>
  </si>
  <si>
    <t>nedre del</t>
  </si>
  <si>
    <t>Underdel</t>
  </si>
  <si>
    <t>Donji dio</t>
  </si>
  <si>
    <t>Dachflächenfenster Über 25° Dachneigung</t>
  </si>
  <si>
    <t>ROOF WINDOW/SKYLIGHT ABOVE 25° ROOF PITCH</t>
  </si>
  <si>
    <t>ABERGEMENT DE FENÊTRE DE TOIT POUR UNE PENTE DE TOIT SUPÉRIEURE À 25°</t>
  </si>
  <si>
    <t>Finestra per tetto con pendenza della copertura superiore a 25°</t>
  </si>
  <si>
    <t>STŘEŠNÍ OKNO SE SKLONEM STŘECHY PŘES 25°</t>
  </si>
  <si>
    <t>OKNA DACHOWE DO DACHU POWYŻEJ 25° NACHYLENIA</t>
  </si>
  <si>
    <t>TETŐABLAKOK 25°-OS TETŐHAJLÁSSZÖG FELETT</t>
  </si>
  <si>
    <t>STREŠNÉ OKNO PRE STREŠNÝ SKLON VIAC AKO 25°</t>
  </si>
  <si>
    <t>DAKRAMEN BOVEN 25° DAKHELLING</t>
  </si>
  <si>
    <t>STREŠNO OKNO NAD 25° NAKLONOM STREHE</t>
  </si>
  <si>
    <t>TAKFÖNSTER ÖVER 25° TAKLUTNING</t>
  </si>
  <si>
    <t>TAGVINDUE OVER 25° TAGHÆLDNING</t>
  </si>
  <si>
    <t>TAKVINDU VED OVER 25° TAKVINKEL</t>
  </si>
  <si>
    <t>LEŽEĆI KROVNI PROZOR KOD NAGIBA KROVA PREKO 25°</t>
  </si>
  <si>
    <t>Innenecke mehrteilig (Länge: 3.000 mm)</t>
  </si>
  <si>
    <t>internal corner L = 3,000 mm (in several parts)</t>
  </si>
  <si>
    <t>angle rentrant , L = 3 000 mm (plusieurs éléments)</t>
  </si>
  <si>
    <t>Angolo interno  L = 3.000 mm (in più parti)</t>
  </si>
  <si>
    <t>vnitřní roh L = 3000 mm (vícedílný)</t>
  </si>
  <si>
    <t>Narożnik wewnętrzny  L = 3000 mm (wieloczęściowy)</t>
  </si>
  <si>
    <t>belső sarok L = 3000 mm (többrészes)</t>
  </si>
  <si>
    <t>vnútorný rohový profil L = 3 000 mm (viacdielny)</t>
  </si>
  <si>
    <t>-binnenhoek L = 3.000 mm (meerdelig)</t>
  </si>
  <si>
    <t>Notranii vogal  D = 3.000 mm (večdelni)</t>
  </si>
  <si>
    <t>innerhörn L = 3 000 mm (flerdelat)</t>
  </si>
  <si>
    <t>inderhjørne L = 3.000 mm (flerdelt)</t>
  </si>
  <si>
    <t>-innerhjørne L = 3000 mm (flerdelt)</t>
  </si>
  <si>
    <t>unutarnji kut L = 3.000 mm (višedijelni)</t>
  </si>
  <si>
    <t>Taschenprofil gekantet (Länge: 2.500 mm)</t>
  </si>
  <si>
    <t>pocket flashing L = 2,500 mm folded</t>
  </si>
  <si>
    <t>profil replié , L = 2 500 mm</t>
  </si>
  <si>
    <t>Profilo ripiegato  L = 2.500 mm squadrato</t>
  </si>
  <si>
    <t>ukončovací profil L = 2500 mm hraněný</t>
  </si>
  <si>
    <t>KANTOWANY PROFIL  DO WAŁU PROFILOWEGO L = 2500 mm</t>
  </si>
  <si>
    <t>zsebes profil L = 2500 mm hajtott</t>
  </si>
  <si>
    <t>kapsový profil L = 2 500 mm ohýbaný</t>
  </si>
  <si>
    <t>-zakprofiel L = 2.500 mm gevoegd</t>
  </si>
  <si>
    <t>Žepni profil  D = 2.500 mm obrobljen</t>
  </si>
  <si>
    <t>fickprofil L = 2 500 mm kantad</t>
  </si>
  <si>
    <t>taskeprofil L = 2.500 mm kantet</t>
  </si>
  <si>
    <t>-lommeprofil L = 2500 mm kantet</t>
  </si>
  <si>
    <t>C profil L = 2.500 mm, kantiran</t>
  </si>
  <si>
    <t>Fuge.500</t>
  </si>
  <si>
    <t>joint 500</t>
  </si>
  <si>
    <t xml:space="preserve">Jointure 500 </t>
  </si>
  <si>
    <t>Fuga.500</t>
  </si>
  <si>
    <t>spára.500</t>
  </si>
  <si>
    <t>Fuga  .500</t>
  </si>
  <si>
    <t>fuga.500</t>
  </si>
  <si>
    <t>škára.500</t>
  </si>
  <si>
    <t>-voeg.500</t>
  </si>
  <si>
    <t>fog.500</t>
  </si>
  <si>
    <t>Fuge.600</t>
  </si>
  <si>
    <t>joint 600</t>
  </si>
  <si>
    <t xml:space="preserve">Jointure 600 </t>
  </si>
  <si>
    <t>Fuga.600</t>
  </si>
  <si>
    <t>spára.600</t>
  </si>
  <si>
    <t>Fuga  .600</t>
  </si>
  <si>
    <t>fuga.600</t>
  </si>
  <si>
    <t>škára.600</t>
  </si>
  <si>
    <t>-voeg.600</t>
  </si>
  <si>
    <t>fog.600</t>
  </si>
  <si>
    <t>Montagehilfe Sturmsicherungsclip für Materialstärke 1,5mm</t>
  </si>
  <si>
    <t>mounting aid stormclip for 1.5 mm thickness</t>
  </si>
  <si>
    <t>cale d’espacement pour clip tempête  (épaisseur du matériau : 1,5 mm)</t>
  </si>
  <si>
    <t>Dima di ausilio per il montaggio PREFA clip antivento per materiale di spessore 1,5 mm</t>
  </si>
  <si>
    <t>montážní pomůcka pro pojistné klipy proti větru, tloušťka materiálu 1,5 mm</t>
  </si>
  <si>
    <t>Przyrząd montażowy  do klipsów zabezpieczeń odgromowych z materiału o grubości 1,5 mm</t>
  </si>
  <si>
    <t>szerelési segédeszköz viharkapocs 1,5 mm-es anyagvastagsághoz</t>
  </si>
  <si>
    <t>montážna pomôcka poistný veterný klip pre hrúbku materiálu 1,5 mm</t>
  </si>
  <si>
    <t>-montagehulp stormbeveiligingsclip voor materiaaldikte 1,5 mm</t>
  </si>
  <si>
    <t>Pripomoček za montažo  za varnostne sponke za debelino materiala 1,5 mm</t>
  </si>
  <si>
    <t>monteringshjälp stormsäkerhetsklämma för materialtjocklek 1,5 mm</t>
  </si>
  <si>
    <t>monteringshjælp stormsikringsclips til materialetykkelse 1,5mm</t>
  </si>
  <si>
    <t>-monteringshjelp stormsikringsklips til materialtykkelse 1,5mm</t>
  </si>
  <si>
    <t>pomagalo za montažu držača za zaštitu od olujnog nevremena za debljinu materijala 1,5 mm</t>
  </si>
  <si>
    <t>Sonderrinnenwinkel – 3D</t>
  </si>
  <si>
    <t>SPECIAL INTERIOR CORNER BRACKET - 3D</t>
  </si>
  <si>
    <t>ÉQUERRE DE GOUTTIÈRE RÉALISÉE SUR COMMANDE (3D)</t>
  </si>
  <si>
    <t>Angolo speciale per grondaie - 3D</t>
  </si>
  <si>
    <t>Roh žlabu, zakázková výroba 3D</t>
  </si>
  <si>
    <t>Specjalny kąt rynny - 3D</t>
  </si>
  <si>
    <t>EGYEDI SZEGLET – 3D</t>
  </si>
  <si>
    <t>Špeciálny uhol žľabu - 3D</t>
  </si>
  <si>
    <t>Speciale goot hoek - 3D</t>
  </si>
  <si>
    <t>Poseben kot žleba - 3D</t>
  </si>
  <si>
    <t>Special ränndjupvinkel - 3D</t>
  </si>
  <si>
    <t>SPECIALRENDEVINKEL – 3D</t>
  </si>
  <si>
    <t>Spesiell takrennevinkel - 3D</t>
  </si>
  <si>
    <t>Poseban kut oluka - 3D</t>
  </si>
  <si>
    <t xml:space="preserve">Sonder- Erhebungsbogen </t>
  </si>
  <si>
    <t>SPECIAL DATA SURVEY FORM</t>
  </si>
  <si>
    <t>FORMULAIRE DE COMMANDE : PRODUITS SPÉCIAUX</t>
  </si>
  <si>
    <t>Questionario per prodotti fuori standard</t>
  </si>
  <si>
    <t>Dotazník - specifikace výrobku</t>
  </si>
  <si>
    <t>FELMÉRÉSI ADATLAP EGYEDI TERMÉK</t>
  </si>
  <si>
    <t>Rinnenwinkel 2D</t>
  </si>
  <si>
    <t>GUTTER ANGLE 2D</t>
  </si>
  <si>
    <t>ÉQUERRE DE GOUTTIÈRE 2D</t>
  </si>
  <si>
    <t>Angolo di gronda 2D</t>
  </si>
  <si>
    <t>Roh žlabu 2D</t>
  </si>
  <si>
    <t>SZEGLET 2D</t>
  </si>
  <si>
    <t>Rinnenwinkel 3D</t>
  </si>
  <si>
    <t>GUTTER ANGLE 3D</t>
  </si>
  <si>
    <t>ÉQUERRE DE GOUTTIÈRE 3D</t>
  </si>
  <si>
    <t>Angolo di gronda 3D</t>
  </si>
  <si>
    <t>Roh žlabu 3D</t>
  </si>
  <si>
    <t>SZEGLET 3D</t>
  </si>
  <si>
    <t>DOWNPIPE ELBOW</t>
  </si>
  <si>
    <t>COUDE</t>
  </si>
  <si>
    <t>Gomito</t>
  </si>
  <si>
    <t>Koleno</t>
  </si>
  <si>
    <t>CSŐÍV</t>
  </si>
  <si>
    <t>WATER COLLECTION BOXES</t>
  </si>
  <si>
    <t>BOÎTE À EAU</t>
  </si>
  <si>
    <t>Cassetta di raccolta</t>
  </si>
  <si>
    <t>Sběrný kotlík</t>
  </si>
  <si>
    <t>VÍZGYŰJTŐÜST</t>
  </si>
  <si>
    <t>Rohreinmündung (Einseitig)</t>
  </si>
  <si>
    <t>DOWNPIPE BRANCH SINGLE</t>
  </si>
  <si>
    <t>EMBRANCHEMENT (SIMPLE)</t>
  </si>
  <si>
    <t>Braga (un lato)</t>
  </si>
  <si>
    <t>Odbočka svodu (jednostranná)</t>
  </si>
  <si>
    <t>CSŐBECSATLAKOZÁS (EGYOLDALAS)</t>
  </si>
  <si>
    <t>Rohreinmündung (Zweiseitig)</t>
  </si>
  <si>
    <t>DOWNPIPE BRANCH DOUBLE</t>
  </si>
  <si>
    <t>EMBRANCHEMENT (DOUBLE)</t>
  </si>
  <si>
    <t>Braga (due lati)</t>
  </si>
  <si>
    <t>Odbočka svodu (dvoustranná)</t>
  </si>
  <si>
    <t>CSŐBECSATLAKOZÁS (KÉTOLDALAS)</t>
  </si>
  <si>
    <t>Quadratrohreinmündung (Einseitig)</t>
  </si>
  <si>
    <t>SQARE DOWNPIPE BRANCH SINGLE</t>
  </si>
  <si>
    <t>EMBRANCHEMENT POUR TUYAU DE DESCENTE CARRÉ (SIMPLE)</t>
  </si>
  <si>
    <t>Braga per pluviale quadro (un lato)</t>
  </si>
  <si>
    <t>Odbočka hranatého svodu (jednostranná)</t>
  </si>
  <si>
    <t>SZÖGLETES CSŐBECSATLAKOZÁS (EGYOLDALAS)</t>
  </si>
  <si>
    <t>Quadratrohreinmündung (Zweiseitig)</t>
  </si>
  <si>
    <t>SQUARE DOWNPIPE BRANCH DOUBLE</t>
  </si>
  <si>
    <t>EMBRANCHEMENT POUR TUYAU DE DESCENTE CARRÉ (DOUBLE)</t>
  </si>
  <si>
    <t>Braga per pluviale quadro (due lati)</t>
  </si>
  <si>
    <t>Odbočka hranatého svodu (dvoustanná)</t>
  </si>
  <si>
    <t>SZÖGLETES CSŐBECSATLAKOZÁS (KÉTOLDALAS)</t>
  </si>
  <si>
    <t>Quadratrohr- Sockelknie</t>
  </si>
  <si>
    <t>SQUARE DOWNPIPE SWAN NECK</t>
  </si>
  <si>
    <t>COUDE ÉTAGE POUR TUYAU DE DESCENTE CARRÉ</t>
  </si>
  <si>
    <t>Spostamento per pluviale quadro</t>
  </si>
  <si>
    <t>Soklové koleno hranatého svodu</t>
  </si>
  <si>
    <t>SZÖGLETES LEFOLYÓCSŐ - LÁBAZATI ELEM</t>
  </si>
  <si>
    <t xml:space="preserve">Sockelknie </t>
  </si>
  <si>
    <t>SWAN NECK</t>
  </si>
  <si>
    <t>COUDE ÉTAGE</t>
  </si>
  <si>
    <t>Spostamento</t>
  </si>
  <si>
    <t xml:space="preserve">lábazati elem </t>
  </si>
  <si>
    <t>Quadratrohr Wasserfangkasten</t>
  </si>
  <si>
    <t>SQUARE DOWNPIPE WATER COLLECTION BOXES</t>
  </si>
  <si>
    <t>BOÎTE À EAU POUR TUYAU DE DESCENTE CARRÉ</t>
  </si>
  <si>
    <t>Cassetta di raccolta per pluviale quadro</t>
  </si>
  <si>
    <t>Sběrný kotlík s hranatým vyústěním</t>
  </si>
  <si>
    <t>SZÖGLETES LEFOLYÓCSŐ VÍZGYŰJTŐÜST</t>
  </si>
  <si>
    <t>Dachneigung</t>
  </si>
  <si>
    <t>roof pitch</t>
  </si>
  <si>
    <t>pente de toit</t>
  </si>
  <si>
    <t>pendenza del tetto</t>
  </si>
  <si>
    <t>Střešní sklon</t>
  </si>
  <si>
    <t>Nachylenie dachu</t>
  </si>
  <si>
    <t>Tetőhajlásszög</t>
  </si>
  <si>
    <t>Sklon strechy</t>
  </si>
  <si>
    <t>Dakhelling</t>
  </si>
  <si>
    <t>Naklon strehe</t>
  </si>
  <si>
    <t>Taklutning</t>
  </si>
  <si>
    <t>Taghældning</t>
  </si>
  <si>
    <t>Takvinkel</t>
  </si>
  <si>
    <t>Nagib krova</t>
  </si>
  <si>
    <t>Außenrinnenwinkel</t>
  </si>
  <si>
    <t>external gutter corner</t>
  </si>
  <si>
    <t>équerre pour angle sortant de gouttière</t>
  </si>
  <si>
    <t>Angolo di gronda esterno</t>
  </si>
  <si>
    <t>Roh žlabu (vnější)</t>
  </si>
  <si>
    <t>Ereszcsatorna külső szeglet</t>
  </si>
  <si>
    <t>Innenrinnenwinkel</t>
  </si>
  <si>
    <t>internal gutter corner</t>
  </si>
  <si>
    <t>équerre pour angle rentrant de gouttière</t>
  </si>
  <si>
    <t>Angolo di gronda interno</t>
  </si>
  <si>
    <t>Roh žlabu (vnitřní)</t>
  </si>
  <si>
    <t>Ereszcsatorna belső szeglet</t>
  </si>
  <si>
    <t>Quadratrohr 100x80mm</t>
  </si>
  <si>
    <t>square downpipe 100x80mm</t>
  </si>
  <si>
    <t>tuyau de descente carré 100x80mm</t>
  </si>
  <si>
    <t>Pluviale quadro 100x80mm</t>
  </si>
  <si>
    <t>Hranatý svod 100x80mm</t>
  </si>
  <si>
    <t>Szögletes lefolyócső 100x80mm</t>
  </si>
  <si>
    <t>Startprofil P.10 Sonderfarbe (Länge: 2.000 mm)</t>
  </si>
  <si>
    <t>starter profile P.10 special colours (length: 2.000 mm)</t>
  </si>
  <si>
    <t>profil de départ; L = 2 000 mm P.10 autre teinte</t>
  </si>
  <si>
    <t>Profilo di partenza Prefa L=2000mm colore fuori standard P.10</t>
  </si>
  <si>
    <t>PREFA startovací profil, délka = 2.000 mm, P10 - zakázkové lakování</t>
  </si>
  <si>
    <t>PREFA Startprofil H = 2.000 mm P.10 egyedi színben</t>
  </si>
  <si>
    <t>Taschenprofil (Haltewinkel) (Länge: 3.000 mm)</t>
  </si>
  <si>
    <t>Pocket flashing (length 3.000 mm)</t>
  </si>
  <si>
    <t>Profil d’accrochage PREFA L = 3 000 mm</t>
  </si>
  <si>
    <t xml:space="preserve">Profilo a tasca Prefa L=2500mm </t>
  </si>
  <si>
    <t>PREFA zásuvná kapsa, délka = 3000 mm ( ukončovacé profil)</t>
  </si>
  <si>
    <t>PREFA Zsebesprofil H = 3.000 mm (Tartóelem)</t>
  </si>
  <si>
    <t>Startprofiel L=3000mm</t>
  </si>
  <si>
    <t>Fickprofil L=3000 mm</t>
  </si>
  <si>
    <t>Lommeprofil(Holdevinkel) L=3000 mm</t>
  </si>
  <si>
    <t>Lommeprofil(Festevinkel) L=3000</t>
  </si>
  <si>
    <t>Breite in Dachneigung gemessen</t>
  </si>
  <si>
    <t>Width measured in roof pitch</t>
  </si>
  <si>
    <t>largeur mesurée selon la pente de toit</t>
  </si>
  <si>
    <t>Larghezza rilevata in pendenza</t>
  </si>
  <si>
    <t>Šířka měřená ve střešním sklonu</t>
  </si>
  <si>
    <t>Szélesség a hajlás irányában mérve</t>
  </si>
  <si>
    <t>Width</t>
  </si>
  <si>
    <t xml:space="preserve">Szélesség  </t>
  </si>
  <si>
    <t>Abstand</t>
  </si>
  <si>
    <t>distance</t>
  </si>
  <si>
    <t>Distanza</t>
  </si>
  <si>
    <t>Odstup</t>
  </si>
  <si>
    <t>Távolság</t>
  </si>
  <si>
    <t>Dimension</t>
  </si>
  <si>
    <t>dimension</t>
  </si>
  <si>
    <t xml:space="preserve">Méret  </t>
  </si>
  <si>
    <t>Verankerungsgrund</t>
  </si>
  <si>
    <t>structural substrate</t>
  </si>
  <si>
    <t>Structure porteuse</t>
  </si>
  <si>
    <t>Base di ancoraggio</t>
  </si>
  <si>
    <t>Nosná konstrukce obvodového pláště</t>
  </si>
  <si>
    <t>Teherhordó alap</t>
  </si>
  <si>
    <t>Saumstreifenlänge</t>
  </si>
  <si>
    <t>starter strip lenght</t>
  </si>
  <si>
    <t>Longueur de bande de départ</t>
  </si>
  <si>
    <t>Lunghezza scossalina di gronda</t>
  </si>
  <si>
    <t>Délka podkladního pásu</t>
  </si>
  <si>
    <t>Ereszhossz</t>
  </si>
  <si>
    <t>Wandrautenhaft 29 x 29</t>
  </si>
  <si>
    <t>rhomboid façade tile clip 29 × 29</t>
  </si>
  <si>
    <t>Patte pour losange 29 x29</t>
  </si>
  <si>
    <t>Graffetta per Scaglia 29 per facciata</t>
  </si>
  <si>
    <t>Příponka pro fasádní šablonu 29 x 29</t>
  </si>
  <si>
    <t>29 x 29 falburkoló rombusz hafter</t>
  </si>
  <si>
    <t>Wandrautenhaft für 29 x 29</t>
  </si>
  <si>
    <t xml:space="preserve">Verbindungswinkel </t>
  </si>
  <si>
    <t>corner liner</t>
  </si>
  <si>
    <t>Staffa di collegamento</t>
  </si>
  <si>
    <t>Spojovací roh nosného roštu</t>
  </si>
  <si>
    <t>Csatlakozási szög</t>
  </si>
  <si>
    <t>mind. 10 mm</t>
  </si>
  <si>
    <t>minimum round about 3/8 of an inch</t>
  </si>
  <si>
    <t>min 10mm</t>
  </si>
  <si>
    <t>min. 10 mm</t>
  </si>
  <si>
    <t>Niro-Winkelstehfalzhaft für Befestigung mit Schrauben</t>
  </si>
  <si>
    <t>stainless steel preformed fixed clip for fastening with screws</t>
  </si>
  <si>
    <t>Patte inox fixe pour fixation à la vis</t>
  </si>
  <si>
    <t>Graffetta fissa in acciaio inox per fissaggio con viti</t>
  </si>
  <si>
    <t>Zaczep kątowy stały ze stali nierdzewnej</t>
  </si>
  <si>
    <t>Niro-Winkelschiebehaft für Befestigung mit Schrauben</t>
  </si>
  <si>
    <t>stainless steel preformed sliding clip for fastening with screws</t>
  </si>
  <si>
    <t>Patte coulissante standard inox pour fixation à la vis</t>
  </si>
  <si>
    <t>Graffetta scorrevole in acciaio inox per fissaggio con viti</t>
  </si>
  <si>
    <t>Zaczep kątowy przesuwny ze stali nierdzewnej</t>
  </si>
  <si>
    <t>Niro-Winkellangschiebehaft für Befestigung mit Schrauben</t>
  </si>
  <si>
    <t>stainless steel preformed long sliding clip for fastening with screws</t>
  </si>
  <si>
    <t>Patte longue coulissante inox pour fixation à la vis</t>
  </si>
  <si>
    <t>Graffetta scorrevole maggiorata in acciaio inox per fissaggio con viti</t>
  </si>
  <si>
    <t>Zaczep kątowy o zwiększonym przesuwie ze stali nierdzewnej</t>
  </si>
  <si>
    <t>Siding perforiert ohne Schattenfuge</t>
  </si>
  <si>
    <t>perforated siding without shadow gap</t>
  </si>
  <si>
    <t>Siding perforé sans joint creux</t>
  </si>
  <si>
    <t>Doga perforata senza fuga</t>
  </si>
  <si>
    <t>Siding bez fugi cieniowej</t>
  </si>
  <si>
    <t>Spezialschraube für Aluminium-Unterkonstruktion 5,5 x 25 mm</t>
  </si>
  <si>
    <t>Special screw 5,5 x 25 mm for Aluminium supporting substructure</t>
  </si>
  <si>
    <t>Vis spéciale pour sous-construction en aluminium 5,5 x 25 mm</t>
  </si>
  <si>
    <t>Vite speciale per sottostruttura in alluminio</t>
  </si>
  <si>
    <t>Wkręt do metalu do sidingów na podkonstrukcji aluminiowej</t>
  </si>
  <si>
    <t>Speciale Schroef Alu 5,5x25 mm</t>
  </si>
  <si>
    <t>Specialskruv Alu 5,5x25 mm</t>
  </si>
  <si>
    <t>Specialskrue Alu 5,5x25 mm</t>
  </si>
  <si>
    <t>Spezialschraube für Stahl-Unterkonstruktion 5,5 x 25 mm</t>
  </si>
  <si>
    <t>Special screw 5,5 x 25 mm for steel supporting substructure</t>
  </si>
  <si>
    <t>Vis spéciale pour sous-construction en acier 5,5 x 25 mm</t>
  </si>
  <si>
    <t>Vite speciale per sottostruttura in acciaio</t>
  </si>
  <si>
    <t>Śruba specjalna do konstrukcji stalowej</t>
  </si>
  <si>
    <t>Speciale Schroef Stalen 5,5x25 mm</t>
  </si>
  <si>
    <t>Specialskruv Stål  5,5x25 mm</t>
  </si>
  <si>
    <t>Specialskrue Stål 5,5x25 mm</t>
  </si>
  <si>
    <t>Spezialschraube für Holz-Unterkonstruktion 4,9 x 35 mm</t>
  </si>
  <si>
    <t>special screw for timber sub-structure framework</t>
  </si>
  <si>
    <t>Vis spéciale pour sous-construction en bois 4,9 x 35 mm</t>
  </si>
  <si>
    <t>Vite speciale per sottostruttura in legno</t>
  </si>
  <si>
    <t>Wkręt do drewna do sidingów na podkonstrukcji drewnianej</t>
  </si>
  <si>
    <t>Speciale Schroef Hputen 4,9x35 mm</t>
  </si>
  <si>
    <t>Specialskruv Trä 4,9x35 mm</t>
  </si>
  <si>
    <t>Specialskrue Tre 4,9x35 mm</t>
  </si>
  <si>
    <t>Fassadenschraube für Aluminium-Unterkonstruktion</t>
  </si>
  <si>
    <t>façade screw for aluminium sub-structure framework</t>
  </si>
  <si>
    <t>Vis de façade pour sous-construction en aluminium</t>
  </si>
  <si>
    <t>Vite per facciata per sottostruttura in alluminio</t>
  </si>
  <si>
    <t>Śruba montażowa</t>
  </si>
  <si>
    <t>Festpunkthülse für Fassadenschraube</t>
  </si>
  <si>
    <t>fixed point bushing for façade screw</t>
  </si>
  <si>
    <t>Douille de guidage pour point fixe vis de façade</t>
  </si>
  <si>
    <t>Anello per punto fisso per vite per facciata</t>
  </si>
  <si>
    <t>Tuleja z punktem stałym do wkrętu fasadowego</t>
  </si>
  <si>
    <t>Gleitpunkthülse für Fassadenschraube</t>
  </si>
  <si>
    <t>sliding point bushing for façade screw</t>
  </si>
  <si>
    <t>Douille de guidage pour point coulissant vis de façade</t>
  </si>
  <si>
    <t>Anello per punto scorrevole per vite per facciata</t>
  </si>
  <si>
    <t>Tuleja z punktem przesuwnym do wkrętu fasadowego</t>
  </si>
  <si>
    <t>LT-XT Tool XT 25</t>
  </si>
  <si>
    <t>POINT COULISSANT</t>
  </si>
  <si>
    <t>perforiert</t>
  </si>
  <si>
    <t>perforated</t>
  </si>
  <si>
    <t>Perforé</t>
  </si>
  <si>
    <t>perforata</t>
  </si>
  <si>
    <t>Senkkopfschrauben</t>
  </si>
  <si>
    <t>countersunk screws</t>
  </si>
  <si>
    <t>Vis à tête fraisée</t>
  </si>
  <si>
    <t>Vite a testa svasata</t>
  </si>
  <si>
    <t>Śruby z łbem stożkowym</t>
  </si>
  <si>
    <t>Überlappung 100mm</t>
  </si>
  <si>
    <t>overlapping 100 mm</t>
  </si>
  <si>
    <t>Recouvrement 100 mm</t>
  </si>
  <si>
    <t>Sovrapposizione 100mm</t>
  </si>
  <si>
    <t>Dehnungsgerecht</t>
  </si>
  <si>
    <t>Fixation permettant une dilatation suffisante</t>
  </si>
  <si>
    <t>Adatto alla dilatazione</t>
  </si>
  <si>
    <t>in schneereichen Gebieten ab 35° (70%)</t>
  </si>
  <si>
    <t>in snow-rich areas from 35° (70%)</t>
  </si>
  <si>
    <t>Dans les zones enneigées à partir de 35° (70%)</t>
  </si>
  <si>
    <t>in località ad elevato carico neve da 35° (70%)</t>
  </si>
  <si>
    <t>in Schneereichen Gebieten ab 35° (70%)</t>
  </si>
  <si>
    <t>Alle Rechte vorbehalten. Diese Unterlage darf nur zu dem von uns genehmigten Zweck verwendet und nicht ohne unsere Zustimmung Dritten zugänglich gemacht werden.</t>
  </si>
  <si>
    <t>Copyright reserved. This document may only be used for the purpose approved by us and must not be disclosed to third parties without our consent.</t>
  </si>
  <si>
    <t>Tous droits réservés. Ce document ne peut être utilisé que dans le but que nous avons approuvé et ne peut être mis à la disposition de tiers sans notre consentement.</t>
  </si>
  <si>
    <t>Tutti i diritti sono riservati. Questo documento può essere utilizzato solo per gli scopi da noi autorizzati e non può essere reso accessibile a terzi senza il nostro consenso.</t>
  </si>
  <si>
    <t>Alle Rechte vorbehalten. Diese Unterlage darf nur zu dem von uns genehmigten Zweck verwendet und nicht ohne unsere Zusitimmung Dritten zugänglich gemacht werden.</t>
  </si>
  <si>
    <t>(min. 8 cm bei Ausführung mit Stiefelfalz/Bündnerfalz)</t>
  </si>
  <si>
    <t>(min. 8 cm pour les versions avec un couché-relevé / Grisonne)</t>
  </si>
  <si>
    <t>(min. 8cm per esecuzione con aggraffatura tipo "Stiefel")</t>
  </si>
  <si>
    <t>Wasserdicht mit Prefa Falzgel</t>
  </si>
  <si>
    <t>Waterproof with Prefa sealing gel</t>
  </si>
  <si>
    <t>Complément d'étancheité avec le Falzgel</t>
  </si>
  <si>
    <t>Impermeabilizzato con Gel Prefa</t>
  </si>
  <si>
    <t>Falz: Feste Verbindung</t>
  </si>
  <si>
    <t>seam: solid connection</t>
  </si>
  <si>
    <t>Agrafe : raccordement fixe</t>
  </si>
  <si>
    <t>Aggraffatura: connessione forte</t>
  </si>
  <si>
    <t>mit Sicke</t>
  </si>
  <si>
    <t>with ridge</t>
  </si>
  <si>
    <t>Avec moulure</t>
  </si>
  <si>
    <t>con scanalatura</t>
  </si>
  <si>
    <t>schweifen</t>
  </si>
  <si>
    <t>bordare</t>
  </si>
  <si>
    <t>Längsfalz</t>
  </si>
  <si>
    <t>longitudinal seam</t>
  </si>
  <si>
    <t>Agrafe longitudinale</t>
  </si>
  <si>
    <t>aggraffatura longitudinale</t>
  </si>
  <si>
    <t>Traufenabschluß stehend</t>
  </si>
  <si>
    <t>eaves closure</t>
  </si>
  <si>
    <t>Raccordo alla gronda aggraffatura diritta</t>
  </si>
  <si>
    <t>Falzverbindungen (Querfälze)</t>
  </si>
  <si>
    <t>seam connections (cross seam)</t>
  </si>
  <si>
    <t>couché relevé</t>
  </si>
  <si>
    <t>Raccordi aggraffati (aggraffature trasversali)</t>
  </si>
  <si>
    <t>Rohreinbindungen</t>
  </si>
  <si>
    <t>pipe connections</t>
  </si>
  <si>
    <t>Raccordements de tuyaux</t>
  </si>
  <si>
    <t>Collegamenti per pluviali</t>
  </si>
  <si>
    <t>Traufenabschluß halbrund Doppelstehfalz</t>
  </si>
  <si>
    <t>Égout avec languette étirée à double sertissage</t>
  </si>
  <si>
    <t>Raccordo alla gronda aggraffatura doppia arrotondata</t>
  </si>
  <si>
    <t>Traufumschlag</t>
  </si>
  <si>
    <t xml:space="preserve">Rabat de l'égout </t>
  </si>
  <si>
    <t>Ribattuta alla gronda</t>
  </si>
  <si>
    <t>Traufbord</t>
  </si>
  <si>
    <t>Sporgenza di gronda</t>
  </si>
  <si>
    <t>Traufenabschluß halbrund Winkelstehfalz</t>
  </si>
  <si>
    <t>Rabat de l'égout pour les languette étirées en joint debout</t>
  </si>
  <si>
    <t>Raccordo alla gronda aggraffatura angolare arrotondata</t>
  </si>
  <si>
    <t>TEIL 1 oberer Teil</t>
  </si>
  <si>
    <t>PART 1 Upper Part</t>
  </si>
  <si>
    <t>PARTIE 1 partie supérieure</t>
  </si>
  <si>
    <t>PEZZO 1 pezzo superiore</t>
  </si>
  <si>
    <t>TEIL 2 unterer Teil</t>
  </si>
  <si>
    <t>PART 2 Lower Part</t>
  </si>
  <si>
    <t>PARTIE 2 partie inférieure</t>
  </si>
  <si>
    <t>PEZZO 2 pezzo inferiore</t>
  </si>
  <si>
    <t>Firstausbildung - Längsfalz</t>
  </si>
  <si>
    <t>Agrafe longitudinale de faïtière</t>
  </si>
  <si>
    <t>Esecuzione colmo - aggraffatura longitudinale</t>
  </si>
  <si>
    <t>Großer und kleiner Winkelfalz Vorkanten</t>
  </si>
  <si>
    <t>Commencez le pliage des petits et des grands joints angulaires.</t>
  </si>
  <si>
    <t>Pre incidere l'aggraffatura angolare grande e piccola</t>
  </si>
  <si>
    <t>Quetschfalte andeuten</t>
  </si>
  <si>
    <t xml:space="preserve">Marquez le pli écrasé. </t>
  </si>
  <si>
    <t>Indicare la piega</t>
  </si>
  <si>
    <t>Winkelhalbierende nach hinten zum First ziehen</t>
  </si>
  <si>
    <t>Tirez la bissectrice vers l’arrière, en direction du faîte.</t>
  </si>
  <si>
    <t>Tirare la bisettrice dell'angolo all'indietro verso il colmo</t>
  </si>
  <si>
    <t>Firstaufkantung langsam hochziehen, Wuetschfaltenbildung verfolgen</t>
  </si>
  <si>
    <t>Réalisez progressivement le rebord de faîtière, poursuivez le pli écrasé.</t>
  </si>
  <si>
    <t>Tirare lentamente verso l'alto l'alzata del colmo, seguendo la formazione delle pieghe</t>
  </si>
  <si>
    <t xml:space="preserve">Quetschfalte zusammendrücken und entgegengesetzt </t>
  </si>
  <si>
    <t>Appuyez pour fermer le pli écrasé,</t>
  </si>
  <si>
    <t>Stringere la piega e premere nella direzione opposta</t>
  </si>
  <si>
    <t>zum Winkelfalz umlegen (nur an der Überdeckung)</t>
  </si>
  <si>
    <t>puis rabattez-le dans le sens opposé au joint angulaire (uniquement sur la couverture)</t>
  </si>
  <si>
    <t>Piegare formando l'aggraffatura ad angolo (solo sulla sovrapposizione)</t>
  </si>
  <si>
    <t>Längsfalz einhängen und zudrücken</t>
  </si>
  <si>
    <t>Accrochez et fermez l’agrafe longitudinale.</t>
  </si>
  <si>
    <t>Agganciare l'aggraffatura longitudinale e comprimere</t>
  </si>
  <si>
    <t>Überdeckungslappen zudrücken</t>
  </si>
  <si>
    <t>Fermez les languettes de recouvrement.</t>
  </si>
  <si>
    <t>comprimere il lembo di copertura</t>
  </si>
  <si>
    <t>Quetschfalte der Unterdeckung an die Quetschfalte der Überdeckung anklopfen</t>
  </si>
  <si>
    <t>Frappez le pli écrasé de la sous-couverture contre le pli écrasé de la couverture.</t>
  </si>
  <si>
    <t>Battere la piega del rivestimento sottostante alla piega del rivestimento soprastante.</t>
  </si>
  <si>
    <t>Firstfalzhöhe</t>
  </si>
  <si>
    <t>Hauteur de l’agrafe</t>
  </si>
  <si>
    <t>Altezza di aggraffatura del colmo</t>
  </si>
  <si>
    <t>Firstfalz</t>
  </si>
  <si>
    <t>Agrafe du faîtage</t>
  </si>
  <si>
    <t>Aggraffatura di colmo</t>
  </si>
  <si>
    <t>Firstaufkantungslinie</t>
  </si>
  <si>
    <t>Ligne de relevé</t>
  </si>
  <si>
    <t>Linea di rialzo del colmo</t>
  </si>
  <si>
    <t>Winkelhalbierende</t>
  </si>
  <si>
    <t>Bissectrice</t>
  </si>
  <si>
    <t>Bisettrice d'angolo</t>
  </si>
  <si>
    <t>oberen Faltenumschlag gegen die Falzrichtung des Hauptfalzes legen</t>
  </si>
  <si>
    <t>Posizionare la piega superiore contro la direzione dell'aggraffatura principale</t>
  </si>
  <si>
    <t>Firstausbildung vor profilieren ausklinken</t>
  </si>
  <si>
    <t>Faîtage agrafé en pénétration</t>
  </si>
  <si>
    <t>Preparare il colmo prima della profilatura</t>
  </si>
  <si>
    <t>Dachspitze</t>
  </si>
  <si>
    <t>Relevé de la toiture</t>
  </si>
  <si>
    <t>Vertice del tetto</t>
  </si>
  <si>
    <t>Firstausbildung Längsfalz</t>
  </si>
  <si>
    <t>Agrafe longitudinale de faîtière</t>
  </si>
  <si>
    <t>Esecuzione del colmo con aggraffatura longitudinale</t>
  </si>
  <si>
    <t>Winkelstehfalz</t>
  </si>
  <si>
    <t>Joint debout</t>
  </si>
  <si>
    <t>Aufkantungslinie</t>
  </si>
  <si>
    <t>Linea di piega</t>
  </si>
  <si>
    <t>Wandanschluss Winkelstehfalz</t>
  </si>
  <si>
    <t>Angle de raccordement mural à joint debout</t>
  </si>
  <si>
    <t>Raccordo a parete Aggraffatura angolare</t>
  </si>
  <si>
    <t>Faltvorgang:</t>
  </si>
  <si>
    <t>Méthode de pliage</t>
  </si>
  <si>
    <t>Processo di aggraffatura:</t>
  </si>
  <si>
    <t>Winkelfalz vorkanten</t>
  </si>
  <si>
    <t>Amorcez le pliage</t>
  </si>
  <si>
    <t>Pre piegare l'aggraffatura angolare</t>
  </si>
  <si>
    <t>Abdecknase nach oben biegen</t>
  </si>
  <si>
    <t>Piegare il naso del coperchio verso l'alto</t>
  </si>
  <si>
    <t>Blechnase nach unten biegen, diese muss von dem Winklefalz überdeckt werden</t>
  </si>
  <si>
    <t>Piegare il naso della lamiera verso il basso, questo deve essere sormontato dall'aggraffatura angolare</t>
  </si>
  <si>
    <t>Winkelhalbierende muss nach vorne zum Dachbereich gezogen werden</t>
  </si>
  <si>
    <t>La bisettrice angolare deve essere tirata in avanti verso la superficie del tetto</t>
  </si>
  <si>
    <t>Wandanschluss an der Aufkantungslinie hochkanten</t>
  </si>
  <si>
    <t>Piegare verso l'alto il raccordo a parete in corrispondenza della linea di piega</t>
  </si>
  <si>
    <t>Faltenbildung verfolgen, eventuell korrigieren!</t>
  </si>
  <si>
    <t>Seguire la formazione delle pieghe, correggere se necessario.</t>
  </si>
  <si>
    <t>Quetschfalte ausbilden und zudrücken (zuklopfen)</t>
  </si>
  <si>
    <t>Formare una piega e chiuderla (martellando)</t>
  </si>
  <si>
    <t>Winkelfalz einhängen und schließen</t>
  </si>
  <si>
    <t>Agganciare l'aggraffatura angolare e chiudere</t>
  </si>
  <si>
    <t>Abdecknase B.) auf den Winkelfalz anpassen</t>
  </si>
  <si>
    <t>Naso di chiusura B.) adattare all'aggraffatura angolare</t>
  </si>
  <si>
    <t>Wandanschluss Winkelstehfalz zweiteilig</t>
  </si>
  <si>
    <t>Raccordo a parete per aggraffatura angolare in due pezzi</t>
  </si>
  <si>
    <t>Quetschfalte andeuten - winklehalbierende muss nach vorne zum Blechdach gezogen werden.</t>
  </si>
  <si>
    <t>Indicare la piega - la bisettrice deve essere tirata in avanti verso il tetto.</t>
  </si>
  <si>
    <t>Dachbereich</t>
  </si>
  <si>
    <t>Roof Area</t>
  </si>
  <si>
    <t>Surface de toiture</t>
  </si>
  <si>
    <t>Area del tetto</t>
  </si>
  <si>
    <t>einschneiden</t>
  </si>
  <si>
    <t>coupé</t>
  </si>
  <si>
    <t>tagliare</t>
  </si>
  <si>
    <t>Kamineinfassung</t>
  </si>
  <si>
    <t>chimney surround</t>
  </si>
  <si>
    <t>Abergement de cheminée</t>
  </si>
  <si>
    <t>Conversa camino</t>
  </si>
  <si>
    <t>Einfassungen - Dachflächenfenster</t>
  </si>
  <si>
    <t>Abergement de fenêtre de toit</t>
  </si>
  <si>
    <t>Converse - Finestra da tetto</t>
  </si>
  <si>
    <t>Faltlinie</t>
  </si>
  <si>
    <t>Ligne de pliage</t>
  </si>
  <si>
    <t>Linea di aggraffatura</t>
  </si>
  <si>
    <t>Faltvorgang - Stiefelfalz:</t>
  </si>
  <si>
    <t>Réalisation d'une Grisonne</t>
  </si>
  <si>
    <t>Processo di aggraffatura - Aggraffatura tipo "stiefel"</t>
  </si>
  <si>
    <t>150 mm markieren, Fälze flachformen</t>
  </si>
  <si>
    <t>Marquer 150 mm et aplatir les joint</t>
  </si>
  <si>
    <t>Segnare 150mm, spianare le aggraffature</t>
  </si>
  <si>
    <t>Falzhochbüge mit Spitzzange schräg nach innen drehen</t>
  </si>
  <si>
    <t>Avec une pince à bec, pliez le relevé en diagonale vers l’intérieur</t>
  </si>
  <si>
    <t>Con una pinza a punta girare diagonalmente verso l'interno l'aggraffatura</t>
  </si>
  <si>
    <t>beidseitig 10 mm schräg schneiden</t>
  </si>
  <si>
    <t>Coupez en diagonale des deux côtés sur 10 mm</t>
  </si>
  <si>
    <t>Tagliare diagonalmente su entrambi i lati 10mm</t>
  </si>
  <si>
    <t>ca. 8mm am kleinen und ca. 15 mm am großen Falz einschneiden</t>
  </si>
  <si>
    <t>Faites une entaille d’env. 8 mm sur la petite pliure et d’env. 15 mm sur la grande pliure</t>
  </si>
  <si>
    <t>Tagliare ca. 8mm nella aggraffatura piccola e ca. 15 in quella grande</t>
  </si>
  <si>
    <t>Längsfalz schließen und Laschen Zusammenklappen</t>
  </si>
  <si>
    <t xml:space="preserve">Fermez l’agrafe longitudinale, </t>
  </si>
  <si>
    <t>Chiudere l'aggraffatura longitudinale e ripiegare i lembi tra loro</t>
  </si>
  <si>
    <t>Doppelt falzen</t>
  </si>
  <si>
    <t>reformez le relevé de la grisonne</t>
  </si>
  <si>
    <t>Aggraffatura doppia</t>
  </si>
  <si>
    <t>Fertiger Stiefelfalz</t>
  </si>
  <si>
    <t>Agrafez le relevé</t>
  </si>
  <si>
    <t>Aggraffatura "stiefel" terminata</t>
  </si>
  <si>
    <t>Seitlicher Wandanschluss bei Gefällesprung</t>
  </si>
  <si>
    <t>Relevé pour un ressaut</t>
  </si>
  <si>
    <t>Raccordo a parete laterale in corrispondenza del gradino di pendenza</t>
  </si>
  <si>
    <t>Höhe unterer Wandhochzug</t>
  </si>
  <si>
    <t>Hauteur de relever du mur inférieur</t>
  </si>
  <si>
    <t>Altezza dell'intradosso del risvolto a parete</t>
  </si>
  <si>
    <t>Höhe des Gefällesprunges</t>
  </si>
  <si>
    <t>Hauteur du ressaut</t>
  </si>
  <si>
    <t>Altezza del gradino di pendenza</t>
  </si>
  <si>
    <t>Bahn</t>
  </si>
  <si>
    <t>Bande</t>
  </si>
  <si>
    <t>Binario</t>
  </si>
  <si>
    <t>Nackenblech</t>
  </si>
  <si>
    <t>Abergement</t>
  </si>
  <si>
    <t>Piastra del collo</t>
  </si>
  <si>
    <t>Doppelter Querfalz an Durchbrüchen</t>
  </si>
  <si>
    <t>Agrafe transversale double</t>
  </si>
  <si>
    <t>Prefa Dachrechner - Grunddaten Eingabe</t>
  </si>
  <si>
    <t>Prefa Roof Calculator - Basic Data Input:</t>
  </si>
  <si>
    <t>Prefa Calculateur de toiture - Saisie des données de base:</t>
  </si>
  <si>
    <t>Prefa Calcolatore di tetti - Inserimento dati di base:</t>
  </si>
  <si>
    <t>Prefa Kalkulačka střechy - Základní data vstup:</t>
  </si>
  <si>
    <t>Prefa Kalkulator dachów - Wprowadzanie danych podstawowych:</t>
  </si>
  <si>
    <t>Prefa Tetőkalkulátor - Alapadatok bevitele:</t>
  </si>
  <si>
    <t>Prefa Strešný kalkulačka - Základné údaje vstup:</t>
  </si>
  <si>
    <t>Prefa Dakcalculator - Basisgegevens invoer:</t>
  </si>
  <si>
    <t>Prefa Strešni kalkulator - Vnos osnovnih podatkov:</t>
  </si>
  <si>
    <t>Prefa Takräknare - Grunddata inmatning:</t>
  </si>
  <si>
    <t>Prefa Tagberegner - Indtastning af grunddata:</t>
  </si>
  <si>
    <t>Prefa Takberegner - Grunnleggende datainngang:</t>
  </si>
  <si>
    <t>Prefa Kalkulator krovnog pokrova - unos osnovnih podataka</t>
  </si>
  <si>
    <t>Adresse:</t>
  </si>
  <si>
    <t>Address</t>
  </si>
  <si>
    <t>Adresse</t>
  </si>
  <si>
    <t>Indirizzo</t>
  </si>
  <si>
    <t>Adresa</t>
  </si>
  <si>
    <t>Adres</t>
  </si>
  <si>
    <t>Cím</t>
  </si>
  <si>
    <t>Naslov</t>
  </si>
  <si>
    <t>Adress</t>
  </si>
  <si>
    <t>Plz:</t>
  </si>
  <si>
    <t>postal code:</t>
  </si>
  <si>
    <t>code postal:</t>
  </si>
  <si>
    <t>CAP:</t>
  </si>
  <si>
    <t>PSČ:</t>
  </si>
  <si>
    <t>kod pocztowy:</t>
  </si>
  <si>
    <t>irányítószám:</t>
  </si>
  <si>
    <t>postcode:</t>
  </si>
  <si>
    <t>poštna številka:</t>
  </si>
  <si>
    <t>postnummer:</t>
  </si>
  <si>
    <t>postkode:</t>
  </si>
  <si>
    <t>poštanski broj:</t>
  </si>
  <si>
    <t>Dachform:</t>
  </si>
  <si>
    <t>Roof shape:</t>
  </si>
  <si>
    <t>Forme de toit:</t>
  </si>
  <si>
    <t>Forma del tetto:</t>
  </si>
  <si>
    <t>Tvar stÅ™echy:</t>
  </si>
  <si>
    <t>KsztaÅ‚t dachu:</t>
  </si>
  <si>
    <t>TetÅ‘ alakja:</t>
  </si>
  <si>
    <t>Tvar strechy:</t>
  </si>
  <si>
    <t>Dakvorm:</t>
  </si>
  <si>
    <t>Oblika strehe:</t>
  </si>
  <si>
    <t>Takform:</t>
  </si>
  <si>
    <t>Tagform:</t>
  </si>
  <si>
    <t>Oblik krova:</t>
  </si>
  <si>
    <t>Schneelast laut hora.gv.at</t>
  </si>
  <si>
    <t>Snow load according to hora.gv.at</t>
  </si>
  <si>
    <t>Charge de neige selon hora.gv.at</t>
  </si>
  <si>
    <t>Carico neve secondo hora.gv.at</t>
  </si>
  <si>
    <t>Sněhové zatížení podle hora.gv.at</t>
  </si>
  <si>
    <t>Obciążenie śniegiem według hora.gv.at</t>
  </si>
  <si>
    <t>Hóterhelés a hora.gv.at szerint</t>
  </si>
  <si>
    <r>
      <t>Snežné zaťaženie [S</t>
    </r>
    <r>
      <rPr>
        <vertAlign val="subscript"/>
        <sz val="11"/>
        <color theme="1"/>
        <rFont val="Arial"/>
        <family val="2"/>
      </rPr>
      <t>K</t>
    </r>
    <r>
      <rPr>
        <sz val="11"/>
        <color theme="1"/>
        <rFont val="Arial"/>
        <family val="2"/>
      </rPr>
      <t>] podľa hora.gv.at</t>
    </r>
  </si>
  <si>
    <t>Sneeuwbelasting volgens hora.gv.at</t>
  </si>
  <si>
    <t>Snežna obremenitev po hora.gv.at</t>
  </si>
  <si>
    <t>Snöbelastning enligt hora.gv.at</t>
  </si>
  <si>
    <t>Snebelastning i henhold til hora.gv.at</t>
  </si>
  <si>
    <t>Snølast i henhold til hora.gv.at</t>
  </si>
  <si>
    <t>Snježno opterećenje prema hora.gv.at</t>
  </si>
  <si>
    <t>Seehöhe</t>
  </si>
  <si>
    <t>altitude above sea level</t>
  </si>
  <si>
    <t>altitude (au-dessus du niveau de la mer)</t>
  </si>
  <si>
    <t>altitudine sul livello del mare</t>
  </si>
  <si>
    <t>nadmořská výška</t>
  </si>
  <si>
    <t>wysokość nad poziomem morza</t>
  </si>
  <si>
    <t>tengerszint feletti magasság</t>
  </si>
  <si>
    <t>nadmorská výška</t>
  </si>
  <si>
    <t>hoogte boven zeeniveau</t>
  </si>
  <si>
    <t>nadmorska višina</t>
  </si>
  <si>
    <t>höjd över havet</t>
  </si>
  <si>
    <t>højde over havets overflade</t>
  </si>
  <si>
    <t>høyde over havet</t>
  </si>
  <si>
    <t>nadmorska visina</t>
  </si>
  <si>
    <t>Sparrenabstand</t>
  </si>
  <si>
    <t>rafter spacing</t>
  </si>
  <si>
    <t>l'espacement des chevrons</t>
  </si>
  <si>
    <t>vzdálenost vazníků</t>
  </si>
  <si>
    <t>odstęp krokwi</t>
  </si>
  <si>
    <t>gerendatávolság</t>
  </si>
  <si>
    <t>vzdialenosť krovov</t>
  </si>
  <si>
    <t>de afstand tussen de spanten</t>
  </si>
  <si>
    <t>razmik grebenov</t>
  </si>
  <si>
    <t>takavstånd</t>
  </si>
  <si>
    <t>afstand mellem spær</t>
  </si>
  <si>
    <t>sperreavstand</t>
  </si>
  <si>
    <t>razmak rogova</t>
  </si>
  <si>
    <t>Pflichtfelder</t>
  </si>
  <si>
    <t>mandatory fields</t>
  </si>
  <si>
    <t>champs obligatoires</t>
  </si>
  <si>
    <t>campi obbligatori</t>
  </si>
  <si>
    <t>povinná pole</t>
  </si>
  <si>
    <t>pola obowiązkowe</t>
  </si>
  <si>
    <t>kötelező mezők</t>
  </si>
  <si>
    <t>povinné polia</t>
  </si>
  <si>
    <t>verplichte velden</t>
  </si>
  <si>
    <t>obvezna polja</t>
  </si>
  <si>
    <t>obligatoriska fält</t>
  </si>
  <si>
    <t>obligatoriske felter</t>
  </si>
  <si>
    <t>obligatoriske felt</t>
  </si>
  <si>
    <t>Eingabe notwendig für Schneerechensystem und Gebirgsschneefang</t>
  </si>
  <si>
    <t>Input required for pipe-style snow guard system and mountain snow-guard bracket</t>
  </si>
  <si>
    <t>Saisie requise pour système pare-neige sur platines et support de pare-neige pour rondins</t>
  </si>
  <si>
    <t>Inserimento richiesto per Sistema fermaneve a triplo tubolare esagonale e Staffa fermaneve per legno tondo</t>
  </si>
  <si>
    <t>Vyžadován vstup pro Systém sněhových zábran a Držák kulatiny pro zadržování sněhu</t>
  </si>
  <si>
    <t>Wymagane dane wejściowe dla System stoperów śniegu a hak przeciwśniegowy do warunków górskich</t>
  </si>
  <si>
    <t>Bemeneti adatok szükségesek hófogórúd tartó és hófogórönk tartó</t>
  </si>
  <si>
    <t>Požadovaný vstup pre systémový rúrkový zachytávač snehu  a držiak horského zachytávača snehu pre rúrky kruhového prierezu</t>
  </si>
  <si>
    <t>Invoer vereist voor Sneeuwharksysteem en sneeuwvangsteun voor in het gebergte</t>
  </si>
  <si>
    <t>Vhodni podatki potrebni za Snegolovni sistem in nosilec za linijski snegolov</t>
  </si>
  <si>
    <t>Indata krävs för snöberäkningssystem och snöstoppsstötta</t>
  </si>
  <si>
    <t>Indtastning påkrævet for Snefangssystem og bjergsnefangstøtte</t>
  </si>
  <si>
    <t>Inndata påkrevd for Snøberegningssystem  i fjellsnøfangerstøtte</t>
  </si>
  <si>
    <t>Ulaz potreban za Sustav rešetkastog snjegobrana  i Nosač planinskog snjegobrana</t>
  </si>
  <si>
    <t>Produktauswahl</t>
  </si>
  <si>
    <t>product selection</t>
  </si>
  <si>
    <t>sélection de produits</t>
  </si>
  <si>
    <t>selezione di prodotti</t>
  </si>
  <si>
    <t>výběr produktů</t>
  </si>
  <si>
    <t>wybór produktów</t>
  </si>
  <si>
    <t>termékválaszték</t>
  </si>
  <si>
    <t>výber produktov</t>
  </si>
  <si>
    <t>productselectie</t>
  </si>
  <si>
    <t>izbor izdelkov</t>
  </si>
  <si>
    <t>produkturval</t>
  </si>
  <si>
    <t>produktudvalg</t>
  </si>
  <si>
    <t>produktsortiment</t>
  </si>
  <si>
    <t>izbor proizvoda</t>
  </si>
  <si>
    <t>Schneestopper</t>
  </si>
  <si>
    <t>snow guard</t>
  </si>
  <si>
    <t>arrêt de neige</t>
  </si>
  <si>
    <t>Naso fermaneve</t>
  </si>
  <si>
    <t>sněhový hák</t>
  </si>
  <si>
    <t>Stoper śniegowy</t>
  </si>
  <si>
    <t>hófogó</t>
  </si>
  <si>
    <t>zachytávač snehu</t>
  </si>
  <si>
    <t>Sneeuwstopper</t>
  </si>
  <si>
    <t>Snegolov</t>
  </si>
  <si>
    <t>snöstopp</t>
  </si>
  <si>
    <t>Snestopper</t>
  </si>
  <si>
    <t>Snøstopper</t>
  </si>
  <si>
    <t>Točkasti snjegobran</t>
  </si>
  <si>
    <t>Schneerechensystem XL</t>
  </si>
  <si>
    <t>pipe-style snow guard system XL</t>
  </si>
  <si>
    <t>système pare-neige sur platines XL</t>
  </si>
  <si>
    <t>Sistema fermaneve a triplo tubolare esagonale XL</t>
  </si>
  <si>
    <t>Systém sněhových zábran XL</t>
  </si>
  <si>
    <t>System stoperów śniegu XL</t>
  </si>
  <si>
    <t>hófogórúd tartó XL</t>
  </si>
  <si>
    <t>systémový rúrkový zachytávač snehu XL</t>
  </si>
  <si>
    <t>Sneeuwharksysteem XL</t>
  </si>
  <si>
    <t>Snegolovni sistem XL</t>
  </si>
  <si>
    <t>snöberäkningssystem XL</t>
  </si>
  <si>
    <t>Snefangssystem XL</t>
  </si>
  <si>
    <t>Snøberegningssystem XL</t>
  </si>
  <si>
    <t>Sustav rešetkastog snjegobrana XL</t>
  </si>
  <si>
    <t>Dachrechner - Schneelast Berechnung</t>
  </si>
  <si>
    <t>Roof Calculator - Snow Load Calculation</t>
  </si>
  <si>
    <t>Calculateur de toit - Calcul de charge de neige</t>
  </si>
  <si>
    <t>Calcolatore del tetto - Calcolo del carico neve</t>
  </si>
  <si>
    <t>Střešní kalkulátor - Výpočet sněhového zatížení</t>
  </si>
  <si>
    <t>Kalkulator dachu - Obliczanie obciążenia śniegiem</t>
  </si>
  <si>
    <t>Tetőszámológép - Hóterhelés számítás</t>
  </si>
  <si>
    <t>Kalkulačka strechy - Výpočet snehového zaťaženia</t>
  </si>
  <si>
    <t>Dakrekenmachine - Sneeuwlastberekening</t>
  </si>
  <si>
    <t>Izračun obremenitve strehe s snegom</t>
  </si>
  <si>
    <t>Takberäknare - Beräkning av snöbelastning</t>
  </si>
  <si>
    <t>Tagberegner - Beregning af snebelastning</t>
  </si>
  <si>
    <t>Takberegning - Beregning av snølast</t>
  </si>
  <si>
    <t>Kalkulator snježnog opterećenja krova</t>
  </si>
  <si>
    <t>Voraussetzungen:</t>
  </si>
  <si>
    <t>Prerequisites:</t>
  </si>
  <si>
    <t>Prérequis:</t>
  </si>
  <si>
    <t>Prerequisiti:</t>
  </si>
  <si>
    <t>Předpoklady:</t>
  </si>
  <si>
    <t>Wymagania:</t>
  </si>
  <si>
    <t>Előfeltételek:</t>
  </si>
  <si>
    <t>Predpoklady:</t>
  </si>
  <si>
    <t>Vereisten:</t>
  </si>
  <si>
    <t>Predpogoji:</t>
  </si>
  <si>
    <t>Förutsättningar:</t>
  </si>
  <si>
    <t>Forudsætninger:</t>
  </si>
  <si>
    <t>Forutsetninger:</t>
  </si>
  <si>
    <t>Preduvjeti:</t>
  </si>
  <si>
    <t>Tragfähige Unterkonstruktion (Bemessung gemäß EN 1991-1-3 und ÖNORM B 1991-1-3):</t>
  </si>
  <si>
    <t>load-bearing substructure (design according to EN 1991-1-3 and ÖNORM B 1991-1-3):</t>
  </si>
  <si>
    <t>structure porteuse (dimensionnement selon EN 1991-1-3 et ÖNORM B 1991-1-3):</t>
  </si>
  <si>
    <t>sottostuttura portante (dimensionamento secondo EN 1991-1-3 e ÖNORM B 1991-1-3):</t>
  </si>
  <si>
    <t>nosná podkonstrukce (dimenzování dle EN 1991-1-3 a ÖNORM B 1991-1-3):</t>
  </si>
  <si>
    <t>nośna konstrukcja wsporcza (obliczenia zgodnie z EN 1991-1-3 i ÖNORM B 1991-1-3):</t>
  </si>
  <si>
    <t>teherhordó alkonstrukció (tervezés az EN 1991-1-3 és ÖNORM B 1991-1-3 szerint):</t>
  </si>
  <si>
    <t>nosná podkonštrukcia (rozmery podľa EN 1991-1-3 a ÖNORM B 1991-1-3)</t>
  </si>
  <si>
    <t>dragende onderconstructie (dimensionering volgens EN 1991-1-3 en ÖNORM B 1991-1-3):</t>
  </si>
  <si>
    <t>nosilna podkonstrukcija (dimenzioniranje po EN 1991-1-3 in ÖNORM B 1991-1-3):</t>
  </si>
  <si>
    <t>bärande underkonstruktion (dimensionering enligt EN 1991-1-3 och ÖNORM B 1991-1-3):</t>
  </si>
  <si>
    <t>bærende underkonstruktion (dimensionering i henhold til EN 1991-1-3 og ÖNORM B 1991-1-3):</t>
  </si>
  <si>
    <t>bærende underkonstruksjon (dimensjonering etter EN 1991-1-3 og ÖNORM B 1991-1-3):</t>
  </si>
  <si>
    <t>nosiva potkonstrukcija (dimenzioniranje prema EN 1991-1-3 i ÖNORM B 1991-1-3):</t>
  </si>
  <si>
    <t>Tragfähige Unterkonstruktion (Bemessung gemäß EN 1991-1-3 und  ÖNORM B 1991-1-3):</t>
  </si>
  <si>
    <t>Einhaltung der PREFA Verlegerichtlinien und Montagehinweise:</t>
  </si>
  <si>
    <t>Compliance with PREFA installation guidelines and assembly instructions:</t>
  </si>
  <si>
    <t>Respect des directives de pose PREFA et des instructions de montage:</t>
  </si>
  <si>
    <t>Conformità alle linee guida di installazione PREFA e alle istruzioni di montaggio:</t>
  </si>
  <si>
    <t>Dodržování pokynů pro pokládku PREFA a návodů k montáži:</t>
  </si>
  <si>
    <t>Przestrzeganie wytycznych montażu PREFA i instrukcji montażowych:</t>
  </si>
  <si>
    <t>A PREFA telepítési útmutatók és összeszerelési utasítások betartása:</t>
  </si>
  <si>
    <t>Dodržiavanie pokynov na pokládku PREFA a inštrukcií na montáž</t>
  </si>
  <si>
    <t>Naleving van de PREFA leginstructies en montageaanwijzingen:</t>
  </si>
  <si>
    <t>Upoštevanje PREFA navodil za polaganje in montažnih navodil:</t>
  </si>
  <si>
    <t>Efterlevnad av PREFA:s installationsriktlinjer och monteringsanvisningar:</t>
  </si>
  <si>
    <t>Overholdelse af PREFA lægningsvejledninger og monteringsinstruktioner:</t>
  </si>
  <si>
    <t>Overholdelse av PREFA leggeanvisninger og monteringsinstruksjoner:</t>
  </si>
  <si>
    <t>Pridržavanje PREFA smjernica za postavljanje i uputa za montažu:</t>
  </si>
  <si>
    <t>Dachaufbauten h&gt;1,0m bzw. Solar- und Photovoltaikmodule sind in dieser Berechnung nicht berücksichtigt.</t>
  </si>
  <si>
    <t>Roof structures over 1.0m, as well as solar and photovoltaic modules, are not considered in this calculation.</t>
  </si>
  <si>
    <t>;Les constructions de toiture de plus de 1,0 m, ainsi que les modules solaires et photovoltaïques, ne sont pas pris en compte dans ce calcul.</t>
  </si>
  <si>
    <t>Le strutture aggiuntive sulla copertura con altezza di oltre 1,0 m, così come i moduli solari e fotovoltaici, non sono considerati in questo calcolo.</t>
  </si>
  <si>
    <t>Střešní konstrukce vyšší než 1,0 m, stejně jako solární a fotovoltaické moduly, nejsou v této kalkulaci zahrnuty.</t>
  </si>
  <si>
    <t>Konstrukcje dachowe o wysokości powyżej 1,0 m oraz moduły słoneczne i fotowoltaiczne nie są uwzględnione w tych obliczeniach.</t>
  </si>
  <si>
    <t>A 1,0 m-nél magasabb tetőszerkezetek és a napelemek, valamint a fotovoltaikus modulok nem kerülnek figyelembe vételre ebben a számításban.</t>
  </si>
  <si>
    <t>Strešné konštrukcie vyššie ako 1,0 m, ako aj solárne a fotovoltaické moduly, nie sú zahrnuté v tomto výpočte.</t>
  </si>
  <si>
    <t>Dakconstructies hoger dan 1,0 m en zonnepanelen en fotovoltaïsche modules zijn niet meegenomen in deze berekening.</t>
  </si>
  <si>
    <t>Strešne konstrukcije višje od 1,0 m in solarni ter fotovoltaični moduli niso upoštevani v tej izračunu.</t>
  </si>
  <si>
    <t>Takstrukturer över 1,0 m samt sol- och fotovoltaiska moduler beaktas inte i denna beräkning.</t>
  </si>
  <si>
    <t>Tagkonstruktioner over 1,0 m samt sol- og fotovoltaiske moduler er ikke medtaget i denne beregning.</t>
  </si>
  <si>
    <t>Takstrukturer over 1,0 m, samt sol- og fotovoltaiske moduler, er ikke tatt med i denne beregningen.</t>
  </si>
  <si>
    <t>Krovne konstrukcije više od 1,0 m, kao i solarni i fotovoltački moduli, nisu uzeti u obzir u ovom izračunu.</t>
  </si>
  <si>
    <t>Das berechnete Verlegeschema ist vollflächig über die gesamte Dachfläche anzuordnen</t>
  </si>
  <si>
    <t>The calculated installation pattern must be arranged over the entire roof area</t>
  </si>
  <si>
    <t>Le schéma de pose calculé doit être disposé sur toute la surface du toit</t>
  </si>
  <si>
    <t>Lo schema di posa calcolato deve essere disposto su tutta la superficie del tetto</t>
  </si>
  <si>
    <t>Vypočítané pokládací schéma musí být rozmístěno po celé střešní ploše</t>
  </si>
  <si>
    <t>Obliczony schemat układania należy rozmieścić na całej powierzchni dachu</t>
  </si>
  <si>
    <t>A kiszámított lerakási séma az egész tetőfelületen elrendezendő</t>
  </si>
  <si>
    <t>Vypočítaná pokládacia schéma musí byť rozmiestnená na celej strešnej ploche</t>
  </si>
  <si>
    <t>Het berekende legschema moet over het gehele dakoppervlak worden aangebracht</t>
  </si>
  <si>
    <t>Izračunani načrt polaganja je treba razporediti po celotni strešni površini</t>
  </si>
  <si>
    <t>Det beräknade läggningsmönstret ska anordnas över hela takytan</t>
  </si>
  <si>
    <t>Det beregnede lægningsmønster skal arrangeres over hele tagfladen</t>
  </si>
  <si>
    <t>Det beregnede leggemønsteret må ordnes over hele takflaten</t>
  </si>
  <si>
    <t>Izračunati uzorak polaganja mora biti raspoređen po cijeloj krovnoj površini</t>
  </si>
  <si>
    <t>Diese Berechnung ist ausschließlich für PREFA Produkte gültig!</t>
  </si>
  <si>
    <t>This calculation is only valid for PREFA products!</t>
  </si>
  <si>
    <t>Ce calcul est uniquement valable pour les produits PREFA!</t>
  </si>
  <si>
    <t>Questo calcolo è valido solo per i prodotti PREFA!</t>
  </si>
  <si>
    <t>Tento výpočet je platný pouze pro produkty PREFA!</t>
  </si>
  <si>
    <t>Te obliczenia są ważne tylko dla produktów PREFA!</t>
  </si>
  <si>
    <t>Ez a számítás kizárólag a PREFA termékekre érvényes!</t>
  </si>
  <si>
    <t>Táto výpočet je platný iba pre produkty PREFA!</t>
  </si>
  <si>
    <t>Deze berekening is alleen geldig voor PREFA-producten!</t>
  </si>
  <si>
    <t>Ta izračun je veljaven samo za izdelke PREFA!</t>
  </si>
  <si>
    <t>Denna beräkning gäller endast för PREFA-produkter!</t>
  </si>
  <si>
    <t>Denne beregning er kun gyldig for PREFA produkter!</t>
  </si>
  <si>
    <t>Denne beregningen er bare gyldig for PREFA-produkter!</t>
  </si>
  <si>
    <t>Ovaj izračun vrijedi samo za PREFA proizvode!</t>
  </si>
  <si>
    <t>Die ersten beiden Reihen sind unabhängig des berechneten Verlegeschemas durchgehend mit Schneestopper zu bestücken</t>
  </si>
  <si>
    <t>The first two rows must be fitted with snow stoppers continuously, regardless of the calculated installation pattern</t>
  </si>
  <si>
    <t>Les deux premières rangées doivent être équipées de pare-neige en continu, indépendamment du schéma de pose calculé</t>
  </si>
  <si>
    <t>Le prime due file devono essere dotate di fermaneve in modo continuo, indipendentemente dallo schema di posa calcolato</t>
  </si>
  <si>
    <t>První dvě řady je třeba osadit sněhovými zarážkami nepřetržitě, bez ohledu na vypočítané pokládací schéma</t>
  </si>
  <si>
    <t>Dwa pierwsze rzędy należy zaopatrzyć w zatrzymywacze śniegu na całej długości, niezależnie od obliczonego układu kładzenia</t>
  </si>
  <si>
    <t>Az első két sorban folyamatosan hóállókat kell elhelyezni, a kiszámított elrendezési séma függetlenül</t>
  </si>
  <si>
    <t>Prvé dva rady je potrebné vybaviť zastávkami pre sneh nepretržite, nezávisle od vypočítaného pokládkového schémy</t>
  </si>
  <si>
    <t>De eerste twee rijen moeten continu worden voorzien van sneeuwstoppers, ongeacht het berekende legpatroon</t>
  </si>
  <si>
    <t>Prvi dve vrsti je treba opremiti s snegobrani neprekinjeno, ne glede na izračunan vzorec polaganja</t>
  </si>
  <si>
    <t>De två första raderna ska utrustas med snöstoppare kontinuerligt, oberoende av det beräknade läggningsmönstret</t>
  </si>
  <si>
    <t>De første to rækker skal forsynes med sne stoppere kontinuerligt, uafhængigt af det beregnede lægningsmønster</t>
  </si>
  <si>
    <t>De to første radene må utstyres med snøstoppere kontinuerlig, uavhengig av det beregnede leggemønsteret</t>
  </si>
  <si>
    <t>Prva dva reda moraju biti opremljena snježnim zaustavljačima kontinuirano, neovisno o izračunatoj shemi polaganja</t>
  </si>
  <si>
    <t>Laut ÖNORM B 3418 ist bei Schneehaltern aus Metall ab einer Dachneigung von 45° eine Kombination mit Schneefangsystemen auszuführen.</t>
  </si>
  <si>
    <t>According to ÖNORM B 3418, for metal snow guards on roofs with a pitch of 45° or more, a combination with snow retention systems must be used.</t>
  </si>
  <si>
    <t>Selon la norme ÖNORM B 3418, pour les dispositifs de retenue de neige en métal sur les toits avec une inclinaison de 45° ou plus, une combinaison avec des systèmes de retenue de neige doit être utilisée.</t>
  </si>
  <si>
    <t>In base alla norma ÖNORM B 3418, per i fermaneve in metallo su tetti con una pendenza di 45° o più, deve essere utilizzata una combinazione con i sistemi di ritenzione della neve.</t>
  </si>
  <si>
    <t>Dle normy ÖNORM B 3418 je pro kovové sněhové záchytné systémy na střechách se sklonem 45° nebo více nutné použít kombinaci s systémy na zadržení sněhu.</t>
  </si>
  <si>
    <t>Zgodnie z normą ÖNORM B 3418, dla metalowych zatrzymywaczy śniegu na dachach o nachyleniu 45° lub więcej, konieczne jest zastosowanie kombinacji z systemami retencji śniegu.</t>
  </si>
  <si>
    <t>Az ÖNORM B 3418 szerint, 45° vagy annál meredekebb tetőkön a fém hófogóknál hófogó rendszerekkel kell kombinálni.</t>
  </si>
  <si>
    <t>Podľa normy ÖNORM B 3418 je pre kovové snehové záchytne systémy na striechach so sklonom 45° alebo viac nutné použiť kombináciu so systémami na zadržanie snehu.</t>
  </si>
  <si>
    <t>Volgens de ÖNORM B 3418 moeten voor metalen sneeuwhouders op daken met een helling van 45° of meer, een combinatie met sneeuwretentiesystemen worden gebruikt.</t>
  </si>
  <si>
    <t>V skladu z ÖNORM B 3418 je za kovinske snežne zadrževalnike na strehah z naklonom 45° ali več potrebna kombinacija s sistemi za zadrževanje snega.</t>
  </si>
  <si>
    <t>Enligt ÖNORM B 3418 måste för metall snöskydd på tak med en lutning på 45° eller mer, en kombination med snöuppsamlingssystem användas.</t>
  </si>
  <si>
    <t>Ifølge ÖNORM B 3418 skal der på metal snefangere på tage med en hældning på 45° eller mere anvendes en kombination med sneopholdelsessystemer.</t>
  </si>
  <si>
    <t>Ifølge ÖNORM B 3418 må metall snøvakter på tak med en helning på 45° eller mer kombineres med snøretensjonssystemer.</t>
  </si>
  <si>
    <t>Prema ÖNORM B 3418, na krovovima s nagibom od 45° ili više, za metalne snežne hvatače potrebno je instalirati kombinaciju sa sustavima zadržavanja snijega.</t>
  </si>
  <si>
    <t>(=PREFA Schneerechenanlage an der Traufe)</t>
  </si>
  <si>
    <t>(=PREFA snow rake system at the eaves)</t>
  </si>
  <si>
    <t>(=Système de râteau à neige PREFA au niveau de l'avant-toit)</t>
  </si>
  <si>
    <t>(=Sistema di rastrello per neve PREFA sul cornicione)</t>
  </si>
  <si>
    <t>(=Systém PREFA pro odhrnování sněhu na okapu)</t>
  </si>
  <si>
    <t xml:space="preserve"> (=System odśnieżania PREFA przy rynnie)</t>
  </si>
  <si>
    <t>(=PREFA hórák rendszer az ereszcsatornánál)</t>
  </si>
  <si>
    <t>(=Systém PREFA na odhŕňanie snehu na okap)</t>
  </si>
  <si>
    <t>(=PREFA sneeuwruimsysteem aan de dakrand)</t>
  </si>
  <si>
    <t>(=Sistem za odstranjevanje snega PREFA na napu)</t>
  </si>
  <si>
    <t>(=PREFA snöröjningssystem vid takfoten)</t>
  </si>
  <si>
    <t>(=PREFA sne-rive system ved tagrenden)</t>
  </si>
  <si>
    <t>(=PREFA snø rake system ved takrennen)</t>
  </si>
  <si>
    <t>(=PREFA sustav za uklanjanje snijega na olucima)</t>
  </si>
  <si>
    <r>
      <t>Schneestange über mind. 3 Sparrenbreiten,  max. Schneestangenüberstand ≤ 0,3*e</t>
    </r>
    <r>
      <rPr>
        <vertAlign val="subscript"/>
        <sz val="11"/>
        <color theme="1"/>
        <rFont val="Arial"/>
        <family val="2"/>
      </rPr>
      <t>s</t>
    </r>
  </si>
  <si>
    <t>Snow guard over at least 3 rafter widths, max. snow guard projection ≤ 0.3*es</t>
  </si>
  <si>
    <t>Barre de neige sur au moins 3 largeurs d'arbalète, saillie maximale de la barre de neige ≤ 0,3*es</t>
  </si>
  <si>
    <t>Asta neve sopra almeno 3 larghezze di travetto, sporgenza massima asta neve ≤ 0,3*es</t>
  </si>
  <si>
    <t>Sněhová zátka nad minimálně 3 šířky příhradových nosníků, maximální výstupek sněhové zátěže ≤ 0,3*es</t>
  </si>
  <si>
    <t>Śnieżny uchwyt ponad co najmniej 3 szerokości krokwi, maksymalny występ uchwytu śnieżnego ≤ 0,3*es</t>
  </si>
  <si>
    <t>Hófogó legalább 3 gerendahéj szélesség felett, legfeljebb a hófogó kiállása ≤ 0,3*es</t>
  </si>
  <si>
    <t>Snežná zátka nad minimálne 3 šírkami priehradových nosníkov, maximálny výstupek snehovej záťaže ≤ 0,3*es</t>
  </si>
  <si>
    <t>Sneeuwvanger over ten minste 3 spantenbreedtes, max. sneeuwvangeruitsteek ≤ 0,3*es</t>
  </si>
  <si>
    <t>Snegobran nad vsaj 3 širinami tramov, največji previs snegobrana ≤ 0,3*es</t>
  </si>
  <si>
    <t>Snöskydd över minst 3 takstolsbredder, max. snöskyddsprojektion ≤ 0,3*es</t>
  </si>
  <si>
    <t>Snefang over mindst 3 spænderbredder, maks. snefangsprojektion ≤ 0,3*es</t>
  </si>
  <si>
    <t>Snøfanger over minst 3 sperrebredder, maks. snøfangerutstikk ≤ 0,3*es</t>
  </si>
  <si>
    <t>Snježna ograda iznad najmanje 3 širine rogova, maks. izbočina snježne ograda ≤ 0,3*es</t>
  </si>
  <si>
    <t>Schneerechenhaken auf jedem Sparren (Mindestgüte C24) montiert → Hakenabstand = Sparrenabstand</t>
  </si>
  <si>
    <t>Snow guard hooks mounted on every rafter (minimum quality C24) → Hook spacing = rafter spacing</t>
  </si>
  <si>
    <t>Crochets de protection contre la neige montés sur chaque chevron (qualité minimale C24) → Espacement des crochets = espacement des chevrons</t>
  </si>
  <si>
    <t>Staffe fermaneve montati su ogni trave (qualità minima C24) → Distanza tra i ganci = distanza tra le travi</t>
  </si>
  <si>
    <t>Sněhové háky namontované na každém krokvi (minimální kvalita C24) → Rozestup háků = rozestup krokve</t>
  </si>
  <si>
    <t>Haki zabezpieczające przed śniegiem zamontowane na każdym krokwi (minimalna jakość C24) → Odległość między hakami = odległość między krokwi</t>
  </si>
  <si>
    <t>Hóvédő akasztók minden gerendán elhelyezve (minimális minőség C24) → Akasztók távolsága = gerendák távolsága</t>
  </si>
  <si>
    <t>Snehové háky na každej krokve (minimálna kvalita C24) → Rozostup hákov = rozostup krokvy</t>
  </si>
  <si>
    <t>Sneeuwbeschermingshaken gemonteerd op elke spant (minimum kwaliteit C24) → Haakafstand = spantafstand</t>
  </si>
  <si>
    <t>Snegolovne kljuke montirane na vsakem špirovcu (minimalna kakovost C24) → Razmik kljuk = razmik špirovcev</t>
  </si>
  <si>
    <t>Snörasskyddskrokar monterade på varje takstol (minsta kvalitet C24) → Kroksavstånd = takstolsavstånd</t>
  </si>
  <si>
    <t>Snebeskyttelseskroge monteret på hver spær (minimum kvalitet C24) → Krogafstand = spærafstand</t>
  </si>
  <si>
    <t>Snøfangkroker montert på hver bjelke (minimum kvalitet C24) → Krokavstand = bjelkeavstand</t>
  </si>
  <si>
    <t>Kuke za zaštitu od snijega postavljene na svaku gredu (minimalna kvaliteta C24) → Razmak kuka = razmak greda</t>
  </si>
  <si>
    <t>Befestigung mittels beigepackten Holzschrauben 8x120 oder 8x220mm (4 Schrauben je Haken)</t>
  </si>
  <si>
    <t>Attachment using the included wood screws 8x120 or 8x220mm (4 screws per hook)</t>
  </si>
  <si>
    <t>Fixation à l'aide des vis à bois fournies 8x120 ou 8x220mm (4 vis par crochet)</t>
  </si>
  <si>
    <t>Fissaggio con le Viti per legno incluse 8x120 o 8x220mm (4 viti per staffa)</t>
  </si>
  <si>
    <t>Upevnění pomocí přiložených dřevěných šroubů 8x120 nebo 8x220mm (4 šrouby na háček)</t>
  </si>
  <si>
    <t>Mocowanie za pomocą dołączonych wkrętów drewnianych 8x120 lub 8x220mm (4 wkręty na hak)</t>
  </si>
  <si>
    <t>Rögzítés a mellékelt fa csavarokkal 8x120 vagy 8x220mm (4 csavar minden akasztóhoz)</t>
  </si>
  <si>
    <t>Upevnenie pomocou priložených drevených skrutiek 8x120 alebo 8x220mm (4 skrutky na háčik)</t>
  </si>
  <si>
    <t>Bevestiging met de meegeleverde houtschroeven 8x120 of 8x220mm (4 schroeven per haak)</t>
  </si>
  <si>
    <t>Pritrditev z priloženimi lesenimi vijaki 8x120 ali 8x220mm (4 vijaki na kavelj)</t>
  </si>
  <si>
    <t>Fästning med medföljande träskruvar 8x120 eller 8x220mm (4 skruvar per krok)</t>
  </si>
  <si>
    <t>Fastgørelse med de medfølgende træskruer 8x120 eller 8x220mm (4 skruer pr. krog)</t>
  </si>
  <si>
    <t>Festing med de medfølgende treskruene 8x120 eller 8x220mm (4 skruer per krok)</t>
  </si>
  <si>
    <t>Pričvršćivanje pomoću priloženih drvenih vijaka 8x120 ili 8x220mm (4 vijaka po kuki)</t>
  </si>
  <si>
    <t>Abstand e ist ein Maximalabstand und kann verringert werden</t>
  </si>
  <si>
    <t>Distance e is a maximum distance and can be reduced</t>
  </si>
  <si>
    <t>La distance e est une distance maximale et peut être réduite</t>
  </si>
  <si>
    <t>La distanza e è una distanza massima e può essere ridotta</t>
  </si>
  <si>
    <t>Vzdálenost e je maximální vzdálenost a může být zmenšena</t>
  </si>
  <si>
    <t>Odległość e jest maksymalną odległością i może być zmniejszona</t>
  </si>
  <si>
    <t>Az e távolság maximális távolság és csökkenthető</t>
  </si>
  <si>
    <t>Vzdialenosť e je maximálna vzdialenosť a môže byť znížená</t>
  </si>
  <si>
    <t>Afstand e is een maximale afstand en kan worden verkleind</t>
  </si>
  <si>
    <t>Razdalja e je največja razdalja in se lahko zmanjša</t>
  </si>
  <si>
    <t>Avstånd e är ett maximalt avstånd och kan minskas</t>
  </si>
  <si>
    <t>Afstand e er en maksimal afstand og kan reduceres</t>
  </si>
  <si>
    <t>Avstand e er en maksimal avstand og kan reduseres</t>
  </si>
  <si>
    <t>Udaljenost e je maksimalna udaljenost i može se smanjiti</t>
  </si>
  <si>
    <t>Abstand e so oft anwenden, bis lr ≤ e übrig bleibt</t>
  </si>
  <si>
    <t>Apply distance e as often as needed until lr ≤ e remains</t>
  </si>
  <si>
    <t>Appliquer la distance e aussi souvent que nécessaire jusqu'à ce qu'il reste lr ≤ e</t>
  </si>
  <si>
    <t>Applicare la distanza e fino a quando rimane lr ≤ e</t>
  </si>
  <si>
    <t>Použijte vzdálenost e tak často, jak je potřeba, dokud nezůstane lr ≤ e</t>
  </si>
  <si>
    <t>Zastosuj odległość e tak często, jak to konieczne, aż pozostanie lr ≤ e</t>
  </si>
  <si>
    <t>Alkalmazza az e távolságot annyiszor, amíg csak marad lr ≤ e</t>
  </si>
  <si>
    <t>Použite vzdialenosť e tak často, ako je potrebné, kým nezostane lr ≤ e</t>
  </si>
  <si>
    <t>Pas afstand e zo vaak toe als nodig totdat lr ≤ e overblijft</t>
  </si>
  <si>
    <t>Uporabite razdaljo e tako pogosto, dokler ne ostane lr ≤ e</t>
  </si>
  <si>
    <t>Tillämpa avståndet e så ofta som behövs tills lr ≤ e återstår</t>
  </si>
  <si>
    <t>Anvend afstand e så ofte som nødvendigt, indtil lr ≤ e forbliver</t>
  </si>
  <si>
    <t>Bruk avstand e så ofte som nødvendig til lr ≤ e gjenstår</t>
  </si>
  <si>
    <t>Koristite udaljenost e toliko puta koliko je potrebno sve dok ne preostane lr ≤ e</t>
  </si>
  <si>
    <t>Abstand e ≤</t>
  </si>
  <si>
    <t>Distance e ≤</t>
  </si>
  <si>
    <t>Distanza e ≤</t>
  </si>
  <si>
    <t>Vzdálenost e ≤</t>
  </si>
  <si>
    <t>Odległość e ≤</t>
  </si>
  <si>
    <t>Távolság e ≤</t>
  </si>
  <si>
    <t>Vzdialenosť e ≤</t>
  </si>
  <si>
    <t>Afstand e ≤</t>
  </si>
  <si>
    <t>Razdalja e ≤</t>
  </si>
  <si>
    <t>Avstånd e ≤</t>
  </si>
  <si>
    <t>Avstand e ≤</t>
  </si>
  <si>
    <t>Udaljenost e ≤</t>
  </si>
  <si>
    <r>
      <t>Rundholz Ø 140 mm über mind. 3 Sparrenbreiten, max. Rundholzüberstand ≤ 0,3*e</t>
    </r>
    <r>
      <rPr>
        <vertAlign val="subscript"/>
        <sz val="11"/>
        <color theme="1"/>
        <rFont val="Arial"/>
        <family val="2"/>
      </rPr>
      <t>s</t>
    </r>
  </si>
  <si>
    <t>Round log Ø 140 mm over at least 3 rafter widths, max. round log overhang ≤ 0.3*es</t>
  </si>
  <si>
    <t>Rondin Ø 140 mm sur au moins 3 largeurs de chevrons, débord maximal de rondin ≤ 0,3*es</t>
  </si>
  <si>
    <t>Tronco rotondo Ø 140 mm su almeno 3 larghezze di capriate, massima sporgenza del tronco rotondo ≤ 0,3*es</t>
  </si>
  <si>
    <t>Kulaté dřevo Ø 140 mm přes nejméně 3 šířky vazníků, max. převis kulatého dřeva ≤ 0,3*es</t>
  </si>
  <si>
    <t>Rundholz Ø 140 mm na co najmniej 3 szerokościach krokwi, maksymalny występ rundholza ≤ 0,3*es</t>
  </si>
  <si>
    <t>Kerek rönk Ø 140 mm legalább 3 gerendaszélességen át, max. kerek rönk túlnyúlás ≤ 0,3*es</t>
  </si>
  <si>
    <t>Kolové drevo Ø 140 mm cez najmenej 3 šírky trámov, max. previs kolového dreva ≤ 0,3*es</t>
  </si>
  <si>
    <t>Rondhout Ø 140 mm over minstens 3 spantbreedtes, max. rondhout overhang ≤ 0,3*es</t>
  </si>
  <si>
    <t>Okrugli les Ø 140 mm čez najmanj 3 širine tramov, maks. previs okroglega lesa ≤ 0,3*es</t>
  </si>
  <si>
    <t>Rundvirke Ø 140 mm över minst 3 takstolsbredder, max. rundvirkesöverhäng ≤ 0,3*es</t>
  </si>
  <si>
    <t>Rundtømmer Ø 140 mm over mindst 3 spærvidder, maks. rundtømmerudhæng ≤ 0,3*es</t>
  </si>
  <si>
    <t>Rundtømmer Ø 140 mm over minst 3 takstolbredder, maks. rundtømmerutstikk ≤ 0,3*es</t>
  </si>
  <si>
    <t>Okruglo drvo Ø 140 mm preko najmanje 3 širine rogova, maks. previs okruglog drveta ≤ 0,3*es</t>
  </si>
  <si>
    <t>Gebirgsschneefangstütze auf jedem Sparren (Mindestgüte C24) montiert → Stützenabstand = Sparrenabstand</t>
  </si>
  <si>
    <t>mountain snow-guard bracket support mounted on each rafter (minimum grade C24) → Support distance = rafter distance</t>
  </si>
  <si>
    <t>support de pare-neige pour rondins de montagne monté sur chaque chevron (qualité minimale C24) → Distance des supports = distance des chevrons</t>
  </si>
  <si>
    <t>Supporto Staffa fermaneve per legno tondo in montagna montato su ogni travetto (qualità minima C24) → Distanza supporti = distanza travetti</t>
  </si>
  <si>
    <t>Držák kulatiny pro zadržování sněhu na každém krokvi (minimální jakost C24) → Vzdálenost podpěr = vzdálenost krokve</t>
  </si>
  <si>
    <t>hak przeciwśniegowy do warunków górskich na każdym krokwiu (minimalna jakość C24) → Odległość wsporników = odległość krokwi</t>
  </si>
  <si>
    <t>hófogórönk tartó minden gerendán (minimális C24 minőség) → Támaszok távolsága = gerendák távolsága</t>
  </si>
  <si>
    <t>držiak horského zachytávača snehu pre rúrky kruhového prierezu na každom vazníku (minimálna kvalita C24) → Vzdialenosť podpôr = vzdialenosť vazníkov</t>
  </si>
  <si>
    <t>sneeuwvangsteun voor in het gebergte op elke spant (minimumkwaliteit C24) → Ondersteuningsafstand = spantafstand</t>
  </si>
  <si>
    <t>nosilec za linijski snegolov na vsakem tramovju (minimalna kakovost C24) → Razdalja podpor = razdalja med tramovi</t>
  </si>
  <si>
    <t>snöstoppsstötta på varje takstol (minsta kvalitet C24) → Stödavstånd = takstolsavstånd</t>
  </si>
  <si>
    <t>bjergsnefangstøtte monteret på hver spær (minimum kvalitet C24) → Støtteafstand = spærafstand</t>
  </si>
  <si>
    <t>fjellsnøfangerstøtte montert på hver bjelke (minimum kvalitet C24) → Støtteavstand = bjelkeavstand</t>
  </si>
  <si>
    <t>Nosač planinskog snjegobrana montirana na svakom rešetku (minimalna kvaliteta C24) → Razmak potpora = razmak rešetki</t>
  </si>
  <si>
    <t>Befestigung mittels beigepackten Holzschrauben 8x120 oder 8x220mm (4 Schrauben je Stütze)</t>
  </si>
  <si>
    <t>Attachment using the included wood screws 8x120 or 8x220mm (4 screws per support)</t>
  </si>
  <si>
    <t>Fixation à l'aide des vis à bois fournies 8x120 ou 8x220mm (4 vis par support)</t>
  </si>
  <si>
    <t>Fissaggio con le viti in legno incluse 8x120 o 8x220mm (4 viti per supporto)</t>
  </si>
  <si>
    <t>Upevnění pomocí přiložených dřevěných šroubů 8x120 nebo 8x220mm (4 šrouby na podporu)</t>
  </si>
  <si>
    <t>Mocowanie za pomocą dołączonych wkrętów drewnianych 8x120 lub 8x220mm (4 wkręty na wspornik)</t>
  </si>
  <si>
    <t>Rögzítés a mellékelt fa csavarokkal 8x120 vagy 8x220mm (4 csavar minden támasztékhoz)</t>
  </si>
  <si>
    <t>Upevnenie pomocou priložených drevených skrutiek 8x120 alebo 8x220mm (4 skrutky na podporu)</t>
  </si>
  <si>
    <t>Bevestiging met de meegeleverde houtschroeven 8x120 of 8x220mm (4 schroeven per steun)</t>
  </si>
  <si>
    <t>Pritrditev z priloženimi lesenimi vijaki 8x120 ali 8x220mm (4 vijaki na oporo)</t>
  </si>
  <si>
    <t>Fästning med medföljande träskruvar 8x120 eller 8x220mm (4 skruvar per stöd)</t>
  </si>
  <si>
    <t>Fastgørelse med de medfølgende træskruer 8x120 eller 8x220mm (4 skruer pr. støtte)</t>
  </si>
  <si>
    <t>Festing med de medfølgende treskruene 8x120 eller 8x220mm (4 skruer per støtte)</t>
  </si>
  <si>
    <t>Pričvršćivanje pomoću priloženih drvenih vijaka 8x120 ili 8x220mm (4 vijaka po potpori)</t>
  </si>
  <si>
    <r>
      <t>Rohre auf mindestens 3 Sailerklemmen befestigen, max. Schneestangenüberstand ≤ 0,3*e</t>
    </r>
    <r>
      <rPr>
        <vertAlign val="subscript"/>
        <sz val="11"/>
        <color theme="1"/>
        <rFont val="Arial"/>
        <family val="2"/>
      </rPr>
      <t>s</t>
    </r>
  </si>
  <si>
    <t>Attach pipes to at least 3 seam clamps, max. snow pole overhang ≤ 0.3*es</t>
  </si>
  <si>
    <t>Fixer les tuyaux à au moins 3 brides de maintien, débordement max. des Tube de neige ≤ 0,3*es</t>
  </si>
  <si>
    <t>Fissare i tubi ad almeno 3 Piastre fermaneve, sbalzo massimo delle barre di neve ≤ 0,3*larghezza lastra</t>
  </si>
  <si>
    <t>Připevněte trubky na alespoň 3 Svěrky trubek sněholamu, max. převis sněhových tyčí ≤ 0,3*es</t>
  </si>
  <si>
    <t>Przymocuj rury do co najmniej 3 Zaciski do bariery śniegowej, maks. występ słupków śnieżnych ≤ 0,3*es</t>
  </si>
  <si>
    <t>Csövek rögzítése legalább 3 hófogórúd-tartók, max. hópálca túlnyúlás ≤ 0,3*es</t>
  </si>
  <si>
    <t>Trubky upevnite na aspoň 3 svorka rúrky zachytávača snehu, max. previs snežných tyčí ≤ 0,3*es</t>
  </si>
  <si>
    <t>Bevestig buizen aan minstens 3 Zeilklemmen, max. sneeuwpaal uitsteeksel ≤ 0,3*es</t>
  </si>
  <si>
    <t>Cevi pritrdite na vsaj 3 Držalo za cevi, max. previs snežnih palic ≤ 0,3*es</t>
  </si>
  <si>
    <t>Fäst rören på minst 3 segelklämmor, max. snöpinneöverhäng ≤ 0,3*es</t>
  </si>
  <si>
    <t>Fastgør rør til mindst 3 Sailerklemmer, maks. sne stang overhæng ≤ 0,3*es</t>
  </si>
  <si>
    <t>Fest rør til minst 3 Falseklemmer, maks. snøstang overheng ≤ 0,3*es</t>
  </si>
  <si>
    <t>Cijevi pričvrstite na najmanje 3 Obujmice, maks. preklop snježnih štapova ≤ 0,3*es</t>
  </si>
  <si>
    <t>Sailerklemme auf jedem Falz montiert → Klemmenabstand = Falzabstand</t>
  </si>
  <si>
    <t>seam clamps mounted on each seam → Clamp distance = tray width</t>
  </si>
  <si>
    <t>brides de maintien montée sur chaque pli → Distance de pince = distance de pli</t>
  </si>
  <si>
    <t>Piastre fermaneve montate su ogni aggraffatura → Distanza piastre = distanza aggraffature</t>
  </si>
  <si>
    <t>Svěrky trubek sněholamu na každém záhybu → Vzdálenost svorek = vzdálenost záhybů</t>
  </si>
  <si>
    <t>Zaciski do bariery śniegowej zamocowana na każdym zgięciu → Odległość klamr = odległość zgięć</t>
  </si>
  <si>
    <t>hófogórúd-tartók minden hajtásnál felszerelve → Csipesztávolság = hajtástávolság</t>
  </si>
  <si>
    <t>svorka rúrky zachytávača snehu na každom záhybe → Vzdialenosť svoriek = vzdialenosť záhybov</t>
  </si>
  <si>
    <t>Zeilklemmen gemonteerd op elke vouw → Klem afstand = vouw afstand</t>
  </si>
  <si>
    <t>Držalo za cevi nameščena na vsakem pregibu → Razdalja sponk = razdalja pregibov</t>
  </si>
  <si>
    <t>segelklämmor monterad på varje veck → Klämmavstånd = veckavstånd</t>
  </si>
  <si>
    <t>Sailerklemmer monteret på hver fold → Klemmeafstand = foldafstand</t>
  </si>
  <si>
    <t>Falseklemmer montert på hver fold → Klemmeavstand = foldavstand</t>
  </si>
  <si>
    <t>Obujmice montirana na svakom naporu → Razmak kvačica = razmak nabora</t>
  </si>
  <si>
    <t>Sailerklemme (doppelt) an der Traufe</t>
  </si>
  <si>
    <t>two-pipe seam clamp at the eaves</t>
  </si>
  <si>
    <t>bride double à l'avant-toit</t>
  </si>
  <si>
    <t>Piastra fermaneve a doppio tubo in corrispondenza alla linea di gronda</t>
  </si>
  <si>
    <t>Svěrka trubky sněhové zábrany dvojitá u okapu</t>
  </si>
  <si>
    <t>Mocowanie podwójne do bariery śniegowej przy okapie</t>
  </si>
  <si>
    <t>kétcsöves hófogótartó az eresznél</t>
  </si>
  <si>
    <t>dvojitá svorka rúrky zachytávača snehu pri odkvape</t>
  </si>
  <si>
    <t>Sailerklem dubbel aan de dakrand</t>
  </si>
  <si>
    <t>dvojno držalo ob strehi</t>
  </si>
  <si>
    <t>sailer-klämma dubbel vid takfoten</t>
  </si>
  <si>
    <t>sailer-klemme dobbelt ved tagskægget</t>
  </si>
  <si>
    <t>dobbel falseklemme ved takskjegget</t>
  </si>
  <si>
    <t>Obujmica (dvostruka) kod strehe</t>
  </si>
  <si>
    <t>Höhe des Doppelstehfalzes: 25 mm</t>
  </si>
  <si>
    <t>Height of double standing seam: 25 mm</t>
  </si>
  <si>
    <t>Hauteur du joint debout double : 25 mm</t>
  </si>
  <si>
    <t>Altezza doppia aggraffatura: 25 mm</t>
  </si>
  <si>
    <t>Výška dvojitého stojného závěsu: 25 mm</t>
  </si>
  <si>
    <t>Wysokość podwójnego połączenia stojącego: 25 mm</t>
  </si>
  <si>
    <t>Dupla álló szeg magassága: 25 mm</t>
  </si>
  <si>
    <t>Výška dvojitého stojaceho závesu: 25 mm</t>
  </si>
  <si>
    <t>Hoogte van dubbele staande naad: 25 mm</t>
  </si>
  <si>
    <t>Višina dvojnega stoječega šiva: 25 mm</t>
  </si>
  <si>
    <t>Höjd av dubbelstående söm: 25 mm</t>
  </si>
  <si>
    <t>Højde af dobbeltstående søm: 25 mm</t>
  </si>
  <si>
    <t>Høyde på dobbel stående søm: 25 mm</t>
  </si>
  <si>
    <t>Visina dvostrukog stojećeg spoja: 25 mm</t>
  </si>
  <si>
    <t>Abstände e1 und e2 sind Maximalabstände und können verringert werden</t>
  </si>
  <si>
    <t>Distances e1 and e2 are maximum distances and can be reduced</t>
  </si>
  <si>
    <t>Les distances e1 et e2 sont des distances maximales et peuvent être réduites</t>
  </si>
  <si>
    <t>Le distanze e1 ed e2 sono distanze massime e possono essere ridotte</t>
  </si>
  <si>
    <t>Vzdálenosti e1 a e2 jsou maximální vzdálenosti a lze je snížit</t>
  </si>
  <si>
    <t>Odległości e1 i e2 są maksymalnymi odległościami i mogą zostać zmniejszone.</t>
  </si>
  <si>
    <t>Az e1 és e2 távolságok maximális távolságok, és csökkenthetők</t>
  </si>
  <si>
    <t>Vzdialenosti e1 a e2 sú maximálne vzdialenosti a môžu byť znížené</t>
  </si>
  <si>
    <t>Afstanden e1 en e2 zijn maximale afstanden en kunnen worden verkleind</t>
  </si>
  <si>
    <t>Razdalje e1 in e2 so največje razdalje in jih je mogoče zmanjšati</t>
  </si>
  <si>
    <t>Avstånden e1 och e2 är maximala avstånd och kan minskas</t>
  </si>
  <si>
    <t>Afstandene e1 og e2 er maksimale afstande og kan reduceres</t>
  </si>
  <si>
    <t>Avstandene e1 og e2 er maksimale avstander og kan reduseres</t>
  </si>
  <si>
    <t>Udaljenosti e1 i e2 su maksimalne udaljenosti i mogu se smanjiti</t>
  </si>
  <si>
    <t>Abstand e2 so oft anwenden, bis lr ≤ e2 übrig bleibt</t>
  </si>
  <si>
    <t>Apply distance e2 as often as needed until lr ≤ e2 remains</t>
  </si>
  <si>
    <t>Appliquer la distance e2 aussi souvent que nécessaire jusqu'à ce qu'il reste lr ≤ e2</t>
  </si>
  <si>
    <t>Applicare la distanza e2 fino a quando rimane lr ≤ e2</t>
  </si>
  <si>
    <t>Použijte vzdálenost e2 tak často, jak je potřeba, dokud nezůstane lr ≤ e2</t>
  </si>
  <si>
    <t>Zastosuj odległość e2 tak często, jak to konieczne, aż pozostanie lr ≤ e2</t>
  </si>
  <si>
    <t>Alkalmazza az e2 távolságot annyiszor, amíg csak marad lr ≤ e2</t>
  </si>
  <si>
    <t>Použite vzdialenosť e2 tak často, ako je potrebné, kým nezostane lr ≤ e2</t>
  </si>
  <si>
    <t>Pas afstand e2 zo vaak toe als nodig totdat lr ≤ e2 overblijft</t>
  </si>
  <si>
    <t>Uporabite razdaljo e2 tako pogosto, dokler ne ostane lr ≤ e2</t>
  </si>
  <si>
    <t>Tillämpa avståndet e2 så ofta som behövs tills lr ≤ e2 återstår</t>
  </si>
  <si>
    <t>Anvend afstand e2 så ofte som nødvendigt, indtil lr ≤ e2 forbliver</t>
  </si>
  <si>
    <t>Bruk avstand e2 så ofte som nødvendig til lr ≤ e2 gjenstår</t>
  </si>
  <si>
    <t>Koristite udaljenost e2 toliko puta koliko je potrebno sve dok ne preostane lr ≤ e2</t>
  </si>
  <si>
    <t>variable Eingabe</t>
  </si>
  <si>
    <t>variable input</t>
  </si>
  <si>
    <t>entrée variable</t>
  </si>
  <si>
    <t>input variabile</t>
  </si>
  <si>
    <t>proměnný vstup</t>
  </si>
  <si>
    <t>zmienny wejście</t>
  </si>
  <si>
    <t>változó bemenet</t>
  </si>
  <si>
    <t>premenný vstup</t>
  </si>
  <si>
    <t>variabele invoer</t>
  </si>
  <si>
    <t>spremenljivka vnosa</t>
  </si>
  <si>
    <t>variabel input</t>
  </si>
  <si>
    <t>variabel indgang</t>
  </si>
  <si>
    <t>variabel inngang</t>
  </si>
  <si>
    <t>varijabilni unos</t>
  </si>
  <si>
    <t>Falzabstand</t>
  </si>
  <si>
    <t>tray width</t>
  </si>
  <si>
    <t>distanza aggraffature</t>
  </si>
  <si>
    <t>vzdálenost záhybů</t>
  </si>
  <si>
    <t>odległość zgięć</t>
  </si>
  <si>
    <t>hajtástávolság</t>
  </si>
  <si>
    <t>vzdialenosť záhybov</t>
  </si>
  <si>
    <t>vouw afstand</t>
  </si>
  <si>
    <t>razdalja pregibov</t>
  </si>
  <si>
    <t>veckavstånd</t>
  </si>
  <si>
    <t>foldafstand</t>
  </si>
  <si>
    <t>foldavstand</t>
  </si>
  <si>
    <t>razmak nabora</t>
  </si>
  <si>
    <t>Satteldach bzw. Walmdach</t>
  </si>
  <si>
    <t>Gable roof or hipped roof</t>
  </si>
  <si>
    <t>Toit à pignon ou toit en croupe</t>
  </si>
  <si>
    <t>Tetto a capanna o tetto a padiglione</t>
  </si>
  <si>
    <t>Sedlová střecha nebo valbová střecha</t>
  </si>
  <si>
    <t>Dach dwuspadowy lub dach czterospadowy</t>
  </si>
  <si>
    <t>Sík tető vagy csúcsos tető</t>
  </si>
  <si>
    <t>Sedlová strecha alebo valbová strecha</t>
  </si>
  <si>
    <t>Zadeldak of schilddak</t>
  </si>
  <si>
    <t>Saddle streha ali štirna streha</t>
  </si>
  <si>
    <t>Sadeltak eller valmat tak</t>
  </si>
  <si>
    <t>Sadeltag eller valmtag</t>
  </si>
  <si>
    <t>Saltak eller valmtak</t>
  </si>
  <si>
    <t>Dvostruki krov ili četverostrešni krov</t>
  </si>
  <si>
    <t>Pultdach</t>
  </si>
  <si>
    <t>mono pitch roof</t>
  </si>
  <si>
    <t>toit en appentis</t>
  </si>
  <si>
    <t>tetto a falda unica</t>
  </si>
  <si>
    <t>pultová střecha</t>
  </si>
  <si>
    <t>dach jednospadowy</t>
  </si>
  <si>
    <t>ferde tető</t>
  </si>
  <si>
    <t>pultová strecha</t>
  </si>
  <si>
    <t>lessenaarsdak</t>
  </si>
  <si>
    <t>enokapnica</t>
  </si>
  <si>
    <t>pulpettak</t>
  </si>
  <si>
    <t>pulsdækket tag</t>
  </si>
  <si>
    <t>pulttak</t>
  </si>
  <si>
    <t>jednokatni krov</t>
  </si>
  <si>
    <t>Berechnungsgrundlage</t>
  </si>
  <si>
    <t>calculation basis</t>
  </si>
  <si>
    <t>base de calcul</t>
  </si>
  <si>
    <t>base di calcolo</t>
  </si>
  <si>
    <t>výpočtový základ</t>
  </si>
  <si>
    <t>podstawa obliczeń</t>
  </si>
  <si>
    <t>számítási alap</t>
  </si>
  <si>
    <t>berekeningsbasis</t>
  </si>
  <si>
    <t>izračunska osnova</t>
  </si>
  <si>
    <t>beräkningsgrund</t>
  </si>
  <si>
    <t>beregningsgrundlag</t>
  </si>
  <si>
    <t>beregningsgrunnlag</t>
  </si>
  <si>
    <t>osnova za izračun</t>
  </si>
  <si>
    <t>Schneelast laut dlubal.com</t>
  </si>
  <si>
    <t>Snow load according to dlubal.com</t>
  </si>
  <si>
    <t>Charge de neige selon dlubal.com</t>
  </si>
  <si>
    <t>Carico neve secondo dlubal.com</t>
  </si>
  <si>
    <t>Sněhové zatížení podle dlubal.com</t>
  </si>
  <si>
    <t>Obciążenie śniegiem według dlubal.com</t>
  </si>
  <si>
    <t>Hóterhelés a dlubal.com szerint</t>
  </si>
  <si>
    <t>Snežné zaťaženie podľa dlubal.com</t>
  </si>
  <si>
    <t>Sneeuwbelasting volgens dlubal.com</t>
  </si>
  <si>
    <t>Snežna obremenitev po dlubal.com</t>
  </si>
  <si>
    <t>Snöbelastning enligt dlubal.com</t>
  </si>
  <si>
    <t>Snebelastning i henhold til dlubal.com</t>
  </si>
  <si>
    <t>Snølast i henhold til dlubal.com</t>
  </si>
  <si>
    <t>Snježno opterećenje prema dlubal.com</t>
  </si>
  <si>
    <t>Objekthöhe</t>
  </si>
  <si>
    <t>building height</t>
  </si>
  <si>
    <t>hauteur de l'objet</t>
  </si>
  <si>
    <t>altezza dell'oggetto</t>
  </si>
  <si>
    <t>výška objektu</t>
  </si>
  <si>
    <t>wysokość obiektu</t>
  </si>
  <si>
    <t>tárgy magassága</t>
  </si>
  <si>
    <t>objecthoogte</t>
  </si>
  <si>
    <t>višina objekta</t>
  </si>
  <si>
    <t>objektshöjd</t>
  </si>
  <si>
    <t>objekthøjde</t>
  </si>
  <si>
    <t>objekthøyde</t>
  </si>
  <si>
    <t>visina objekta</t>
  </si>
  <si>
    <t>m.ü.M.</t>
  </si>
  <si>
    <t>a.s.l.</t>
  </si>
  <si>
    <t>m d'altitude</t>
  </si>
  <si>
    <t>s.l.m.</t>
  </si>
  <si>
    <t>n.m.</t>
  </si>
  <si>
    <t>npm</t>
  </si>
  <si>
    <t>tengerszint feletti magasságban</t>
  </si>
  <si>
    <t>m boven zeeniveau</t>
  </si>
  <si>
    <t>n.m.v.</t>
  </si>
  <si>
    <t>m ö.h.</t>
  </si>
  <si>
    <t>m.o.h.</t>
  </si>
  <si>
    <t>Bezugshöhe</t>
  </si>
  <si>
    <t>reference height</t>
  </si>
  <si>
    <t>hauteur de référence</t>
  </si>
  <si>
    <t>altezza di riferimento</t>
  </si>
  <si>
    <t>referenční výška</t>
  </si>
  <si>
    <t>wysokość odniesienia</t>
  </si>
  <si>
    <t>referencia magasság</t>
  </si>
  <si>
    <t>referenčná výška</t>
  </si>
  <si>
    <t>referentiehoogte</t>
  </si>
  <si>
    <t>referenčna višina</t>
  </si>
  <si>
    <t>referenshöjd</t>
  </si>
  <si>
    <t>referencehøjde</t>
  </si>
  <si>
    <t>referansehøyde</t>
  </si>
  <si>
    <t>referentna visina</t>
  </si>
  <si>
    <t>MAX. GRUNDWERT</t>
  </si>
  <si>
    <t>MAX. BASE VALUE</t>
  </si>
  <si>
    <t>VALEUR MAX. DE BASE</t>
  </si>
  <si>
    <t>VALORE MAX. DI BASE</t>
  </si>
  <si>
    <t>MAX. ZÁKLADNÍ HODNOTA</t>
  </si>
  <si>
    <t>MAKSYMALNA WARTOŚĆ PODST.</t>
  </si>
  <si>
    <t>MAX. ALAPÉRTÉK</t>
  </si>
  <si>
    <t>MAX. ZÁKLADNÁ HODNOTA</t>
  </si>
  <si>
    <t>MAX. GRONDWAARDE</t>
  </si>
  <si>
    <t>NAJVEČJA OSNOVNA VRED.</t>
  </si>
  <si>
    <t>MAX. GRUNDVÄRDE</t>
  </si>
  <si>
    <t>MAKSIMAL GRUNDVÆRDI</t>
  </si>
  <si>
    <t>MAKSIMAL GRUNNVERDI</t>
  </si>
  <si>
    <t>MAKSIMALNA OSN. VRIJEDNOST</t>
  </si>
  <si>
    <t>DACHGEOMETRIE</t>
  </si>
  <si>
    <t>ROOF GEOMETRY</t>
  </si>
  <si>
    <t>GÉOMÉTRIE DU TOIT</t>
  </si>
  <si>
    <t>GEOMETRIA DEL TETTO</t>
  </si>
  <si>
    <t>GEOMETRIE STŘECHY</t>
  </si>
  <si>
    <t>GEOMETRIA DACHU</t>
  </si>
  <si>
    <t>TETŐGEOMETRIA</t>
  </si>
  <si>
    <t>GEOMETRIA STRECHY</t>
  </si>
  <si>
    <t>DAKGEOMETRIE</t>
  </si>
  <si>
    <t>GEOMETRIJA STREHE</t>
  </si>
  <si>
    <t>TAKGEOMETRI</t>
  </si>
  <si>
    <t>TAGGEOMETRI</t>
  </si>
  <si>
    <t>GEOMETRIJA KROVA</t>
  </si>
  <si>
    <t>Formbeiwert</t>
  </si>
  <si>
    <t>form factor</t>
  </si>
  <si>
    <t>coefficient de forme</t>
  </si>
  <si>
    <t>coefficiente di forma</t>
  </si>
  <si>
    <t>koeficient tvaru</t>
  </si>
  <si>
    <t>współczynnik formuły</t>
  </si>
  <si>
    <t>alaktényező</t>
  </si>
  <si>
    <t>vormfactor</t>
  </si>
  <si>
    <t>faktor oblike</t>
  </si>
  <si>
    <t>formfaktor</t>
  </si>
  <si>
    <t>oblikovni faktor</t>
  </si>
  <si>
    <t>Formbeiwert µ1 laut DIN EN 1991-1-3:2023</t>
  </si>
  <si>
    <t>form factor µ1 according to DIN EN 1991-1-3:2023</t>
  </si>
  <si>
    <t>coefficient de forme µ1 selon la norme DIN EN 1991-1-3:2023</t>
  </si>
  <si>
    <t>coefficiente di forma µ1 secondo la norma DIN EN 1991-1-3:2003</t>
  </si>
  <si>
    <t>koeficient tvaru µ1 podle normy DIN EN 1991-1-3:2023</t>
  </si>
  <si>
    <t>współczynnik formuły µ1 zgodnie z normą DIN EN 1991-1-3:2023</t>
  </si>
  <si>
    <t>alaktényező µ1 a DIN EN 1991-1-3:2023 szerint</t>
  </si>
  <si>
    <t>koeficient tvaru µ1 podľa normy DIN EN 1991-1-3:2023</t>
  </si>
  <si>
    <t>vormfactor µ1 volgens DIN EN 1991-1-3:2023</t>
  </si>
  <si>
    <t>faktor oblike µ1 v skladu z DIN EN 1991-1-3:2023</t>
  </si>
  <si>
    <t>formfaktor µ1 enligt DIN EN 1991-1-3:2023</t>
  </si>
  <si>
    <t>formfaktor µ1 ifølge DIN EN 1991-1-3:2023</t>
  </si>
  <si>
    <t>formfaktor µ1 i henhold til DIN EN 1991-1-3:2023</t>
  </si>
  <si>
    <t>oblikovni faktor µ1 prema normi DIN EN 1991-1-3:2023</t>
  </si>
  <si>
    <t>Formbeiwert µ1 laut Önorm B 1991-1-3:2022</t>
  </si>
  <si>
    <t>form factor µ1 according to Önorm B 1991-1-3:2022</t>
  </si>
  <si>
    <t>coefficient de forme µ1 selon la norme Önorm B 1991-1-3:2022</t>
  </si>
  <si>
    <t>coefficiente di forma µ1 secondo la norma Önorm B 1991-1-3:2022</t>
  </si>
  <si>
    <t>koeficient tvaru µ1 podle normy Önorm B 1991-1-3:2022</t>
  </si>
  <si>
    <t>współczynnik formuły µ1 zgodnie z normą Önorm B 1991-1-3:2022</t>
  </si>
  <si>
    <t>alaktényező µ1 a Önorm B 1991-1-3:2022</t>
  </si>
  <si>
    <t>koeficient tvaru µ1 podľa normy Önorm B 1991-1-3:2022</t>
  </si>
  <si>
    <t>vormfactor µ1 volgens Önorm B 1991-1-3:2022</t>
  </si>
  <si>
    <t>faktor oblike µ1 v skladu z Önorm B 1991-1-3:2022</t>
  </si>
  <si>
    <t>formfaktor µ1 enligt Önorm B 1991-1-3:2022</t>
  </si>
  <si>
    <t>formfaktor µ1 ifølge Önorm B 1991-1-3:2022</t>
  </si>
  <si>
    <t>formfaktor µ1 i henhold til Önorm B 1991-1-3:2022</t>
  </si>
  <si>
    <t>oblikovni faktor µ1 prema normi Önorm B 1991-1-3:2022</t>
  </si>
  <si>
    <t>Formbeiwert µ1 laut SIA 261</t>
  </si>
  <si>
    <t>form factor µ1 according to SIA 261</t>
  </si>
  <si>
    <t>coefficient de forme µ1 selon la norme SIA 261</t>
  </si>
  <si>
    <t>coefficiente di forma µ1 secondo la norma SIA 261</t>
  </si>
  <si>
    <t>koeficient tvaru µ1 podle normy SIA 261</t>
  </si>
  <si>
    <t>współczynnik formuły µ1 zgodnie z normą SIA 261</t>
  </si>
  <si>
    <t>alaktényező µ1 a SIA 261 szerint</t>
  </si>
  <si>
    <t>koeficient tvaru µ1 podľa normy SIA 261</t>
  </si>
  <si>
    <t>vormfactor µ1 volgens SIA 261</t>
  </si>
  <si>
    <t>faktor oblike µ1 v skladu z SIA 261</t>
  </si>
  <si>
    <t>formfaktor µ1 enligt SIA 261</t>
  </si>
  <si>
    <t>formfaktor µ1 ifølge SIA 261</t>
  </si>
  <si>
    <t>formfaktor µ1 i henhold til SIA 261</t>
  </si>
  <si>
    <t>oblikovni faktor µ1 prema normi SIA 261</t>
  </si>
  <si>
    <t>Schneelast</t>
  </si>
  <si>
    <t>snow load</t>
  </si>
  <si>
    <t>charge de neige</t>
  </si>
  <si>
    <t>carico neve</t>
  </si>
  <si>
    <t>sněhové zatížení</t>
  </si>
  <si>
    <t>obciążenie śniegiem</t>
  </si>
  <si>
    <t>hóterhelés</t>
  </si>
  <si>
    <t>snehové zaťaženie</t>
  </si>
  <si>
    <t>sneeuwbelasting</t>
  </si>
  <si>
    <t>snežna obremenitev</t>
  </si>
  <si>
    <t>snöbelastning</t>
  </si>
  <si>
    <t>snebelastning</t>
  </si>
  <si>
    <t>snølast</t>
  </si>
  <si>
    <t>snježno opterećenje</t>
  </si>
  <si>
    <t>Tragfähige Unterkonstruktion (Bemessung gemäß DIN EN 1991-1-3)</t>
  </si>
  <si>
    <t>load-bearing substructure (design according to DIN EN 1991-1-3)</t>
  </si>
  <si>
    <t>structure porteuse (dimensionnement selon DIN EN 1991-1-3)</t>
  </si>
  <si>
    <t>sottostuttura portante (dimensionamento secondo DIN EN 1991-1-3)</t>
  </si>
  <si>
    <t>nosná podkonstrukce (dimenzování dle DIN EN 1991-1-3)</t>
  </si>
  <si>
    <t>nośna konstrukcja wsporcza (obliczenia zgodnie z DIN EN 1991-1-3)</t>
  </si>
  <si>
    <t>teherhordó alkonstrukció (tervezés az DIN EN 1991-1-3)</t>
  </si>
  <si>
    <t>nosná podkonštrukcia (rozmery podľa DIN EN 1991-1-3)</t>
  </si>
  <si>
    <t>dragende onderconstructie (dimensionering volgens DIN EN 1991-1-3)</t>
  </si>
  <si>
    <t>nosilna podkonstrukcija (dimenzioniranje po DIN EN 1991-1-3)</t>
  </si>
  <si>
    <t>bärande underkonstruktion (dimensionering enligt DIN EN 1991-1-3)</t>
  </si>
  <si>
    <t>bærende underkonstruktion (dimensionering i henhold til DIN EN 1991-1-3)</t>
  </si>
  <si>
    <t>bærende underkonstruksjon (dimensjonering etter DIN EN 1991-1-3)</t>
  </si>
  <si>
    <t>nosiva potkonstrukcija (dimenzioniranje prema DIN EN 1991-1-3)</t>
  </si>
  <si>
    <t>Tragfähige Unterkonstruktion (Bemessung gemäß EN 1991-1-3 und SIA 261)</t>
  </si>
  <si>
    <t>load-bearing substructure (design according to EN 1991-1-3 and SIA 261)</t>
  </si>
  <si>
    <t>structure porteuse (dimensionnement selon EN 1991-1-3 et SIA 261)</t>
  </si>
  <si>
    <t>sottostuttura portante (dimensionamento secondo EN 1991-1-3 e SIA 261)</t>
  </si>
  <si>
    <t>nosná podkonstrukce (dimenzování dle EN 1991-1-3 a SIA 261)</t>
  </si>
  <si>
    <t>nośna konstrukcja wsporcza (obliczenia zgodnie z EN 1991-1-3 i SIA 261)</t>
  </si>
  <si>
    <t>teherhordó alkonstrukció (tervezés az EN 1991-1-3 és SIA 261 szerint)</t>
  </si>
  <si>
    <t>nosná podkonštrukcia (rozmery podľa EN 1991-1-3 a SIA 261)</t>
  </si>
  <si>
    <t>dragende onderconstructie (dimensionering volgens EN 1991-1-3 en SIA 261)</t>
  </si>
  <si>
    <t>nosilna podkonstrukcija (dimenzioniranje po EN 1991-1-3 in SIA 261)</t>
  </si>
  <si>
    <t>bärande underkonstruktion (dimensionering enligt EN 1991-1-3 och SIA 261)</t>
  </si>
  <si>
    <t>bærende underkonstruktion (dimensionering i henhold til EN 1991-1-3 og SIA 261)</t>
  </si>
  <si>
    <t>bærende underkonstruksjon (dimensjonering etter EN 1991-1-3 og SIA 261)</t>
  </si>
  <si>
    <t>nosiva potkonstrukcija (dimenzioniranje prema EN 1991-1-3 i SIA 261)</t>
  </si>
  <si>
    <t>Tragfähige Unterkonstruktion (Bemessung gemäß EN 1991-1-3)</t>
  </si>
  <si>
    <t>load-bearing substructure (design according to EN 1991-1-3)</t>
  </si>
  <si>
    <t>structure porteuse (dimensionnement selon EN 1991-1-3)</t>
  </si>
  <si>
    <t>sottostuttura portante (dimensionamento secondo EN 1991-1-3)</t>
  </si>
  <si>
    <t>nosná podkonstrukce (dimenzování dle EN 1991-1-3)</t>
  </si>
  <si>
    <t>nośna konstrukcja wsporcza (obliczenia zgodnie z EN 1991-1-3)</t>
  </si>
  <si>
    <t>teherhordó alkonstrukció (tervezés az EN 1991-1-3)</t>
  </si>
  <si>
    <t>nosná podkonštrukcia (rozmery podľa EN 1991-1-3)</t>
  </si>
  <si>
    <t>dragende onderconstructie (dimensionering volgens EN 1991-1-3)</t>
  </si>
  <si>
    <t>nosilna podkonstrukcija (dimenzioniranje po EN 1991-1-3)</t>
  </si>
  <si>
    <t>bärande underkonstruktion (dimensionering enligt EN 1991-1-3)</t>
  </si>
  <si>
    <t>bærende underkonstruktion (dimensionering i henhold til EN 1991-1-3)</t>
  </si>
  <si>
    <t>bærende underkonstruksjon (dimensjonering etter EN 1991-1-3)</t>
  </si>
  <si>
    <t>nosiva potkonstrukcija (dimenzioniranje prema EN 1991-1-3)</t>
  </si>
  <si>
    <t>Falzabst.</t>
  </si>
  <si>
    <t>dist. Pieghevole</t>
  </si>
  <si>
    <t>roz. Složení</t>
  </si>
  <si>
    <t>odst. Składania</t>
  </si>
  <si>
    <t>hajtás táv.</t>
  </si>
  <si>
    <t>vzd. Zloženia</t>
  </si>
  <si>
    <t>vouwafst.</t>
  </si>
  <si>
    <t>raz. Zlaganja</t>
  </si>
  <si>
    <t>vikavst.</t>
  </si>
  <si>
    <t>foldafst.</t>
  </si>
  <si>
    <t>foldavst.</t>
  </si>
  <si>
    <t>raz. savijanja</t>
  </si>
  <si>
    <t>Variabel:</t>
  </si>
  <si>
    <t>variable:</t>
  </si>
  <si>
    <t>variabile:</t>
  </si>
  <si>
    <t>proměnná:</t>
  </si>
  <si>
    <t>zmienna:</t>
  </si>
  <si>
    <t>változó:</t>
  </si>
  <si>
    <t>premenná:</t>
  </si>
  <si>
    <t>variabele:</t>
  </si>
  <si>
    <t>spremenljivka:</t>
  </si>
  <si>
    <t>variabel:</t>
  </si>
  <si>
    <t>varijabla</t>
  </si>
  <si>
    <t>Bitte den Filter öffnen und mit ok bestätigen, um die Ergebnisse anzuzeigen</t>
  </si>
  <si>
    <t>Please open the filter and confirm with ok to display the results.</t>
  </si>
  <si>
    <t>Veuillez ouvrir le filtre et confirmer avec ok pour afficher les résultats.</t>
  </si>
  <si>
    <t>Si prega di aprire il filtro e confermare con ok per visualizzare i risultati.</t>
  </si>
  <si>
    <t>Otevřete prosím filtr a potvrďte ok pro zobrazení výsledků.</t>
  </si>
  <si>
    <t>Proszę otworzyć filtr i potwierdzić ok, aby wyświetlić wyniki.</t>
  </si>
  <si>
    <t>Kérjük, nyissa meg a szűrőt és erősítse meg ok-val az eredmények megjelenítéséhez.</t>
  </si>
  <si>
    <t>Prosím, otvorte filter a potvrďte ok pre zobrazenie výsledkov.</t>
  </si>
  <si>
    <t>Open alstublieft het filter en bevestig met ok om de resultaten weer te geven.</t>
  </si>
  <si>
    <t>Prosimo, odprite filter in potrdite z ok, da prikažete rezultate.</t>
  </si>
  <si>
    <t>Vänligen öppna filtret och bekräfta med ok för att visa resultaten.</t>
  </si>
  <si>
    <t>Åbn venligst filteret og bekræft med ok for at vise resultaterne.</t>
  </si>
  <si>
    <t>Vennligst åpne filteret og bekreft med ok for å vise resultatene.</t>
  </si>
  <si>
    <t>Molim otvorite filter i potvrdite s ok kako biste prikazali rezultate.</t>
  </si>
  <si>
    <t>Bitte führen Sie vor der automatisierten Mengenermittlung immer zuerst die Berechnung aus.</t>
  </si>
  <si>
    <t>Please always perform the calculation first before the automated quantity determination.</t>
  </si>
  <si>
    <t>Cliquez sur le filtre et confirmer avec OK pour voir les résultats</t>
  </si>
  <si>
    <t>Si prega di eseguire sempre prima il calcolo prima della determinazione automatica della quantità.</t>
  </si>
  <si>
    <t>Vždy nejprve proveďte výpočet před automatickým stanovením množství.</t>
  </si>
  <si>
    <t>Proszę zawsze najpierw przeprowadzić obliczenia przed automatycznym określeniem ilości.</t>
  </si>
  <si>
    <t>Kérjük, mindig először végezze el a számítást az automatikus mennyiségi meghatározás előtt.</t>
  </si>
  <si>
    <t>Pred automatickým určením množstva vždy najprv vykonajte výpočet.</t>
  </si>
  <si>
    <t>Voer altijd eerst de berekening uit voor de geautomatiseerde hoeveelheidsbepaling.</t>
  </si>
  <si>
    <t>Pred avtomatizirano določitvijo količine vedno najprej izvedite izračun.</t>
  </si>
  <si>
    <t>Utför alltid beräkningen först innan den automatiska kvantitetsbestämningen.</t>
  </si>
  <si>
    <t>Udfør altid beregningen først, før den automatiske kvantitetsbestemmelse.</t>
  </si>
  <si>
    <t>Vennligst utfør alltid beregningen først før den automatiske mengdeberegningen.</t>
  </si>
  <si>
    <t>Molimo vas da uvijek prvo izvršite izračun prije automatskog određivanja količine.</t>
  </si>
  <si>
    <t>Traufenlänge</t>
  </si>
  <si>
    <t>eaves length</t>
  </si>
  <si>
    <t>longueur des avant-toits</t>
  </si>
  <si>
    <t>lunghezza del grondaia</t>
  </si>
  <si>
    <t>délka okapu</t>
  </si>
  <si>
    <t>długość okapu</t>
  </si>
  <si>
    <t>eresz hossza</t>
  </si>
  <si>
    <t>dĺžka strechy</t>
  </si>
  <si>
    <t>lengte van de dakrand</t>
  </si>
  <si>
    <t>dolžina strehe</t>
  </si>
  <si>
    <t>taklängd</t>
  </si>
  <si>
    <t>længde af tagudhæng</t>
  </si>
  <si>
    <t>lengde på takutspring</t>
  </si>
  <si>
    <t>dužina krovišta</t>
  </si>
  <si>
    <t>Dachfläche</t>
  </si>
  <si>
    <t>roof area</t>
  </si>
  <si>
    <t>surface de toit</t>
  </si>
  <si>
    <t>superficie del tetto</t>
  </si>
  <si>
    <t>střešní plocha</t>
  </si>
  <si>
    <t>powierzchnia dachu</t>
  </si>
  <si>
    <t>tetőfelület</t>
  </si>
  <si>
    <t>strešná plocha</t>
  </si>
  <si>
    <t>dakoppervlakte</t>
  </si>
  <si>
    <t>površina strehe</t>
  </si>
  <si>
    <t>takyta</t>
  </si>
  <si>
    <t>tagflade</t>
  </si>
  <si>
    <t>takflate</t>
  </si>
  <si>
    <t>površina krova</t>
  </si>
  <si>
    <t>Sparrenlänge</t>
  </si>
  <si>
    <t>rafter length</t>
  </si>
  <si>
    <t>longueur des chevrons</t>
  </si>
  <si>
    <t>Lunghezza della trave</t>
  </si>
  <si>
    <t>délka krokve</t>
  </si>
  <si>
    <t>Długość krokwi</t>
  </si>
  <si>
    <t>Szarufahosszúság</t>
  </si>
  <si>
    <t>Dĺžka krokvy</t>
  </si>
  <si>
    <t>Spantlengte</t>
  </si>
  <si>
    <t>Dolžina špirovca</t>
  </si>
  <si>
    <t>Längd på sparre</t>
  </si>
  <si>
    <t>Spærlængde</t>
  </si>
  <si>
    <t>Sperrelengde</t>
  </si>
  <si>
    <t>Duljina roženica</t>
  </si>
  <si>
    <t>Rundstange</t>
  </si>
  <si>
    <t>tube pare-neige</t>
  </si>
  <si>
    <t>Tubo fermaneve</t>
  </si>
  <si>
    <t>Tyč sněhové zábrany</t>
  </si>
  <si>
    <t>pręt okrągły</t>
  </si>
  <si>
    <t>hófogórúd</t>
  </si>
  <si>
    <t>rúrka zachytávača snehu</t>
  </si>
  <si>
    <t>ronde stang</t>
  </si>
  <si>
    <t>cev</t>
  </si>
  <si>
    <t>rundstång</t>
  </si>
  <si>
    <t>rundstang</t>
  </si>
  <si>
    <t>rund stang</t>
  </si>
  <si>
    <t>Okrugla šipka</t>
  </si>
  <si>
    <t>Formbeiwert µ1 laut EN 1991-1-3:2023</t>
  </si>
  <si>
    <t>form factor µ1 according to EN 1991-1-3:2023</t>
  </si>
  <si>
    <t>coefficient de forme µ1 selon la norme EN 1991-1-3:2023</t>
  </si>
  <si>
    <t>coefficiente di forma µ1 secondo la norma EN 1991-1-3:2016</t>
  </si>
  <si>
    <t>koeficient tvaru µ1 podle normy EN 1991-1-3:2023</t>
  </si>
  <si>
    <t>współczynnik formuły µ1 zgodnie z normą EN 1991-1-3:2023</t>
  </si>
  <si>
    <t>alaktényező µ1 a EN 1991-1-3:2023 szerint</t>
  </si>
  <si>
    <t>koeficient tvaru µ1 podľa normy EN 1991-1-3:2023</t>
  </si>
  <si>
    <t>vormfactor µ1 volgens EN 1991-1-3:2023</t>
  </si>
  <si>
    <t>faktor oblike µ1 v skladu z EN 1991-1-3:2023</t>
  </si>
  <si>
    <t>formfaktor µ1 enligt EN 1991-1-3:2023</t>
  </si>
  <si>
    <t>formfaktor µ1 ifølge EN 1991-1-3:2023</t>
  </si>
  <si>
    <t>formfaktor µ1 i henhold til EN 1991-1-3:2023</t>
  </si>
  <si>
    <t>oblikovni faktor µ1 prema normi EN 1991-1-3:2023</t>
  </si>
  <si>
    <t>Wandschindel</t>
  </si>
  <si>
    <t>FAÇADE SHINGLE</t>
  </si>
  <si>
    <t xml:space="preserve">Bardeaux </t>
  </si>
  <si>
    <t>Scandola a parete</t>
  </si>
  <si>
    <t>Wandschindelhaft</t>
  </si>
  <si>
    <t>façade shingle clip</t>
  </si>
  <si>
    <t>Patte pour Bardeaux</t>
  </si>
  <si>
    <t>Graffetta per scandola a parete</t>
  </si>
  <si>
    <t>Trapezblech</t>
  </si>
  <si>
    <t>trapezoidal sheet</t>
  </si>
  <si>
    <t>tôle trapézoïdale</t>
  </si>
  <si>
    <t>Lamiera trapezoidale</t>
  </si>
  <si>
    <t>trapézový plech</t>
  </si>
  <si>
    <t>blacha trapezowa</t>
  </si>
  <si>
    <t>trapézlemez</t>
  </si>
  <si>
    <t>trapeziumvormige plaat</t>
  </si>
  <si>
    <t>trapezna pločevina</t>
  </si>
  <si>
    <t>trapetsplåt</t>
  </si>
  <si>
    <t>trapezplade</t>
  </si>
  <si>
    <t>trapesplate</t>
  </si>
  <si>
    <t>trapezni lim</t>
  </si>
  <si>
    <t>Produkttechnik</t>
  </si>
  <si>
    <t>Product Engineering</t>
  </si>
  <si>
    <t>Ingénierie de produit</t>
  </si>
  <si>
    <t>Ingegneria del prodotto</t>
  </si>
  <si>
    <t>Technika výrobků</t>
  </si>
  <si>
    <t>Inżynieria produktu</t>
  </si>
  <si>
    <t>Terméktechnológia</t>
  </si>
  <si>
    <t>Výrobková technika</t>
  </si>
  <si>
    <t>Producttechniek</t>
  </si>
  <si>
    <t>Izdelkovna tehnika</t>
  </si>
  <si>
    <t>Produktteknik</t>
  </si>
  <si>
    <t>Produktteknikk</t>
  </si>
  <si>
    <t>Tehnologija proizvoda</t>
  </si>
  <si>
    <t>Solarhalter Sunny Spezial</t>
  </si>
  <si>
    <t>solar bracket Sunny Special</t>
  </si>
  <si>
    <t>support solaire Sunny Spécial</t>
  </si>
  <si>
    <t>Staffa per pannelli solari Sunny Speciale</t>
  </si>
  <si>
    <t>Solární držák Sunny Speciální</t>
  </si>
  <si>
    <t>Uchwyt do paneli fotowoltaicznych Sunny Specjalny</t>
  </si>
  <si>
    <t>Sunny napelemtartó Speciális</t>
  </si>
  <si>
    <t>solárny držiak Sunny Špeciálny</t>
  </si>
  <si>
    <t>Solarhouder Sunny Speciaal</t>
  </si>
  <si>
    <t>Držalo za solarni panel Sunny Posebno</t>
  </si>
  <si>
    <t>solhållare Sunny Special</t>
  </si>
  <si>
    <t>Solcelleholder Sunny Special</t>
  </si>
  <si>
    <t>Holder for solcellepanel Sunny Spesiell</t>
  </si>
  <si>
    <t>Solar držač Sunny Posebno</t>
  </si>
  <si>
    <t>Ab einer Schneeregellast von 3,25 kN/m² oder in den Geländekategorien 0, I oder II ist eine Verlegung auf Vollschalung laut nationalen Vorgaben mit Bitumentrennlage erforderlich.</t>
  </si>
  <si>
    <t>From a snow load of 3.25 kN/m² or in terrain categories 0, I, or II, installation on a full formwork according to national regulations with a bitumen separation layer is required.</t>
  </si>
  <si>
    <t>À partir d'une charge de neige de 3,25 kN/m² ou dans les catégories de terrain 0, I ou II, une installation sur un coffrage intégral selon les réglementations nationales avec une couche de séparation en bitume est requise.</t>
  </si>
  <si>
    <t>Při sněhové zátěži 3,25 kN/m² nebo v terénních kategoriích 0, I nebo II je podle národních předpisů vyžadována instalace na plném bednění s bitumenovou separační vrstvou.</t>
  </si>
  <si>
    <t>Od obciążenia śniegiem 3,25 kN/m² lub w kategoriach terenowych 0, I lub II, wymagana jest instalacja na pełnej deskowaniu zgodnie z krajowymi przepisami z warstwą separacyjną z bitumu.</t>
  </si>
  <si>
    <t>Havas terhelés esetén 3,25 kN/m², vagy 0, I vagy II terepkategóriában a nemzeti előírások szerint teljes zsaluzáson történő lerakás szükséges bitumenes szétválasztó réteggel.</t>
  </si>
  <si>
    <t>Pri snehovej záťaži 3,25 kN/m² alebo v terénnych kategóriách 0, I alebo II je podľa národných predpisov potrebná inštalácia na plnom debnení s bitúmenovou separačnou vrstvou.</t>
  </si>
  <si>
    <t>Vanaf een sneeuwlast van 3,25 kN/m² of in terreincategorieën 0, I of II, is installatie op volle bekisting volgens nationale voorschriften met een bitumenscheidinglaag vereist.</t>
  </si>
  <si>
    <t>Ob snežni obremenitvi 3,25 kN/m² ali v terenskih kategorijah 0, I ali II je potrebna instalacija na polni opaži v skladu z nacionalnimi predpisi z bitumensko ločilno plastjo.</t>
  </si>
  <si>
    <t>Från en snöbelastning på 3,25 kN/m² eller i terrängkategorierna 0, I eller II, krävs installation på full formning enligt nationella föreskrifter med ett bitumen separationsskikt.</t>
  </si>
  <si>
    <t>Fra en snebelastning på 3,25 kN/m² eller i terrænkategorierne 0, I eller II, er installation på fuld forskalling ifølge nationale forskrifter med et bitumen adskillelseslag nødvendigt.</t>
  </si>
  <si>
    <t>Fra en snøbelastning på 3,25 kN/m² eller i terrengkategoriene 0, I eller II, kreves installasjon på full forskaling i henhold til nasjonale forskrifter med et bitumen separasjonslag.</t>
  </si>
  <si>
    <t>Od snježnog opterećenja od 3,25 kN/m² ili u terenskim kategorijama 0, I ili II, potrebna je instalacija na punoj oplati prema nacionalnim propisima s bitumenskim odvojnim slojem.</t>
  </si>
  <si>
    <t>Verlegeschema P3 (8 Stk./m²)</t>
  </si>
  <si>
    <t>Installation diagram P3 (8  per m²)</t>
  </si>
  <si>
    <t>Schéma de pose P3 (8 arrêts de neige par m²)</t>
  </si>
  <si>
    <t>Schema di posa TE3 (8 pz./m²)</t>
  </si>
  <si>
    <t>Schemat montażowy P3 (8 szt./m²)</t>
  </si>
  <si>
    <t>fektetési séma P3 (8 db/m²)</t>
  </si>
  <si>
    <t>Installatieschema P3 (8 st./m²)</t>
  </si>
  <si>
    <t>Läggningsschema P3 (8 st/m²)</t>
  </si>
  <si>
    <t>Læggediagram P3 (8 stk./m²)</t>
  </si>
  <si>
    <t>Legge skjema P3 (8 stk./m²)</t>
  </si>
  <si>
    <t>Shema postavljanja P3 (8 kom./m²)</t>
  </si>
  <si>
    <t>Unterdeckung</t>
  </si>
  <si>
    <t>separating layer</t>
  </si>
  <si>
    <t>Membrana</t>
  </si>
  <si>
    <t>membrana jako warstwa rozdzielająca</t>
  </si>
  <si>
    <t>scheidingslaag</t>
  </si>
  <si>
    <t>ločilna plast</t>
  </si>
  <si>
    <t>skillelag</t>
  </si>
  <si>
    <t>razdjelni sloj</t>
  </si>
  <si>
    <t>Kreuzverbinder</t>
  </si>
  <si>
    <t>cross connector</t>
  </si>
  <si>
    <t>connecteur croisé</t>
  </si>
  <si>
    <t>connettore a croce</t>
  </si>
  <si>
    <t>křížový konektor</t>
  </si>
  <si>
    <t>łącznik krzyżowy</t>
  </si>
  <si>
    <t>kereszt csatlakozó</t>
  </si>
  <si>
    <t>krížový konektor</t>
  </si>
  <si>
    <t>kruisconnector</t>
  </si>
  <si>
    <t>križni konektor</t>
  </si>
  <si>
    <t>korskontakt</t>
  </si>
  <si>
    <t>krydsforbinder</t>
  </si>
  <si>
    <t>krysskobling</t>
  </si>
  <si>
    <t>Roof window flashing with an insert wedge on a roof pitch over 25°.</t>
  </si>
  <si>
    <t>Fenêtre de toit avec coyau pour pentes de toit supérieures à 25° Utilisation dans les régions à fort enneigement.</t>
  </si>
  <si>
    <t>gesamt 470</t>
  </si>
  <si>
    <t>total 470*</t>
  </si>
  <si>
    <t>totale 470*</t>
  </si>
  <si>
    <t>celkem 470*</t>
  </si>
  <si>
    <t>łącznie 470*</t>
  </si>
  <si>
    <t>összesen 470*</t>
  </si>
  <si>
    <t>spolu 470*</t>
  </si>
  <si>
    <t>totaal 470*</t>
  </si>
  <si>
    <t>skupaj 470*</t>
  </si>
  <si>
    <t>totalt 470*</t>
  </si>
  <si>
    <t>i alt 470*</t>
  </si>
  <si>
    <t>ukupno 470*</t>
  </si>
  <si>
    <t>Vollschalung lt. nationalen Vorgaben</t>
  </si>
  <si>
    <t>full formwork according to national guidelines</t>
  </si>
  <si>
    <t>Voligeage selon spécifications nationales</t>
  </si>
  <si>
    <t>Tavolato pieno secondo le normative nazionali</t>
  </si>
  <si>
    <t>podle národních předpisů vyžadována instalace</t>
  </si>
  <si>
    <t>Spannstück</t>
  </si>
  <si>
    <t>Clamping element</t>
  </si>
  <si>
    <t>Pièce de serrage</t>
  </si>
  <si>
    <t>Elemento di bloccaggio</t>
  </si>
  <si>
    <t>Napínák</t>
  </si>
  <si>
    <t>Element dociskowy</t>
  </si>
  <si>
    <t>Feszítőelem</t>
  </si>
  <si>
    <t>Upevňovacia zarážka</t>
  </si>
  <si>
    <t>Fixeerstuk</t>
  </si>
  <si>
    <t>Vpenjalni</t>
  </si>
  <si>
    <t>Spännstycke</t>
  </si>
  <si>
    <t>Spændestykke</t>
  </si>
  <si>
    <t>KLEMSTYKKE SIDE</t>
  </si>
  <si>
    <t>Zatezni element</t>
  </si>
  <si>
    <t>6-Kantschraube</t>
  </si>
  <si>
    <t>hex-cap screw</t>
  </si>
  <si>
    <t>Serrage à vis six pans</t>
  </si>
  <si>
    <t>vite a testa esagonale</t>
  </si>
  <si>
    <t>šestihranným šroubem</t>
  </si>
  <si>
    <t>śrubą z łbem 6-kątnym</t>
  </si>
  <si>
    <t>6-lapfejű csavarral</t>
  </si>
  <si>
    <t>6-hrannou skrutkou</t>
  </si>
  <si>
    <t>zeskantschroef</t>
  </si>
  <si>
    <t>6-robim vijakom</t>
  </si>
  <si>
    <t>sexkantsskruv</t>
  </si>
  <si>
    <t>6-kantskrue</t>
  </si>
  <si>
    <t>šesterokutnim vijkom</t>
  </si>
  <si>
    <t>Sterngriff</t>
  </si>
  <si>
    <t>star grip screw</t>
  </si>
  <si>
    <t>Serrage à poignée étoile</t>
  </si>
  <si>
    <t>manopola a stella</t>
  </si>
  <si>
    <t>hvězdicovým kolečkem</t>
  </si>
  <si>
    <t>uchwytem gwiazdkowym</t>
  </si>
  <si>
    <t>csillagmarkolattal</t>
  </si>
  <si>
    <t>hviezdicovým úchopom</t>
  </si>
  <si>
    <t>met sterknop</t>
  </si>
  <si>
    <t>zvezdastim gumbom</t>
  </si>
  <si>
    <t>stjärngrepp</t>
  </si>
  <si>
    <t>stjerneformet greb</t>
  </si>
  <si>
    <t>stjernegrep</t>
  </si>
  <si>
    <t>zvjezdastom ručkom</t>
  </si>
  <si>
    <t>Lagerung</t>
  </si>
  <si>
    <t>storing</t>
  </si>
  <si>
    <t>Stockage</t>
  </si>
  <si>
    <t>Stoccaggio</t>
  </si>
  <si>
    <t>(erforderlich bei dauerhaftem Aufbau)</t>
  </si>
  <si>
    <t>required for permanent installation</t>
  </si>
  <si>
    <t>(nécessaire en cas de montage permanent)</t>
  </si>
  <si>
    <t>(necessario per l'installazione permanente)</t>
  </si>
  <si>
    <t>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t>
  </si>
  <si>
    <t>Le support du système doit être plat afin de garantir une adaptation optimale du joint de sol. En outre, dans le cas des pavés, il faut veiller à ce que les fondations et la fixation soient adéquates afin d'éviter un affaissemement. Avant de monter le système de batardeaux anti-crue PREFA, il faut d'abord déterminer si l'ouvrage est adapté au montage d'un point de vue statique.</t>
  </si>
  <si>
    <t>Il pavimento deve essere planare per garantire una adesione ottimale della guarnizione. Nel caso di pavimentazioni in pietra, è necessario prestare attenzione anche alle fondazioni e al fissaggio, per evitare infiltrazioni. Prima di installare il sistema antiallagamento PREFA, è necessario chiarire se la struttura è staticamente adeguata a questo tipo di installaizone.</t>
  </si>
  <si>
    <t>Alle PREFA Hochwasserschutzprodukte sind bei unseren PREFA Partnern erhältlich.</t>
  </si>
  <si>
    <t>All PREFA flood protection products are available from our PREFA partners.</t>
  </si>
  <si>
    <t>Tous les produits de protection contre les inondations PREFA sont disponibles auprès des partenaires PREFA</t>
  </si>
  <si>
    <t>Tutti i prodotti del sistema antiallagamento PREFA sono disponibili presso i nostri partner PREFA</t>
  </si>
  <si>
    <t>Veuillez adresser vos demandes à : philippe.mamie@prefa.com</t>
  </si>
  <si>
    <t>Inviare le richieste a: ufficiotecnico@prefa.com</t>
  </si>
  <si>
    <t>Anfragen bitte an: hochwasserschutz@prefa.com</t>
  </si>
  <si>
    <t>zusätzlicher Randabstand</t>
  </si>
  <si>
    <t>Marge supplémentaire</t>
  </si>
  <si>
    <t>Distanza supplementare dal bordo</t>
  </si>
  <si>
    <t>NOTIZEN:</t>
  </si>
  <si>
    <t>NOTES:</t>
  </si>
  <si>
    <t>Notes:</t>
  </si>
  <si>
    <t>NOTE:</t>
  </si>
  <si>
    <t>MwSt.</t>
  </si>
  <si>
    <t>VAT</t>
  </si>
  <si>
    <t>T.V.A.</t>
  </si>
  <si>
    <t>I.V.A.</t>
  </si>
  <si>
    <t>káď</t>
  </si>
  <si>
    <t>faktura VAT</t>
  </si>
  <si>
    <t>áfa</t>
  </si>
  <si>
    <t>DPH</t>
  </si>
  <si>
    <t>DDV</t>
  </si>
  <si>
    <t>MOMS</t>
  </si>
  <si>
    <t>moms</t>
  </si>
  <si>
    <t>mva</t>
  </si>
  <si>
    <t>PDV</t>
  </si>
  <si>
    <t>Beschichtungsteile</t>
  </si>
  <si>
    <t>Pièces thermolaquées</t>
  </si>
  <si>
    <t>Elementi da verniciare</t>
  </si>
  <si>
    <t>Sonderanfertigung</t>
  </si>
  <si>
    <t>Custom Fabrication</t>
  </si>
  <si>
    <t>Fabrication spéciale</t>
  </si>
  <si>
    <t>Progettazione personalizzata</t>
  </si>
  <si>
    <t>Systemwahl</t>
  </si>
  <si>
    <t>System Choice</t>
  </si>
  <si>
    <t>Choix du système</t>
  </si>
  <si>
    <t>Scelta del sistema</t>
  </si>
  <si>
    <t>Niederhalter Dammbalken</t>
  </si>
  <si>
    <t>retainer for barrier panel</t>
  </si>
  <si>
    <t>Poteau intermédiaire de renfort pour les batardeaux</t>
  </si>
  <si>
    <t>paletto di rinforzo sponde</t>
  </si>
  <si>
    <t>Podpěrné táhlo hrázních bloků</t>
  </si>
  <si>
    <t>Element trzymający belki</t>
  </si>
  <si>
    <t>Gátgerenda leszorítóelem</t>
  </si>
  <si>
    <t>Kotviace zariadenie na hradidlo</t>
  </si>
  <si>
    <t>Neerhouder dambalk</t>
  </si>
  <si>
    <t>Držalo za zajezitveno lamelo</t>
  </si>
  <si>
    <t>NEDHÅLLARE DÄMMBALK</t>
  </si>
  <si>
    <t>MELLEM SPÆNDESTYKKE dæmningsbjælker</t>
  </si>
  <si>
    <t>KLEMSTYKKE MIDT FLOMSIKRINGSELEMENT</t>
  </si>
  <si>
    <t>Zatezni držač daske brane</t>
  </si>
  <si>
    <t>Stückliste</t>
  </si>
  <si>
    <t>Parts List</t>
  </si>
  <si>
    <t>Liste des pièces</t>
  </si>
  <si>
    <t>Distinta pezzi</t>
  </si>
  <si>
    <t>Bodenhülse (GROSS) 50 Vario und 80 beschichtet inkl. Aluminiumdeckel und Dichtung</t>
  </si>
  <si>
    <t>Douille de sol 50/80 Vario ; aluminium prélaqué, fourni avec couvercle et joint</t>
  </si>
  <si>
    <t>Piantone 50/80 Vario alluminio verniciato, compreso coperchio con guarnizione</t>
  </si>
  <si>
    <t>Markhylsa 50/80 Vario aluminium, ytbehandlad, inkl. lock med tätning</t>
  </si>
  <si>
    <t>Bodenhülse (GROSS) 50 Vario und 80 beschichtet inkl. Edelstahldeckel und Dichtung</t>
  </si>
  <si>
    <t>Douille de sol 50/80 Vario ; acier inoxydable prélaqué, fourni avec couvercle et joint</t>
  </si>
  <si>
    <t>Piantone 50/80 Vario acciaio inox verniciato, compreso coperchio con guarnizione</t>
  </si>
  <si>
    <t>Markhylsa 50/80 Vario rostfritt stål, ytbehandlad, inkl. lock med tätning</t>
  </si>
  <si>
    <t>Grundprofil 25 (H-Profil v.d.L.) exkl. Dichtung, gebohrt und entgratet</t>
  </si>
  <si>
    <t>Base profile 25 (H profile in front of soffit) excl. seal, drilled and deburred</t>
  </si>
  <si>
    <t>Profil en applique 25 (profil en h monté en applique), fourni sans joint, percé et ébavuré</t>
  </si>
  <si>
    <t>Montante per parete 25 (profilo ad H dav. apert.) esclusa guarnizione, forato e sbavato</t>
  </si>
  <si>
    <t>Základní profil 25 (h-Profil před ostění), bez těsnění, vrtaný, bez otřepů</t>
  </si>
  <si>
    <t>Profil podstawowy 25 (profil H v. d. L. ) bez uszczelnienia, nawiercony i okrawany</t>
  </si>
  <si>
    <t>H-profil 25, tömítés nélkül, furatolva és sorjázva</t>
  </si>
  <si>
    <t>Základný profil 25 (H-profil pred ostením) bez tesnenia, navŕtaný a odhrotovaný</t>
  </si>
  <si>
    <t>Basisprofiel 25 (H-profiel op de dag) excl. afdichting, geboord en afgebraamd</t>
  </si>
  <si>
    <t>Osnovni profil 25 (H-profil pred špaleto) brez tesnila, z izvrtinami in posnetimi robovi</t>
  </si>
  <si>
    <t>Grundprofil 25 (H-profil framför öppning) exkl. tätning, borrad och avgradad</t>
  </si>
  <si>
    <t>Grundprofil 25 (H-profil foran pladeunderside) ekskl. tætning, forboret og afgratet</t>
  </si>
  <si>
    <t>Grunnprofil 25 (H-profil f.å.) ekskl. tetning, boret og avgradet</t>
  </si>
  <si>
    <t>Osnovni profil 25 (H profil ispred otvora) bez brtve, bušen i s obrađenim rubovima</t>
  </si>
  <si>
    <t>Grundprofil 25 (H-Profil v.d.L.) Sonderlänge exkl. Dichtung, (Stangenware)</t>
  </si>
  <si>
    <t>Base profile 25 (H profile in front of soffit) Special length excl. seal, drilled and deburred</t>
  </si>
  <si>
    <t>Profil en applique 25 (profil en h monté en applique), longueur personnalisée, fourni sans joint, percé et ébavuré</t>
  </si>
  <si>
    <t>Montante per parete 25 (profilo ad H dav. apert.) lunghezza fuori standard esclusa guarnizione, forato e sbavato</t>
  </si>
  <si>
    <t>Základní profil 25 (h-Profil před ostění), zvláštní délka, bez těsnění, vrtaný, bez otřepů</t>
  </si>
  <si>
    <t>Profil podstawowy 25 (profil H v. d. L. ), długość specjalna bez uszczelnienia, nawiercony i okrawany</t>
  </si>
  <si>
    <t>H-profil 25, egyedi hosszméret, tömítés nélkül, furatolva és sorjázva</t>
  </si>
  <si>
    <t>Základný profil 25 (H-profil pred ostením), neštandardná dĺžka, bez tesnenia, navŕtaný a odhrotovaný</t>
  </si>
  <si>
    <t>Basisprofiel 25 (H-profiel op de dag) Aangepaste lengte excl. afdichting, geboord en afgebraamd</t>
  </si>
  <si>
    <t>Osnovni profil 25 (H-profil pred špaleto) Posebna dolžina brez tesnila, z izvrtinami in posnetimi robovi</t>
  </si>
  <si>
    <t>Grundprofil 25 (H-Profil framför öppning) Speciallängd exkl. tätning, borrad och avgradad</t>
  </si>
  <si>
    <t>Grundprofil 25 (H-profil foran pladeunderside) Speciallængde ekskl. tætning, forboret og afgratet</t>
  </si>
  <si>
    <t>Grunnprofil25 (H-profil f.å.) Spesiallengde ekskl. tetning, boret og avgradet</t>
  </si>
  <si>
    <t>Osnovni profil 25 (H profil ispred otvora) posebna duljina bez brtve, bušen i s obrađenim rubovima</t>
  </si>
  <si>
    <t>Hebehilfe für Bodenhülsendeckel</t>
  </si>
  <si>
    <t>Levier</t>
  </si>
  <si>
    <t>Leva per coperchio piantone</t>
  </si>
  <si>
    <t>Emelőkar</t>
  </si>
  <si>
    <t>Pripomoček za dviganje</t>
  </si>
  <si>
    <t>Lagerabdeckung (Mittelteil)</t>
  </si>
  <si>
    <t>storage casing (central part)</t>
  </si>
  <si>
    <t>Cage de protection (pc du milieu)</t>
  </si>
  <si>
    <t>storage casing (side part)</t>
  </si>
  <si>
    <t>Cage de protection (pc de côté)</t>
  </si>
  <si>
    <t>Rundprofil 50-Vario 15° exkl. Dichtung, gebohrt und entgratet</t>
  </si>
  <si>
    <t>Round profile 50 Vario 15° excl. seal, drilled and deburred</t>
  </si>
  <si>
    <t>Profil rond 50 (Vario 15°), fourni sans joint, percé et ébavuré</t>
  </si>
  <si>
    <t>Profilo circolare 50-Vario 15°, esclusa guarnizione, forato e sbavato</t>
  </si>
  <si>
    <t>Kruhový profil 50-Vario 15°, bez těsnění, vrtaný, bez otřepů</t>
  </si>
  <si>
    <t>Profil okrągły 50 Vario 15° bez uszczelki, nawiercony i okrawany</t>
  </si>
  <si>
    <t>Körprofil 50-Vario 15° tömítés nélkül, furatolva és sorjázva</t>
  </si>
  <si>
    <t>Kruhový profil 50 – Vario 15° bez tesnenia, navŕtaný a odhrotovaný</t>
  </si>
  <si>
    <t>Rondprofiel 50-Vario 15° excl. afdichting, geboord en afgebraamd</t>
  </si>
  <si>
    <t>Okrogli profil 50-Vario 15°, brez tesnila, z izvrtinami in posnetimi robovi</t>
  </si>
  <si>
    <t>Rundprofil 50-Vario 15° exkl. tätning, borrad och avgradad</t>
  </si>
  <si>
    <t>Rund profil 50-Vario 15° ekskl. tætning, forboret og afgratet</t>
  </si>
  <si>
    <t>Rundprofil 50-Vario 15° ekskl. tetning, boret og avgradet</t>
  </si>
  <si>
    <t>Okrugli profil 50-Vario 15° bez brtve, bušen i s obrađenim rubovima</t>
  </si>
  <si>
    <t>Rundprofil 50-Vario 15° Sonderlänge exkl. Dichtung, (Stangenware)</t>
  </si>
  <si>
    <t>Round profile 50 Vario 15° special length excl. seal, drilled and deburred</t>
  </si>
  <si>
    <t>Profil rond 50 (Vario 15°), longueur personnalisée, fourni sans joint, percé et ébavuré</t>
  </si>
  <si>
    <t>Profilo circolare 50-Vario 15° lunghezza fuori standard, esclusa guarnizione, forato e sbavato</t>
  </si>
  <si>
    <t>Kruhový profil 50-Vario 15°, zvláštní délka, bez těsnění,vrtaný, bez otřepů</t>
  </si>
  <si>
    <t>Profil okrągły 50-Vario 15°, długość specjalna bez uszczelki, nawiercony i okrawany</t>
  </si>
  <si>
    <t>Körprofil 50-Vario 15° tömítés nélkül, egyedi hosszméret, furatolva és sorjázva</t>
  </si>
  <si>
    <t>Kruhový profil 50 – Vario 15°, neštandardná dĺžka, bez tesnenia, navŕtaný a odhrotovaný</t>
  </si>
  <si>
    <t>Rondprofiel 50-Vario 15° aangepaste lengte excl. afdichting, geboord en afgebraamd</t>
  </si>
  <si>
    <t>Okrogli profil 50-Vario 15°, posebna dolžina, brez tesnila, z izvrtinami in posnetimi robovi</t>
  </si>
  <si>
    <t>Rundprofil 50-Vario 15° speciallängd exkl. tätning, borrad och avgradad</t>
  </si>
  <si>
    <t>Rund profil 50-Vario 15° speciallængde ekskl. tætning, forboret og afgratet</t>
  </si>
  <si>
    <t>Rundprofil 50-Vario 15° spesiallengde ekskl. tetning, boret og avgradet</t>
  </si>
  <si>
    <t>Okrugli profil 50-Vario 15° posebna duljina bez brtve, bušen i s obrađenim rubovima</t>
  </si>
  <si>
    <t>Rundprofil 50-Vario 30° exkl. Dichtung, gebohrt und entgratet</t>
  </si>
  <si>
    <t>Round profile 50 Vario 30° excl. seal, drilled and deburred</t>
  </si>
  <si>
    <t>Profil rond 50 (Vario 30°), fourni sans joint, percé et ébavuré</t>
  </si>
  <si>
    <t>Profilo circolare 50-Vario 30°, esclusa guarnizione, forato e sbavato</t>
  </si>
  <si>
    <t>Kruhový profil 50-Vario 30°, bez těsnění, vrtaný, bez otřepů</t>
  </si>
  <si>
    <t>Profil okrągły 50 Vario 30° bez uszczelki, nawiercony i okrawany</t>
  </si>
  <si>
    <t>Körprofil 50-Vario 30° tömítés nélkül, furatolva és sorjázva</t>
  </si>
  <si>
    <t>Kruhový profil 50 – Vario 30° bez tesnenia, navŕtaný a odhrotovaný</t>
  </si>
  <si>
    <t>Rondprofiel 50-Vario 30° excl. afdichting, geboord en afgebraamd</t>
  </si>
  <si>
    <t>Okrogli profil 50-Vario 30°, brez tesnila, z izvrtinami in posnetimi robovi</t>
  </si>
  <si>
    <t>Rundprofil 50-Vario 30° exkl. tätning, borrad och avgradad</t>
  </si>
  <si>
    <t>Rund profil 50-Vario 30° ekskl. tætning, forboret og afgratet</t>
  </si>
  <si>
    <t>Rundprofil 50-Vario 30° ekskl. tetning, boret og avgradet</t>
  </si>
  <si>
    <t>Okrugli profil 50-Vario 30° bez brtve, bušen i s obrađenim rubovima</t>
  </si>
  <si>
    <t>Rundprofil 50-Vario 30° Sonderlänge exkl. Dichtung, (Stangenware)</t>
  </si>
  <si>
    <t>Round profile 50 Vario 30° special length excl. seal, drilled and deburred</t>
  </si>
  <si>
    <t>Profil rond 50 (Vario 30°), longueur personnalisée, fourni sans joint, percé et ébavuré</t>
  </si>
  <si>
    <t>Profilo circolare 50-Vario 30° lunghezza fuori standard, esclusa guarnizione, forato e sbavato</t>
  </si>
  <si>
    <t>Kruhový profil 50-Vario 30°, zvláštní délka, bez těsnění,vrtaný, bez otřepů</t>
  </si>
  <si>
    <t>Profil okrągły 50-Vario 30°, długość specjalna bez uszczelki, nawiercony i okrawany</t>
  </si>
  <si>
    <t>Körprofil 50-Vario 30° tömítés nélkül, egyedi hosszméret, furatolva és sorjázva</t>
  </si>
  <si>
    <t>Kruhový profil 50 – Vario 30°, neštandardná dĺžka, bez tesnenia, navŕtaný a odhrotovaný</t>
  </si>
  <si>
    <t>Rondprofiel 50-Vario 30° aangepaste lengte excl. afdichting, geboord en afgebraamd</t>
  </si>
  <si>
    <t>Okrogli profil 50-Vario 30°, posebna dolžina, brez tesnila, z izvrtinami in posnetimi robovi</t>
  </si>
  <si>
    <t>Rundprofil 50-Vario 30° speciallängd exkl. tätning, borrad och avgradad</t>
  </si>
  <si>
    <t>Rund profil 50-Vario 30° speciallængde ekskl. tætning, forboret og afgratet</t>
  </si>
  <si>
    <t>Rundprofil 50-Vario 30° spesiallengde ekskl. tetning, boret og avgradet</t>
  </si>
  <si>
    <t>Okrugli profil 50-Vario 30° posebna duljina bez brtve, bušen i s obrađenim rubovima</t>
  </si>
  <si>
    <t>Rundprofil 50-Vario 45° exkl. Dichtung, gebohrt und entgratet</t>
  </si>
  <si>
    <t>Round profile 50 Vario 45° excl. seal, drilled and deburred</t>
  </si>
  <si>
    <t>Profil rond 50 (Vario 45°), fourni sans joint, percé et ébavuré</t>
  </si>
  <si>
    <t>Profilo circolare 50-Vario 45°, esclusa guarnizione, forato e sbavato</t>
  </si>
  <si>
    <t>Kruhový profil 50-Vario 45°, bez těsnění, vrtaný, bez otřepů</t>
  </si>
  <si>
    <t>Profil okrągły 50 Vario 45° bez uszczelki, nawiercony i okrawany</t>
  </si>
  <si>
    <t>Körprofil 50-Vario 45° tömítés nélkül, furatolva és sorjázva</t>
  </si>
  <si>
    <t>Kruhový profil 50 – Vario 45° bez tesnenia, navŕtaný a odhrotovaný</t>
  </si>
  <si>
    <t>Rondprofiel 50-Vario 45° excl. afdichting, geboord en afgebraamd</t>
  </si>
  <si>
    <t>Okrogli profil 50-Vario 45°, brez tesnila, z izvrtinami in posnetimi robovi</t>
  </si>
  <si>
    <t>Rundprofil 50-Vario 45° exkl. tätning, borrad och avgradad</t>
  </si>
  <si>
    <t>Rund profil 50-Vario 45° ekskl. tætning, forboret og afgratet</t>
  </si>
  <si>
    <t>Rundprofil 50-Vario 45° ekskl. tetning, boret og avgradet</t>
  </si>
  <si>
    <t>Okrugli profil 50-Vario 45° bez brtve, bušen i s obrađenim rubovima</t>
  </si>
  <si>
    <t>Rundprofil 50-Vario 45° Sonderlänge exkl. Dichtung, (Stangenware)</t>
  </si>
  <si>
    <t>Round profile 50 Vario 45° special length excl. seal, drilled and deburred</t>
  </si>
  <si>
    <t>Profil rond 50 (Vario 45°), longueur personnalisée, fourni sans joint, percé et ébavuré</t>
  </si>
  <si>
    <t>Profilo circolare 50-Vario 45° lunghezza fuori standard, esclusa guarnizione, forato e sbavato</t>
  </si>
  <si>
    <t>Kruhový profil 50-Vario 45°, zvláštní délka, bez těsnění,vrtaný, bez otřepů</t>
  </si>
  <si>
    <t>Profil okrągły 50-Vario 45°, długość specjalna bez uszczelki, nawiercony i okrawany</t>
  </si>
  <si>
    <t>Körprofil 50-Vario 45° tömítés nélkül, egyedi hosszméret, furatolva és sorjázva</t>
  </si>
  <si>
    <t>Kruhový profil 50 – Vario 45°, neštandardná dĺžka, bez tesnenia, navŕtaný a odhrotovaný</t>
  </si>
  <si>
    <t>Rondprofiel 50-Vario 45° aangepaste lengte excl. afdichting, geboord en afgebraamd</t>
  </si>
  <si>
    <t>Okrogli profil 50-Vario 45°, posebna dolžina, brez tesnila, z izvrtinami in posnetimi robovi</t>
  </si>
  <si>
    <t>Rundprofil 50-Vario 45° speciallängd exkl. tätning, borrad och avgradad</t>
  </si>
  <si>
    <t>Rund profil 50-Vario 45° speciallængde ekskl. tætning, forboret og afgratet</t>
  </si>
  <si>
    <t>Rundprofil 50-Vario 45° spesiallengde ekskl. tetning, boret og avgradet</t>
  </si>
  <si>
    <t>Okrugli profil 50-Vario 45° posebna duljina bez brtve, bušen i s obrađenim rubovima</t>
  </si>
  <si>
    <t>Rundprofil 50-Vario 60° exkl. Dichtung, gebohrt und entgratet</t>
  </si>
  <si>
    <t>Round profile 50 Vario 60° excl. seal, drilled and deburred</t>
  </si>
  <si>
    <t>Profil rond 50 (Vario 60°), fourni sans joint, percé et ébavuré</t>
  </si>
  <si>
    <t>Profilo circolare 50-Vario 60°, esclusa guarnizione, forato e sbavato</t>
  </si>
  <si>
    <t>Kruhový profil 50-Vario 60°, bez těsnění, vrtaný, bez otřepů</t>
  </si>
  <si>
    <t>Profil okrągły 50 Vario 60° bez uszczelki, nawiercony i okrawany</t>
  </si>
  <si>
    <t>Körprofil 50-Vario 60° tömítés nélkül, furatolva és sorjázva</t>
  </si>
  <si>
    <t>Kruhový profil 50 – Vario 60° bez tesnenia, navŕtaný a odhrotovaný</t>
  </si>
  <si>
    <t>Rondprofiel 50-Vario 60° excl. afdichting, geboord en afgebraamd</t>
  </si>
  <si>
    <t>Okrogli profil 50-Vario 60°, brez tesnila, z izvrtinami in posnetimi robovi</t>
  </si>
  <si>
    <t>Rundprofil 50-Vario 60° exkl. tätning, borrad och avgradad</t>
  </si>
  <si>
    <t>Rund profil 50-Vario 60° ekskl. tætning, forboret og afgratet</t>
  </si>
  <si>
    <t>Rundprofil 50-Vario 60° ekskl. tetning, boret og avgradet</t>
  </si>
  <si>
    <t>Okrugli profil 50-Vario 60° bez brtve, bušen i s obrađenim rubovima</t>
  </si>
  <si>
    <t>Rundprofil 50-Vario 60° Sonderlänge exkl. Dichtung, (Stangenware)</t>
  </si>
  <si>
    <t>Round profile 50 Vario 60° special length excl. seal, drilled and deburred</t>
  </si>
  <si>
    <t>Profil rond 50 (Vario 60°), longueur personnalisée, fourni sans joint, percé et ébavuré</t>
  </si>
  <si>
    <t>Profilo circolare 50-Vario 60° lunghezza fuori standard, esclusa guarnizione, forato e sbavato</t>
  </si>
  <si>
    <t>Kruhový profil 50-Vario 60°, zvláštní délka, bez těsnění,vrtaný, bez otřepů</t>
  </si>
  <si>
    <t>Profil okrągły 50-Vario 60°, długość specjalna bez uszczelki, nawiercony i okrawany</t>
  </si>
  <si>
    <t>Körprofil 50-Vario 60° tömítés nélkül, egyedi hosszméret, furatolva és sorjázva</t>
  </si>
  <si>
    <t>Kruhový profil 50 – Vario 60°, neštandardná dĺžka, bez tesnenia, navŕtaný a odhrotovaný</t>
  </si>
  <si>
    <t>Rondprofiel 50-Vario 60° aangepaste lengte excl. afdichting, geboord en afgebraamd</t>
  </si>
  <si>
    <t>Okrogli profil 50-Vario 60°, posebna dolžina, brez tesnila, z izvrtinami in posnetimi robovi</t>
  </si>
  <si>
    <t>Rundprofil 50-Vario 60° speciallängd exkl. tätning, borrad och avgradad</t>
  </si>
  <si>
    <t>Rund profil 50-Vario 60° speciallængde ekskl. tætning, forboret og afgratet</t>
  </si>
  <si>
    <t>Rundprofil 50-Vario 60° spesiallengde ekskl. tetning, boret og avgradet</t>
  </si>
  <si>
    <t>Okrugli profil 50-Vario 60° posebna duljina bez brtve, bušen i s obrađenim rubovima</t>
  </si>
  <si>
    <t>Rundprofil 50-Vario 75° exkl. Dichtung, gebohrt und entgratet</t>
  </si>
  <si>
    <t>Round profile 50 Vario 75° excl. seal, drilled and deburred</t>
  </si>
  <si>
    <t>Profil rond 50 (Vario 75°), fourni sans joint, percé et ébavuré</t>
  </si>
  <si>
    <t>Profilo circolare 50-Vario 75°, esclusa guarnizione, forato e sbavato</t>
  </si>
  <si>
    <t>Kruhový profil 50-Vario 75°, bez těsnění, vrtaný, bez otřepů</t>
  </si>
  <si>
    <t>Profil okrągły 50 Vario 75° bez uszczelki, nawiercony i okrawany</t>
  </si>
  <si>
    <t>Körprofil 50-Vario 75° tömítés nélkül, furatolva és sorjázva</t>
  </si>
  <si>
    <t>Kruhový profil 50 – Vario 75° bez tesnenia, navŕtaný a odhrotovaný</t>
  </si>
  <si>
    <t>Rondprofiel 50-Vario 75° excl. afdichting, geboord en afgebraamd</t>
  </si>
  <si>
    <t>Okrogli profil 50-Vario 75°, brez tesnila, z izvrtinami in posnetimi robovi</t>
  </si>
  <si>
    <t>Rundprofil 50-Vario 75° exkl. tätning, borrad och avgradad</t>
  </si>
  <si>
    <t>Rund profil 50-Vario 75° ekskl. tætning, forboret og afgratet</t>
  </si>
  <si>
    <t>Rundprofil 50-Vario 75° ekskl. tetning, boret og avgradet</t>
  </si>
  <si>
    <t>Okrugli profil 50-Vario 75° bez brtve, bušen i s obrađenim rubovima</t>
  </si>
  <si>
    <t>Rundprofil 50-Vario 75° Sonderlänge exkl. Dichtung, (Stangenware)</t>
  </si>
  <si>
    <t>Round profile 50 Vario 75° special length excl. seal, drilled and deburred</t>
  </si>
  <si>
    <t>Profil rond 50 (Vario 75°), longueur personnalisée, fourni sans joint, percé et ébavuré</t>
  </si>
  <si>
    <t>Profilo circolare 50-Vario 75° lunghezza fuori standard, esclusa guarnizione, forato e sbavato</t>
  </si>
  <si>
    <t>Kruhový profil 50-Vario 75°, zvláštní délka, bez těsnění,vrtaný, bez otřepů</t>
  </si>
  <si>
    <t>Profil okrągły 50-Vario 75°, długość specjalna bez uszczelki, nawiercony i okrawany</t>
  </si>
  <si>
    <t>Körprofil 50-Vario 75° tömítés nélkül, egyedi hosszméret, furatolva és sorjázva</t>
  </si>
  <si>
    <t>Kruhový profil 50 – Vario 75°, neštandardná dĺžka, bez tesnenia, navŕtaný a odhrotovaný</t>
  </si>
  <si>
    <t>Rondprofiel 50-Vario 75° aangepaste lengte excl. afdichting, geboord en afgebraamd</t>
  </si>
  <si>
    <t>Okrogli profil 50-Vario 75°, posebna dolžina, brez tesnila, z izvrtinami in posnetimi robovi</t>
  </si>
  <si>
    <t>Rundprofil 50-Vario 75° speciallängd exkl. tätning, borrad och avgradad</t>
  </si>
  <si>
    <t>Rund profil 50-Vario 75° speciallængde ekskl. tætning, forboret og afgratet</t>
  </si>
  <si>
    <t>Rundprofil 50-Vario 75° spesiallengde ekskl. tetning, boret og avgradet</t>
  </si>
  <si>
    <t>Okrugli profil 50-Vario 75° posebna duljina bez brtve, bušen i s obrađenim rubovima</t>
  </si>
  <si>
    <t>Rundprofil 80-Vario 15° exkl. Dichtung, gebohrt und entgratet</t>
  </si>
  <si>
    <t>Profilo circolare 80-Vario 15°, esclusa guarnizione, forato e sbavato</t>
  </si>
  <si>
    <t>Kruhový profil 80-Vario 15°, bez těsnění, vrtaný, bez otřepů</t>
  </si>
  <si>
    <t>Körprofil 80-Vario 15° tömítés nélkül, furatolva és sorjázva</t>
  </si>
  <si>
    <t>Rondprofiel 80-Vario 15° excl. afdichting, geboord en afgebraamd</t>
  </si>
  <si>
    <t>Okrogli profil 80-Vario 15°, brez tesnila, z izvrtinami in posnetimi robovi</t>
  </si>
  <si>
    <t>Rundprofil 80-Vario 15° exkl. tätning, borrad och avgradad</t>
  </si>
  <si>
    <t>Rund profil 80-Vario 15° ekskl. tætning, forboret og afgratet</t>
  </si>
  <si>
    <t>Rundprofil 80-Vario 15° ekskl. tetning, boret og avgradet</t>
  </si>
  <si>
    <t>Okrugli profil 80-Vario 15° bez brtve, bušen i s obrađenim rubovima</t>
  </si>
  <si>
    <t>Rundprofil 80-Vario 15° Sonderlänge exkl. Dichtung, (Stangenware)</t>
  </si>
  <si>
    <t>Profilo circolare 80-Vario 15° lunghezza fuori standard, esclusa guarnizione, forato e sbavato</t>
  </si>
  <si>
    <t>Kruhový profil 80-Vario 15°, zvláštní délka, bez těsnění,vrtaný, bez otřepů</t>
  </si>
  <si>
    <t>Profil okrągły 80-Vario 15°, długość specjalna bez uszczelki, nawiercony i okrawany</t>
  </si>
  <si>
    <t>Körprofil 80-Vario 15° tömítés nélkül, egyedi hosszméret, furatolva és sorjázva</t>
  </si>
  <si>
    <t>Rondprofiel 80-Vario 15° aangepaste lengte excl. afdichting, geboord en afgebraamd</t>
  </si>
  <si>
    <t>Okrogli profil 80-Vario 15°, posebna dolžina, brez tesnila, z izvrtinami in posnetimi robovi</t>
  </si>
  <si>
    <t>Rundprofil 80-Vario 15° speciallängd exkl. tätning, borrad och avgradad</t>
  </si>
  <si>
    <t>Rund profil 80-Vario 15° speciallængde ekskl. tætning, forboret og afgratet</t>
  </si>
  <si>
    <t>Rundprofil 80-Vario 15° spesiallengde ekskl. tetning, boret og avgradet</t>
  </si>
  <si>
    <t>Okrugli profil 80-Vario 15° posebna duljina bez brtve, bušen i s obrađenim rubovima</t>
  </si>
  <si>
    <t>Rundprofil 80-Vario 30° exkl. Dichtung, gebohrt und entgratet</t>
  </si>
  <si>
    <t>Profilo circolare 80-Vario 30°, esclusa guarnizione, forato e sbavato</t>
  </si>
  <si>
    <t>Kruhový profil 80-Vario 30°, bez těsnění, vrtaný, bez otřepů</t>
  </si>
  <si>
    <t>Körprofil 80-Vario 30° tömítés nélkül, furatolva és sorjázva</t>
  </si>
  <si>
    <t>Rondprofiel 80-Vario 30° excl. afdichting, geboord en afgebraamd</t>
  </si>
  <si>
    <t>Okrogli profil 80-Vario 30°, brez tesnila, z izvrtinami in posnetimi robovi</t>
  </si>
  <si>
    <t>Rundprofil 80-Vario 30° exkl. tätning, borrad och avgradad</t>
  </si>
  <si>
    <t>Rund profil 80-Vario 30° ekskl. tætning, forboret og afgratet</t>
  </si>
  <si>
    <t>Rundprofil 80-Vario 30° ekskl. tetning, boret og avgradet</t>
  </si>
  <si>
    <t>Okrugli profil 80-Vario 30° bez brtve, bušen i s obrađenim rubovima</t>
  </si>
  <si>
    <t>Rundprofil 80-Vario 30° Sonderlänge exkl. Dichtung, (Stangenware)</t>
  </si>
  <si>
    <t>Profilo circolare 80-Vario 30° lunghezza fuori standard, esclusa guarnizione, forato e sbavato</t>
  </si>
  <si>
    <t>Kruhový profil 80-Vario 30°, zvláštní délka, bez těsnění,vrtaný, bez otřepů</t>
  </si>
  <si>
    <t>Profil okrągły 80-Vario 30°, długość specjalna bez uszczelki, nawiercony i okrawany</t>
  </si>
  <si>
    <t>Körprofil 80-Vario 30° tömítés nélkül, egyedi hosszméret, furatolva és sorjázva</t>
  </si>
  <si>
    <t>Rondprofiel 80-Vario 30° aangepaste lengte excl. afdichting, geboord en afgebraamd</t>
  </si>
  <si>
    <t>Okrogli profil 80-Vario 30°, posebna dolžina, brez tesnila, z izvrtinami in posnetimi robovi</t>
  </si>
  <si>
    <t>Rundprofil 80-Vario 30° speciallängd exkl. tätning, borrad och avgradad</t>
  </si>
  <si>
    <t>Rund profil 80-Vario 30° speciallængde ekskl. tætning, forboret og afgratet</t>
  </si>
  <si>
    <t>Rundprofil 80-Vario 30° spesiallengde ekskl. tetning, boret og avgradet</t>
  </si>
  <si>
    <t>Okrugli profil 80-Vario 30° posebna duljina bez brtve, bušen i s obrađenim rubovima</t>
  </si>
  <si>
    <t>Rundprofil 80-Vario 45° exkl. Dichtung, gebohrt und entgratet</t>
  </si>
  <si>
    <t>Profilo circolare 80-Vario 45°, esclusa guarnizione, forato e sbavato</t>
  </si>
  <si>
    <t>Kruhový profil 80-Vario 45°, bez těsnění, vrtaný, bez otřepů</t>
  </si>
  <si>
    <t>Körprofil 80-Vario 45° tömítés nélkül, furatolva és sorjázva</t>
  </si>
  <si>
    <t>Rondprofiel 80-Vario 45° excl. afdichting, geboord en afgebraamd</t>
  </si>
  <si>
    <t>Okrogli profil 80-Vario 45°, brez tesnila, z izvrtinami in posnetimi robovi</t>
  </si>
  <si>
    <t>Rundprofil 80-Vario 45° exkl. tätning, borrad och avgradad</t>
  </si>
  <si>
    <t>Rund profil 80-Vario 45° ekskl. tætning, forboret og afgratet</t>
  </si>
  <si>
    <t>Rundprofil 80-Vario 45° ekskl. tetning, boret og avgradet</t>
  </si>
  <si>
    <t>Okrugli profil 80-Vario 45° bez brtve, bušen i s obrađenim rubovima</t>
  </si>
  <si>
    <t>Rundprofil 80-Vario 45° Sonderlänge exkl. Dichtung, (Stangenware)</t>
  </si>
  <si>
    <t>Profilo circolare 80-Vario 45° lunghezza fuori standard, esclusa guarnizione, forato e sbavato</t>
  </si>
  <si>
    <t>Kruhový profil 80-Vario 45°, zvláštní délka, bez těsnění,vrtaný, bez otřepů</t>
  </si>
  <si>
    <t>Profil okrągły 80-Vario 45°, długość specjalna bez uszczelki, nawiercony i okrawany</t>
  </si>
  <si>
    <t>Körprofil 80-Vario 45° tömítés nélkül, egyedi hosszméret, furatolva és sorjázva</t>
  </si>
  <si>
    <t>Rondprofiel 80-Vario 45° aangepaste lengte excl. afdichting, geboord en afgebraamd</t>
  </si>
  <si>
    <t>Okrogli profil 80-Vario 45°, posebna dolžina, brez tesnila, z izvrtinami in posnetimi robovi</t>
  </si>
  <si>
    <t>Rundprofil 80-Vario 45° speciallängd exkl. tätning, borrad och avgradad</t>
  </si>
  <si>
    <t>Rund profil 80-Vario 45° speciallængde ekskl. tætning, forboret og afgratet</t>
  </si>
  <si>
    <t>Rundprofil 80-Vario 45° spesiallengde ekskl. tetning, boret og avgradet</t>
  </si>
  <si>
    <t>Okrugli profil 80-Vario 45° posebna duljina bez brtve, bušen i s obrađenim rubovima</t>
  </si>
  <si>
    <t>Rundprofil 80-Vario 60° exkl. Dichtung, gebohrt und entgratet</t>
  </si>
  <si>
    <t>Profilo circolare 80-Vario 60°, esclusa guarnizione, forato e sbavato</t>
  </si>
  <si>
    <t>Kruhový profil 80-Vario 60°, bez těsnění, vrtaný, bez otřepů</t>
  </si>
  <si>
    <t>Körprofil 80-Vario 60° tömítés nélkül, furatolva és sorjázva</t>
  </si>
  <si>
    <t>Rondprofiel 80-Vario 60° excl. afdichting, geboord en afgebraamd</t>
  </si>
  <si>
    <t>Okrogli profil 80-Vario 60°, brez tesnila, z izvrtinami in posnetimi robovi</t>
  </si>
  <si>
    <t>Rundprofil 80-Vario 60° exkl. tätning, borrad och avgradad</t>
  </si>
  <si>
    <t>Rund profil 80-Vario 60° ekskl. tætning, forboret og afgratet</t>
  </si>
  <si>
    <t>Rundprofil 80-Vario 60° ekskl. tetning, boret og avgradet</t>
  </si>
  <si>
    <t>Okrugli profil 80-Vario 60° bez brtve, bušen i s obrađenim rubovima</t>
  </si>
  <si>
    <t>Rundprofil 80-Vario 60° Sonderlänge exkl. Dichtung, (Stangenware)</t>
  </si>
  <si>
    <t>Profilo circolare 80-Vario 60° lunghezza fuori standard, esclusa guarnizione, forato e sbavato</t>
  </si>
  <si>
    <t>Kruhový profil 80-Vario 60°, zvláštní délka, bez těsnění,vrtaný, bez otřepů</t>
  </si>
  <si>
    <t>Profil okrągły 80-Vario 60°, długość specjalna bez uszczelki, nawiercony i okrawany</t>
  </si>
  <si>
    <t>Körprofil 80-Vario 60° tömítés nélkül, egyedi hosszméret, furatolva és sorjázva</t>
  </si>
  <si>
    <t>Rondprofiel 80-Vario 60° aangepaste lengte excl. afdichting, geboord en afgebraamd</t>
  </si>
  <si>
    <t>Okrogli profil 80-Vario 60°, posebna dolžina, brez tesnila, z izvrtinami in posnetimi robovi</t>
  </si>
  <si>
    <t>Rundprofil 80-Vario 60° speciallängd exkl. tätning, borrad och avgradad</t>
  </si>
  <si>
    <t>Rund profil 80-Vario 60° speciallængde ekskl. tætning, forboret og afgratet</t>
  </si>
  <si>
    <t>Rundprofil 80-Vario 60° spesiallengde ekskl. tetning, boret og avgradet</t>
  </si>
  <si>
    <t>Okrugli profil 80-Vario 60° posebna duljina bez brtve, bušen i s obrađenim rubovima</t>
  </si>
  <si>
    <t>compression clamp with star-shaped handle (flush installation in thereveal)</t>
  </si>
  <si>
    <t>Pièce de serrage à poignée étoile (montage dans l'embrasure)</t>
  </si>
  <si>
    <t>compression clamp with hex-head screw (flush installation in thereveal)</t>
  </si>
  <si>
    <t>Pièce de serrage avec vis 6 pans (montage dans l'embrasure)</t>
  </si>
  <si>
    <t>U-Profil 25 (in der Laibung) exkl. Dichtung, gebohrt und entgratet</t>
  </si>
  <si>
    <t>U-profile without seal, drilled and deburred</t>
  </si>
  <si>
    <t>Profilé en U 25 (dans l'embrasure), joint non compris, percé et ébavuré</t>
  </si>
  <si>
    <t>Beschichtungspauschale</t>
  </si>
  <si>
    <t>coating flat rate</t>
  </si>
  <si>
    <t>Forfait thermolaquage</t>
  </si>
  <si>
    <t>Dateiname:</t>
  </si>
  <si>
    <t>file name:</t>
  </si>
  <si>
    <t>Nom du fichier :</t>
  </si>
  <si>
    <t>File:</t>
  </si>
  <si>
    <t>Technique des produits</t>
  </si>
  <si>
    <t>gewählt in folgenden Kalkulationen</t>
  </si>
  <si>
    <t>Installations calculées suivantes:</t>
  </si>
  <si>
    <t>selezionato nei seguenti calcoli</t>
  </si>
  <si>
    <t>(Oberkante Ausnehmung - Oberkante DB)</t>
  </si>
  <si>
    <t>(Bord supérieur de l'évidement - bord supérieur du DB)</t>
  </si>
  <si>
    <t>Bordo superiore dell'incavo - bordo superiore della sponda</t>
  </si>
  <si>
    <t>(Oberkante Sturz - Oberkante DB)</t>
  </si>
  <si>
    <t>(Bord supérieur du linteau - bord supérieur du DB)</t>
  </si>
  <si>
    <t>Bordo superiore del foro - bordo superiore della sponda</t>
  </si>
  <si>
    <t>en mm</t>
  </si>
  <si>
    <t>Strangpressprofile</t>
  </si>
  <si>
    <t>extruded profiles</t>
  </si>
  <si>
    <t>Profils extrudés</t>
  </si>
  <si>
    <t>Profili estrusi</t>
  </si>
  <si>
    <t>Befestigungsmittel Siding - Aluminium UK 4,8 x 19 mm</t>
  </si>
  <si>
    <t>fasteners for siding - aluminium sub-structure framework 4.8 x 19 mm</t>
  </si>
  <si>
    <t>Fixation SIDING - Aluminium UK 4,8 x 19 mm</t>
  </si>
  <si>
    <t>Fissaggio delle doghe su sottostruttura in alluminio 4,8x19mm</t>
  </si>
  <si>
    <t>Befestigungsmittel Siding - Holz UK 4,9 x 35 mm</t>
  </si>
  <si>
    <t>Special screw 4,9 x 35 mm for timber supporting substructure</t>
  </si>
  <si>
    <t>Fixation SIDING - Bois UK 4,9 x 35 mm</t>
  </si>
  <si>
    <t>Fissaggio delle doghe su sottostruttura in legno 4,9x35mm</t>
  </si>
  <si>
    <t>Startprofil (Länge: 2.000 mm) P.10 anthrazit</t>
  </si>
  <si>
    <t>Starter profile(length: 2.000 mm) =.10 anthra</t>
  </si>
  <si>
    <t>Profil de départ (longueur : 2 000 mm) P.10 anthracite</t>
  </si>
  <si>
    <t>Profilo di partenza (Lunghezza: 2000mm) antracite P.10</t>
  </si>
  <si>
    <t>Leibungsblech (Länge: 2.500 mm)</t>
  </si>
  <si>
    <t>jamb flashing(length: 2.500 mm)</t>
  </si>
  <si>
    <t>Habillage de tableau (longueur : 2 500 mm)</t>
  </si>
  <si>
    <t>Spalletta in lamiera (Lunghezza 2500mm)</t>
  </si>
  <si>
    <t>Dagkantprofiel L=2500 mm</t>
  </si>
  <si>
    <t>Smyglist L=2500 mm</t>
  </si>
  <si>
    <t>Lysningsplade L=3000 mm</t>
  </si>
  <si>
    <t>Smygplate L=2500 mm</t>
  </si>
  <si>
    <t>Außenecke zweiteilig (Länge: 2.500 mm)</t>
  </si>
  <si>
    <t>external corner (two parts); L = 2,500 mm</t>
  </si>
  <si>
    <t>profil d’angle sortant en croix (longueur : 2 500 mm)</t>
  </si>
  <si>
    <t>Angolo esterno in 2 pezzi (Lunghezza 2500mm)</t>
  </si>
  <si>
    <t>roh vnější 2 - dílný, délka 3500 mm</t>
  </si>
  <si>
    <t>Narożnik zewnętrzny 2-częściowy L=2500 mm</t>
  </si>
  <si>
    <t>külső sarok profil 2-részes H = 2.500 mm</t>
  </si>
  <si>
    <t>vonkajší rohový profil (2 - dielny; L = 2.500 mm)</t>
  </si>
  <si>
    <t>buitenhoek 2-delig L = 2500 mm</t>
  </si>
  <si>
    <t>Zunanji vogal (2-delni; D = 2.500 mm)</t>
  </si>
  <si>
    <t>utvändigt hörn 2-delad L = 2.500 mm</t>
  </si>
  <si>
    <t>udvendigt hjørne 2-delt L = 2.500 mm</t>
  </si>
  <si>
    <t>yttervinkel 2-delt L = 2500 mm</t>
  </si>
  <si>
    <t>Vanjski kut 2-dijelni L = 2.500 mm</t>
  </si>
  <si>
    <t>Außenecke 2-teilig (Länge: 2.500 mm)</t>
  </si>
  <si>
    <t>Innenecke einteilig (Länge: 3.000 mm)</t>
  </si>
  <si>
    <t>internal corner (one-piece); L = 3,000 mm</t>
  </si>
  <si>
    <t>angle rentrant (longueur : 3 000 mm)</t>
  </si>
  <si>
    <t>Angolo interno (Lunghezza 3000mm)</t>
  </si>
  <si>
    <t>vnitřní roh, délka 3000 mm</t>
  </si>
  <si>
    <t>Narożnik wewnętrzny L=3000 mm</t>
  </si>
  <si>
    <t>belső sarok profil H = 3.000 mm</t>
  </si>
  <si>
    <t>kútový profil, dĺžka 3000 mm</t>
  </si>
  <si>
    <t>binnenhoek L = 3000 mm</t>
  </si>
  <si>
    <t>Notranji vogal (dolžina: 3.000 mm)</t>
  </si>
  <si>
    <t>invändigt hörn L = 3.000 mm</t>
  </si>
  <si>
    <t>indvendigt hjørne L = 3.000 mm</t>
  </si>
  <si>
    <t>innvendig hjørne L = 3000 mm</t>
  </si>
  <si>
    <t>Unutarnji kut L = 3.000 mm</t>
  </si>
  <si>
    <t>Stückliste Siding</t>
  </si>
  <si>
    <t>Nomemclature – siding</t>
  </si>
  <si>
    <t>Distinta pezzi Doga</t>
  </si>
  <si>
    <t>138 x 1,0 mm</t>
  </si>
  <si>
    <t>Hinweis: Kombination von unterschiedlichen Baubreiten muss in der Materialstärke der größeren Baubreite ausgeführt werden.</t>
  </si>
  <si>
    <t>Note: when combining different visible widths, the thickness of the material should correspond to the thickness of the largest visible width.</t>
  </si>
  <si>
    <t>Remarque : Lorsque l’on combine différentes largeurs utiles, l’épaisseur du matériau doit correspondre à celle de la plus grande largeur utile.</t>
  </si>
  <si>
    <t>Nota: volendo abbinare larghezze d'ingombro diverse, lo spessore del materiale deve essere quello della larghezza d'ingombro maggiore per tutti gli elementi.</t>
  </si>
  <si>
    <t>Při kombinaci různých stavebních šířek lamel se používá k výrobě materiál tloušťky nejširší lamely.</t>
  </si>
  <si>
    <t>Uwaga: W przypadku połączenia różnych szerokości konstrukcyjnych grubość materiału powinna odpowiadać materiałowi o większej szerokości konstrukcyjnej.</t>
  </si>
  <si>
    <t>Figyelmeztetés: különböző fedési szélességek esetén a legszélesebb elem anyagvastagsága lesz a mértékadó.</t>
  </si>
  <si>
    <t>Poznámka: Pri kombinácii panelov rôznych stavebných šírok musia byť panely vyhotovené v hrúbke materiálu väčšej stavebnej šírky.</t>
  </si>
  <si>
    <t>Aanwijzing: bij het combineren van verschillende breedtes, moet de dikte van de grootste breedte als materiaaldikte worden genomen.</t>
  </si>
  <si>
    <t>Opozorilo: Pri kombinaciji različnih gradbenih širin mora debelina materiala ustrezati debelini največje gradbene širine.</t>
  </si>
  <si>
    <t>Observera: Om olika bredder kombineras måste materialets tjocklek motsvara den bredare bredden.</t>
  </si>
  <si>
    <t>Bemærk: Kombination med forskellige byggebredder skal udføres i materialetykkelsen for den største byggebredde.</t>
  </si>
  <si>
    <t>Merk: Ved kombinasjon av ulike byggebredder må materialtykkelsen til den største byggebredden brukes.</t>
  </si>
  <si>
    <t>Napomena: kod kombiniranja različitih ugradbenih širina, debljina materijala mora odgovarati debljini najšire ugradbene širine.</t>
  </si>
  <si>
    <t>Patentnieten (4 × 9,5 mm)</t>
  </si>
  <si>
    <t>patent rivets 4 × 9,5 mm</t>
  </si>
  <si>
    <t>rivets brevetés (4 × 9,5 mm)</t>
  </si>
  <si>
    <t>Rivetti 4 × 9,5 mm</t>
  </si>
  <si>
    <t>trhací nýt 4 x 9,5 mm</t>
  </si>
  <si>
    <t>Nit fasadowy 4x9,5 mm</t>
  </si>
  <si>
    <t>patentszegecs 4 9,5 mm</t>
  </si>
  <si>
    <t>trhací nit 4 x 9,5 mm</t>
  </si>
  <si>
    <t>gepatenteerde klinknagels 4 x 9,5 mm</t>
  </si>
  <si>
    <t>Patentne kovice (4 × 9,5 mm)</t>
  </si>
  <si>
    <t>patenterade nitar 4 x 9,5 mm</t>
  </si>
  <si>
    <t>patentnitte 4 x 9,5 mm</t>
  </si>
  <si>
    <t>patenterte nagler 4 x 9,5 mm</t>
  </si>
  <si>
    <t>Zakovice 4 x 9,5 mm</t>
  </si>
  <si>
    <t>internal corner L = 3,000 mm (multipart)</t>
  </si>
  <si>
    <t>angle rentrant PREFA, L = 3 000 mm (plusieurs éléments)</t>
  </si>
  <si>
    <t>Angolo interno in più pezzi (Lunghezza 3000mm)</t>
  </si>
  <si>
    <t>PREFA vnitřní roh L = 3000 mm (vícedílný)</t>
  </si>
  <si>
    <t>Narożnik wewnętrzny PREFA L = 3000 mm (wieloczęściowy)</t>
  </si>
  <si>
    <t>PREFA belső sarok L = 3000 mm (többrészes)</t>
  </si>
  <si>
    <t>PREFA vnútorný rohový profil L = 3 000 mm (viacdielny)</t>
  </si>
  <si>
    <t>PREFA-binnenhoek L = 3.000 mm (meerdelig)</t>
  </si>
  <si>
    <t>Notranii vogal PREFA D = 3.000 mm (večdelni)</t>
  </si>
  <si>
    <t>PREFA innerhörn L = 3 000 mm (flerdelat)</t>
  </si>
  <si>
    <t>PREFA inderhjørne L = 3.000 mm (flerdelt)</t>
  </si>
  <si>
    <t>PREFA-innerhjørne L = 3000 mm (flerdelt)</t>
  </si>
  <si>
    <t>PREFA unutarnji kut L = 3.000 mm (višedijelni)</t>
  </si>
  <si>
    <t>Die dargestellten Details sind Beispiele für den Standardfall und dienen als Leitfaden für Planer und Verarbeiter.</t>
  </si>
  <si>
    <t>The details presented are examples for the standard case and serve as a guide for planners and processors.</t>
  </si>
  <si>
    <t>Les détails présentés sont des exemples pour le cas standard et servent de guide pour les planificateurs et les transformateurs.</t>
  </si>
  <si>
    <t>I dettagli presentati sono esempi di una situazione standard e servono da guida per progettisti ed installatori.</t>
  </si>
  <si>
    <t>Prezentované detaily jsou příklady pro standardní případ a slouží jako průvodce pro plánovače a zpracovatele.</t>
  </si>
  <si>
    <t>Przedstawione szczegóły są przykładami na standardowy przypadek i służą jako przewodnik dla planistów i procesorów.</t>
  </si>
  <si>
    <t>A bemutatott részletek a szabványos eset példái és útmutatóként szolgálnak a tervezőknek és feldolgozóknak.</t>
  </si>
  <si>
    <t>Predstavené detaily sú príkladmi pre štandardný prípad a slúžia ako sprievodca pre plánovačov a spracovateľov.</t>
  </si>
  <si>
    <t>De gepresenteerde details zijn voorbeelden voor het standaardgeval en dienen als leidraad voor planners en verwerkers.</t>
  </si>
  <si>
    <t>Predstavljene podrobnosti so primeri za standardni primer in služijo kot vodnik za načrtovalce in procesorje.</t>
  </si>
  <si>
    <t>De presenterade detaljerna är exempel på det standardfall och fungerar som en guide för planerare och processorer.</t>
  </si>
  <si>
    <t>De præsenterede detaljer er eksempler på standardtilfældet og tjener som en guide for planlæggere og processorer.</t>
  </si>
  <si>
    <t>De presenterte detaljene er eksempler på standardtilfellet og fungerer som en veiledning for planleggere og prosessorer.</t>
  </si>
  <si>
    <t>Predstavljeni detalji su primjeri za standardni slučaj i služe kao vodič za planere i procesore.</t>
  </si>
  <si>
    <t>Objekte, die entweder speziellen Vorschriften (z.B. Brandschutzanforderungen) unterliegen oder sich in einer exponierten Lage (z.B. hohe Schnee- oder Windlasten) befinden, sind gesondert zu betrachten. Sie können PREFA in solchen Fällen gerne kontaktieren.</t>
  </si>
  <si>
    <t>Objects that are either subject to special regulations (e.g. fire safety requirements) or are located in an exposed location (e.g. high snow or wind loads) must be considered separately. You are welcome to contact PREFA in such cases.</t>
  </si>
  <si>
    <t>Les objets qui sont soit soumis à des réglementations spéciales (par exemple, les exigences de sécurité incendie) ou qui sont situés dans un endroit exposé (par exemple, des charges de neige ou de vent élevées) doivent être considérés séparément. Vous êtes les bienvenus à contacter PREFA dans de tels cas.</t>
  </si>
  <si>
    <t>I progetti che sono o soggetti a regolamenti speciali (ad es. requisiti di sicurezza antincendio) o si trovano in una posizione esposta (ad es. carichi di neve o vento elevati) devono essere considerati separatamente. In tali casi vi invitiamo a contattarci.</t>
  </si>
  <si>
    <t>Objekty, které jsou buď podléhající speciálním předpisům (např. požadavkům na požární bezpečnost) nebo se nacházejí na exponovaném místě (např. vysoké sněhové nebo větrné zatížení), musí být posuzovány samostatně. V takových případech můžete s důvěrou kontaktovat PREFA.</t>
  </si>
  <si>
    <t>Obiekty, które podlegają specjalnym przepisom (np. wymagania przeciwpożarowe) lub znajdują się w miejscu narażonym na działanie (np. wysokie obciążenie śniegiem lub wiatrem), muszą być rozpatrywane oddzielnie. W takich przypadkach zapraszamy do kontaktu z PREFA.</t>
  </si>
  <si>
    <t>Azokat a tárgyakat, amelyek vagy speciális szabályozásoknak (pl. tűzvédelmi követelmények) vannak alávetve, vagy kiemelt helyen találhatók (pl. magas hó- vagy szélterhelés), külön kell kezelni. Ilyen esetekben szívesen fordulhatnak a PREFA-hoz.</t>
  </si>
  <si>
    <t>Objekty, ktoré sú buď podľa špeciálnych predpisov (napr. požiadavky na požiarnu bezpečnosť) alebo sa nachádzajú na exponovanom mieste (napr. vysoké snehové alebo veterné zaťaženie), je potrebné posudzovať samostatne. V takýchto prípadoch nás môžete kľudne kontaktovať PREFA.</t>
  </si>
  <si>
    <t>Objecten die ofwel onderworpen zijn aan speciale voorschriften (bijv. brandveiligheidseisen) of zich op een blootgestelde locatie bevinden (bijv. hoge sneeuw- of windbelasting), moeten apart worden beschouwd. U bent van harte welkom om PREFA in dergelijke gevallen te contacteren.</t>
  </si>
  <si>
    <t>Objekte, ki so bodisi podvrženi posebnim predpisom (npr. zahtevam za požarno varnost) ali se nahajajo na izpostavljenem mestu (npr. velike obremenitve z snegom ali vetrom), je treba obravnavati ločeno. V takih primerih ste dobrodošli, da kontaktirate PREFA.</t>
  </si>
  <si>
    <t>Objekt som antingen är föremål för särskilda föreskrifter (t.ex. brandskyddskrav) eller befinner sig på en exponerad plats (t.ex. höga snö- eller vindbelastningar) måste betraktas separat. Du är välkommen att kontakta PREFA i sådana fall.</t>
  </si>
  <si>
    <t>Objekter, der enten er underlagt særlige regler (f.eks. brandbeskyttelseskrav) eller befinder sig på en eksponeret placering (f.eks. høje sne- eller vindbelastninger), skal betragtes separat. Du er velkommen til at kontakte PREFA i sådanne tilfælde.</t>
  </si>
  <si>
    <t>Objekter som enten er underlagt spesielle forskrifter (f.eks. brannsikkerhetskrav) eller er plassert på et eksponert sted (f.eks. høy snø- eller vindlast), må vurderes separat. Du er velkommen til å kontakte PREFA i slike tilfeller.</t>
  </si>
  <si>
    <t>Objekti koji su ili podložni posebnim propisima (npr. zahtjevi za zaštitu od požara) ili se nalaze na izloženom mjestu (npr. visoka snježna ili vjetrena opterećenja) moraju se posebno razmatrati. U takvim slučajevima slobodno se obratite PREFA.</t>
  </si>
  <si>
    <t>Außenecke mehrteilig (Länge: 3.000 mm)</t>
  </si>
  <si>
    <t>external corner (multipart); L = 3,000 mm</t>
  </si>
  <si>
    <t>profil d’angle sortant en croix (plusieurs éléments : 3 000 mm)</t>
  </si>
  <si>
    <t>Angolo esterno in più parti (Lunghezza 3000mm)</t>
  </si>
  <si>
    <t>roh vnější vícedílný L=3000 mm</t>
  </si>
  <si>
    <t>Narożnik zewnętrzny wieloczęściowy L=3000 mm</t>
  </si>
  <si>
    <t>külső sarok profil többrészes H = 3.000 mm</t>
  </si>
  <si>
    <t>vonkajší rohový profil (viacdielny; L = 3.000 mm)</t>
  </si>
  <si>
    <t>buitenhoek meerdelig L = 3000 mm</t>
  </si>
  <si>
    <t>Zunanji vogal (večdelni; D = 3.000 mm)</t>
  </si>
  <si>
    <t>utvändigt hörn flerdelat L = 3.000 mm</t>
  </si>
  <si>
    <t>udvendigt hjørne flerdelt L = 3.000 mm</t>
  </si>
  <si>
    <t>yttervinkel flerdelt L = 3000 mm</t>
  </si>
  <si>
    <t>Vanjski kut višedijelni L = 3.000 mm</t>
  </si>
  <si>
    <t>Abschlussprofil geklebt zweiteilig (Länge: 2.500 mm)</t>
  </si>
  <si>
    <t>end profile glued (two parts); L = 2,500 mm</t>
  </si>
  <si>
    <t>profil de fin collé (longueur : 2 500 mm)</t>
  </si>
  <si>
    <t>Profilo di chiusura 2 parti incollato (Lunghezza 2500mm)</t>
  </si>
  <si>
    <t>ukončovací profil 2 - dílný lepené,  délka 2500 mm</t>
  </si>
  <si>
    <t>Profil końcowy 2-częściowy klejone L=2500 mm</t>
  </si>
  <si>
    <t>lezáró profil 2-részes ragasztva H = 2.500 mm</t>
  </si>
  <si>
    <t>ukončovací profil 2 - dielny lepený (dĺžka: 2500 mm)</t>
  </si>
  <si>
    <t>afsluitprofiel 2-delig gelijmd L = 2500 mm</t>
  </si>
  <si>
    <t>Zaključni profil 2-delni lepljeno (dolžina: 2.500 mm)</t>
  </si>
  <si>
    <t>ändprofil 2-delad limmad L = 2.500 mm</t>
  </si>
  <si>
    <t>afslutningsprofil 2-delt limet L = 2.500 mm</t>
  </si>
  <si>
    <t>avslutningsprofil 2-delt Limt L = 2500 mm</t>
  </si>
  <si>
    <t>Završni profil 2-dijelni zalijepljeno L = 2.500 mm</t>
  </si>
  <si>
    <t>Abschlussprofil geklebt 2-teilig (Länge: 2.500 mm)</t>
  </si>
  <si>
    <t>Schnittlochblende (Länge: 3.000 mm)</t>
  </si>
  <si>
    <t>perforated plate; L = 3,000 mm</t>
  </si>
  <si>
    <t>cache de départ perforé (longueur : 3 000 mm)</t>
  </si>
  <si>
    <t>Canaletta di ventilazione Lunghezza 3000mm)</t>
  </si>
  <si>
    <t>ukončovací profil perforovaný, délka 3000 mm</t>
  </si>
  <si>
    <t>Przysłona L=3000 mm</t>
  </si>
  <si>
    <t>szellőző profil H = 3.000 mm</t>
  </si>
  <si>
    <t>ukončovací profil perforovaný, dĺžka 3000 mm</t>
  </si>
  <si>
    <t>snijgatkap L = 3000 mm</t>
  </si>
  <si>
    <t>Perforirana zaslonka (dolžina: 3.000 mm)</t>
  </si>
  <si>
    <t>sektionshålslist L = 3.000 mm</t>
  </si>
  <si>
    <t>snithulsblænde L = 3.000 mm</t>
  </si>
  <si>
    <t>perforert plate L = 3000 mm</t>
  </si>
  <si>
    <t>Perforirana blenda L = 3.000 mm</t>
  </si>
  <si>
    <t>Startprofil (Länge: 3.000 mm)</t>
  </si>
  <si>
    <t>starter profile; L = 3,000 mm</t>
  </si>
  <si>
    <t>profil de départ (longueur : 3 000 mm)</t>
  </si>
  <si>
    <t>Profilo di partenza (Lunghezza 3000mm)</t>
  </si>
  <si>
    <t>Startovací profil, délka 3000 mm</t>
  </si>
  <si>
    <t>Profil początkowy L=3000 mm</t>
  </si>
  <si>
    <t>indítóprofil H = 3.000 mm</t>
  </si>
  <si>
    <t>štartovací profil dĺžka 3000 mm</t>
  </si>
  <si>
    <t>Startprofiel L = 3000 mm</t>
  </si>
  <si>
    <t>Začetni profil (dolžina: 3.000 mm)</t>
  </si>
  <si>
    <t>startprofil L = 3.000 mm</t>
  </si>
  <si>
    <t>Startprofil L = 3.000 mm</t>
  </si>
  <si>
    <t>Startprofil L = 3000 mm</t>
  </si>
  <si>
    <t>Početni profil L = 3.000 mm</t>
  </si>
  <si>
    <t>Wetterschenkel (Länge: 3.000 mm)</t>
  </si>
  <si>
    <t>drip; L = 3,000 mm</t>
  </si>
  <si>
    <t>renvoi d’eau (longueur : 3 000 mm)</t>
  </si>
  <si>
    <t>Gocciolatoio (Lunghezza 3000mm)</t>
  </si>
  <si>
    <t>okapnice, délka 3000 mm</t>
  </si>
  <si>
    <t>Okapnik L=3000 mm</t>
  </si>
  <si>
    <t>viharléc H = 3.000 mm</t>
  </si>
  <si>
    <t>odkvapnicový profil, dĺžka 3000 mm</t>
  </si>
  <si>
    <t>weldorpel L = 3000 mm</t>
  </si>
  <si>
    <t>Odkapni profil (dolžina: 3.000 mm)</t>
  </si>
  <si>
    <t>väderskänkel L = 3.000 mm</t>
  </si>
  <si>
    <t>vejrvinkelben L = 3.000 mm</t>
  </si>
  <si>
    <t>vindusbeslag L = 3000 mm</t>
  </si>
  <si>
    <t>Okapni lim L = 3.000 mm</t>
  </si>
  <si>
    <t>Leibungsblech (Länge: 3.000 mm)</t>
  </si>
  <si>
    <t>jamb flashing(length: 3.000 mm)</t>
  </si>
  <si>
    <t>Habillage de tableau (longueur : 3000 mm)</t>
  </si>
  <si>
    <t>Spalletta in lamiera (Lunghezza 3000mm)</t>
  </si>
  <si>
    <t>Dagkantprofiel L=3000 mm</t>
  </si>
  <si>
    <t>Smyglist L=3000 mm</t>
  </si>
  <si>
    <t>Smygplate L=3000 mm</t>
  </si>
  <si>
    <t>Stoßblech (Länge: 3.000 mm)</t>
  </si>
  <si>
    <t>joint connection; L = 3,000 mm</t>
  </si>
  <si>
    <t>profil de raccord T (longueur : 3 000 mm)</t>
  </si>
  <si>
    <t>Profilo di battuta (Lunghezza 3000mm)</t>
  </si>
  <si>
    <t>dělící profil, délka 3000 mm</t>
  </si>
  <si>
    <t>Blacha stykowa L=3000 mm</t>
  </si>
  <si>
    <t>illesztőprofil H = 3.000 mm</t>
  </si>
  <si>
    <t>stykový plech, dĺžka 3000 mm</t>
  </si>
  <si>
    <t>stootplaat L = 3000 mm</t>
  </si>
  <si>
    <t>Spojna pločevina (dolžina: 3.000 mm)</t>
  </si>
  <si>
    <t>skarvplåt L = 3.000 mm</t>
  </si>
  <si>
    <t>stødplade L = 3.000 mm</t>
  </si>
  <si>
    <t>laskeplate L = 3000 mm</t>
  </si>
  <si>
    <t>Sudarni lim L = 3.000 mm</t>
  </si>
  <si>
    <t>Außenecke zweiteilig (Länge: 3.000 mm)</t>
  </si>
  <si>
    <t>external corner (two parts); L = 3,000 mm</t>
  </si>
  <si>
    <t>profil d’angle sortant en croix (longueur : 3 000 mm)</t>
  </si>
  <si>
    <t>Angolo esterno 2 parti (Lunghezza 3000mm)</t>
  </si>
  <si>
    <t>roh vnější 2 - dílný, délka 3000 mm</t>
  </si>
  <si>
    <t>Narożnik zewnętrzny 2-częściowy L=3000 mm</t>
  </si>
  <si>
    <t>külső sarok profil 2-részes H = 3.000 mm</t>
  </si>
  <si>
    <t>vonkajší rohový profil (2 - dielny; L = 3.000 mm)</t>
  </si>
  <si>
    <t>buitenhoek 2-delig L = 3000 mm</t>
  </si>
  <si>
    <t>Zunanji vogal (2-delni; D = 3.000 mm)</t>
  </si>
  <si>
    <t>utvändigt hörn 2-delad L = 3.000 mm</t>
  </si>
  <si>
    <t>udvendigt hjørne 2-delt L = 3.000 mm</t>
  </si>
  <si>
    <t>yttervinkel 2-delt L = 3000 mm</t>
  </si>
  <si>
    <t>Vanjski kut 2-dijelni L = 3.000 mm</t>
  </si>
  <si>
    <t>Außenecke 2-teilig (Länge: 3.000 mm)</t>
  </si>
  <si>
    <t>Taschenprofil gekantet (Länge: 3.000 mm)</t>
  </si>
  <si>
    <t>pocket flashing L = 3,000 mm folded</t>
  </si>
  <si>
    <t>profil replié , L = 3 000 mm</t>
  </si>
  <si>
    <t>Profilo a tasca ripiegato (Lunghezza 3000mm)</t>
  </si>
  <si>
    <t>ukončovací profil L = 3000 mm hraněný</t>
  </si>
  <si>
    <t>KANTOWANY PROFIL  DO WAŁU PROFILOWEGO L = 3000 mm</t>
  </si>
  <si>
    <t>zsebes profil L = 3000 mm hajtott</t>
  </si>
  <si>
    <t>kapsový profil L = 3 000 mm ohýbaný</t>
  </si>
  <si>
    <t>zakprofiel L = 3.000 mm gevoegd</t>
  </si>
  <si>
    <t>Žepni profil  D = 3.000 mm obrobljen</t>
  </si>
  <si>
    <t>fickprofil L = 3 000 mm kantad</t>
  </si>
  <si>
    <t>taskeprofil L = 3.000 mm kantet</t>
  </si>
  <si>
    <t>lommeprofil L = 3000 mm kantet</t>
  </si>
  <si>
    <t>C profil L = 3.000 mm, kantiran</t>
  </si>
  <si>
    <t>Steckleiste (Länge: 3.000 mm)</t>
  </si>
  <si>
    <t>pocket flashing; L = 3,000 mm</t>
  </si>
  <si>
    <t>profil de jonction (longueur : 3 000 mm)</t>
  </si>
  <si>
    <t>Listello a innesto (Lunghezza 3000mm)</t>
  </si>
  <si>
    <t>příponka ostění, délka 3000 mm</t>
  </si>
  <si>
    <t>Listwa L=3000 mm</t>
  </si>
  <si>
    <t>csatlakozó léc H = 3.000 mm</t>
  </si>
  <si>
    <t>plech na ostenie, dĺžka 3000 mm</t>
  </si>
  <si>
    <t>steekframe L = 3000 mm</t>
  </si>
  <si>
    <t>Vtična letev (dolžina: 3.000 mm)</t>
  </si>
  <si>
    <t>instickslist L = 3.000 mm</t>
  </si>
  <si>
    <t>stikliste L = 3.000 mm</t>
  </si>
  <si>
    <t>innstikkslist L = 3000 mm</t>
  </si>
  <si>
    <t>Utična lajsna L = 3.000 mm</t>
  </si>
  <si>
    <t>Eckwinkel außen (Länge: 3.000 mm)</t>
  </si>
  <si>
    <t>external corner flashing; L = 3,000 mm</t>
  </si>
  <si>
    <t>équerre d’angle sortant (longueur : 3 000 mm)</t>
  </si>
  <si>
    <t>Angolare esterno (Lunghezza 3000mm)</t>
  </si>
  <si>
    <t>roh vnější , délka 3000 mm</t>
  </si>
  <si>
    <t>Narożnik zewnętrzny L=3000 mm</t>
  </si>
  <si>
    <t>külső sarok profil H = 3.000 mm</t>
  </si>
  <si>
    <t>rohový profil vonkajší (dĺžka: 3000 mm)</t>
  </si>
  <si>
    <t>hoek buiten L = 3000 mm</t>
  </si>
  <si>
    <t>Kotnik zunaj (dolžina: 3.000 mm)</t>
  </si>
  <si>
    <t>utvändig hörnvinkel L = 3.000 mm</t>
  </si>
  <si>
    <t>hjørnevinkel udvendig L = 3.000 mm</t>
  </si>
  <si>
    <t>utvendig hjørnevinkel L = 3000 mm</t>
  </si>
  <si>
    <t>Kut vanjski L = 3.000 mm</t>
  </si>
  <si>
    <t>Abschlussprofil (Länge: 3.000 mm)</t>
  </si>
  <si>
    <t>end profile; L = 3,000 mm</t>
  </si>
  <si>
    <t>profil de fin (longueur : 3 000 mm)</t>
  </si>
  <si>
    <t>Profilo di chiusura (Lunghezza 3000mm)</t>
  </si>
  <si>
    <t>ukončovací profil,  délka 3000 mm</t>
  </si>
  <si>
    <t>Profil końcowy L=3000 mm</t>
  </si>
  <si>
    <t>lezáró profil H = 3.000 mm</t>
  </si>
  <si>
    <t>ukončovací profil (dĺžka: 3000 mm)</t>
  </si>
  <si>
    <t>afsluitprofiel L = 3000 mm</t>
  </si>
  <si>
    <t>Zaključni profil (dolžina: 3.000 mm)</t>
  </si>
  <si>
    <t>ändprofil L = 3.000 mm</t>
  </si>
  <si>
    <t>afslutningsprofil L = 3.000 mm</t>
  </si>
  <si>
    <t>avslutningsprofil L = 3000 mm</t>
  </si>
  <si>
    <t>Završni profil L = 3.000 mm</t>
  </si>
  <si>
    <t>Sockelprofil (Länge: 3.000 mm)</t>
  </si>
  <si>
    <t>base profile; L = 3,000 mm</t>
  </si>
  <si>
    <t>profil de soubassement (longueur : 3 000 mm)</t>
  </si>
  <si>
    <t>Zoccolo (Lunghezza 3000mm)</t>
  </si>
  <si>
    <t>soklový profil, délka 3000 mm</t>
  </si>
  <si>
    <t>Profil cokołowy L=3000 mm</t>
  </si>
  <si>
    <t>párkányprofil H = 3.000 mm</t>
  </si>
  <si>
    <t>soklový profil, dĺžka 3000 mm</t>
  </si>
  <si>
    <t>sokkelprofiel L = 3000 mm</t>
  </si>
  <si>
    <t>Profil za podzidek (dolžina: 3.000 mm)</t>
  </si>
  <si>
    <t>sockelprofil L = 3.000 mm</t>
  </si>
  <si>
    <t>sokkelprofil L = 3.000 mm</t>
  </si>
  <si>
    <t>sokkelprofil L = 3000 mm</t>
  </si>
  <si>
    <t>Profil sokla L = 3.000 mm</t>
  </si>
  <si>
    <t>Abschlussprofil geklebt zweiteilig (Länge: 3.000 mm)</t>
  </si>
  <si>
    <t>end profile 3 elements glued; L = 3,000 mm</t>
  </si>
  <si>
    <t>profil de fin collé (longueur : 3 000 mm)</t>
  </si>
  <si>
    <t>Profilo di chiusura in 3 parti incollato (Lunghezza 3000mm)</t>
  </si>
  <si>
    <t>ukončovací profil 3 - dílný lepené,  délka 3000 mm</t>
  </si>
  <si>
    <t>Profil końcowy 2-częściowy klejone L=3000 mm</t>
  </si>
  <si>
    <t>lezáró profil 2-részes ragasztva H = 3.000 mm</t>
  </si>
  <si>
    <t>ukončovací profil 3 - dielny lepený (dĺžka: 3000 mm)</t>
  </si>
  <si>
    <t>afsluitprofiel 2-delig gelijmd L = 3000 mm</t>
  </si>
  <si>
    <t>Zaključni profil 2-delni lepljeno (dolžina: 3.000 mm)</t>
  </si>
  <si>
    <t>ändprofil 2-delad limmad L = 3.000 mm</t>
  </si>
  <si>
    <t>afslutningsprofil 2-delt limet L = 3.000 mm</t>
  </si>
  <si>
    <t>avslutningsprofil 2-delt Limt L = 3000 mm</t>
  </si>
  <si>
    <t>Završni profil 2-dijelni zalijepljeno L = 3.000 mm</t>
  </si>
  <si>
    <t>Abschlussprofil geklebt 2-teilig (Länge: 3.000 mm)</t>
  </si>
  <si>
    <t>Counter batten - Ventilation</t>
  </si>
  <si>
    <t>Contre-latte de ventilation</t>
  </si>
  <si>
    <t>Controlistello di ventilazione</t>
  </si>
  <si>
    <t>Rillennägel gebunden</t>
  </si>
  <si>
    <t>Clou pour cloueuse Bull Tack Power</t>
  </si>
  <si>
    <t>Chiodi zigrinati in bobina</t>
  </si>
  <si>
    <t>Dichtschraube NIRO, 4,5x25</t>
  </si>
  <si>
    <t>Vis inox avec rondelle d'étanchéité 4,5 x 25 mm sans vis autoperceuse</t>
  </si>
  <si>
    <t>Vite in inox 4,5 x 25mm con rondella di tenuta</t>
  </si>
  <si>
    <t>Śruba ze stali nierdzewnej z podkładką uszczelniającą 4,5 x 25 mm bez końcówki wiercącej</t>
  </si>
  <si>
    <t>Rozsdamentes tömített csavar 4,5 x 25 mm, nem önmetsző</t>
  </si>
  <si>
    <t>Skrutka z nehrdzavejúcej ocele s tesniacim krúžkom 4,5 x 25 mm bez vrtného hrotu</t>
  </si>
  <si>
    <t>RVS SCHROEF MET AFDICHTRING 4,5 x 25 mm zonder boorpunt</t>
  </si>
  <si>
    <t>ROSTFRI SKRUV
MED TÄTNINGSBRICKA 4,5 x 25 mm: utan borrspets</t>
  </si>
  <si>
    <t>SKRUE AF RUSTFAST STÅL
MED TÆTNINGSSKIVE 4,5 x 25 mm uden borespids</t>
  </si>
  <si>
    <t>SKRUE I RUSTFRITT STÅL
MED TETNINGSSKIVE 4,5 x 25 mm: uten borspiss</t>
  </si>
  <si>
    <t>Nehrđajući vijak s brtvenom pločicom 4,5 x 25 mm bez samoreznog vrha</t>
  </si>
  <si>
    <t>Dichtschraube NIRO 4,5 x 45 mm, für Grat- und Firstreiter</t>
  </si>
  <si>
    <t>stainless steel screw and sealing washer 4,5 x 45 mm for hip and ridge cap</t>
  </si>
  <si>
    <t>Vis en acier inoxydable et rondelle d’étanchéité 4,5 x 45 mm pour faîtières et arêtiers</t>
  </si>
  <si>
    <t>Vite in inox 4,5 x 45mm con rondella di tenuta per copricolmo/displuvio</t>
  </si>
  <si>
    <t>Nerezový vrut s těsnící podložkou 4,5 x 45 mm pro malý hřebenáč</t>
  </si>
  <si>
    <t xml:space="preserve">wkręt ze stali nierdzewnej z uszczelnieniem 4,5 x 45 mm do gąsiora dachowego </t>
  </si>
  <si>
    <t>Rozsdamentes acél csavar tömítő alátéttel 4,5 x 45 mm él- és taréjgerinc elemhez</t>
  </si>
  <si>
    <t>Skrutky z nehrdzavejúcej ocele s tesniacim krúžkom 4,5 x 45 mm pre hrebeň resp. nárožie</t>
  </si>
  <si>
    <t>Niro-schroef met afdichtingschijf 4,5 x 45 mm voor graat-/vorstafdekking</t>
  </si>
  <si>
    <t>Kleparski nerjaveči vijaki s podložko 4,5 x 45 mm za grebenske slemenjake</t>
  </si>
  <si>
    <t>Niro-skruv med tätningsbricka 4,5 x 45 mm för nockpanna</t>
  </si>
  <si>
    <t>Niro-skrue med tætningsskive 4,5 x 45 mm til rygnings-/mønningsrytter</t>
  </si>
  <si>
    <t>Skrue i rustfritt stål med tetningsskive 4,5 x 45 mm for mønestein</t>
  </si>
  <si>
    <t>Nehrđajući vijak s brtvenom pločicom 4,5 x 45 mm za sljemenjak</t>
  </si>
  <si>
    <t>Dichtschraube NIRO 4,5 x 60 mm, für Jet-Lüfter</t>
  </si>
  <si>
    <t>stainless steel screw and sealing washer 4,5 x 60 mm for ridge vent</t>
  </si>
  <si>
    <t>Vis en acier inoxydable et rondelle d’étanchéité 4,5 x 60 mm pour faîtières ventilées</t>
  </si>
  <si>
    <t>Vite in inox 4,5 x 60mm con rondella di tenuta per copricolmo ventilato</t>
  </si>
  <si>
    <t>Nerezový vrut s těsnící podložkou 4,5 x 60 mm pr Jet-Lüfter</t>
  </si>
  <si>
    <t>wkręt ze stali nierdzewnej z uszczelnieniem 4,5 x 60 mm do gąsiora wentylowanego.</t>
  </si>
  <si>
    <t>Rozsdamentes acél csavar tömítő alátéttel 4,5 x 60 mm szellőző gerincelemhez</t>
  </si>
  <si>
    <t>Skrutky z nehrdzavejúcej ocele s tesniacim krúžkom 4,5 x 60 mm pre Jet-Lüfter</t>
  </si>
  <si>
    <t>Niro-schroef met afdichtingschijf 4,5 x 60 mm voor jetventilator</t>
  </si>
  <si>
    <t>Kleparski nerjaveči vijaki s podložko 4,5 x 60 mm za jet-zračne slemenjake</t>
  </si>
  <si>
    <t>Niro-skruv med tätningsbricka 4,5 x 60 mm för Jet-ventilation</t>
  </si>
  <si>
    <t>Niro-skrue med tætningsskive 4,5 x 60 mm til jet-ventilator</t>
  </si>
  <si>
    <t>Skrue i rustfritt stål med tetningsskive 4,5 x 60 mm for kanalventilasjon</t>
  </si>
  <si>
    <t>Nehrđajući vijak s brtvenom pločicom 4,5 x 60 mm za Jet-odzračni sljemenjak</t>
  </si>
  <si>
    <t>Haken für Schneerechensystem, inkl. Befestigungsmaterial</t>
  </si>
  <si>
    <t>Système pare-neige (205 × 66 × 303 mm)</t>
  </si>
  <si>
    <t>Staffa fermaneve a triplo tubolare esagonale, incluso materiale di fissaggio</t>
  </si>
  <si>
    <t>sustav rešetkastog snjegobrana (205 x 66 x 303 mm)</t>
  </si>
  <si>
    <t>Haken XL für Schneerechensystem, inkl. Befestigungsmaterial</t>
  </si>
  <si>
    <t>XL bracket for pipe-style snow guard system (205 × 66 × 303 mm)</t>
  </si>
  <si>
    <t>Système pare-neige XL (205 × 66 × 303 mm)</t>
  </si>
  <si>
    <t>Staffa fermaneve a triplo tubolare esagonale XL, incluso materiale di fissaggio</t>
  </si>
  <si>
    <t>Držák sněhové zábrany profilované trubky XL (205 x 66 x 303 mm)</t>
  </si>
  <si>
    <t>rurowy system ochrony przed śniegiem XL (205 × 66 × 303 mm)</t>
  </si>
  <si>
    <t>hófogórendszer XL (205 x 66 x 303 mm)</t>
  </si>
  <si>
    <t>systémový rúrkový zachytávač snehu pre profilované rúrky XL (205 x 66 x 303 mm)</t>
  </si>
  <si>
    <t>sneeuwharksysteem XL (205 x 66 x 303 mm)</t>
  </si>
  <si>
    <t>sistem za linijski snegolov XL (205x66x303 mm)</t>
  </si>
  <si>
    <t>snöräckessystem XL (205 x 66 x 303 mm)</t>
  </si>
  <si>
    <t>snegittersystem XL (205 x 66 x 303 mm)</t>
  </si>
  <si>
    <t>snøfangersystem XL (205 x 66 x 303 mm)</t>
  </si>
  <si>
    <t>sustav rešetkastog snjegobrana XL (205 x 66 x 303 mm)</t>
  </si>
  <si>
    <t>Haken für Schneerechensystem XL, inkl. Befestigungsmaterial</t>
  </si>
  <si>
    <t>Abschluss XL für Schneerechensystem</t>
  </si>
  <si>
    <t>XL end piece for pipe-style snow guard system</t>
  </si>
  <si>
    <t>Embout de système pare-neige XL</t>
  </si>
  <si>
    <t>Testata per tubolare fermaneve XL</t>
  </si>
  <si>
    <t>Ukončení zábrany profilované trubky XL</t>
  </si>
  <si>
    <t>element wykończeniowy do barier śniegowych XL</t>
  </si>
  <si>
    <t>hófogórúd rendszer záróelem XL</t>
  </si>
  <si>
    <t>ukončovací prvok zachytávača snehu pre profilované rúrky XL</t>
  </si>
  <si>
    <t>sneeuwharksysteem afsluiting XL</t>
  </si>
  <si>
    <t>zaključek za linijski snegolov XL</t>
  </si>
  <si>
    <t>snöräckessystem slutstycke XL</t>
  </si>
  <si>
    <t>snegittersystem afslutning XL</t>
  </si>
  <si>
    <t>snøfangersystem endestykke XL</t>
  </si>
  <si>
    <t>završetak sustava rešetkastog snjegobrana XL</t>
  </si>
  <si>
    <t>Abschluss für Schneerechensystem XL</t>
  </si>
  <si>
    <t>2,8/25 (1 kg = ca. 570 St.)</t>
  </si>
  <si>
    <t>28/25 (1 kg = env. 570)</t>
  </si>
  <si>
    <t>2,8/25 (1 Kg = ca. 570 Pz.)</t>
  </si>
  <si>
    <t>28/25 (1 kg = cca. 570 kom.)</t>
  </si>
  <si>
    <t>2,8/30 (1 kg = ca. 480 St.)</t>
  </si>
  <si>
    <t>28/30 (1 kg = env. 480)</t>
  </si>
  <si>
    <t>2,8/30 (1 Kg = ca. 480 Pz.)</t>
  </si>
  <si>
    <t>28/30 (1 kg = cca. 480 kom.)</t>
  </si>
  <si>
    <t>2,8/40 (1 kg = ca. 380 St.)</t>
  </si>
  <si>
    <t>28/40 (1 kg = env. 380)</t>
  </si>
  <si>
    <t>2,8/40 (1 Kg = ca. 380 Pz.)</t>
  </si>
  <si>
    <t>28/40 (1 kg = cca. 380 kom.)</t>
  </si>
  <si>
    <t>Länge 26 mm (3.200 Stk/Karton)</t>
  </si>
  <si>
    <t>Longueur : 26 mm (3 200 par carton)</t>
  </si>
  <si>
    <t>Duljina 26 mm (3.200 kom./kutija)</t>
  </si>
  <si>
    <t>Länge 35 mm (2.400 Stk/Karton)</t>
  </si>
  <si>
    <t>Longueur : 35 mm (2 400 par carton)</t>
  </si>
  <si>
    <t>Duljina 35 mm (2.400 kom./kutija)</t>
  </si>
  <si>
    <t>Länge 26 mm (3.200 Stk/Karton) NIRO</t>
  </si>
  <si>
    <t>Longueur : 26 mm (3 200 par carton), inox</t>
  </si>
  <si>
    <t>Duljina 26 mm (3.200 kom./kutija) nehrđajući</t>
  </si>
  <si>
    <t>(4,5 x 45 mm, 250 Stk/Pkt)</t>
  </si>
  <si>
    <t>(4,5 × 45 mm, 250 par paquet)</t>
  </si>
  <si>
    <t>(4,5 x 45 mm, 250 kom./pak.)</t>
  </si>
  <si>
    <t>(4,5 × 45 mm, 250 par paquet, aluminium naturel)</t>
  </si>
  <si>
    <t>(4,5 x 45 mm, 250 kom./pak. prirodni aluminij)</t>
  </si>
  <si>
    <t>(4,5 × 60 mm, 100 par paquet)</t>
  </si>
  <si>
    <t>(4,5 x 60 mm, 100 kom./pak.)</t>
  </si>
  <si>
    <t>(4,5 x 60 mm, 100 Stk/Pkt, blank)</t>
  </si>
  <si>
    <t>(4,5 × 60 mm, 100 par paquet, aluminium naturel)</t>
  </si>
  <si>
    <t>(4,5 x 60 mm, 100 kom./pak. prirodni aluminij)</t>
  </si>
  <si>
    <t>0,7 × 500 mm</t>
  </si>
  <si>
    <t>0,7 × 650 mm</t>
  </si>
  <si>
    <t>0,7 × 1 000 mm</t>
  </si>
  <si>
    <t>1 500 mm</t>
  </si>
  <si>
    <t>3 000 mm</t>
  </si>
  <si>
    <t>60 ø × 3 000 mm</t>
  </si>
  <si>
    <t>100 ø 700-1 100 mm</t>
  </si>
  <si>
    <t>Froschmaulluke stucco für DS.19</t>
  </si>
  <si>
    <t>frog-mouth vent, stucco, for DS.19</t>
  </si>
  <si>
    <t>chatière pour bardeaux, stucco, pour DS.19</t>
  </si>
  <si>
    <t>Bocchetta aerazione goffrata per DS.19</t>
  </si>
  <si>
    <t>Odvětrávací haubna stucco pro DS.19</t>
  </si>
  <si>
    <t>Wywietrznik dla DS.19</t>
  </si>
  <si>
    <t>pontszellőző stukkó DS.19</t>
  </si>
  <si>
    <t>odvetrávací stucco DS.19</t>
  </si>
  <si>
    <t>žabji zračnik stucco za DS.19</t>
  </si>
  <si>
    <t>halvmåneformad kåpa stuckatur för DS.19</t>
  </si>
  <si>
    <t>frømundsluge stucco til DS.19</t>
  </si>
  <si>
    <t>froskemunnsformet luke stucco for DS.19</t>
  </si>
  <si>
    <t>pojedinačni odzračnik stucco za krovnu DS.19</t>
  </si>
  <si>
    <t>Froschmaulluke stucco für R.16</t>
  </si>
  <si>
    <t>frog-mouth vent, stucco, for R.16</t>
  </si>
  <si>
    <t>chatière pour bardeaux, stucco, pour R.16</t>
  </si>
  <si>
    <t>Bocchetta aerazione goffrata per R.16</t>
  </si>
  <si>
    <t>Odvětrávací haubna stucco pro R.16</t>
  </si>
  <si>
    <t>Wywietrznik dla R.16</t>
  </si>
  <si>
    <t>pontszellőző stukkó R.16</t>
  </si>
  <si>
    <t>odvetrávací stucco R.16</t>
  </si>
  <si>
    <t>žabji zračnik stucco za R.16</t>
  </si>
  <si>
    <t>halvmåneformad kåpa stuckatur för R.16</t>
  </si>
  <si>
    <t>frømundsluge stucco til R.16</t>
  </si>
  <si>
    <t>froskemunnsformet luke stucco for R.16</t>
  </si>
  <si>
    <t>pojedinačni odzračnik stucco za krovnu R.16</t>
  </si>
  <si>
    <t>Froschmaulluke stucco für DR29x29</t>
  </si>
  <si>
    <t>frog-mouth vent, stucco, for DR29x29</t>
  </si>
  <si>
    <t>chatière pour bardeaux, stucco, pour DR29x29</t>
  </si>
  <si>
    <t>Bocchetta aerazione goffrata per Scaglia 29</t>
  </si>
  <si>
    <t>Odvětrávací haubna stucco pro DR29x29</t>
  </si>
  <si>
    <t>Wywietrznik dla DR29x29</t>
  </si>
  <si>
    <t>pontszellőző stukkó DR29x29</t>
  </si>
  <si>
    <t>odvetrávací stucco DR29x29</t>
  </si>
  <si>
    <t>žabji zračnik stucco za DR29x29</t>
  </si>
  <si>
    <t>halvmåneformad kåpa stuckatur för DR29x29</t>
  </si>
  <si>
    <t>frømundsluge stucco til DR29x29</t>
  </si>
  <si>
    <t>froskemunnsformet luke stucco for DR29x29</t>
  </si>
  <si>
    <t>pojedinačni odzračnik stucco za krovnu DR29x29</t>
  </si>
  <si>
    <t>Froschmaulluke stucco für DR44x44</t>
  </si>
  <si>
    <t>frog-mouth vent, stucco, for DR44x44</t>
  </si>
  <si>
    <t>chatière pour bardeaux, stucco, pour DR44x44</t>
  </si>
  <si>
    <t>Bocchetta aerazione goffrata per Scaglia 44</t>
  </si>
  <si>
    <t>Odvětrávací haubna stucco pro DR44x44</t>
  </si>
  <si>
    <t>Wywietrznik dla DR44x44</t>
  </si>
  <si>
    <t>pontszellőző stukkó DR44x44</t>
  </si>
  <si>
    <t>odvetrávací stucco DR44x44</t>
  </si>
  <si>
    <t>žabji zračnik stucco za DR44x44</t>
  </si>
  <si>
    <t>halvmåneformad kåpa stuckatur för DR44x44</t>
  </si>
  <si>
    <t>frømundsluge stucco til DR44x44</t>
  </si>
  <si>
    <t>froskemunnsformet luke stucco for DR44x44</t>
  </si>
  <si>
    <t>pojedinačni odzračnik stucco za krovnu DR44x44</t>
  </si>
  <si>
    <t>Holzrahmen (Innenmaß: 595x595 mm)</t>
  </si>
  <si>
    <t>Châssis en bois (Mesure intérieure: 595x595 mm)</t>
  </si>
  <si>
    <t>Rama wyłazowa drewniana wymiar wewnętrzny 595x595 mm)</t>
  </si>
  <si>
    <t>Fakeret (belső méret: 595x595 mm)</t>
  </si>
  <si>
    <t>Drevený rám (vnútorný rozmer: 595x595 mm)</t>
  </si>
  <si>
    <t>HOUTEN OMRANDING (595x595 mm)</t>
  </si>
  <si>
    <t>TRÄRAM (invändigt mått:
595×595 mm)</t>
  </si>
  <si>
    <t>TRÆRAMME
indvendigt mål:
595×595 mm</t>
  </si>
  <si>
    <t>TRERAMME
innvendig mål:
595×595 mm</t>
  </si>
  <si>
    <t>Drveni okvir (unutarnja mjera: 595x595 mm)</t>
  </si>
  <si>
    <t>Gel sigillante per aggraffature in sacchetto di alluminio</t>
  </si>
  <si>
    <t>Laufstegstütze für Falzdächer</t>
  </si>
  <si>
    <t>support de chemin de circulation (pour chemins de circulation)</t>
  </si>
  <si>
    <t>nosač stepenice</t>
  </si>
  <si>
    <t>Dachrinne 3 m</t>
  </si>
  <si>
    <t>aluminium gutter with protective film on the outside 3 m</t>
  </si>
  <si>
    <t>gouttière en aluminium avec film de protection (face extérieure) 3 m</t>
  </si>
  <si>
    <t>Canali di gronda 3 m</t>
  </si>
  <si>
    <t>Hliníkový žlab s ochranou folií na vnější straně 3 m</t>
  </si>
  <si>
    <t>rynna z folią ochronną na zewnątrz 3 m</t>
  </si>
  <si>
    <t>alumínium függő ereszcsatorna külső védőfóliával 3 m</t>
  </si>
  <si>
    <t>hliníkový polkruhový žľab s ochrannou fóliou na vonkajšej strane 3 m</t>
  </si>
  <si>
    <t>aluminium dakgoot met beschermfolie buiten 3 m</t>
  </si>
  <si>
    <t>aluminajsti strešni žleb z zaščitno folino na zun. Strani 3 m</t>
  </si>
  <si>
    <t>takränna av aluminium med utvändig skyddsfolie 3 m</t>
  </si>
  <si>
    <t>aluminium tagrende med udvendig beskyttelsesfolie 3 m</t>
  </si>
  <si>
    <t>takrenne i aluminium med utvendig beskyttelsesfolie 3 m</t>
  </si>
  <si>
    <t>aluminijski krovni žlijeb sa zaštitnom folijom izvana 3 m</t>
  </si>
  <si>
    <t>Dachrinne 5 m</t>
  </si>
  <si>
    <t>aluminium gutter with protective film on the outside 5 m</t>
  </si>
  <si>
    <t>gouttière en aluminium avec film de protection (face extérieure) 5 m</t>
  </si>
  <si>
    <t>Canali di gronda 5 m</t>
  </si>
  <si>
    <t>Hliníkový žlab s ochranou folií na vnější straně 5 m</t>
  </si>
  <si>
    <t>rynna z folią ochronną na zewnątrz 5 m</t>
  </si>
  <si>
    <t>alumínium függő ereszcsatorna külső védőfóliával 5 m</t>
  </si>
  <si>
    <t>hliníkový polkruhový žľab s ochrannou fóliou na vonkajšej strane  5 m</t>
  </si>
  <si>
    <t>aluminium dakgoot met beschermfolie buiten 5 m</t>
  </si>
  <si>
    <t>aluminajsti strešni žleb z zaščitno folino na zun. Strani 5 m</t>
  </si>
  <si>
    <t>takränna av aluminium med utvändig skyddsfolie 5 m</t>
  </si>
  <si>
    <t>aluminium tagrende med udvendig beskyttelsesfolie 5 m</t>
  </si>
  <si>
    <t>takrenne i aluminium med utvendig beskyttelsesfolie 5 m</t>
  </si>
  <si>
    <t>aluminijski krovni žlijeb sa zaštitnom folijom izvana 5 m</t>
  </si>
  <si>
    <t>Dachrinne 6 m</t>
  </si>
  <si>
    <t>aluminium gutter with protective film on the outside 6 m</t>
  </si>
  <si>
    <t>gouttière en aluminium avec film de protection (face extérieure) 6 m</t>
  </si>
  <si>
    <t>Canali di gronda 6 m</t>
  </si>
  <si>
    <t>Hliníkový žlab s ochranou folií na vnější straně 6 m</t>
  </si>
  <si>
    <t>rynna z folią ochronną na zewnątrz 6 m</t>
  </si>
  <si>
    <t>alumínium függő ereszcsatorna külső védőfóliával 6 m</t>
  </si>
  <si>
    <t>hliníkový polkruhový žľab s ochrannou fóliou na vonkajšej strane  6 m</t>
  </si>
  <si>
    <t>aluminium dakgoot met beschermfolie buiten 6 m</t>
  </si>
  <si>
    <t>aluminajsti strešni žleb z zaščitno folino na zun. Strani 6 m</t>
  </si>
  <si>
    <t>takränna av aluminium med utvändig skyddsfolie 6 m</t>
  </si>
  <si>
    <t>aluminium tagrende med udvendig beskyttelsesfolie 6 m</t>
  </si>
  <si>
    <t>takrenne i aluminium med utvendig beskyttelsesfolie 6 m</t>
  </si>
  <si>
    <t>aluminijski krovni žlijeb sa zaštitnom folijom izvana 6 m</t>
  </si>
  <si>
    <t>Kastenrinne 3 m</t>
  </si>
  <si>
    <t>aluminium box gutter 3 m</t>
  </si>
  <si>
    <t>gouttière carrée en aluminium 3 m</t>
  </si>
  <si>
    <t>Canale quadro di gronda 3 m</t>
  </si>
  <si>
    <t>Hliníkový žlab hranatý 3 m</t>
  </si>
  <si>
    <t>Rynna kwadratowa ? 3 m</t>
  </si>
  <si>
    <t>alumínium négyszögszelvényű ereszcsatorna 3 m</t>
  </si>
  <si>
    <t>hliníkový hranatý žľab 3 m</t>
  </si>
  <si>
    <t>aluminium bakgoot 3 m</t>
  </si>
  <si>
    <t>pravokotni žleb 3 m</t>
  </si>
  <si>
    <t>lådränna av aluminium 3 m</t>
  </si>
  <si>
    <t>aluminiumskasserende 3 m</t>
  </si>
  <si>
    <t>firkantrenne i aluminium 3 m</t>
  </si>
  <si>
    <t>aluminijski sandučasti žlijeb 3 m</t>
  </si>
  <si>
    <t>Kastenrinne 5 m</t>
  </si>
  <si>
    <t>aluminium box gutter  5 m</t>
  </si>
  <si>
    <t>gouttière carrée en aluminium 5 m</t>
  </si>
  <si>
    <t>Canale quadro di gronda 5 m</t>
  </si>
  <si>
    <t>Hliníkový žlab hranatý 5 m</t>
  </si>
  <si>
    <t>Rynna prostokątna 6 m</t>
  </si>
  <si>
    <t>alumínium négyszögszelvényű ereszcsatorna 5 m</t>
  </si>
  <si>
    <t>hliníkový hranatý žľab 5 m</t>
  </si>
  <si>
    <t>aluminium bakgoot 5 m</t>
  </si>
  <si>
    <t>pravokotni žleb 5 m</t>
  </si>
  <si>
    <t>lådränna av aluminium 5 m</t>
  </si>
  <si>
    <t>aluminiumskasserende 5 m</t>
  </si>
  <si>
    <t>firkantrenne i aluminium 5 m</t>
  </si>
  <si>
    <t>aluminijski sandučasti žlijeb 5 m</t>
  </si>
  <si>
    <t>Kastenrinne 6 m</t>
  </si>
  <si>
    <t>aluminium box gutter  6 m</t>
  </si>
  <si>
    <t>gouttière carrée en aluminium 6 m</t>
  </si>
  <si>
    <t>Canale quadro di gronda 6 m</t>
  </si>
  <si>
    <t>Hliníkový žlab hranatý 6 m</t>
  </si>
  <si>
    <t>Rynna kwadratowa ? 6 m</t>
  </si>
  <si>
    <t>alumínium négyszögszelvényű ereszcsatorna 6 m</t>
  </si>
  <si>
    <t>hliníkový hranatý žľab 6 m</t>
  </si>
  <si>
    <t>aluminium bakgoot 6 m</t>
  </si>
  <si>
    <t>pravokotni žleb 6 m</t>
  </si>
  <si>
    <t>lådränna av aluminium 6 m</t>
  </si>
  <si>
    <t>aluminiumskasserende 6 m</t>
  </si>
  <si>
    <t>firkantrenne i aluminium 6 m</t>
  </si>
  <si>
    <t>aluminijski sandučasti žlijeb 6 m</t>
  </si>
  <si>
    <t>Hinweis: Angebotsgültigkeit 1 Monat; Lieferzeit auf Anfrage; kein Montagematerial enthalten</t>
  </si>
  <si>
    <t>Note: Offer valid for 1 month; delivery time upon request; assembly materials not included.</t>
  </si>
  <si>
    <t>Remarque : Offre valable pendant 1 mois ; délai de livraison sur demande ; matériel de montage non inclus.</t>
  </si>
  <si>
    <t>Nota: Offerta valida per 1 mese; tempo di consegna su richiesta; materiale di montaggio non incluso.</t>
  </si>
  <si>
    <t>Poznámka: Platnost nabídky 1 měsíc; dodací lhůta na vyžádání; montážní materiál není součástí.</t>
  </si>
  <si>
    <t>Uwaga: Oferta ważna przez 1 miesiąc; Czas dostawy na zapytanie; brak materiałów montażowych w zestawie</t>
  </si>
  <si>
    <t>Megjegyzés: Ajánlat érvényes 1 hónapig; szállítási idő kérésre; összeszereléshez szükséges anyag nem tartalmazza.</t>
  </si>
  <si>
    <t>Poznámka: Platnosť ponuky 1 mesiac; dodací termín na vyžiadanie; montážny materiál nie je zahrnutý.</t>
  </si>
  <si>
    <t>Opmerking: Aanbieding geldig voor 1 maand; levertijd op aanvraag; montage materiaal niet inbegrepen.</t>
  </si>
  <si>
    <t>Opomba: Ponudba velja 1 mesec; čas dostave po naročilu; montažni material ni vključen.</t>
  </si>
  <si>
    <t>Obs: Erbjudandet gäller i 1 månad; leveranstid på begäran; monteringsmaterial ingår ej.</t>
  </si>
  <si>
    <t>Bemærk: Tilbuddet er gyldigt i 1 måned; leveringstid efter anmodning; monteringsmateriale medfølger ikke.</t>
  </si>
  <si>
    <t>Merk: Tilbudet er gyldig i 1 måned; leveringstid på forespørsel; monteringsmateriale er ikke inkludert.</t>
  </si>
  <si>
    <t>Napomena: Ponuda vrijedi 1 mjesec; rok isporuke na zahtjev; montažni materijal nije uključen.</t>
  </si>
  <si>
    <t>Selbstbohrschraube Stahl - UK</t>
  </si>
  <si>
    <t>self-drilling screw steel sub-structure framework</t>
  </si>
  <si>
    <t>Vis autoperceuse acier - UK</t>
  </si>
  <si>
    <t>Vite autoforante per sottostruttura in acciaio</t>
  </si>
  <si>
    <t>Befestigungsmittel für Strangpressprofile auf Aluminium-Unterkonstruktion</t>
  </si>
  <si>
    <t>fasteners for extruded profiles on aluminium sub-structure framework</t>
  </si>
  <si>
    <t>Moyenne de fixation pour profilés extrudés sur sous-structure en aluminium</t>
  </si>
  <si>
    <t>Materiale di fissaggio per profili estrusi su sottostruttura in alluminio</t>
  </si>
  <si>
    <t>Taurus-BEF-10 auf Fußteilen</t>
  </si>
  <si>
    <t>Taurus-BEF-10 according on mounts</t>
  </si>
  <si>
    <t>Taurus-BEF-10 monté sur platines</t>
  </si>
  <si>
    <t>Taurus-BEF-10 su basi di fissaggio</t>
  </si>
  <si>
    <t>Taurus-BEF-10 na kruhových podložkách</t>
  </si>
  <si>
    <t>Taurus-BEF-10</t>
  </si>
  <si>
    <t>Taurus-BEF-10 na kruhových podperách</t>
  </si>
  <si>
    <t>Taurus-BEF-10 op voetdelen</t>
  </si>
  <si>
    <t>Taurus-BEF-10 na podložnih elementih</t>
  </si>
  <si>
    <t>Taurus-BEF-10 på understycken</t>
  </si>
  <si>
    <t>Taurus-BEF-10 på foddele</t>
  </si>
  <si>
    <t>Taurus-BEF-10 på underdeler</t>
  </si>
  <si>
    <t>Taurus-BEF-10 na stopama</t>
  </si>
  <si>
    <t>Einzelanschlagspunkt auf Fußteilen</t>
  </si>
  <si>
    <t>single anchor point according on mounts</t>
  </si>
  <si>
    <t>point d’ancrage unique monté sur platines</t>
  </si>
  <si>
    <t>Punto di ancoraggio singolo su basi di fissaggio</t>
  </si>
  <si>
    <t>EAP kotvící zařízení na kruhových podložkách</t>
  </si>
  <si>
    <t>kotviaci bod na kruhových podperách</t>
  </si>
  <si>
    <t>Enkel bevestigingspunt op voetdelen</t>
  </si>
  <si>
    <t>Ena sidrna točka na podložnih elementih</t>
  </si>
  <si>
    <t>enkel ankarpunkt på understycken</t>
  </si>
  <si>
    <t>Enkelt ankerpunkt på foddele</t>
  </si>
  <si>
    <t>Enkeltstående anslagspunkt på underdeler</t>
  </si>
  <si>
    <t>Jedna točka sidrenja na stopama</t>
  </si>
  <si>
    <t>Magazinschrauber für Hafte geschraubt</t>
  </si>
  <si>
    <t>Magazine screwdriver for clips screwed</t>
  </si>
  <si>
    <t>Tournevis de magazine pour pattes de fixation vissé</t>
  </si>
  <si>
    <t>Avvitatore con caricatore viti per Graffette avvitate</t>
  </si>
  <si>
    <t>Časopisový šroubovák pro příponky šroubovaný</t>
  </si>
  <si>
    <t>Śrubokręt magazynowy do Zaczep przykręcony</t>
  </si>
  <si>
    <t>Magazin csavarhúzóhoz Hafter becsavart</t>
  </si>
  <si>
    <t>Magazínový skrutkovač pre príponky skrutkovaný</t>
  </si>
  <si>
    <t>Magazineschroevendraaier voor Schachten vastgeschroefd</t>
  </si>
  <si>
    <t>Vijak za revijo za Pritrditev privezan z vijaki</t>
  </si>
  <si>
    <t>Magasinskruvdragare för fästen skruvad</t>
  </si>
  <si>
    <t>Magasinskruetrækker til Hæftning skruet</t>
  </si>
  <si>
    <t>Magasinskruetrekker for Hefte skrudd</t>
  </si>
  <si>
    <t>Magazinski odvijač za Učvršćivači sjeban</t>
  </si>
  <si>
    <t>Magazinschrauben für Hafte</t>
  </si>
  <si>
    <t>magazine screws for clips</t>
  </si>
  <si>
    <t>vis de magazine pour pattes de fixation vissé</t>
  </si>
  <si>
    <t>Caricatore viti per Graffette</t>
  </si>
  <si>
    <t>šrouby do časopisu pro příponky šroubovaný</t>
  </si>
  <si>
    <t>śruby magazynowe do Zaczep przykręcony</t>
  </si>
  <si>
    <t>magazin csavarok Hafter becsavart</t>
  </si>
  <si>
    <t>skrutky do časopisu pre príponky skrutkovaný</t>
  </si>
  <si>
    <t>magazineschroeven voor Schachten vastgeschroefd</t>
  </si>
  <si>
    <t>vijaki za revijo za Pritrditev privezan z vijaki</t>
  </si>
  <si>
    <t>tidningsskruvar för fästen skruvad</t>
  </si>
  <si>
    <t>magasinskruer til Hæftning skruet</t>
  </si>
  <si>
    <t>magasinskruer for Hefte skrudd</t>
  </si>
  <si>
    <t>vijci za časopise za Učvršćivači sjeban</t>
  </si>
  <si>
    <t>Spezialbits</t>
  </si>
  <si>
    <t>special bits</t>
  </si>
  <si>
    <t>bit spécial</t>
  </si>
  <si>
    <t>Bit speciale</t>
  </si>
  <si>
    <t>speciální bit</t>
  </si>
  <si>
    <t>specjalny bit</t>
  </si>
  <si>
    <t>speciális bit</t>
  </si>
  <si>
    <t>špeciálny bit</t>
  </si>
  <si>
    <t>speciale bit</t>
  </si>
  <si>
    <t>poseben bit</t>
  </si>
  <si>
    <t>speciell bit</t>
  </si>
  <si>
    <t>speciel bit</t>
  </si>
  <si>
    <t>spesiell bit</t>
  </si>
  <si>
    <t>poseban bit</t>
  </si>
  <si>
    <t>Gocciolatoio (Lunghezza 2500mm)</t>
  </si>
  <si>
    <t>Projekt-ID:</t>
  </si>
  <si>
    <t>Project-ID:</t>
  </si>
  <si>
    <t>Projet-ID:</t>
  </si>
  <si>
    <t>Progetto-ID:</t>
  </si>
  <si>
    <t>Prosjekt-ID:</t>
  </si>
  <si>
    <t>Lastenermittlung:</t>
  </si>
  <si>
    <t>Determinazione del carico:</t>
  </si>
  <si>
    <t>Standort:</t>
  </si>
  <si>
    <t>Location:</t>
  </si>
  <si>
    <t>Emplacement :</t>
  </si>
  <si>
    <t>Posizione:</t>
  </si>
  <si>
    <t>Poloha:</t>
  </si>
  <si>
    <t>Lokalizacja:</t>
  </si>
  <si>
    <t>Helyszín:</t>
  </si>
  <si>
    <t>Locatie:</t>
  </si>
  <si>
    <t>Lokacija:</t>
  </si>
  <si>
    <t>Plats:</t>
  </si>
  <si>
    <t>Placering:</t>
  </si>
  <si>
    <t>Plassering:</t>
  </si>
  <si>
    <t>Maximaler Grundwert:</t>
  </si>
  <si>
    <t>Maximum base value:</t>
  </si>
  <si>
    <t>Valeur de base maximale :</t>
  </si>
  <si>
    <t>Valore di base massimo:</t>
  </si>
  <si>
    <t>Maximální základní hodnota:</t>
  </si>
  <si>
    <t>Maksymalna wartość podstawowa:</t>
  </si>
  <si>
    <t>Maximális alapérték:</t>
  </si>
  <si>
    <t>Maximálna základná hodnota:</t>
  </si>
  <si>
    <t>Maximale basiswaarde:</t>
  </si>
  <si>
    <t>Maksimalna osnovna vrednost:</t>
  </si>
  <si>
    <t>Maximalt basvärde:</t>
  </si>
  <si>
    <t>Maksimalt grundværdi:</t>
  </si>
  <si>
    <t>Maksimal grunnverdi:</t>
  </si>
  <si>
    <t>Maksimalna osnovna vrijednost:</t>
  </si>
  <si>
    <t>Dachgeometrie:</t>
  </si>
  <si>
    <t>Roof geometry:</t>
  </si>
  <si>
    <t>Géométrie du toit :</t>
  </si>
  <si>
    <t>Geometria del tetto:</t>
  </si>
  <si>
    <t>Střešní geometrie:</t>
  </si>
  <si>
    <t>Geometria dachu:</t>
  </si>
  <si>
    <t>Tető geometria:</t>
  </si>
  <si>
    <t>Geometria strechy:</t>
  </si>
  <si>
    <t>Dakgeometrie:</t>
  </si>
  <si>
    <t>Geometrija strehe:</t>
  </si>
  <si>
    <t>Takgeometri:</t>
  </si>
  <si>
    <t>Taggeometri:</t>
  </si>
  <si>
    <t>Geometrija krova:</t>
  </si>
  <si>
    <t>Dachschneelasten:</t>
  </si>
  <si>
    <t>Roof snow loads:</t>
  </si>
  <si>
    <t>Charges de neige sur le toit :</t>
  </si>
  <si>
    <t>Carico neve sul tetto:</t>
  </si>
  <si>
    <t>Sněhové zatížení střechy:</t>
  </si>
  <si>
    <t>Obciążenie śnieżne na dachu:</t>
  </si>
  <si>
    <t>Tetőhómérsékletek:</t>
  </si>
  <si>
    <t>Snežné zaťaženie strechy:</t>
  </si>
  <si>
    <t>Dak sneeuwbelastingen:</t>
  </si>
  <si>
    <t>Snežne obremenitve strehe:</t>
  </si>
  <si>
    <t>Tak snöbelastningar:</t>
  </si>
  <si>
    <t>Tag snebelastninger:</t>
  </si>
  <si>
    <t>Tak snøbelastninger:</t>
  </si>
  <si>
    <t>Snježne opterećenja krova:</t>
  </si>
  <si>
    <t>charakteristische Schneelast</t>
  </si>
  <si>
    <t>characteristic snow load</t>
  </si>
  <si>
    <t>charge de neige caractéristique</t>
  </si>
  <si>
    <t>Carico neve caratteristico</t>
  </si>
  <si>
    <t>charakteristická sněhová zátěž</t>
  </si>
  <si>
    <t>charakterystyczne obciążenie śnieżne</t>
  </si>
  <si>
    <t>jellemző hóterhelés</t>
  </si>
  <si>
    <t>charakteristické snehové zaťaženie</t>
  </si>
  <si>
    <t>karakteristieke sneeuwbelasting</t>
  </si>
  <si>
    <t>značilna snežna obremenitev</t>
  </si>
  <si>
    <t>karaktäristisk snöbelastning</t>
  </si>
  <si>
    <t>karakteristisk snebelastning</t>
  </si>
  <si>
    <t>karakteristisk snølast</t>
  </si>
  <si>
    <t>karakteristično snježno opterećenje</t>
  </si>
  <si>
    <r>
      <t>Dachparallel S</t>
    </r>
    <r>
      <rPr>
        <vertAlign val="subscript"/>
        <sz val="11"/>
        <color theme="1"/>
        <rFont val="Arial"/>
        <family val="2"/>
      </rPr>
      <t>H</t>
    </r>
    <r>
      <rPr>
        <sz val="11"/>
        <color theme="1"/>
        <rFont val="Arial"/>
        <family val="2"/>
      </rPr>
      <t xml:space="preserve"> [kN/m²]:</t>
    </r>
  </si>
  <si>
    <r>
      <t>Roof parallel S</t>
    </r>
    <r>
      <rPr>
        <vertAlign val="subscript"/>
        <sz val="11"/>
        <color theme="1"/>
        <rFont val="Arial"/>
        <family val="2"/>
      </rPr>
      <t>H</t>
    </r>
    <r>
      <rPr>
        <sz val="11"/>
        <color theme="1"/>
        <rFont val="Arial"/>
        <family val="2"/>
      </rPr>
      <t xml:space="preserve"> [kN/m²]:</t>
    </r>
  </si>
  <si>
    <r>
      <t>Parallèle au toit S</t>
    </r>
    <r>
      <rPr>
        <vertAlign val="subscript"/>
        <sz val="11"/>
        <color theme="1"/>
        <rFont val="Arial"/>
        <family val="2"/>
      </rPr>
      <t>H</t>
    </r>
    <r>
      <rPr>
        <sz val="11"/>
        <color theme="1"/>
        <rFont val="Arial"/>
        <family val="2"/>
      </rPr>
      <t xml:space="preserve"> [kN/m²] :</t>
    </r>
  </si>
  <si>
    <r>
      <t>Parallelo del tetto S</t>
    </r>
    <r>
      <rPr>
        <vertAlign val="subscript"/>
        <sz val="11"/>
        <color theme="1"/>
        <rFont val="Arial"/>
        <family val="2"/>
      </rPr>
      <t>H</t>
    </r>
    <r>
      <rPr>
        <sz val="11"/>
        <color theme="1"/>
        <rFont val="Arial"/>
        <family val="2"/>
      </rPr>
      <t xml:space="preserve"> [kN/m²]:</t>
    </r>
  </si>
  <si>
    <r>
      <t>Střešní paralelní S</t>
    </r>
    <r>
      <rPr>
        <vertAlign val="subscript"/>
        <sz val="11"/>
        <color theme="1"/>
        <rFont val="Arial"/>
        <family val="2"/>
      </rPr>
      <t>H</t>
    </r>
    <r>
      <rPr>
        <sz val="11"/>
        <color theme="1"/>
        <rFont val="Arial"/>
        <family val="2"/>
      </rPr>
      <t xml:space="preserve"> [kN/m²]:</t>
    </r>
  </si>
  <si>
    <r>
      <t>Równoległy do dachu S</t>
    </r>
    <r>
      <rPr>
        <vertAlign val="subscript"/>
        <sz val="11"/>
        <color theme="1"/>
        <rFont val="Arial"/>
        <family val="2"/>
      </rPr>
      <t>H</t>
    </r>
    <r>
      <rPr>
        <sz val="11"/>
        <color theme="1"/>
        <rFont val="Arial"/>
        <family val="2"/>
      </rPr>
      <t xml:space="preserve"> [kN/m²]:</t>
    </r>
  </si>
  <si>
    <r>
      <t>Tetővel párhuzamos S</t>
    </r>
    <r>
      <rPr>
        <vertAlign val="subscript"/>
        <sz val="11"/>
        <color theme="1"/>
        <rFont val="Arial"/>
        <family val="2"/>
      </rPr>
      <t>H</t>
    </r>
    <r>
      <rPr>
        <sz val="11"/>
        <color theme="1"/>
        <rFont val="Arial"/>
        <family val="2"/>
      </rPr>
      <t xml:space="preserve"> [kN/m²]:</t>
    </r>
  </si>
  <si>
    <r>
      <t>Paralelný s strechou S</t>
    </r>
    <r>
      <rPr>
        <vertAlign val="subscript"/>
        <sz val="11"/>
        <color theme="1"/>
        <rFont val="Arial"/>
        <family val="2"/>
      </rPr>
      <t>H</t>
    </r>
    <r>
      <rPr>
        <sz val="11"/>
        <color theme="1"/>
        <rFont val="Arial"/>
        <family val="2"/>
      </rPr>
      <t xml:space="preserve"> [kN/m²]:</t>
    </r>
  </si>
  <si>
    <r>
      <t>Dakparallel S</t>
    </r>
    <r>
      <rPr>
        <vertAlign val="subscript"/>
        <sz val="11"/>
        <color theme="1"/>
        <rFont val="Arial"/>
        <family val="2"/>
      </rPr>
      <t>H</t>
    </r>
    <r>
      <rPr>
        <sz val="11"/>
        <color theme="1"/>
        <rFont val="Arial"/>
        <family val="2"/>
      </rPr>
      <t xml:space="preserve"> [kN/m²]:</t>
    </r>
  </si>
  <si>
    <r>
      <t>Streha vzporedno S</t>
    </r>
    <r>
      <rPr>
        <vertAlign val="subscript"/>
        <sz val="11"/>
        <color theme="1"/>
        <rFont val="Arial"/>
        <family val="2"/>
      </rPr>
      <t>H</t>
    </r>
    <r>
      <rPr>
        <sz val="11"/>
        <color theme="1"/>
        <rFont val="Arial"/>
        <family val="2"/>
      </rPr>
      <t xml:space="preserve"> [kN/m²]:</t>
    </r>
  </si>
  <si>
    <r>
      <t>Takparallell S</t>
    </r>
    <r>
      <rPr>
        <vertAlign val="subscript"/>
        <sz val="11"/>
        <color theme="1"/>
        <rFont val="Arial"/>
        <family val="2"/>
      </rPr>
      <t>H</t>
    </r>
    <r>
      <rPr>
        <sz val="11"/>
        <color theme="1"/>
        <rFont val="Arial"/>
        <family val="2"/>
      </rPr>
      <t xml:space="preserve"> [kN/m²]:</t>
    </r>
  </si>
  <si>
    <r>
      <t>Tagparallelt S</t>
    </r>
    <r>
      <rPr>
        <vertAlign val="subscript"/>
        <sz val="11"/>
        <color theme="1"/>
        <rFont val="Arial"/>
        <family val="2"/>
      </rPr>
      <t>H</t>
    </r>
    <r>
      <rPr>
        <sz val="11"/>
        <color theme="1"/>
        <rFont val="Arial"/>
        <family val="2"/>
      </rPr>
      <t xml:space="preserve"> [kN/m²]:</t>
    </r>
  </si>
  <si>
    <r>
      <t>Krovna paralelni S</t>
    </r>
    <r>
      <rPr>
        <vertAlign val="subscript"/>
        <sz val="11"/>
        <color theme="1"/>
        <rFont val="Arial"/>
        <family val="2"/>
      </rPr>
      <t>H</t>
    </r>
    <r>
      <rPr>
        <sz val="11"/>
        <color theme="1"/>
        <rFont val="Arial"/>
        <family val="2"/>
      </rPr>
      <t xml:space="preserve"> [kN/m²]:</t>
    </r>
  </si>
  <si>
    <r>
      <t>Dachnormale S</t>
    </r>
    <r>
      <rPr>
        <vertAlign val="subscript"/>
        <sz val="11"/>
        <color theme="1"/>
        <rFont val="Arial"/>
        <family val="2"/>
      </rPr>
      <t>V</t>
    </r>
    <r>
      <rPr>
        <sz val="11"/>
        <color theme="1"/>
        <rFont val="Arial"/>
        <family val="2"/>
      </rPr>
      <t xml:space="preserve"> [kN/m²]:</t>
    </r>
  </si>
  <si>
    <r>
      <t>Roof normal S</t>
    </r>
    <r>
      <rPr>
        <vertAlign val="subscript"/>
        <sz val="11"/>
        <color theme="1"/>
        <rFont val="Arial"/>
        <family val="2"/>
      </rPr>
      <t>V</t>
    </r>
    <r>
      <rPr>
        <sz val="11"/>
        <color theme="1"/>
        <rFont val="Arial"/>
        <family val="2"/>
      </rPr>
      <t xml:space="preserve"> [kN/m²]:</t>
    </r>
  </si>
  <si>
    <r>
      <t>Normale au toit S</t>
    </r>
    <r>
      <rPr>
        <vertAlign val="subscript"/>
        <sz val="11"/>
        <color theme="1"/>
        <rFont val="Arial"/>
        <family val="2"/>
      </rPr>
      <t>V</t>
    </r>
    <r>
      <rPr>
        <sz val="11"/>
        <color theme="1"/>
        <rFont val="Arial"/>
        <family val="2"/>
      </rPr>
      <t xml:space="preserve"> [kN/m²] :</t>
    </r>
  </si>
  <si>
    <r>
      <t>Normale del tetto S</t>
    </r>
    <r>
      <rPr>
        <vertAlign val="subscript"/>
        <sz val="11"/>
        <color theme="1"/>
        <rFont val="Arial"/>
        <family val="2"/>
      </rPr>
      <t>V</t>
    </r>
    <r>
      <rPr>
        <sz val="11"/>
        <color theme="1"/>
        <rFont val="Arial"/>
        <family val="2"/>
      </rPr>
      <t xml:space="preserve"> [kN/m²]:</t>
    </r>
  </si>
  <si>
    <r>
      <t>Střešní normála S</t>
    </r>
    <r>
      <rPr>
        <vertAlign val="subscript"/>
        <sz val="11"/>
        <color theme="1"/>
        <rFont val="Arial"/>
        <family val="2"/>
      </rPr>
      <t>V</t>
    </r>
    <r>
      <rPr>
        <sz val="11"/>
        <color theme="1"/>
        <rFont val="Arial"/>
        <family val="2"/>
      </rPr>
      <t xml:space="preserve"> [kN/m²]:</t>
    </r>
  </si>
  <si>
    <r>
      <t>Normalna dachu S</t>
    </r>
    <r>
      <rPr>
        <vertAlign val="subscript"/>
        <sz val="11"/>
        <color theme="1"/>
        <rFont val="Arial"/>
        <family val="2"/>
      </rPr>
      <t>V</t>
    </r>
    <r>
      <rPr>
        <sz val="11"/>
        <color theme="1"/>
        <rFont val="Arial"/>
        <family val="2"/>
      </rPr>
      <t xml:space="preserve"> [kN/m²]:</t>
    </r>
  </si>
  <si>
    <r>
      <t>Tető normális S</t>
    </r>
    <r>
      <rPr>
        <vertAlign val="subscript"/>
        <sz val="11"/>
        <color theme="1"/>
        <rFont val="Arial"/>
        <family val="2"/>
      </rPr>
      <t>V</t>
    </r>
    <r>
      <rPr>
        <sz val="11"/>
        <color theme="1"/>
        <rFont val="Arial"/>
        <family val="2"/>
      </rPr>
      <t xml:space="preserve"> [kN/m²]:</t>
    </r>
  </si>
  <si>
    <r>
      <t>Strešná normála S</t>
    </r>
    <r>
      <rPr>
        <vertAlign val="subscript"/>
        <sz val="11"/>
        <color theme="1"/>
        <rFont val="Arial"/>
        <family val="2"/>
      </rPr>
      <t>V</t>
    </r>
    <r>
      <rPr>
        <sz val="11"/>
        <color theme="1"/>
        <rFont val="Arial"/>
        <family val="2"/>
      </rPr>
      <t xml:space="preserve"> [kN/m²]:</t>
    </r>
  </si>
  <si>
    <r>
      <t>Daknormaal S</t>
    </r>
    <r>
      <rPr>
        <vertAlign val="subscript"/>
        <sz val="11"/>
        <color theme="1"/>
        <rFont val="Arial"/>
        <family val="2"/>
      </rPr>
      <t>V</t>
    </r>
    <r>
      <rPr>
        <sz val="11"/>
        <color theme="1"/>
        <rFont val="Arial"/>
        <family val="2"/>
      </rPr>
      <t xml:space="preserve"> [kN/m²]:</t>
    </r>
  </si>
  <si>
    <r>
      <t>Strešna normala S</t>
    </r>
    <r>
      <rPr>
        <vertAlign val="subscript"/>
        <sz val="11"/>
        <color theme="1"/>
        <rFont val="Arial"/>
        <family val="2"/>
      </rPr>
      <t>V</t>
    </r>
    <r>
      <rPr>
        <sz val="11"/>
        <color theme="1"/>
        <rFont val="Arial"/>
        <family val="2"/>
      </rPr>
      <t xml:space="preserve"> [kN/m²]:</t>
    </r>
  </si>
  <si>
    <r>
      <t>Taknormal S</t>
    </r>
    <r>
      <rPr>
        <vertAlign val="subscript"/>
        <sz val="11"/>
        <color theme="1"/>
        <rFont val="Arial"/>
        <family val="2"/>
      </rPr>
      <t>V</t>
    </r>
    <r>
      <rPr>
        <sz val="11"/>
        <color theme="1"/>
        <rFont val="Arial"/>
        <family val="2"/>
      </rPr>
      <t xml:space="preserve"> [kN/m²]:</t>
    </r>
  </si>
  <si>
    <r>
      <t>Tagnormal S</t>
    </r>
    <r>
      <rPr>
        <vertAlign val="subscript"/>
        <sz val="11"/>
        <color theme="1"/>
        <rFont val="Arial"/>
        <family val="2"/>
      </rPr>
      <t>V</t>
    </r>
    <r>
      <rPr>
        <sz val="11"/>
        <color theme="1"/>
        <rFont val="Arial"/>
        <family val="2"/>
      </rPr>
      <t xml:space="preserve"> [kN/m²]:</t>
    </r>
  </si>
  <si>
    <r>
      <t>Krovna normala S</t>
    </r>
    <r>
      <rPr>
        <vertAlign val="subscript"/>
        <sz val="11"/>
        <color theme="1"/>
        <rFont val="Arial"/>
        <family val="2"/>
      </rPr>
      <t>V</t>
    </r>
    <r>
      <rPr>
        <sz val="11"/>
        <color theme="1"/>
        <rFont val="Arial"/>
        <family val="2"/>
      </rPr>
      <t xml:space="preserve"> [kN/m²]:</t>
    </r>
  </si>
  <si>
    <t>Schneeüberhang an der Traufe Se [kN/lfm]:</t>
  </si>
  <si>
    <t>Snow overhang on the eaves Se [kN/lfm]:</t>
  </si>
  <si>
    <t>Surplomb de neige à l'avant-toit Se [kN/lfm]:</t>
  </si>
  <si>
    <t>Sporgenza di neve sulla grondaia Se [kN/lfm]:</t>
  </si>
  <si>
    <t>Sněhový přesah na okapu Se [kN/lfm]:</t>
  </si>
  <si>
    <t>Hókarnis az ereszen Se [kN/lfm]:</t>
  </si>
  <si>
    <t>Hókornis a eresz alatt Se [kN/lfm]:</t>
  </si>
  <si>
    <t>Snežný previs na okap Se [kN/lfm]:</t>
  </si>
  <si>
    <t>Sneeuwoverhang bij de dakrand Se [kN/lfm]:</t>
  </si>
  <si>
    <t>Snežni rob pri žlebu Se [kN/lfm]:</t>
  </si>
  <si>
    <t>Snöutstick vid takfoten Se [kN/lfm]:</t>
  </si>
  <si>
    <t>Sneoverhæng ved tagrenden Se [kN/lfm]:</t>
  </si>
  <si>
    <t>Snøoverheng ved takskjegget Se [kN/lfm]:</t>
  </si>
  <si>
    <t>Snježni vis na strehama Se [kN/lfm]:</t>
  </si>
  <si>
    <t>Schneeüberhang seh [kN/lfm]:</t>
  </si>
  <si>
    <t>Snow overhang seh [kN/lfm]:</t>
  </si>
  <si>
    <t>Surplomb de neige seh [kN/lfm]:</t>
  </si>
  <si>
    <t>Sporgenza di neve seh [kN/lfm]:</t>
  </si>
  <si>
    <t>Sněhový přesah seh [kN/lfm]:</t>
  </si>
  <si>
    <t>Krawędź śnieżna seh [kN/lfm]:</t>
  </si>
  <si>
    <t>Hókornis seh [kN/lfm]:</t>
  </si>
  <si>
    <t>Snežný previs seh [kN/lfm]:</t>
  </si>
  <si>
    <t>Sneeuwoverhang seh [kN/lfm]:</t>
  </si>
  <si>
    <t>Snežni rob seh [kN/lfm]:</t>
  </si>
  <si>
    <t>Snövall seh [kN/lfm]:</t>
  </si>
  <si>
    <t>Sneoverhæng seh [kN/lfm]:</t>
  </si>
  <si>
    <t>Snøoverheng seh [kN/lfm]:</t>
  </si>
  <si>
    <t>Snježni vis seh [kN/lfm]:</t>
  </si>
  <si>
    <t>laut DIN EN 1991-1-3:2023</t>
  </si>
  <si>
    <t>according to DIN EN 1991-1-3:2023</t>
  </si>
  <si>
    <t>selon DIN EN 1991-1-3:2023</t>
  </si>
  <si>
    <t>secondo DIN EN 1991-1-3:2023</t>
  </si>
  <si>
    <t>podle DIN EN 1991-1-3:2023</t>
  </si>
  <si>
    <t>zgodnie z DIN EN 1991-1-3:2023</t>
  </si>
  <si>
    <t>szerint DIN EN 1991-1-3:2023</t>
  </si>
  <si>
    <t>podľa DIN EN 1991-1-3:2023</t>
  </si>
  <si>
    <t>volgens DIN EN 1991-1-3:2023</t>
  </si>
  <si>
    <t>po DIN EN 1991-1-3:2023</t>
  </si>
  <si>
    <t>enligt DIN EN 1991-1-3:2023</t>
  </si>
  <si>
    <t>ifølge DIN EN 1991-1-3:2023</t>
  </si>
  <si>
    <t>i henhold tilDIN EN 1991-1-3:2023</t>
  </si>
  <si>
    <t>prema DIN EN 1991-1-3:2023</t>
  </si>
  <si>
    <t>laut EN 1991-1-3:2003</t>
  </si>
  <si>
    <t>according to EN 1991-1-3:2003</t>
  </si>
  <si>
    <t>selon EN 1991-1-3:2003</t>
  </si>
  <si>
    <t>secondo EN 1991-1-3:2003</t>
  </si>
  <si>
    <t>podle EN 1991-1-3:2003</t>
  </si>
  <si>
    <t>zgodnie z EN 1991-1-3:2003</t>
  </si>
  <si>
    <t>szerint EN 1991-1-3:2003</t>
  </si>
  <si>
    <t>podľa EN 1991-1-3:2003</t>
  </si>
  <si>
    <t>volgens EN 1991-1-3:2003</t>
  </si>
  <si>
    <t>po EN 1991-1-3:2003</t>
  </si>
  <si>
    <t>enligt EN 1991-1-3:2003</t>
  </si>
  <si>
    <t>ifølge EN 1991-1-3:2003</t>
  </si>
  <si>
    <t>i henhold tilEN 1991-1-3:2003</t>
  </si>
  <si>
    <t>prema EN 1991-1-3:2003</t>
  </si>
  <si>
    <t>laut SIA 261</t>
  </si>
  <si>
    <t>according to SIA 261</t>
  </si>
  <si>
    <t>selon SIA 261</t>
  </si>
  <si>
    <t>secondo SIA 261</t>
  </si>
  <si>
    <t>podle SIA 261</t>
  </si>
  <si>
    <t>zgodnie z SIA 261</t>
  </si>
  <si>
    <t>szerint SIA 261</t>
  </si>
  <si>
    <t>podľa SIA 261</t>
  </si>
  <si>
    <t>volgens SIA 261</t>
  </si>
  <si>
    <t>po SIA 261</t>
  </si>
  <si>
    <t>enligt SIA 261</t>
  </si>
  <si>
    <t>ifølge SIA 261</t>
  </si>
  <si>
    <t>i henhold tilSIA 261</t>
  </si>
  <si>
    <t>prema SIA 261</t>
  </si>
  <si>
    <t>Nachweis in der Fläche:</t>
  </si>
  <si>
    <t>Rilevamento della superficie</t>
  </si>
  <si>
    <t>Ausfräsungen Dammbalken</t>
  </si>
  <si>
    <t>Abdeckkappe aus Kunststoff</t>
  </si>
  <si>
    <t>protective plastic cap</t>
  </si>
  <si>
    <t>cache en plastique</t>
  </si>
  <si>
    <t>Abdeckung V 25</t>
  </si>
  <si>
    <t>cover V 25</t>
  </si>
  <si>
    <t>cache de protection V 25</t>
  </si>
  <si>
    <t>Abdeckung V 50</t>
  </si>
  <si>
    <t>cover V 50</t>
  </si>
  <si>
    <t>cache de protection V 50</t>
  </si>
  <si>
    <t>Abdeckung V 80</t>
  </si>
  <si>
    <t>cover V 80</t>
  </si>
  <si>
    <t>cache de protection V 80</t>
  </si>
  <si>
    <t>Abdeckung VO 25</t>
  </si>
  <si>
    <t>cover VO 25</t>
  </si>
  <si>
    <t>cache de protection VO 25</t>
  </si>
  <si>
    <t>Abdeckung VO 50</t>
  </si>
  <si>
    <t>cover VO 50</t>
  </si>
  <si>
    <t>cache de protection VO 50</t>
  </si>
  <si>
    <t>Abdeckung VO 80</t>
  </si>
  <si>
    <t>cover VO 80</t>
  </si>
  <si>
    <t>cache de protection VO 80</t>
  </si>
  <si>
    <t>Ablaufstutzen exzentrisch</t>
  </si>
  <si>
    <t>eccentric downpipe</t>
  </si>
  <si>
    <t>naissance excentrée</t>
  </si>
  <si>
    <t>Abschluss</t>
  </si>
  <si>
    <t>junction</t>
  </si>
  <si>
    <t>solin</t>
  </si>
  <si>
    <t>Abschlüsse</t>
  </si>
  <si>
    <t>junctions</t>
  </si>
  <si>
    <t>solins</t>
  </si>
  <si>
    <t>Abschlussprofil geklebt (zweiteilig)</t>
  </si>
  <si>
    <t>end profile glued (two parts)</t>
  </si>
  <si>
    <t>profil de fin collé (deux éléments)</t>
  </si>
  <si>
    <t>Abstand zur Rückwand</t>
  </si>
  <si>
    <t>distance to rear wall</t>
  </si>
  <si>
    <t>écartement par rapport au mur</t>
  </si>
  <si>
    <t>abwitternd</t>
  </si>
  <si>
    <t>weathered</t>
  </si>
  <si>
    <t>Adapterdüse</t>
  </si>
  <si>
    <t>adapter nozzle</t>
  </si>
  <si>
    <t>allgemeine Verkaufs- und Lieferbedingungen</t>
  </si>
  <si>
    <t>general terms and conditions of sale and delivery</t>
  </si>
  <si>
    <t>conditions générales de vente et de livraison</t>
  </si>
  <si>
    <t>Altstadtrot</t>
  </si>
  <si>
    <t>victorian brick red</t>
  </si>
  <si>
    <t>rose Toulouse</t>
  </si>
  <si>
    <t>Aluminium gebürstet</t>
  </si>
  <si>
    <t>brushed aluminium</t>
  </si>
  <si>
    <t>aluminium brossé</t>
  </si>
  <si>
    <t>Aluminium mit Edelstahl-Dorn</t>
  </si>
  <si>
    <t>aluminium with stainless steel pin</t>
  </si>
  <si>
    <t>Aluminium und EPDM-Gummi</t>
  </si>
  <si>
    <t>aluminium and EPDM rubber</t>
  </si>
  <si>
    <t>aluminium et caoutchouc EPDM</t>
  </si>
  <si>
    <t>Aluminiumband</t>
  </si>
  <si>
    <t>aluminium coil</t>
  </si>
  <si>
    <t>Aluminiumbänder</t>
  </si>
  <si>
    <t>aluminium coils</t>
  </si>
  <si>
    <t>bandes d’aluminium</t>
  </si>
  <si>
    <t>Aluminiumeindeckung</t>
  </si>
  <si>
    <t>aluminium covering</t>
  </si>
  <si>
    <t>Aluminiumlegierung</t>
  </si>
  <si>
    <t>aluminium alloy</t>
  </si>
  <si>
    <t>Aluminiumlötstäbe (Packung)</t>
  </si>
  <si>
    <t>aluminium welding rods (package)</t>
  </si>
  <si>
    <t>baguettes de soudure en aluminium (paquet)</t>
  </si>
  <si>
    <t>Aluminiumunterkonstruktion</t>
  </si>
  <si>
    <t>aluminium sub-structure framework</t>
  </si>
  <si>
    <t>sous-construction en aluminium</t>
  </si>
  <si>
    <t>Anfertigung auf Bestellung</t>
  </si>
  <si>
    <t>made to order</t>
  </si>
  <si>
    <t>fabrication sur commande</t>
  </si>
  <si>
    <t>Anfertigung laut Stückliste</t>
  </si>
  <si>
    <t>prepared according to parts list</t>
  </si>
  <si>
    <t>fabrication selon la nomenclature</t>
  </si>
  <si>
    <t>Anthrazitgrau</t>
  </si>
  <si>
    <t>anthracite grey</t>
  </si>
  <si>
    <t>gris anthracite</t>
  </si>
  <si>
    <t>Antriebsgerät Makita</t>
  </si>
  <si>
    <t>Makita cordless drill</t>
  </si>
  <si>
    <t>moteur Makita</t>
  </si>
  <si>
    <t>Anzahl</t>
  </si>
  <si>
    <t>number</t>
  </si>
  <si>
    <t xml:space="preserve">nombre </t>
  </si>
  <si>
    <t>Art.-Nr.</t>
  </si>
  <si>
    <t>Aufnahme für Halteklemme</t>
  </si>
  <si>
    <t>fixing rail for fasteners</t>
  </si>
  <si>
    <t>Aufpreis für Ausfräsung Wandprofil</t>
  </si>
  <si>
    <t>surcharge for wall profile cut-out</t>
  </si>
  <si>
    <t>supplément pour fraisage du profil mural</t>
  </si>
  <si>
    <t>Aufpreis für Längenänderung</t>
  </si>
  <si>
    <t>surcharge for changing lengths</t>
  </si>
  <si>
    <t>supplément pour modification de longueur</t>
  </si>
  <si>
    <t>Aufsatz</t>
  </si>
  <si>
    <t>attachment</t>
  </si>
  <si>
    <t>accessoire</t>
  </si>
  <si>
    <t>Aufsatz für magazinierte Schrauben</t>
  </si>
  <si>
    <t>attachment for magazined screws</t>
  </si>
  <si>
    <t>accessoire pour rail de vis</t>
  </si>
  <si>
    <t>Auftragsabwicklung</t>
  </si>
  <si>
    <t>order processing</t>
  </si>
  <si>
    <t>traitement des commandes</t>
  </si>
  <si>
    <t>Ausführung in Naturblank</t>
  </si>
  <si>
    <t>design in plain aluminium</t>
  </si>
  <si>
    <t>finition aluminium naturel</t>
  </si>
  <si>
    <t>Ausführung in P.10</t>
  </si>
  <si>
    <t>design in P.10</t>
  </si>
  <si>
    <t>réalisation en P.10</t>
  </si>
  <si>
    <t>Ausladung</t>
  </si>
  <si>
    <t>projection</t>
  </si>
  <si>
    <t xml:space="preserve">Ausnutzung </t>
  </si>
  <si>
    <t xml:space="preserve">utilisation </t>
  </si>
  <si>
    <t xml:space="preserve">charge statique </t>
  </si>
  <si>
    <t>Außendurchmesser</t>
  </si>
  <si>
    <t>outer diameter</t>
  </si>
  <si>
    <t>diamètre extérieur</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</si>
  <si>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</si>
  <si>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</si>
  <si>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</si>
  <si>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</si>
  <si>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</si>
  <si>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</si>
  <si>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</si>
  <si>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</si>
  <si>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</si>
  <si>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</si>
  <si>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</si>
  <si>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Außenecke (mehrteilig)</t>
  </si>
  <si>
    <t>external corner (in several parts)</t>
  </si>
  <si>
    <t>Außenwulst</t>
  </si>
  <si>
    <t>outer bead</t>
  </si>
  <si>
    <t>boudin extérieur</t>
  </si>
  <si>
    <t>Außenwulst und Innenumbug</t>
  </si>
  <si>
    <t>outer bead and inner fold</t>
  </si>
  <si>
    <t>boudin extérieur et repli intérieur</t>
  </si>
  <si>
    <t>Azurblau</t>
  </si>
  <si>
    <t>azure blue</t>
  </si>
  <si>
    <t>bleu azur</t>
  </si>
  <si>
    <t>Band</t>
  </si>
  <si>
    <t>coil</t>
  </si>
  <si>
    <t>bandbeschichtet</t>
  </si>
  <si>
    <t>coil-coated</t>
  </si>
  <si>
    <t>Bandbreite</t>
  </si>
  <si>
    <t>coil width</t>
  </si>
  <si>
    <t>largeur des bandes</t>
  </si>
  <si>
    <t>Bänder</t>
  </si>
  <si>
    <t>coils</t>
  </si>
  <si>
    <t>bandes</t>
  </si>
  <si>
    <t>Bänder und Bleche</t>
  </si>
  <si>
    <t>coils and metal sheets</t>
  </si>
  <si>
    <t>bandes et feuilles</t>
  </si>
  <si>
    <t>Befestigung mit Rillennägeln</t>
  </si>
  <si>
    <t>fastening with ring shank nails</t>
  </si>
  <si>
    <t>fixation avec clous annelés</t>
  </si>
  <si>
    <t>Befestigung mit Schrauben</t>
  </si>
  <si>
    <t>fastening with screws</t>
  </si>
  <si>
    <t>fixation avec vis</t>
  </si>
  <si>
    <t>Befestigung und Saumstreifen</t>
  </si>
  <si>
    <t>fastening and starter strips</t>
  </si>
  <si>
    <t>Befestigung und Zubehör</t>
  </si>
  <si>
    <t>fastening and accessories</t>
  </si>
  <si>
    <t>fixation et accessoires</t>
  </si>
  <si>
    <t>Befestigung von Taurus-Rail</t>
  </si>
  <si>
    <t>fastening Taurus rails</t>
  </si>
  <si>
    <t>Befestigungsmittel</t>
  </si>
  <si>
    <t>élément de fixation</t>
  </si>
  <si>
    <t>Befestigungsmittel für Strangpressprofile</t>
  </si>
  <si>
    <t>fasteners for extruded profiles</t>
  </si>
  <si>
    <t>beidseitig bandbeschichtet</t>
  </si>
  <si>
    <t>coil-coated on both sides</t>
  </si>
  <si>
    <t>prélaqués des deux côtés</t>
  </si>
  <si>
    <t>beidseitig schraubbar</t>
  </si>
  <si>
    <t>screwable on both sides</t>
  </si>
  <si>
    <t>Beige-grau</t>
  </si>
  <si>
    <t>grey oak</t>
  </si>
  <si>
    <t>Biegebank</t>
  </si>
  <si>
    <t>folding bench</t>
  </si>
  <si>
    <t>banc de pliage</t>
  </si>
  <si>
    <t>Bit TX 25</t>
  </si>
  <si>
    <t>embout de vissage TX 25</t>
  </si>
  <si>
    <t>Bit TX 25×50 mm</t>
  </si>
  <si>
    <t>Bit TX 25×50 mm</t>
  </si>
  <si>
    <t>embout de vissage TX 25×50 mm</t>
  </si>
  <si>
    <t>Bitumentrennlage</t>
  </si>
  <si>
    <t>bituminous separation layer</t>
  </si>
  <si>
    <t>blanke Aluminiumlegierung</t>
  </si>
  <si>
    <t>uncoated aluminium alloy</t>
  </si>
  <si>
    <t>alliage d’aluminium (sans revêtement)</t>
  </si>
  <si>
    <t>Blech</t>
  </si>
  <si>
    <t>metal sheet</t>
  </si>
  <si>
    <t>Bleche</t>
  </si>
  <si>
    <t>metal sheets</t>
  </si>
  <si>
    <t>feuilles</t>
  </si>
  <si>
    <t>Blende</t>
  </si>
  <si>
    <t>cover plate</t>
  </si>
  <si>
    <t>Bodendichtung</t>
  </si>
  <si>
    <t>ground seal</t>
  </si>
  <si>
    <t>joint au sol</t>
  </si>
  <si>
    <t>Bodenhülse (groß)</t>
  </si>
  <si>
    <t>large ground sleeve</t>
  </si>
  <si>
    <t>grande douille de sol</t>
  </si>
  <si>
    <t>Bohrkapazität</t>
  </si>
  <si>
    <t>drilling capacity</t>
  </si>
  <si>
    <t>capacité de perçage</t>
  </si>
  <si>
    <t>Bohrkapazität T</t>
  </si>
  <si>
    <t>drilling capacity t</t>
  </si>
  <si>
    <t>Bohrloch</t>
  </si>
  <si>
    <t>bore hole</t>
  </si>
  <si>
    <t>Bohrung</t>
  </si>
  <si>
    <t>hole</t>
  </si>
  <si>
    <t>Braun</t>
  </si>
  <si>
    <t>brown</t>
  </si>
  <si>
    <t>brun</t>
  </si>
  <si>
    <t>Brillantmetallic</t>
  </si>
  <si>
    <t>bright metallic</t>
  </si>
  <si>
    <t>métallique brillant</t>
  </si>
  <si>
    <t>Bronze</t>
  </si>
  <si>
    <t>bronze</t>
  </si>
  <si>
    <t>Bull Tack Power</t>
  </si>
  <si>
    <t>Bull Tack Power Nagler</t>
  </si>
  <si>
    <t>Bull Tack Power nail gun</t>
  </si>
  <si>
    <t>cloueuse Bull Tack Power</t>
  </si>
  <si>
    <t>Coil Coat</t>
  </si>
  <si>
    <t>coil coat</t>
  </si>
  <si>
    <t>Coil Coating</t>
  </si>
  <si>
    <t>coil coating</t>
  </si>
  <si>
    <t>Coil-Coating-Einbrennlackierung HDCC</t>
  </si>
  <si>
    <t>coil coating HDCC</t>
  </si>
  <si>
    <t>prélaquage HDCC</t>
  </si>
  <si>
    <t>Dach- und Fassadenflächen</t>
  </si>
  <si>
    <t>roof and façade areas</t>
  </si>
  <si>
    <t>surfaces de toiture ou façade</t>
  </si>
  <si>
    <t>Dach- und Fassadensysteme</t>
  </si>
  <si>
    <t>roof and façade systems</t>
  </si>
  <si>
    <t>Dachfenster</t>
  </si>
  <si>
    <t>roof window</t>
  </si>
  <si>
    <t>fenêtre de toit</t>
  </si>
  <si>
    <t>Dachknick</t>
  </si>
  <si>
    <t>roof break</t>
  </si>
  <si>
    <t xml:space="preserve">ligne de bris </t>
  </si>
  <si>
    <t>Dachluke</t>
  </si>
  <si>
    <t>roof hatch</t>
  </si>
  <si>
    <t>tabatière</t>
  </si>
  <si>
    <t>Dachlukendeckel und Holzrahmen</t>
  </si>
  <si>
    <t>roof hatch cover and wooden frame</t>
  </si>
  <si>
    <t>ouvrant de tabatière et châssis en bois</t>
  </si>
  <si>
    <t>Dachneigungen</t>
  </si>
  <si>
    <t>roof pitches</t>
  </si>
  <si>
    <t>Dachpaneel</t>
  </si>
  <si>
    <t>roof panel</t>
  </si>
  <si>
    <t>panneau de toiture</t>
  </si>
  <si>
    <t>Dachpaneel FX.12 (groß)</t>
  </si>
  <si>
    <t>FX.12 roof panel (large)</t>
  </si>
  <si>
    <t>grand panneau de toiture FX.12</t>
  </si>
  <si>
    <t>Dachpaneel FX.12 (klein)</t>
  </si>
  <si>
    <t>FX.12 roof panel (small)</t>
  </si>
  <si>
    <t>petit panneau de toiture FX.12</t>
  </si>
  <si>
    <t>Dachplatten</t>
  </si>
  <si>
    <t>roof tiles</t>
  </si>
  <si>
    <t>Dachraute</t>
  </si>
  <si>
    <t>rhomboid roof tile</t>
  </si>
  <si>
    <t>losange de toiture</t>
  </si>
  <si>
    <t>Dachsicherheit</t>
  </si>
  <si>
    <t>roof safety</t>
  </si>
  <si>
    <t>sécurité sur le toit</t>
  </si>
  <si>
    <t>Dachsystem</t>
  </si>
  <si>
    <t>roof system</t>
  </si>
  <si>
    <t>système de toit</t>
  </si>
  <si>
    <t>Dammbalken 25/200</t>
  </si>
  <si>
    <t>barrier panels 25/200</t>
  </si>
  <si>
    <t>batardeau 25/200</t>
  </si>
  <si>
    <t>Dammbalken 50/150</t>
  </si>
  <si>
    <t>barrier panels 50/150</t>
  </si>
  <si>
    <t>batardeau 50/150</t>
  </si>
  <si>
    <t>Dammbalken 50/200</t>
  </si>
  <si>
    <t>barrier panels 50/200</t>
  </si>
  <si>
    <t>batardeau 50/200</t>
  </si>
  <si>
    <t>Dammbalken 80/200</t>
  </si>
  <si>
    <t>barrier panels 80/200</t>
  </si>
  <si>
    <t>batardeau 80/200</t>
  </si>
  <si>
    <t>Dammbalkendichtung</t>
  </si>
  <si>
    <t>barrier panel seal</t>
  </si>
  <si>
    <t>joint de batardeau</t>
  </si>
  <si>
    <t>Dammbalkenhöhe</t>
  </si>
  <si>
    <t>height of barrier panels</t>
  </si>
  <si>
    <t>hauteur des batardeaux</t>
  </si>
  <si>
    <t>Deckel und Bodenhülse</t>
  </si>
  <si>
    <t>cover and ground sleeve</t>
  </si>
  <si>
    <t>couvercle et douille de sol</t>
  </si>
  <si>
    <t>Dichtbandeinlage</t>
  </si>
  <si>
    <t xml:space="preserve">Dichtmittel </t>
  </si>
  <si>
    <t xml:space="preserve">sealant </t>
  </si>
  <si>
    <t>garniture d’étanchéité</t>
  </si>
  <si>
    <t>Dichtung</t>
  </si>
  <si>
    <t>seal</t>
  </si>
  <si>
    <t>Dichtung für Deckel und Bodenhülse</t>
  </si>
  <si>
    <t>seal for cover and ground sleeve</t>
  </si>
  <si>
    <t>joint pour couvercle et douille de sol</t>
  </si>
  <si>
    <t>Dichtungsroller</t>
  </si>
  <si>
    <t>pressure roller</t>
  </si>
  <si>
    <t>rouleau de pression</t>
  </si>
  <si>
    <t>Dose</t>
  </si>
  <si>
    <t>can</t>
  </si>
  <si>
    <t>Durchdringung</t>
  </si>
  <si>
    <t>penetration</t>
  </si>
  <si>
    <t>Durchdringungen</t>
  </si>
  <si>
    <t>penetrations</t>
  </si>
  <si>
    <t>pénétrations</t>
  </si>
  <si>
    <t>Durchdringungen und Einfassungen</t>
  </si>
  <si>
    <t>penetrations and vents</t>
  </si>
  <si>
    <t>pénétrations et raccordements</t>
  </si>
  <si>
    <t>Durchdringungen und Entlüftungen</t>
  </si>
  <si>
    <t>pénétrations et systèmes de ventilation</t>
  </si>
  <si>
    <t>Durchmesser</t>
  </si>
  <si>
    <t>diameter</t>
  </si>
  <si>
    <t>diamètre</t>
  </si>
  <si>
    <t>Durchzugsöffnung</t>
  </si>
  <si>
    <t>pull-through opening</t>
  </si>
  <si>
    <t>Durchzugsöffnungen</t>
  </si>
  <si>
    <t>pull-through openings</t>
  </si>
  <si>
    <t>ouvertures d'aération</t>
  </si>
  <si>
    <t>Eckprofil</t>
  </si>
  <si>
    <t>corner profile</t>
  </si>
  <si>
    <t>profil d’angle</t>
  </si>
  <si>
    <t>Eckverbinder 90°</t>
  </si>
  <si>
    <t>corner connector 90°</t>
  </si>
  <si>
    <t>pièce d’assemblage d’angle 90°</t>
  </si>
  <si>
    <t>Edelstahl mit Edelstahl-Dorn</t>
  </si>
  <si>
    <t>stainless steel with stainless steel pin</t>
  </si>
  <si>
    <t>Edelstahl und Kunststoff</t>
  </si>
  <si>
    <t>stainless steel and plastic</t>
  </si>
  <si>
    <t>acier inoxydable et plastique</t>
  </si>
  <si>
    <t>Einbautiefe im tragenden Untergrund</t>
  </si>
  <si>
    <t>installation depth in the supporting structure</t>
  </si>
  <si>
    <t>Einfassung</t>
  </si>
  <si>
    <t>flashing</t>
  </si>
  <si>
    <t>abergement</t>
  </si>
  <si>
    <t>Einfassung Vario</t>
  </si>
  <si>
    <t>Vario flashing</t>
  </si>
  <si>
    <t>abergement Vario</t>
  </si>
  <si>
    <t>Einfassungen</t>
  </si>
  <si>
    <t>flashings</t>
  </si>
  <si>
    <t>raccordements</t>
  </si>
  <si>
    <t>Einfassungsplatte</t>
  </si>
  <si>
    <t>vent pipe cover</t>
  </si>
  <si>
    <t>raccordement de ventilation</t>
  </si>
  <si>
    <t>Einfassungsplatte für FX.12, glatt</t>
  </si>
  <si>
    <t>vent pipe cover for FX.12, smooth</t>
  </si>
  <si>
    <t>Einfassungsplatte für R.16, stucco</t>
  </si>
  <si>
    <t>vent pipe cover for R.16, stucco</t>
  </si>
  <si>
    <t>Einhangfalz</t>
  </si>
  <si>
    <t>flat lock welt</t>
  </si>
  <si>
    <t>accrochage par emboîtement </t>
  </si>
  <si>
    <t>Einlegeprofile</t>
  </si>
  <si>
    <t>insert profiles</t>
  </si>
  <si>
    <t>barres pare-neige</t>
  </si>
  <si>
    <t>einseitig selbstklebend</t>
  </si>
  <si>
    <t>self-adhesive on one side</t>
  </si>
  <si>
    <t>un côté adhésif</t>
  </si>
  <si>
    <t>Eloxalbraun</t>
  </si>
  <si>
    <t>anodic brown</t>
  </si>
  <si>
    <t>brun anodisé</t>
  </si>
  <si>
    <t>Endklemme</t>
  </si>
  <si>
    <t>end clamp</t>
  </si>
  <si>
    <t>borne de fin</t>
  </si>
  <si>
    <t>Endklemme blank</t>
  </si>
  <si>
    <t>end clamp uncoated</t>
  </si>
  <si>
    <t>borne de fin aluminium naturel</t>
  </si>
  <si>
    <t>Endklemme schwarz eloxiert</t>
  </si>
  <si>
    <t>end clamp black anodised</t>
  </si>
  <si>
    <t>borne de fin anodisé noir</t>
  </si>
  <si>
    <t>Endplatte</t>
  </si>
  <si>
    <t>end plate</t>
  </si>
  <si>
    <t>Endplatte für Wandraute</t>
  </si>
  <si>
    <t>end plate for rhomboid façade tile</t>
  </si>
  <si>
    <t>Endplatte für Wandraute 29 × 29</t>
  </si>
  <si>
    <t>end plate for rhomboid façade tile 29 × 29</t>
  </si>
  <si>
    <t>demi-losange de fin 29 × 29 (façade)</t>
  </si>
  <si>
    <t>Endplatte für Wandraute 44 × 44</t>
  </si>
  <si>
    <t>end plate for rhomboid façade tile 44 × 44</t>
  </si>
  <si>
    <t>demi-losange de fin 44 × 44 (façade)</t>
  </si>
  <si>
    <t>entgratet</t>
  </si>
  <si>
    <t>deburred</t>
  </si>
  <si>
    <t>ébavuré</t>
  </si>
  <si>
    <t>Entlüftungen</t>
  </si>
  <si>
    <t>vents</t>
  </si>
  <si>
    <t>systèmes de ventilation</t>
  </si>
  <si>
    <t>Entlüftungshaube</t>
  </si>
  <si>
    <t>ventilation cap</t>
  </si>
  <si>
    <t>raccordement d’aération</t>
  </si>
  <si>
    <t>Entlüftungsrohr</t>
  </si>
  <si>
    <t>ventilation pipe</t>
  </si>
  <si>
    <t>tuyau de ventilation</t>
  </si>
  <si>
    <t>Enzianblau</t>
  </si>
  <si>
    <t>gentian blue</t>
  </si>
  <si>
    <t>bleu gentiane</t>
  </si>
  <si>
    <t>EPDM-Dichtung</t>
  </si>
  <si>
    <t>EPDM seal</t>
  </si>
  <si>
    <t>EPDM-Gummi</t>
  </si>
  <si>
    <t>EPDM rubber</t>
  </si>
  <si>
    <t>caoutchouc EPDM</t>
  </si>
  <si>
    <t>Erfahrung</t>
  </si>
  <si>
    <t>experience</t>
  </si>
  <si>
    <t>Ersatzteil für Deckel und Bodenhülse</t>
  </si>
  <si>
    <t>replacement part for cover and ground sleeve</t>
  </si>
  <si>
    <t>pièce de rechange pour couvercle et douille de sol</t>
  </si>
  <si>
    <t>exkl. Befestigungsmaterial</t>
  </si>
  <si>
    <t>without fixing material</t>
  </si>
  <si>
    <t>matériel de fixation non compris</t>
  </si>
  <si>
    <t>exkl. Dichtung</t>
  </si>
  <si>
    <t>without seal</t>
  </si>
  <si>
    <t>fourni sans joint</t>
  </si>
  <si>
    <t>exzentrisch</t>
  </si>
  <si>
    <t>eccentric</t>
  </si>
  <si>
    <t>excentrée</t>
  </si>
  <si>
    <t>Faltmanschette</t>
  </si>
  <si>
    <t>flexible pipe collar</t>
  </si>
  <si>
    <t>soufflet plissé</t>
  </si>
  <si>
    <t>Faltmanschette 100</t>
  </si>
  <si>
    <t>flexible pipe collar 100</t>
  </si>
  <si>
    <t>soufflet plissé 100</t>
  </si>
  <si>
    <t>Falz</t>
  </si>
  <si>
    <t>fold</t>
  </si>
  <si>
    <t>FALZONAL</t>
  </si>
  <si>
    <t>FALZONAL Farbaluminiumband</t>
  </si>
  <si>
    <t>FALZONAL colour aluminium coil</t>
  </si>
  <si>
    <t>FALZONAL bande d’aluminium coloré</t>
  </si>
  <si>
    <t>Falzqualität</t>
  </si>
  <si>
    <t>fold quality</t>
  </si>
  <si>
    <t>Farbaluminiumband</t>
  </si>
  <si>
    <t>colour aluminium coil</t>
  </si>
  <si>
    <t>bande d’aluminium coloré</t>
  </si>
  <si>
    <t>Farbaluminiumband in Polyesterqualität</t>
  </si>
  <si>
    <t>colour aluminium coil in polyester quality</t>
  </si>
  <si>
    <t>Farbaluminiumblech</t>
  </si>
  <si>
    <t>colour aluminium sheet</t>
  </si>
  <si>
    <t>feuille d’aluminium coloré</t>
  </si>
  <si>
    <t>Farbaluminiumblech in Polyesterqualität</t>
  </si>
  <si>
    <t>colour aluminium sheet in polyester quality</t>
  </si>
  <si>
    <t>feuille d’aluminium coloré en qualité polyester</t>
  </si>
  <si>
    <t>Farbe der Abdeckkappe</t>
  </si>
  <si>
    <t>protective cap colour</t>
  </si>
  <si>
    <t>couleur du cache</t>
  </si>
  <si>
    <t>Farben</t>
  </si>
  <si>
    <t>colours</t>
  </si>
  <si>
    <t>couleurs</t>
  </si>
  <si>
    <t>Farbgruppe</t>
  </si>
  <si>
    <t>colour group</t>
  </si>
  <si>
    <t>groupe de couleurs</t>
  </si>
  <si>
    <t>Farbsortiment</t>
  </si>
  <si>
    <t>colour range</t>
  </si>
  <si>
    <t>gamme de couleurs</t>
  </si>
  <si>
    <t>Farbtabelle</t>
  </si>
  <si>
    <t>colour table</t>
  </si>
  <si>
    <t>Farbunterschied</t>
  </si>
  <si>
    <t>colour difference</t>
  </si>
  <si>
    <t>Fassade</t>
  </si>
  <si>
    <t>façade</t>
  </si>
  <si>
    <t>Fassadenergänzung</t>
  </si>
  <si>
    <t>complementary façade coils</t>
  </si>
  <si>
    <t>complément de façade</t>
  </si>
  <si>
    <t>Fassadenergänzungsband</t>
  </si>
  <si>
    <t>bande complémentaire pour façades</t>
  </si>
  <si>
    <t>Fassadenergänzungstafelblech</t>
  </si>
  <si>
    <t>complementary façade metal sheet</t>
  </si>
  <si>
    <t>Fassadenergänzungstafelbleche</t>
  </si>
  <si>
    <t>complementary façade metal sheets</t>
  </si>
  <si>
    <t>feuilles complémentaires de façade</t>
  </si>
  <si>
    <t>Fassadenfläche</t>
  </si>
  <si>
    <t>façade area</t>
  </si>
  <si>
    <t>Fassadenpaneel FX.12 (groß)</t>
  </si>
  <si>
    <t>FX.12 façade panel (large)</t>
  </si>
  <si>
    <t>grand panneau de façade FX.12</t>
  </si>
  <si>
    <t>Fassadenpaneel FX.12 (klein)</t>
  </si>
  <si>
    <t>FX.12 façade panel (small)</t>
  </si>
  <si>
    <t>petit panneau de façade FX.12</t>
  </si>
  <si>
    <t>Fassadenschraube für Holzunterkonstruktion</t>
  </si>
  <si>
    <t>façade screw for timber sub-structure framework</t>
  </si>
  <si>
    <t>vis de façade pour les sous-constructions bois</t>
  </si>
  <si>
    <t>Fassadensystem</t>
  </si>
  <si>
    <t>façade system</t>
  </si>
  <si>
    <t>Fassadenzentrierdichtring</t>
  </si>
  <si>
    <t>façade-centring joint</t>
  </si>
  <si>
    <t>Fenstereinfassungen</t>
  </si>
  <si>
    <t>window surrounds</t>
  </si>
  <si>
    <t>Fenstereinfassungen für Roto</t>
  </si>
  <si>
    <t>Roto window surrounds</t>
  </si>
  <si>
    <t>entourages pour fenêtres Roto</t>
  </si>
  <si>
    <t>Fenstereinfassungen für RotoQ-Serie</t>
  </si>
  <si>
    <t>window surrounds for RotoQ series</t>
  </si>
  <si>
    <t>Fenstereinfassungen für Velux</t>
  </si>
  <si>
    <t>Velux window surrounds</t>
  </si>
  <si>
    <t>entourages pour fenêtres Velux</t>
  </si>
  <si>
    <t>Festpunkthülse</t>
  </si>
  <si>
    <t>fixed point bushing</t>
  </si>
  <si>
    <t>douille de guidage</t>
  </si>
  <si>
    <t>Festpunkthülse für Fassadenniete</t>
  </si>
  <si>
    <t>fixed point bushing for façade rivets</t>
  </si>
  <si>
    <t>douille de guidage pour point fixe</t>
  </si>
  <si>
    <t>Festpunkthülse für Fixpunkt</t>
  </si>
  <si>
    <t>fixed point bushing for fixed point</t>
  </si>
  <si>
    <t>feuerverzinkt</t>
  </si>
  <si>
    <t>hot-dip galvanized</t>
  </si>
  <si>
    <t>feuerverzinkter Stahl</t>
  </si>
  <si>
    <t>hot-dip galvanized steel</t>
  </si>
  <si>
    <t>acier galvanisé à chaud</t>
  </si>
  <si>
    <t>Flächendichtung</t>
  </si>
  <si>
    <t>surface seal</t>
  </si>
  <si>
    <t>Flachprofil</t>
  </si>
  <si>
    <t>flat profile</t>
  </si>
  <si>
    <t>profil plat</t>
  </si>
  <si>
    <t>Flachprofil für Kaminhutstrebe</t>
  </si>
  <si>
    <t>flat profile for chimney cap leg</t>
  </si>
  <si>
    <t>Folie</t>
  </si>
  <si>
    <t>film</t>
  </si>
  <si>
    <t>FR-Kern</t>
  </si>
  <si>
    <t>FR core</t>
  </si>
  <si>
    <t>âme FR</t>
  </si>
  <si>
    <t>Froschmaulluke für Dachpaneel FX.12 (groß)</t>
  </si>
  <si>
    <t>frog-mouth vent for FX.12 roof panel (large)</t>
  </si>
  <si>
    <t>chatière pour panneau de toiture FX.12 (grand)</t>
  </si>
  <si>
    <t>Froschmaulluke für Dachpaneel FX.12 (klein)</t>
  </si>
  <si>
    <t>frog-mouth vent for FX.12 roof panel (small)</t>
  </si>
  <si>
    <t>Froschmaulluke für Dachplatte</t>
  </si>
  <si>
    <t>frog-mouth vent for roof tile</t>
  </si>
  <si>
    <t>chatière pour tuile</t>
  </si>
  <si>
    <t>Froschmaulluke für Dachplatte R.16</t>
  </si>
  <si>
    <t>frog-mouth vent for R.16 roof tile</t>
  </si>
  <si>
    <t>chatière pour R.16</t>
  </si>
  <si>
    <t>Froschmaulluke für Dachraute 29 x 29</t>
  </si>
  <si>
    <t>frog-mouth vent for rhomboid roof tile 29 x 29</t>
  </si>
  <si>
    <t>Froschmaulluke für Dachraute 44 x 44</t>
  </si>
  <si>
    <t>frog-mouth vent for rhomboid roof tile 44 x 44</t>
  </si>
  <si>
    <t>Froschmaulluke für Dachschindel</t>
  </si>
  <si>
    <t>frog-mouth vent for shingles</t>
  </si>
  <si>
    <t>chatière pour bardeau</t>
  </si>
  <si>
    <t>Froschmaulluke für Dachschindel DS.19</t>
  </si>
  <si>
    <t>frog-mouth vent for DS.19 shingle</t>
  </si>
  <si>
    <t>chatière pour bardeau DS.19</t>
  </si>
  <si>
    <t>für verdeckte Montage</t>
  </si>
  <si>
    <t>for concealed installation</t>
  </si>
  <si>
    <t>Fußteile</t>
  </si>
  <si>
    <t>mounts</t>
  </si>
  <si>
    <t>Fußteile mit Flächendichtung</t>
  </si>
  <si>
    <t>mounts with surface sealant</t>
  </si>
  <si>
    <t>Gaubenformen</t>
  </si>
  <si>
    <t>dormer shapes</t>
  </si>
  <si>
    <t>gebohrt und entgratet</t>
  </si>
  <si>
    <t>drilled and deburred</t>
  </si>
  <si>
    <t>percé et ébavuré</t>
  </si>
  <si>
    <t>Gebrauchsmuster</t>
  </si>
  <si>
    <t>utility model</t>
  </si>
  <si>
    <t>gefalzt</t>
  </si>
  <si>
    <t>welted</t>
  </si>
  <si>
    <t>gefräst</t>
  </si>
  <si>
    <t>milled</t>
  </si>
  <si>
    <t>fraisé</t>
  </si>
  <si>
    <t>gefräst und entgratet</t>
  </si>
  <si>
    <t>milled and deburred</t>
  </si>
  <si>
    <t>fraisé et ébavuré</t>
  </si>
  <si>
    <t>gelochter Bereich</t>
  </si>
  <si>
    <t>perforated surface</t>
  </si>
  <si>
    <t>genagelt</t>
  </si>
  <si>
    <t>nailed</t>
  </si>
  <si>
    <t>geprüft für die Sicherung von zwei Personen</t>
  </si>
  <si>
    <t>tested for securing of two persons</t>
  </si>
  <si>
    <t>sécurité approuvée pour deux personnes</t>
  </si>
  <si>
    <t>gesägt</t>
  </si>
  <si>
    <t>sawn</t>
  </si>
  <si>
    <t>scié</t>
  </si>
  <si>
    <t>gesägt und entgratet</t>
  </si>
  <si>
    <t>sawn and deburred</t>
  </si>
  <si>
    <t>scié et ébavuré</t>
  </si>
  <si>
    <t>Gesamthöhe</t>
  </si>
  <si>
    <t>total height</t>
  </si>
  <si>
    <t>hauteur totale</t>
  </si>
  <si>
    <t>Gesamtlänge</t>
  </si>
  <si>
    <t>total length</t>
  </si>
  <si>
    <t>geschraubt</t>
  </si>
  <si>
    <t>screwed</t>
  </si>
  <si>
    <t>gesenkt</t>
  </si>
  <si>
    <t>sunken</t>
  </si>
  <si>
    <t>gesenktes Schraubloch</t>
  </si>
  <si>
    <t>sunken screw hole</t>
  </si>
  <si>
    <t>Gewicht</t>
  </si>
  <si>
    <t>weight</t>
  </si>
  <si>
    <t>Gewicht pro Tafel</t>
  </si>
  <si>
    <t>weight per sheet</t>
  </si>
  <si>
    <t>poids d’une feuille</t>
  </si>
  <si>
    <t>Gewinde</t>
  </si>
  <si>
    <t>thread</t>
  </si>
  <si>
    <t>filetage</t>
  </si>
  <si>
    <t>Gewinde ohne Dorn</t>
  </si>
  <si>
    <t>thread without pin</t>
  </si>
  <si>
    <t>Ginstergelb</t>
  </si>
  <si>
    <t>broom yellow</t>
  </si>
  <si>
    <t>jaune genêt</t>
  </si>
  <si>
    <t>glatt mit Folie</t>
  </si>
  <si>
    <t>smooth with film coating</t>
  </si>
  <si>
    <t>lisse + feuille de protection</t>
  </si>
  <si>
    <t xml:space="preserve">Gleithaft </t>
  </si>
  <si>
    <t xml:space="preserve">sliding clip </t>
  </si>
  <si>
    <t>Gleithaft für Profilwelle und Zackenprofil</t>
  </si>
  <si>
    <t>sliding clip for ripple profile and serrated profile</t>
  </si>
  <si>
    <t>patte de fixation coulissante pour profil sinus et profil triangle</t>
  </si>
  <si>
    <t>Gleitpunkthülse</t>
  </si>
  <si>
    <t>sliding point bushing</t>
  </si>
  <si>
    <t>Gratreiter</t>
  </si>
  <si>
    <t>hip cap</t>
  </si>
  <si>
    <t>Gratreitervorkopf</t>
  </si>
  <si>
    <t>hip cap end cap</t>
  </si>
  <si>
    <t>about d’arêtier</t>
  </si>
  <si>
    <t>Graugrün</t>
  </si>
  <si>
    <t>grey-green</t>
  </si>
  <si>
    <t>vert pâle</t>
  </si>
  <si>
    <t xml:space="preserve">Grundprofil </t>
  </si>
  <si>
    <t>base profile</t>
  </si>
  <si>
    <t>Grundprofil 25</t>
  </si>
  <si>
    <t>base profile 25</t>
  </si>
  <si>
    <t>profil en applique 25</t>
  </si>
  <si>
    <t>Grundprofil 50</t>
  </si>
  <si>
    <t>base profile 50</t>
  </si>
  <si>
    <t>profil en applique 50</t>
  </si>
  <si>
    <t>Grundprofil 80</t>
  </si>
  <si>
    <t>base profile 80</t>
  </si>
  <si>
    <t>profil en applique 80</t>
  </si>
  <si>
    <t>Hafte für Stehfalzsysteme</t>
  </si>
  <si>
    <t>clips for standing seam systems</t>
  </si>
  <si>
    <t>Hafte geschraubt</t>
  </si>
  <si>
    <t>screwed clip</t>
  </si>
  <si>
    <t>Haftemagazin</t>
  </si>
  <si>
    <t>clip magazine</t>
  </si>
  <si>
    <t>chargeur de pattes de fixation</t>
  </si>
  <si>
    <t>Haftleiste</t>
  </si>
  <si>
    <t>nail strip</t>
  </si>
  <si>
    <t>Haftreiniger</t>
  </si>
  <si>
    <t>adhesive cleaner</t>
  </si>
  <si>
    <t>produit nettoyant</t>
  </si>
  <si>
    <t>Haken für Schneerechensystem</t>
  </si>
  <si>
    <t>bracket for pipe-style snow guard system</t>
  </si>
  <si>
    <t>crochet pour système pare-neige</t>
  </si>
  <si>
    <t>Haken XL für Schneerechensystem</t>
  </si>
  <si>
    <t>XL bracket for pipe-style snow guard system</t>
  </si>
  <si>
    <t>crochet XL pour système pare-neige</t>
  </si>
  <si>
    <t>Halterung für 6 Dammbalken</t>
  </si>
  <si>
    <t>bracket for 6 barrier panels</t>
  </si>
  <si>
    <t>console pour 6 batardeaux</t>
  </si>
  <si>
    <t>Hänge- und Kastenrinne</t>
  </si>
  <si>
    <t>half-round gutter and box gutter</t>
  </si>
  <si>
    <t>gouttière demi-ronde et carrée</t>
  </si>
  <si>
    <t>Hängerinne</t>
  </si>
  <si>
    <t>half-round gutter</t>
  </si>
  <si>
    <t>gouttière demi-ronde</t>
  </si>
  <si>
    <t>Hängerinne (3 m) mit Schutzfolie außen</t>
  </si>
  <si>
    <t>half-round gutter (3 m) with protective film on the outside</t>
  </si>
  <si>
    <t>gouttière demi-ronde (3 m) avec film de protection (face extérieure)</t>
  </si>
  <si>
    <t>Hängerinne (6 m) mit Schutzfolie außen</t>
  </si>
  <si>
    <t>half-round gutter (6 m) with protective film on the outside</t>
  </si>
  <si>
    <t>gouttière demi-ronde (6 m) avec film de protection (face extérieure)</t>
  </si>
  <si>
    <t>Hauerbuckel</t>
  </si>
  <si>
    <t>domed cap</t>
  </si>
  <si>
    <t>capuchon de protection</t>
  </si>
  <si>
    <t>Hellelfenbein</t>
  </si>
  <si>
    <t>light ivory</t>
  </si>
  <si>
    <t>ivoire clair</t>
  </si>
  <si>
    <t>Hellgrau</t>
  </si>
  <si>
    <t>light grey</t>
  </si>
  <si>
    <t>gris souris</t>
  </si>
  <si>
    <t>high durable coil coat</t>
  </si>
  <si>
    <t>Hochwasserschutz</t>
  </si>
  <si>
    <t>flood protection</t>
  </si>
  <si>
    <t>protection contre les crues</t>
  </si>
  <si>
    <t>Holzrahmen</t>
  </si>
  <si>
    <t>wooden frame</t>
  </si>
  <si>
    <t>châssis en bois</t>
  </si>
  <si>
    <t>Holzunterkonstruktion</t>
  </si>
  <si>
    <t>timber sub-structure framework</t>
  </si>
  <si>
    <t>sous-construction bois</t>
  </si>
  <si>
    <t>HT-Rohr</t>
  </si>
  <si>
    <t>high-temperature pipe</t>
  </si>
  <si>
    <t>HT-Rohr NW 110</t>
  </si>
  <si>
    <t>high-temperature pipe (nominal size 110)</t>
  </si>
  <si>
    <t>tuyaux HT (DN 110)</t>
  </si>
  <si>
    <t>HT-Rohr NW 125</t>
  </si>
  <si>
    <t>high-temperature pipe (nominal size 125)</t>
  </si>
  <si>
    <t>tuyaux HT (DN 125)</t>
  </si>
  <si>
    <t>HT-Rohr NW 75</t>
  </si>
  <si>
    <t>high-temperature pipe (nominal size 75)</t>
  </si>
  <si>
    <t>tuyaux HT (DN 75)</t>
  </si>
  <si>
    <t>in Falzqualität</t>
  </si>
  <si>
    <t>in fold quality</t>
  </si>
  <si>
    <t>in P.10 Qualität</t>
  </si>
  <si>
    <t>in P.10 quality</t>
  </si>
  <si>
    <t>dans la qualité de couleur P.10</t>
  </si>
  <si>
    <t>innen</t>
  </si>
  <si>
    <t>internal</t>
  </si>
  <si>
    <t>Innenecke (einteilig)</t>
  </si>
  <si>
    <t>internal corner (one-piece)</t>
  </si>
  <si>
    <t>Innenecke (mehrteilig)</t>
  </si>
  <si>
    <t>internal corner (in several parts)</t>
  </si>
  <si>
    <t>Innenumbug</t>
  </si>
  <si>
    <t>inner fold</t>
  </si>
  <si>
    <t>repli intérieur</t>
  </si>
  <si>
    <t>Jet-Lüfter-Vorkopf</t>
  </si>
  <si>
    <t>ridge vent end cap</t>
  </si>
  <si>
    <t>about de faîtière ventilée</t>
  </si>
  <si>
    <t>Kabelclip</t>
  </si>
  <si>
    <t>cable clip</t>
  </si>
  <si>
    <t>clip de passage de câbles</t>
  </si>
  <si>
    <t>Kaffeebraun</t>
  </si>
  <si>
    <t>coffee brown</t>
  </si>
  <si>
    <t>brun café</t>
  </si>
  <si>
    <t>Kaminhut</t>
  </si>
  <si>
    <t>chimney cap</t>
  </si>
  <si>
    <t>chapeau de cheminée</t>
  </si>
  <si>
    <t>Kaminhutstrebe (gebogen)</t>
  </si>
  <si>
    <t>chimney cap leg (bent)</t>
  </si>
  <si>
    <t>pied de chapeau de cheminée (incurvé)</t>
  </si>
  <si>
    <t>Karminrot</t>
  </si>
  <si>
    <t>crimson</t>
  </si>
  <si>
    <t>rouge carmin</t>
  </si>
  <si>
    <t>Kartusche</t>
  </si>
  <si>
    <t>cartridge</t>
  </si>
  <si>
    <t>Kastenrinne (3 m) mit Schutzfolie außen</t>
  </si>
  <si>
    <t>box gutter (3 m) with protective film on the outside</t>
  </si>
  <si>
    <t>gouttière carrée (3 m) avec film de protection (face extérieure)</t>
  </si>
  <si>
    <t>Kastenrinne (6 m) mit Schutzfolie außen</t>
  </si>
  <si>
    <t>box gutter (6 m) with protective film on the outside</t>
  </si>
  <si>
    <t>gouttière carrée (6 m) avec film de protection (face extérieure)</t>
  </si>
  <si>
    <t>Kastenrinne 250</t>
  </si>
  <si>
    <t>box gutter 250</t>
  </si>
  <si>
    <t>gouttière carrée 250</t>
  </si>
  <si>
    <t>Kastenrinne 333</t>
  </si>
  <si>
    <t>box gutter 333</t>
  </si>
  <si>
    <t>gouttière carrée 333</t>
  </si>
  <si>
    <t>Kastenrinnendila</t>
  </si>
  <si>
    <t>box gutter expansion joint</t>
  </si>
  <si>
    <t>joint de dilatation (gouttière carrée)</t>
  </si>
  <si>
    <t>Kastenrinnendila mit Wulst und Blende (Set)</t>
  </si>
  <si>
    <t>box gutter expansion joint with bead and cover plate (set)</t>
  </si>
  <si>
    <t>joint de dilatation (gouttière carrée) avec boudin et cache (jeu)</t>
  </si>
  <si>
    <t>Kastenrinnendila ohne Wulst und Blende</t>
  </si>
  <si>
    <t>box gutter expansion joint without bead and cover plate</t>
  </si>
  <si>
    <t>joint de dilatation sans boudin et cache (gouttière carrée)</t>
  </si>
  <si>
    <t>Kastenrinnenendboden 500</t>
  </si>
  <si>
    <t>box gutter end cap 500</t>
  </si>
  <si>
    <t>fond de gouttière carrée 500</t>
  </si>
  <si>
    <t>Kastenrinnenhaken</t>
  </si>
  <si>
    <t>box gutter bracket</t>
  </si>
  <si>
    <t>crochet de gouttière carrée</t>
  </si>
  <si>
    <t>Kastenrinnenwinkel</t>
  </si>
  <si>
    <t>box gutter corner</t>
  </si>
  <si>
    <t>équerre de gouttière carrée</t>
  </si>
  <si>
    <t>Kastenrinnenwinkel 90°</t>
  </si>
  <si>
    <t>box gutter corner 90°</t>
  </si>
  <si>
    <t>équerre de gouttière carrée 90°</t>
  </si>
  <si>
    <t>KG-Rohr</t>
  </si>
  <si>
    <t>KG pipe</t>
  </si>
  <si>
    <t>Klarlack</t>
  </si>
  <si>
    <t>clear varnish</t>
  </si>
  <si>
    <t>Klarlack abwitternd</t>
  </si>
  <si>
    <t>weathered clear varnish</t>
  </si>
  <si>
    <t>vernis transparent weatherproof</t>
  </si>
  <si>
    <t>Klebeeinfassung für Falzdächer</t>
  </si>
  <si>
    <t>bonded vent pipe cover for standing seam roofs</t>
  </si>
  <si>
    <t>raccordement de ventilation à coller pour toitures à joints debout</t>
  </si>
  <si>
    <t>Kleinformat und PREFALZ</t>
  </si>
  <si>
    <t>small format products and PREFALZ</t>
  </si>
  <si>
    <t>Kleinformate</t>
  </si>
  <si>
    <t>small format products</t>
  </si>
  <si>
    <t>Kleinformatprodukte</t>
  </si>
  <si>
    <t>produits petit format</t>
  </si>
  <si>
    <t>Klemmbereich</t>
  </si>
  <si>
    <t>clamping range</t>
  </si>
  <si>
    <t>épaisseur de serrage</t>
  </si>
  <si>
    <t>Klinge</t>
  </si>
  <si>
    <t>blade</t>
  </si>
  <si>
    <t>Klingen</t>
  </si>
  <si>
    <t>blades</t>
  </si>
  <si>
    <t>Kohlenschwarz</t>
  </si>
  <si>
    <t>carbon black</t>
  </si>
  <si>
    <t>noir charbon</t>
  </si>
  <si>
    <t>Kombinationsbeiwert</t>
  </si>
  <si>
    <t>combination coefficient</t>
  </si>
  <si>
    <t xml:space="preserve">coefficient de combinaison </t>
  </si>
  <si>
    <t>Kopfdurchmesser</t>
  </si>
  <si>
    <t>head diameter</t>
  </si>
  <si>
    <t>diamètre de la tête</t>
  </si>
  <si>
    <t>Kreuz- und Erdungsklemme</t>
  </si>
  <si>
    <t>earth/cross connector</t>
  </si>
  <si>
    <t>borne de terre</t>
  </si>
  <si>
    <t>Kreuzverbinder für Solarhalter</t>
  </si>
  <si>
    <t>cross connector for solar bracket</t>
  </si>
  <si>
    <t>connecteur pour supports solaire</t>
  </si>
  <si>
    <t>Kreuzverbinder für Solarhalter Vario und Fix, Sunny und Sunny Spezial</t>
  </si>
  <si>
    <t>cross connector for solar brackets Vario and Fix, Sunny and Sunny Special</t>
  </si>
  <si>
    <t>connecteur pour supports solaires Vario et Fix, Sunny et Sunny spécial</t>
  </si>
  <si>
    <t>Kunde</t>
  </si>
  <si>
    <t>customer</t>
  </si>
  <si>
    <t>Kundennummer</t>
  </si>
  <si>
    <t>reference number</t>
  </si>
  <si>
    <t xml:space="preserve">numéro de client </t>
  </si>
  <si>
    <t>Kunststoff</t>
  </si>
  <si>
    <t>plastic</t>
  </si>
  <si>
    <t>plastique</t>
  </si>
  <si>
    <t>Kupferbraun</t>
  </si>
  <si>
    <t>copper brown</t>
  </si>
  <si>
    <t>brun cuivré</t>
  </si>
  <si>
    <t>KVH</t>
  </si>
  <si>
    <t>construction timber</t>
  </si>
  <si>
    <t>Lackstift</t>
  </si>
  <si>
    <t>touch-up pen</t>
  </si>
  <si>
    <t>Laibung</t>
  </si>
  <si>
    <t>reveal</t>
  </si>
  <si>
    <t>Länge und Breite</t>
  </si>
  <si>
    <t>length and width</t>
  </si>
  <si>
    <t>Laubfänger</t>
  </si>
  <si>
    <t>strainer</t>
  </si>
  <si>
    <t>crapaudine</t>
  </si>
  <si>
    <t>Laufstegverbinder</t>
  </si>
  <si>
    <t>walkway connector</t>
  </si>
  <si>
    <t>élément d’assemblage pour chemin de circulation</t>
  </si>
  <si>
    <t>Lichtbronze</t>
  </si>
  <si>
    <t>light bronze</t>
  </si>
  <si>
    <t>bronze clair</t>
  </si>
  <si>
    <t xml:space="preserve">Lichteweite </t>
  </si>
  <si>
    <t>desired system length</t>
  </si>
  <si>
    <t xml:space="preserve">vide lumière </t>
  </si>
  <si>
    <t>Lichtgrau</t>
  </si>
  <si>
    <t>gris clair</t>
  </si>
  <si>
    <t>Lieferumfang</t>
  </si>
  <si>
    <t>scope of delivery</t>
  </si>
  <si>
    <t>Lieferung</t>
  </si>
  <si>
    <t>delivery</t>
  </si>
  <si>
    <t>Lieferzeit</t>
  </si>
  <si>
    <t>delivery time</t>
  </si>
  <si>
    <t>Lieferzeit auf Anfrage</t>
  </si>
  <si>
    <t>delivery time on request</t>
  </si>
  <si>
    <t>délai de livraison sur demande</t>
  </si>
  <si>
    <t>Löcheranzahl</t>
  </si>
  <si>
    <t>number of holes</t>
  </si>
  <si>
    <t>Löcheranzahl für Befestigung</t>
  </si>
  <si>
    <t>number of holes for fastening</t>
  </si>
  <si>
    <t>LT-XT TOOL TX 25</t>
  </si>
  <si>
    <t>Lüftungsquerschnitt</t>
  </si>
  <si>
    <t>air intake section</t>
  </si>
  <si>
    <t>section d’aération</t>
  </si>
  <si>
    <t>Lüftungsquerschnitt im gelochten Bereich</t>
  </si>
  <si>
    <t>air intake section of perforated surface</t>
  </si>
  <si>
    <t>section d’aération de la surface perforée</t>
  </si>
  <si>
    <t>M10 Gewinde</t>
  </si>
  <si>
    <t>M10 thread</t>
  </si>
  <si>
    <t>M10 Gewinde ohne Dorn</t>
  </si>
  <si>
    <t>M10 thread without pin</t>
  </si>
  <si>
    <t>magazinierte Schrauben</t>
  </si>
  <si>
    <t>magazined screws</t>
  </si>
  <si>
    <t>rail de vis</t>
  </si>
  <si>
    <t>Magazinschrauben</t>
  </si>
  <si>
    <t>magazine screws</t>
  </si>
  <si>
    <t>Magazinschrauber</t>
  </si>
  <si>
    <t>magazine screwdriver</t>
  </si>
  <si>
    <t>visseuse automatique</t>
  </si>
  <si>
    <t>Material</t>
  </si>
  <si>
    <t>material</t>
  </si>
  <si>
    <t>matériau</t>
  </si>
  <si>
    <t>Materialdaten</t>
  </si>
  <si>
    <t>material data</t>
  </si>
  <si>
    <t xml:space="preserve">informations relatives au matériau </t>
  </si>
  <si>
    <t>Materialstärke</t>
  </si>
  <si>
    <t>material thickness</t>
  </si>
  <si>
    <t>épaisseur du matériau</t>
  </si>
  <si>
    <t>Mattgraudunkel</t>
  </si>
  <si>
    <t>matt dark grey</t>
  </si>
  <si>
    <t>gris foncé mat</t>
  </si>
  <si>
    <t>Mattgrauhell</t>
  </si>
  <si>
    <t>matt light grey</t>
  </si>
  <si>
    <t>gris clair mat</t>
  </si>
  <si>
    <t>Matthellzink</t>
  </si>
  <si>
    <t>matt light zinc</t>
  </si>
  <si>
    <t>zinc clair mat</t>
  </si>
  <si>
    <t>Mayagold</t>
  </si>
  <si>
    <t>maya gold</t>
  </si>
  <si>
    <t>mayagold</t>
  </si>
  <si>
    <t>Metallunterkonstruktion</t>
  </si>
  <si>
    <t>metal sub-structure framework</t>
  </si>
  <si>
    <t>sous-construction métallique</t>
  </si>
  <si>
    <t>Mindestabnahmemenge</t>
  </si>
  <si>
    <t>minimum order</t>
  </si>
  <si>
    <t>commande minimum</t>
  </si>
  <si>
    <t>mit A2-Kern</t>
  </si>
  <si>
    <t>with A2 core</t>
  </si>
  <si>
    <t>avec âme A2</t>
  </si>
  <si>
    <t>mit Außenwulst und Innenumbug</t>
  </si>
  <si>
    <t>with outer bead and inner fold</t>
  </si>
  <si>
    <t>avec boudin extérieur et repli intérieur</t>
  </si>
  <si>
    <t>mit FR-Kern</t>
  </si>
  <si>
    <t>with FR core (fire retardant)</t>
  </si>
  <si>
    <t>avec âme FR</t>
  </si>
  <si>
    <t>mit Rundlochung</t>
  </si>
  <si>
    <t>with round perforations</t>
  </si>
  <si>
    <t>mit Schutzfolie</t>
  </si>
  <si>
    <t>with protective film</t>
  </si>
  <si>
    <t>mit Schutzfolie außen</t>
  </si>
  <si>
    <t>with protective film on the outside</t>
  </si>
  <si>
    <t>Mittelklemme</t>
  </si>
  <si>
    <t>middle clamp</t>
  </si>
  <si>
    <t>borne centrale</t>
  </si>
  <si>
    <t>Mittelklemme blank</t>
  </si>
  <si>
    <t>middle clamp uncoated</t>
  </si>
  <si>
    <t>borne centrale aluminium naturel</t>
  </si>
  <si>
    <t>Mittelklemme schwarz eloxiert</t>
  </si>
  <si>
    <t>middle clamp black anodised</t>
  </si>
  <si>
    <t>borne centrale anodisé noir</t>
  </si>
  <si>
    <t>Mittelsäule</t>
  </si>
  <si>
    <t>centre column</t>
  </si>
  <si>
    <t>poteau intermédiaire</t>
  </si>
  <si>
    <t>Mittelsäule (Rundprofil)</t>
  </si>
  <si>
    <t>centre column (round profile)</t>
  </si>
  <si>
    <t>poteau intermédiaire (profil rond)</t>
  </si>
  <si>
    <t>Modifikation Einfassungsplatten</t>
  </si>
  <si>
    <t>modification of cover trays</t>
  </si>
  <si>
    <t>modification des raccordements de ventilation</t>
  </si>
  <si>
    <t>Modulabsturzsicherung</t>
  </si>
  <si>
    <t>solar panel fall protection device</t>
  </si>
  <si>
    <t>vis de sécurité pour module</t>
  </si>
  <si>
    <t>Montage in der Laibung</t>
  </si>
  <si>
    <t>installation in the reveal</t>
  </si>
  <si>
    <t>Montage vor der Laibung</t>
  </si>
  <si>
    <t>installation in front of the reveal</t>
  </si>
  <si>
    <t>montage en applique</t>
  </si>
  <si>
    <t>Montagehilfe</t>
  </si>
  <si>
    <t>mounting aid</t>
  </si>
  <si>
    <t>cale d’espacement</t>
  </si>
  <si>
    <t>Montagehilfe für Sturmsicherungsclip</t>
  </si>
  <si>
    <t>storm-proof clip mounting aid</t>
  </si>
  <si>
    <t>cale d’espacement pour clip tempête</t>
  </si>
  <si>
    <t>Montagehilfe für Sturmsicherungsclip für Siding</t>
  </si>
  <si>
    <t>storm-proof clip mounting aid for siding</t>
  </si>
  <si>
    <t>Montagehilfe für Sturmsicherungsclip für Siding.x</t>
  </si>
  <si>
    <t>storm-proof clip mounting aid for siding.X</t>
  </si>
  <si>
    <t>Montagelochabdeckung</t>
  </si>
  <si>
    <t>mounting hole cover</t>
  </si>
  <si>
    <t>cache-trou</t>
  </si>
  <si>
    <t>Moosgrün</t>
  </si>
  <si>
    <t>moss green</t>
  </si>
  <si>
    <t>vert mousse</t>
  </si>
  <si>
    <t>Muffe</t>
  </si>
  <si>
    <t>sleeve</t>
  </si>
  <si>
    <t>manchon de jonction</t>
  </si>
  <si>
    <t>Mutter</t>
  </si>
  <si>
    <t>nut</t>
  </si>
  <si>
    <t>écrou</t>
  </si>
  <si>
    <t>Nachhaltigkeit</t>
  </si>
  <si>
    <t>sustainability</t>
  </si>
  <si>
    <t>Nagel</t>
  </si>
  <si>
    <t>nail</t>
  </si>
  <si>
    <t>clou</t>
  </si>
  <si>
    <t>Nagel 2,8/25</t>
  </si>
  <si>
    <t>nail 2.8/25</t>
  </si>
  <si>
    <t>clou 2,8/25</t>
  </si>
  <si>
    <t>Nagel 2,8/30</t>
  </si>
  <si>
    <t>nail 2.8/30</t>
  </si>
  <si>
    <t>clou 2,8/30</t>
  </si>
  <si>
    <t>Naturblank</t>
  </si>
  <si>
    <t>plain aluminium</t>
  </si>
  <si>
    <t>Naturblank AL 99,5 %</t>
  </si>
  <si>
    <t>plain aluminium AL 99.5 %</t>
  </si>
  <si>
    <t>Neukupfer</t>
  </si>
  <si>
    <t>new copper</t>
  </si>
  <si>
    <t>cuivre neuf</t>
  </si>
  <si>
    <t>nicht selbstklebend</t>
  </si>
  <si>
    <t>not self-adhesive</t>
  </si>
  <si>
    <t>Niederhalter</t>
  </si>
  <si>
    <t>retainer</t>
  </si>
  <si>
    <t>poteau intermédiaire de renfort</t>
  </si>
  <si>
    <t>Niete</t>
  </si>
  <si>
    <t>rivet</t>
  </si>
  <si>
    <t>Niro</t>
  </si>
  <si>
    <t>stainless steel</t>
  </si>
  <si>
    <t>Niro-Rillennagel</t>
  </si>
  <si>
    <t>stainless steel ring nail</t>
  </si>
  <si>
    <t>clou annelé en inox</t>
  </si>
  <si>
    <t>Niro-Rillennagel gebunden</t>
  </si>
  <si>
    <t>collated stainless steel ring nail</t>
  </si>
  <si>
    <t>clous annelés inoxydables en rouleau</t>
  </si>
  <si>
    <t>Niro-Schraube mit Dichtscheibe</t>
  </si>
  <si>
    <t>stainless steel screw with sealing washer</t>
  </si>
  <si>
    <t>vis inox avec rondelle d’étanchéité</t>
  </si>
  <si>
    <t>Niro-Winkellangschiebehaft</t>
  </si>
  <si>
    <t>stainless steel preformed long sliding clip</t>
  </si>
  <si>
    <t>patte longue coulissante inox</t>
  </si>
  <si>
    <t>Niro-Winkelschiebehaft</t>
  </si>
  <si>
    <t>stainless steel preformed sliding clip</t>
  </si>
  <si>
    <t>patte coulissante standard inox</t>
  </si>
  <si>
    <t>Normgraualuminium</t>
  </si>
  <si>
    <t>grey aluminium</t>
  </si>
  <si>
    <t>gris aluminium</t>
  </si>
  <si>
    <t>Normminzgrün</t>
  </si>
  <si>
    <t>mint green</t>
  </si>
  <si>
    <t>vert menthe</t>
  </si>
  <si>
    <t>Normquarzgrau</t>
  </si>
  <si>
    <t>quartz grey</t>
  </si>
  <si>
    <t>gris patine</t>
  </si>
  <si>
    <t>Normreinweiß</t>
  </si>
  <si>
    <t>standard pure white</t>
  </si>
  <si>
    <t>blanc pur</t>
  </si>
  <si>
    <t>Nussbraun</t>
  </si>
  <si>
    <t>nut brown</t>
  </si>
  <si>
    <t>brun noisette</t>
  </si>
  <si>
    <t>Oberfläche</t>
  </si>
  <si>
    <t>surface</t>
  </si>
  <si>
    <t>finition</t>
  </si>
  <si>
    <t>Oberfläche glatt</t>
  </si>
  <si>
    <t>smooth surface</t>
  </si>
  <si>
    <t>Oberfläche glatt auf Anfrage</t>
  </si>
  <si>
    <t>smooth surface on request</t>
  </si>
  <si>
    <t>finition lisse sur demande</t>
  </si>
  <si>
    <t>Oberflächen</t>
  </si>
  <si>
    <t>surfaces</t>
  </si>
  <si>
    <t>ohne Befestigungsmittel</t>
  </si>
  <si>
    <t>sans les fixations</t>
  </si>
  <si>
    <t>ohne Kreuzverbinder</t>
  </si>
  <si>
    <t>without cross connector</t>
  </si>
  <si>
    <t>sans connecteur</t>
  </si>
  <si>
    <t>ohne Schutzfolie</t>
  </si>
  <si>
    <t>without protective film</t>
  </si>
  <si>
    <t>sans film de protection</t>
  </si>
  <si>
    <t>ohne Wulst und Blende</t>
  </si>
  <si>
    <t>without bead or cover plate</t>
  </si>
  <si>
    <t>ohne Zubehör</t>
  </si>
  <si>
    <t>without accessories</t>
  </si>
  <si>
    <t>sans les accessoires</t>
  </si>
  <si>
    <t>Olivgrün</t>
  </si>
  <si>
    <t>olive green</t>
  </si>
  <si>
    <t>vert olive</t>
  </si>
  <si>
    <t>Opalgrün</t>
  </si>
  <si>
    <t>opal green</t>
  </si>
  <si>
    <t>vert opale</t>
  </si>
  <si>
    <t>Oxydrot</t>
  </si>
  <si>
    <t>oxide red</t>
  </si>
  <si>
    <t>rouge oxyde</t>
  </si>
  <si>
    <t>P.10</t>
  </si>
  <si>
    <t>P.10 Anthrazit</t>
  </si>
  <si>
    <t>P.10 anthracite</t>
  </si>
  <si>
    <t>P.10 anthracite</t>
  </si>
  <si>
    <t>P.10 Braun</t>
  </si>
  <si>
    <t>P.10 brown</t>
  </si>
  <si>
    <t>P.10 bronze</t>
  </si>
  <si>
    <t>P.10 bronze</t>
  </si>
  <si>
    <t>P.10 Bronze</t>
  </si>
  <si>
    <t>P.10 Dunkelgrau</t>
  </si>
  <si>
    <t>P.10 dark grey</t>
  </si>
  <si>
    <t>P.10 gris sombre</t>
  </si>
  <si>
    <t>P.10 Hellgrau</t>
  </si>
  <si>
    <t>P.10 light grey</t>
  </si>
  <si>
    <t>P.10 gris souris</t>
  </si>
  <si>
    <t>P.10 Moosgrün</t>
  </si>
  <si>
    <t>P.10 moss green</t>
  </si>
  <si>
    <t>P.10 Nussbraun</t>
  </si>
  <si>
    <t>P.10 nut brown</t>
  </si>
  <si>
    <t>P.10 Oxydrot</t>
  </si>
  <si>
    <t>P.10 oxide red</t>
  </si>
  <si>
    <t>P.10 Patinagrün</t>
  </si>
  <si>
    <t>P.10 patina green</t>
  </si>
  <si>
    <t>P.10 vert-de-gris</t>
  </si>
  <si>
    <t>P.10 Prefaweiß</t>
  </si>
  <si>
    <t>P.10 PREFA white</t>
  </si>
  <si>
    <t>P.10 blanc Prefa</t>
  </si>
  <si>
    <t>P.10 Qualität</t>
  </si>
  <si>
    <t>P.10 quality</t>
  </si>
  <si>
    <t>qualité de couleur P.10</t>
  </si>
  <si>
    <t>P.10 Rauchsilber</t>
  </si>
  <si>
    <t>P.10 smoke silver</t>
  </si>
  <si>
    <t>P.10 argent fumé</t>
  </si>
  <si>
    <t>P.10 Reinweiß</t>
  </si>
  <si>
    <t>P.10 pure white</t>
  </si>
  <si>
    <t>P.10 blanc pur</t>
  </si>
  <si>
    <t>P.10 Sandbraun</t>
  </si>
  <si>
    <t>P.10 sand brown</t>
  </si>
  <si>
    <t>P.10 brun sable</t>
  </si>
  <si>
    <t>P.10 Schwarz</t>
  </si>
  <si>
    <t>P.10 black</t>
  </si>
  <si>
    <t>P.10 noir</t>
  </si>
  <si>
    <t>P.10 Silbermetallic</t>
  </si>
  <si>
    <t>P.10 metallic silver</t>
  </si>
  <si>
    <t>P.10 argent métallisé</t>
  </si>
  <si>
    <t>P.10 Steingrau</t>
  </si>
  <si>
    <t>P.10 stone grey</t>
  </si>
  <si>
    <t>P.10 gris pierre</t>
  </si>
  <si>
    <t>P.10 Ziegelrot</t>
  </si>
  <si>
    <t>P.10 brick red</t>
  </si>
  <si>
    <t>P.10 rouge tuile</t>
  </si>
  <si>
    <t>P.10 Zinkgrau</t>
  </si>
  <si>
    <t>P.10 zinc grey</t>
  </si>
  <si>
    <t>P.10 gris de zinc</t>
  </si>
  <si>
    <t>passend für Ablaufrohr</t>
  </si>
  <si>
    <t>suitable for downpipe</t>
  </si>
  <si>
    <t>passend für HT/KG-Rohr</t>
  </si>
  <si>
    <t>suitable for high-temperature and foul drainage pipe</t>
  </si>
  <si>
    <t>compatible tuyaux HT et canalisations souterraines</t>
  </si>
  <si>
    <t>passend für HT/KG-Rohr NW 110</t>
  </si>
  <si>
    <t>suitable for high-temperature and foul drainage pipe (nominal size 110)</t>
  </si>
  <si>
    <t>compatible tuyaux HT et canalisations souterraines (DN 110)</t>
  </si>
  <si>
    <t>passend für HT/KG-Rohr NW 125</t>
  </si>
  <si>
    <t>suitable for high-temperature and foul drainage pipe (nominal size 125)</t>
  </si>
  <si>
    <t>passendes Sicherungssystem für Solaranlagen</t>
  </si>
  <si>
    <t>suitable safety system for solar systems</t>
  </si>
  <si>
    <t>système de sécurité adapté aux panneaux solaires</t>
  </si>
  <si>
    <t>Passschindel</t>
  </si>
  <si>
    <t>fitting shingle</t>
  </si>
  <si>
    <t>bardeau de raccord</t>
  </si>
  <si>
    <t>Pastelltürkis</t>
  </si>
  <si>
    <t>pastel turquoise</t>
  </si>
  <si>
    <t>turquoise pastel</t>
  </si>
  <si>
    <t>Patenthafte und Rillennägel</t>
  </si>
  <si>
    <t>patent clips and ring nails</t>
  </si>
  <si>
    <t>Patentniete für Sidingsergänzungsband</t>
  </si>
  <si>
    <t>patent rivet for siding complementary coil</t>
  </si>
  <si>
    <t>Patentschutz-Nr.</t>
  </si>
  <si>
    <t>patent protection no.</t>
  </si>
  <si>
    <t>N° de brevet</t>
  </si>
  <si>
    <t>Patinagrau</t>
  </si>
  <si>
    <t>patina grey</t>
  </si>
  <si>
    <t>gris quartz</t>
  </si>
  <si>
    <t>Patinagrün</t>
  </si>
  <si>
    <t>patina green</t>
  </si>
  <si>
    <t>vert-de-gris</t>
  </si>
  <si>
    <t>Perlweiß</t>
  </si>
  <si>
    <t>pearl white</t>
  </si>
  <si>
    <t>blanc perlé</t>
  </si>
  <si>
    <t>Planungsstunde</t>
  </si>
  <si>
    <t>planning session</t>
  </si>
  <si>
    <t>heure d’étude et conception</t>
  </si>
  <si>
    <t>Platte</t>
  </si>
  <si>
    <t>panel</t>
  </si>
  <si>
    <t>panneau</t>
  </si>
  <si>
    <t>Plattenmundstück</t>
  </si>
  <si>
    <t>rivet nosepiece</t>
  </si>
  <si>
    <t>embout de riveteuse</t>
  </si>
  <si>
    <t>Polyesterqualität</t>
  </si>
  <si>
    <t>polyester quality</t>
  </si>
  <si>
    <t>qualité polyester</t>
  </si>
  <si>
    <t>PREFA</t>
  </si>
  <si>
    <t>PREFA Ablaufrohr</t>
  </si>
  <si>
    <t>PREFA downpipe</t>
  </si>
  <si>
    <t>tuyaux de descente PREFA</t>
  </si>
  <si>
    <t>PREFA Ablaufrohr mit Schutzfolie</t>
  </si>
  <si>
    <t>PREFA downpipe with protective film</t>
  </si>
  <si>
    <t>PREFA Dach- und Fassadensysteme</t>
  </si>
  <si>
    <t>PREFA roof and façade systems</t>
  </si>
  <si>
    <t>PREFA Dachplatte</t>
  </si>
  <si>
    <t>PREFA roof tile</t>
  </si>
  <si>
    <t>PREFA Einfassung</t>
  </si>
  <si>
    <t>PREFA flashing</t>
  </si>
  <si>
    <t>PREFA Farben</t>
  </si>
  <si>
    <t>PREFA colours</t>
  </si>
  <si>
    <t>PREFA Farben und Oberflächen</t>
  </si>
  <si>
    <t>PREFA colours and surfaces</t>
  </si>
  <si>
    <t>couleurs et finitions PREFA</t>
  </si>
  <si>
    <t>PREFA Farbsortiment</t>
  </si>
  <si>
    <t>PREFA colour range</t>
  </si>
  <si>
    <t>la gamme de couleurs PREFA</t>
  </si>
  <si>
    <t>PREFA Fassadenergänzungsband</t>
  </si>
  <si>
    <t>PREFA complementary façade coil</t>
  </si>
  <si>
    <t>PREFA Fuge</t>
  </si>
  <si>
    <t>PREFA joint</t>
  </si>
  <si>
    <t>jointure PREFA</t>
  </si>
  <si>
    <t>PREFA Kleinformate</t>
  </si>
  <si>
    <t>PREFA small format products</t>
  </si>
  <si>
    <t>PREFA petits formats</t>
  </si>
  <si>
    <t>PREFA Produkttechnik</t>
  </si>
  <si>
    <t>PREFA Product Technology department</t>
  </si>
  <si>
    <t>service technologie produit de PREFA</t>
  </si>
  <si>
    <t>PREFA Profilschiene</t>
  </si>
  <si>
    <t>PREFA profile rail</t>
  </si>
  <si>
    <t>rail de support PREFA</t>
  </si>
  <si>
    <t>PREFA Spezialkleber</t>
  </si>
  <si>
    <t>PREFA special adhesive</t>
  </si>
  <si>
    <t>colle spéciale PREFA</t>
  </si>
  <si>
    <t>PREFABOND Aluminium Verbundplatte</t>
  </si>
  <si>
    <t>panneau composite en aluminium PREFABOND</t>
  </si>
  <si>
    <t>PREFABOND Aluminium Verbundplatte mit A2-Kern</t>
  </si>
  <si>
    <t>PREFABOND aluminium composite panel with A2 core</t>
  </si>
  <si>
    <t>panneau composite en aluminium PREFABOND avec âme A2</t>
  </si>
  <si>
    <t>PREFABOND Aluminium Verbundplatte mit FR-Kern</t>
  </si>
  <si>
    <t>PREFABOND aluminium composite panel with FR core</t>
  </si>
  <si>
    <t>panneau composite en aluminium PREFABOND avec âme FR</t>
  </si>
  <si>
    <t>PREFABOND mit FR-Kern</t>
  </si>
  <si>
    <t>PREFABOND panel with FR core</t>
  </si>
  <si>
    <t>panneaux PREFABOND avec âme FR</t>
  </si>
  <si>
    <t>PREFALZ Farbaluminiumband</t>
  </si>
  <si>
    <t>PREFALZ colour aluminium coil</t>
  </si>
  <si>
    <t>PREFALZ bande d’aluminium coloré</t>
  </si>
  <si>
    <t>PREFALZ Tafelblech</t>
  </si>
  <si>
    <t>PREFALZ metal sheet</t>
  </si>
  <si>
    <t>feuille d’aluminium PREFALZ</t>
  </si>
  <si>
    <t>PREFARENZEN</t>
  </si>
  <si>
    <t>Prefaweiß</t>
  </si>
  <si>
    <t>PREFA white</t>
  </si>
  <si>
    <t>blanc Prefa</t>
  </si>
  <si>
    <t>Preis auf Anfrage</t>
  </si>
  <si>
    <t>price upon request</t>
  </si>
  <si>
    <t>prix sur demande</t>
  </si>
  <si>
    <t>Preis und Lieferzeit auf Anfrage</t>
  </si>
  <si>
    <t>price and delivery time on request</t>
  </si>
  <si>
    <t>Preisliste</t>
  </si>
  <si>
    <t>price list</t>
  </si>
  <si>
    <t>Pressetext</t>
  </si>
  <si>
    <t>press release</t>
  </si>
  <si>
    <t>product</t>
  </si>
  <si>
    <t>produit</t>
  </si>
  <si>
    <t>Produktinformation</t>
  </si>
  <si>
    <t>product information</t>
  </si>
  <si>
    <t>informations produit</t>
  </si>
  <si>
    <t>Produktinnovationen</t>
  </si>
  <si>
    <t>new products</t>
  </si>
  <si>
    <t>les nouveautés PREFA</t>
  </si>
  <si>
    <t>Produktneuheit</t>
  </si>
  <si>
    <t>new product</t>
  </si>
  <si>
    <t>nouveauté</t>
  </si>
  <si>
    <t>Produktneuheit 2022</t>
  </si>
  <si>
    <t>new product in 2022</t>
  </si>
  <si>
    <t>Produktneuheit 2023</t>
  </si>
  <si>
    <t>new product in 2023</t>
  </si>
  <si>
    <t>Produktneuheit 2024</t>
  </si>
  <si>
    <t>new product in 2024</t>
  </si>
  <si>
    <t>nouveauté 2024</t>
  </si>
  <si>
    <t>Profil</t>
  </si>
  <si>
    <t>profile</t>
  </si>
  <si>
    <t>profil</t>
  </si>
  <si>
    <t>Profilschiene</t>
  </si>
  <si>
    <t>profile rail</t>
  </si>
  <si>
    <t>rail de support</t>
  </si>
  <si>
    <t>Profilschienenanbinder</t>
  </si>
  <si>
    <t>profile rail connector</t>
  </si>
  <si>
    <t>Profilstärke</t>
  </si>
  <si>
    <t>profile thickness</t>
  </si>
  <si>
    <t>Profiltiefe</t>
  </si>
  <si>
    <t>profile depth</t>
  </si>
  <si>
    <t>profondeur de profil</t>
  </si>
  <si>
    <t>Profilwelle</t>
  </si>
  <si>
    <t>ripple profile</t>
  </si>
  <si>
    <t>profil sinus</t>
  </si>
  <si>
    <t>Profilwelle und Zackenprofil</t>
  </si>
  <si>
    <t>ripple profile and serrated profile</t>
  </si>
  <si>
    <t>profil sinus et profil triangle</t>
  </si>
  <si>
    <t>Projektdaten</t>
  </si>
  <si>
    <t>project information</t>
  </si>
  <si>
    <t>données relatives au projet </t>
  </si>
  <si>
    <t>Pulverbeschichtung</t>
  </si>
  <si>
    <t>powder coating</t>
  </si>
  <si>
    <t>thermolaquage</t>
  </si>
  <si>
    <t>Quadratrohrblitzschutzklemme</t>
  </si>
  <si>
    <t>square downpipe lightning protection clamp</t>
  </si>
  <si>
    <t>agrafe parafoudre pour tuyau carré</t>
  </si>
  <si>
    <t>Quadratrohrhalteklemme</t>
  </si>
  <si>
    <t>square downpipe fastener</t>
  </si>
  <si>
    <t>clip de fixation carré</t>
  </si>
  <si>
    <t>Quadratrohrkessel</t>
  </si>
  <si>
    <t>square downpipe outlet</t>
  </si>
  <si>
    <t>naissance pour tuyau carré</t>
  </si>
  <si>
    <t>Quadratrohrmuffe 100</t>
  </si>
  <si>
    <t>square-to-round adapter 100</t>
  </si>
  <si>
    <t>manchon de jonction pour tuyau carré 100</t>
  </si>
  <si>
    <t>Quadratrohrmuffe 80</t>
  </si>
  <si>
    <t>square-to-round adapter 80</t>
  </si>
  <si>
    <t>manchon de jonction pour tuyau carré 80</t>
  </si>
  <si>
    <t>Quadratrohrwasserfangkasten</t>
  </si>
  <si>
    <t>square downpipe leader head</t>
  </si>
  <si>
    <t>boîte à eau pour tuyau carré</t>
  </si>
  <si>
    <t>Rabattgruppe</t>
  </si>
  <si>
    <t>discount group</t>
  </si>
  <si>
    <t>groupe de remise</t>
  </si>
  <si>
    <t>Rauchsilber</t>
  </si>
  <si>
    <t>smoke silver</t>
  </si>
  <si>
    <t>Raute</t>
  </si>
  <si>
    <t>rhomboid tile</t>
  </si>
  <si>
    <t>losange</t>
  </si>
  <si>
    <t>Raute klein</t>
  </si>
  <si>
    <t>small rhomboid tile</t>
  </si>
  <si>
    <t>petit losange</t>
  </si>
  <si>
    <t>Reinigungstuch</t>
  </si>
  <si>
    <t>cloth</t>
  </si>
  <si>
    <t>chiffon de nettoyage</t>
  </si>
  <si>
    <t>Reinweiß</t>
  </si>
  <si>
    <t>pure white</t>
  </si>
  <si>
    <t>Resedagrün</t>
  </si>
  <si>
    <t>reseda green</t>
  </si>
  <si>
    <t>vert réséda</t>
  </si>
  <si>
    <t>Rillennagel</t>
  </si>
  <si>
    <t>ring nail</t>
  </si>
  <si>
    <t>clou annelé</t>
  </si>
  <si>
    <t>Rillensickenmaschine</t>
  </si>
  <si>
    <t>crimping tool</t>
  </si>
  <si>
    <t>machine à moulurer</t>
  </si>
  <si>
    <t>Rinnenausführung</t>
  </si>
  <si>
    <t>gutter design</t>
  </si>
  <si>
    <t>conception de gouttières</t>
  </si>
  <si>
    <t>Rinnendila</t>
  </si>
  <si>
    <t>gutter expansion joint</t>
  </si>
  <si>
    <t>Rinnendila mit Wulst und Blende (Set)</t>
  </si>
  <si>
    <t>gutter expansion joint with bead and cover plate (set)</t>
  </si>
  <si>
    <t>Rinnendila ohne Wulst und Blende</t>
  </si>
  <si>
    <t>gutter expansion joint without bead and cover plate</t>
  </si>
  <si>
    <t>Rinnenhaken 250</t>
  </si>
  <si>
    <t>gutter bracket 250</t>
  </si>
  <si>
    <t>crochet de 250</t>
  </si>
  <si>
    <t>Rinnenhaken 280</t>
  </si>
  <si>
    <t>gutter bracket 280</t>
  </si>
  <si>
    <t>crochet de 280</t>
  </si>
  <si>
    <t>Rinnenhaken 333</t>
  </si>
  <si>
    <t>gutter bracket 333</t>
  </si>
  <si>
    <t>crochet de 333</t>
  </si>
  <si>
    <t>Rinnenhaken 400</t>
  </si>
  <si>
    <t>gutter bracket 400</t>
  </si>
  <si>
    <t>crochet de 400</t>
  </si>
  <si>
    <t>Rinnenhakenabmessungen</t>
  </si>
  <si>
    <t>gutter bracket dimensions</t>
  </si>
  <si>
    <t>dimensions des crochets de gouttière</t>
  </si>
  <si>
    <t>Rinnenhakennagel</t>
  </si>
  <si>
    <t>gutter bracket nail</t>
  </si>
  <si>
    <t>clou pour crochet de gouttière</t>
  </si>
  <si>
    <t>Rinnenkessel 250</t>
  </si>
  <si>
    <t>gutter outlet 250</t>
  </si>
  <si>
    <t>naissance 250</t>
  </si>
  <si>
    <t>Rinnenkessel 280</t>
  </si>
  <si>
    <t>gutter outlet 280</t>
  </si>
  <si>
    <t>naissance 280</t>
  </si>
  <si>
    <t>Rinnenkessel 333</t>
  </si>
  <si>
    <t>gutter outlet 333</t>
  </si>
  <si>
    <t>naissance 333</t>
  </si>
  <si>
    <t>Rinnenkessel 400</t>
  </si>
  <si>
    <t>gutter outlet 400</t>
  </si>
  <si>
    <t>naissance 400</t>
  </si>
  <si>
    <t>Rinnenwinkel</t>
  </si>
  <si>
    <t>gutter corner</t>
  </si>
  <si>
    <t>équerre de gouttière</t>
  </si>
  <si>
    <t>Rinnenwinkel 90°</t>
  </si>
  <si>
    <t>gutter corner 90°</t>
  </si>
  <si>
    <t>équerre de gouttière 90°</t>
  </si>
  <si>
    <t>Rohr gefalzt</t>
  </si>
  <si>
    <t>downpipe welted</t>
  </si>
  <si>
    <t>tuyau agrafé</t>
  </si>
  <si>
    <t>Rohrdurchführung</t>
  </si>
  <si>
    <t>pipe opening</t>
  </si>
  <si>
    <t>Rohreinmündung (konisch)</t>
  </si>
  <si>
    <t>Rohreinmündung ⌀ 100</t>
  </si>
  <si>
    <t>downpipe branch ⌀ 100</t>
  </si>
  <si>
    <t>embranchement ⌀ 100</t>
  </si>
  <si>
    <t>Rohreinmündung ⌀ 120</t>
  </si>
  <si>
    <t>downpipe branch ⌀ 120</t>
  </si>
  <si>
    <t>embranchement ⌀ 120</t>
  </si>
  <si>
    <t>Rohreinmündung ⌀ 80</t>
  </si>
  <si>
    <t>downpipe branch ⌀ 80</t>
  </si>
  <si>
    <t>embranchement ⌀ 80</t>
  </si>
  <si>
    <t>Rohrschelle</t>
  </si>
  <si>
    <t>pipe bracket</t>
  </si>
  <si>
    <t>Rohrschelle für Ablaufrohr</t>
  </si>
  <si>
    <t>pipe bracket for downpipe</t>
  </si>
  <si>
    <t>collier pour tuyau de descente</t>
  </si>
  <si>
    <t>Rohrschellendorn für WDVS-Rohrschellendübel</t>
  </si>
  <si>
    <t>pipe bracket bolt for ETICS pipe bracket plug</t>
  </si>
  <si>
    <t>Rohrverbinder (für Stärke: 1,6 mm)</t>
  </si>
  <si>
    <t>downpipe connector (for thickness: 1.6 mm)</t>
  </si>
  <si>
    <t>Rolleninnendurchmesser</t>
  </si>
  <si>
    <t>inside diameter of rolls</t>
  </si>
  <si>
    <t>diamètre intérieur d’une bobine</t>
  </si>
  <si>
    <t>Rundprofil 50</t>
  </si>
  <si>
    <t>round profile 50</t>
  </si>
  <si>
    <t>profil rond 50</t>
  </si>
  <si>
    <t>Rundprofil 50 (90°)</t>
  </si>
  <si>
    <t>round profile 50 (90°)</t>
  </si>
  <si>
    <t>Rundprofil 50 (Vario)</t>
  </si>
  <si>
    <t>round profile 50 (Vario)</t>
  </si>
  <si>
    <t>profil rond 50 (Vario)</t>
  </si>
  <si>
    <t>Rundprofil 80</t>
  </si>
  <si>
    <t>round profile 80</t>
  </si>
  <si>
    <t>profil rond 80</t>
  </si>
  <si>
    <t>Rundprofil 80 (90°)</t>
  </si>
  <si>
    <t>round profile 80 (90°)</t>
  </si>
  <si>
    <t>Rundprofil 80 (groß)</t>
  </si>
  <si>
    <t>round profile 80 (large)</t>
  </si>
  <si>
    <t>profil rond 80 (grand format)</t>
  </si>
  <si>
    <t>Rundprofil 80 (Vario)</t>
  </si>
  <si>
    <t>round profile 80 (Vario)</t>
  </si>
  <si>
    <t>profil rond 80 (Vario)</t>
  </si>
  <si>
    <t>Sailerklemme</t>
  </si>
  <si>
    <t>seam clamp</t>
  </si>
  <si>
    <t>bride</t>
  </si>
  <si>
    <t>Sailerklemme mit Langloch</t>
  </si>
  <si>
    <t>seam clamp with oblong hole</t>
  </si>
  <si>
    <t>bride avec trou oblong</t>
  </si>
  <si>
    <t>Saugnapf</t>
  </si>
  <si>
    <t>suction cup</t>
  </si>
  <si>
    <t>Saumrinnendila</t>
  </si>
  <si>
    <t>on-roof gutter expansion joint</t>
  </si>
  <si>
    <t>joint de dilatation pour gouttière havraise</t>
  </si>
  <si>
    <t>Saumstreifen gerillt</t>
  </si>
  <si>
    <t>starter strip (grooved)</t>
  </si>
  <si>
    <t>Saumstreifen und Abschlüsse</t>
  </si>
  <si>
    <t>starter strip and junctions</t>
  </si>
  <si>
    <t>bandes de départ et solins</t>
  </si>
  <si>
    <t>Savannenbeige</t>
  </si>
  <si>
    <t>savannah beige</t>
  </si>
  <si>
    <t>beige savane</t>
  </si>
  <si>
    <t>Scharenlänge</t>
  </si>
  <si>
    <t>tray length</t>
  </si>
  <si>
    <t>Schattenfuge</t>
  </si>
  <si>
    <t>shadow gap</t>
  </si>
  <si>
    <t>joint creux</t>
  </si>
  <si>
    <t>Schienenverbinder</t>
  </si>
  <si>
    <t>rail connector</t>
  </si>
  <si>
    <t>insert de jonction</t>
  </si>
  <si>
    <t>Schleifpapier</t>
  </si>
  <si>
    <t>sandpaper</t>
  </si>
  <si>
    <t>Schneeschutz</t>
  </si>
  <si>
    <t>snow guard system</t>
  </si>
  <si>
    <t>protection contre la neige</t>
  </si>
  <si>
    <t>Schneestopper für Dachplatte und Dachraute 29 × 29</t>
  </si>
  <si>
    <t>snow guard for roof tile and rhomboid roof tile 29 × 29</t>
  </si>
  <si>
    <t>Schneestopper für Dachraute 44 × 44</t>
  </si>
  <si>
    <t>snow guard for rhomboid roof tiles 44 × 44</t>
  </si>
  <si>
    <t>Schneestopper für R.16, FX.12 und DS.19</t>
  </si>
  <si>
    <t>snow guard for R.16, FX.12 and DS.19</t>
  </si>
  <si>
    <t>Schnittlochblende für Sidings mit Profiltiefe 22 mm</t>
  </si>
  <si>
    <t>perforated starter flashing for sidings with a profile depth of 22 mm</t>
  </si>
  <si>
    <t>cache de départ perforé pour Sidings avec profondeur de profil 22 mm</t>
  </si>
  <si>
    <t>Schnittlochblende für Sidings mit Profiltiefe 32 mm</t>
  </si>
  <si>
    <t>perforated starter flashing for sidings with a profile depth of 32 mm</t>
  </si>
  <si>
    <t>cache de départ perforé pour Sidings avec profondeur de profil 32 mm</t>
  </si>
  <si>
    <t>Schraube</t>
  </si>
  <si>
    <t>screw</t>
  </si>
  <si>
    <t>Schraubloch</t>
  </si>
  <si>
    <t>screw hole</t>
  </si>
  <si>
    <t>Schutzfolie</t>
  </si>
  <si>
    <t>protective film</t>
  </si>
  <si>
    <t>film de protection</t>
  </si>
  <si>
    <t>Schutzfolie außen</t>
  </si>
  <si>
    <t>protective film on the outside</t>
  </si>
  <si>
    <t>Schutzlack</t>
  </si>
  <si>
    <t>protective paint</t>
  </si>
  <si>
    <t>vernis de protection</t>
  </si>
  <si>
    <t>Schwarz</t>
  </si>
  <si>
    <t>black</t>
  </si>
  <si>
    <t>noir</t>
  </si>
  <si>
    <t>Schwarzgrau</t>
  </si>
  <si>
    <t>black grey</t>
  </si>
  <si>
    <t>gris noir</t>
  </si>
  <si>
    <t>Senkkopfschraube</t>
  </si>
  <si>
    <t>countersunk screw</t>
  </si>
  <si>
    <t>vis à tête fraisée</t>
  </si>
  <si>
    <t>Sicherheitsdachhaken nach EN 517-B SDH INDUSTRY 31</t>
  </si>
  <si>
    <t>roof anchor hook according to EN 517-B SDH INDUSTRY 31</t>
  </si>
  <si>
    <t>crochet de sécurité conforme à la norme EN 517-B SDH industry 31</t>
  </si>
  <si>
    <t>Sicherheitsdachhaken SDH 41</t>
  </si>
  <si>
    <t>roof anchor hook SDH 41</t>
  </si>
  <si>
    <t>Sicherungsschraube</t>
  </si>
  <si>
    <t>locking screw</t>
  </si>
  <si>
    <t>Sicherungssystem</t>
  </si>
  <si>
    <t>safety system</t>
  </si>
  <si>
    <t>Sichtfläche</t>
  </si>
  <si>
    <t>visible surface</t>
  </si>
  <si>
    <t>surface visible</t>
  </si>
  <si>
    <t>Sichtseite</t>
  </si>
  <si>
    <t>visible side</t>
  </si>
  <si>
    <t>face visible</t>
  </si>
  <si>
    <t>Siding perforiert</t>
  </si>
  <si>
    <t>perforated siding</t>
  </si>
  <si>
    <t>Siding perforé</t>
  </si>
  <si>
    <t>Siding perforiert mit Schattenfuge</t>
  </si>
  <si>
    <t>perforated siding with shadow gap</t>
  </si>
  <si>
    <t>Siding.X glatt mit X-Kantung</t>
  </si>
  <si>
    <t>siding.X smooth with X-fold</t>
  </si>
  <si>
    <t>Sidings perforiert</t>
  </si>
  <si>
    <t>perforated sidings</t>
  </si>
  <si>
    <t>Silbermetallic</t>
  </si>
  <si>
    <t>metallic silver</t>
  </si>
  <si>
    <t>argent métallisé</t>
  </si>
  <si>
    <t>Sockelknie</t>
  </si>
  <si>
    <t>swan neck</t>
  </si>
  <si>
    <t>coude étage</t>
  </si>
  <si>
    <t>Sockelknie Ausladung: 30 mm</t>
  </si>
  <si>
    <t>swan neck projection: 30 mm</t>
  </si>
  <si>
    <t>coude étage projection: 30 mm</t>
  </si>
  <si>
    <t>Sockelknie Ausladung: 60 mm</t>
  </si>
  <si>
    <t>swan neck projection: 60 mm</t>
  </si>
  <si>
    <t>coude étage projection: 60 mm</t>
  </si>
  <si>
    <t>Sockelprofil</t>
  </si>
  <si>
    <t>Solarhalter</t>
  </si>
  <si>
    <t>solar bracket</t>
  </si>
  <si>
    <t>support solaire</t>
  </si>
  <si>
    <t>Solarhalter Fix</t>
  </si>
  <si>
    <t>Fix solar bracket</t>
  </si>
  <si>
    <t>support solaire Fix</t>
  </si>
  <si>
    <t>Solarhalter Fix 120 auf Sparren ohne Kreuzverbinder</t>
  </si>
  <si>
    <t>Fix solar bracket 120 on rafters without cross connector</t>
  </si>
  <si>
    <t>support solaire Fix 120 sur chevrons sans connecteur</t>
  </si>
  <si>
    <t>Solarhalter Fix 220 auf Sparren ohne Kreuzverbinder</t>
  </si>
  <si>
    <t>Fix solar bracket 220 on rafters without cross connector</t>
  </si>
  <si>
    <t>support solaire Fix 220 sur chevrons sans connecteur</t>
  </si>
  <si>
    <t>Solarhalter Fix auf mind. 30 mm Schalung geschraubt ohne Kreuzverbinder</t>
  </si>
  <si>
    <t>Fix solar bracket on at least 30 mm screwed without cross connector</t>
  </si>
  <si>
    <t>support solaire Fix vissé sur voligeage de 30 mm min. sans connecteur</t>
  </si>
  <si>
    <t>Solarhalter mit Abdeckkappe</t>
  </si>
  <si>
    <t>solar bracket with protective cap</t>
  </si>
  <si>
    <t>support solaire avec cache</t>
  </si>
  <si>
    <t>Solarhalter Prefalz Vario ohne Kreuzverbinder</t>
  </si>
  <si>
    <t>Vario Prefalz solar bracket without cross connector</t>
  </si>
  <si>
    <t>support solaire PREFALZ Vario sans connecteur</t>
  </si>
  <si>
    <t>Solarhalter Sunny Spezial für Dachplattenrille</t>
  </si>
  <si>
    <t>Sunny Special solar bracket for overlap rib</t>
  </si>
  <si>
    <t>support solaire Sunny spécial pour onde de tuile</t>
  </si>
  <si>
    <t>Solarhalter Vario</t>
  </si>
  <si>
    <t>Vario solar bracket</t>
  </si>
  <si>
    <t>support solaire Vario</t>
  </si>
  <si>
    <t>Solarhalter Vario 120 auf Sparren ohne Kreuzverbinder</t>
  </si>
  <si>
    <t>Vario solar bracket 120 on rafters without cross connector</t>
  </si>
  <si>
    <t>support solaire Vario 120 sur chevrons sans connecteur</t>
  </si>
  <si>
    <t>Solarhalter Vario 220 auf Sparren ohne Kreuzverbinder</t>
  </si>
  <si>
    <t>Vario solar bracket 220 on rafters without cross connector</t>
  </si>
  <si>
    <t>support solaire Vario 220 sur chevrons sans connecteur</t>
  </si>
  <si>
    <t>Solarhalter Vario auf mind. 30 mm Schalung geschraubt ohne Kreuzverbinder</t>
  </si>
  <si>
    <t>Vario solar bracket on at least 30 mm screwed without cross connector</t>
  </si>
  <si>
    <t>support solaire Vario vissé sur voligeage de 30 mm min. sans connecteur</t>
  </si>
  <si>
    <t>Solarmontagesystem</t>
  </si>
  <si>
    <t>solar panel mounting system</t>
  </si>
  <si>
    <t>accessoires pour panneaux solaires</t>
  </si>
  <si>
    <t>Solarsystem</t>
  </si>
  <si>
    <t>solar panel system</t>
  </si>
  <si>
    <t>Sonderanfertigung Ausfräsungen Dammbalken</t>
  </si>
  <si>
    <t>special design of barrier panel cut-outs</t>
  </si>
  <si>
    <t>réalisations sur mesure du fraisage des batardeaux</t>
  </si>
  <si>
    <t>Sonderbaubreite</t>
  </si>
  <si>
    <t>special visible width</t>
  </si>
  <si>
    <t>Sonderrohreinmündung</t>
  </si>
  <si>
    <t>special downpipe branch</t>
  </si>
  <si>
    <t>Sonderwinkel</t>
  </si>
  <si>
    <t>special gutter corner</t>
  </si>
  <si>
    <t>angle spécial</t>
  </si>
  <si>
    <t>sonstige Materialien</t>
  </si>
  <si>
    <t>other materials</t>
  </si>
  <si>
    <t>autres matériaux</t>
  </si>
  <si>
    <t>Sonstiges</t>
  </si>
  <si>
    <t>other</t>
  </si>
  <si>
    <t>autres</t>
  </si>
  <si>
    <t>sonstiges Zubehör</t>
  </si>
  <si>
    <t>other accessories</t>
  </si>
  <si>
    <t>autres accessoires</t>
  </si>
  <si>
    <t>Sortimentsbereinigung</t>
  </si>
  <si>
    <t>adjustment of product range</t>
  </si>
  <si>
    <t>Spannstück mit Sechskantschraube (bündige Montage in der Laibung)</t>
  </si>
  <si>
    <t>compression clamp with hex-head screw (flush installation in the reveal)</t>
  </si>
  <si>
    <t>pièce de serrage avec vis à six pans (montage dans l’embrasure)</t>
  </si>
  <si>
    <t>Spannstück mit Sterngriff (bündige Montage in der Laibung)</t>
  </si>
  <si>
    <t>compression clamp with star-shaped handle (flush installation in the reveal)</t>
  </si>
  <si>
    <t>pièce de serrage à poignée étoile (montage dans l’embrasure)</t>
  </si>
  <si>
    <t>Spannung</t>
  </si>
  <si>
    <t>pressure</t>
  </si>
  <si>
    <t xml:space="preserve">tension </t>
  </si>
  <si>
    <t>Spezialbohrer</t>
  </si>
  <si>
    <t>special drill bit</t>
  </si>
  <si>
    <t>Spezialbohrer für Aluminiumunterkonstruktion</t>
  </si>
  <si>
    <t>special drill bit for aluminium supporting bracket and rail systems</t>
  </si>
  <si>
    <t>Spezialbohrer für Holzunterkonstruktion</t>
  </si>
  <si>
    <t>special drill bit for timber sub-structure framework</t>
  </si>
  <si>
    <t>foret spécial pour les sous-constructions bois</t>
  </si>
  <si>
    <t>Spezialschraube</t>
  </si>
  <si>
    <t>special screw</t>
  </si>
  <si>
    <t>vis spéciale</t>
  </si>
  <si>
    <t>Spezialschraube für Aluminiumunterkonstruktion</t>
  </si>
  <si>
    <t>special screw for aluminium sub-structure framework</t>
  </si>
  <si>
    <t>vis spéciale pour les sous-constructions en aluminium</t>
  </si>
  <si>
    <t>Spezialschraube für Holzunterkonstruktion</t>
  </si>
  <si>
    <t>vis spéciale pour les sous-constructions bois</t>
  </si>
  <si>
    <t>Spezialschraube für Stahlunterkonstruktion</t>
  </si>
  <si>
    <t>special screw for steel sub-structure framework</t>
  </si>
  <si>
    <t>vis spéciale pour les sous-constructions métalliques</t>
  </si>
  <si>
    <t>Spezialschraube M6×60 mm</t>
  </si>
  <si>
    <t>special screw M6×60 mm</t>
  </si>
  <si>
    <t>Spiralbohrer HSS</t>
  </si>
  <si>
    <t>twist drill HSS</t>
  </si>
  <si>
    <t>foret hélicoïdal HSS</t>
  </si>
  <si>
    <t>Spiralbohrer HSS Smart Step</t>
  </si>
  <si>
    <t>twist drill HSS Smart Step</t>
  </si>
  <si>
    <t>foret hélicoïdal HSS Smart Step</t>
  </si>
  <si>
    <t>Stahl</t>
  </si>
  <si>
    <t>steel</t>
  </si>
  <si>
    <t>acier</t>
  </si>
  <si>
    <t>Standrohr</t>
  </si>
  <si>
    <t>reinforced downpipe</t>
  </si>
  <si>
    <t>dauphin</t>
  </si>
  <si>
    <t>Startplatte</t>
  </si>
  <si>
    <t>leading plate</t>
  </si>
  <si>
    <t>Startplatte für Wandraute 20 × 20</t>
  </si>
  <si>
    <t>leading plate for rhomboid façade tile 20 × 20</t>
  </si>
  <si>
    <t>demi-losange de départ 20 × 20 (façade)</t>
  </si>
  <si>
    <t>Startplatte für Wandraute 29 × 29</t>
  </si>
  <si>
    <t>leading plate for rhomboid façade tile 29 × 29</t>
  </si>
  <si>
    <t>demi-losange de départ 29 × 29 (façade)</t>
  </si>
  <si>
    <t>Startprofil</t>
  </si>
  <si>
    <t>starter profile</t>
  </si>
  <si>
    <t>profil de départ</t>
  </si>
  <si>
    <t>Stecküberschubleiste</t>
  </si>
  <si>
    <t>insertable coulisseau</t>
  </si>
  <si>
    <t>coulisseau emboîtable </t>
  </si>
  <si>
    <t>Stehfalzsysteme</t>
  </si>
  <si>
    <t>standing seam systems</t>
  </si>
  <si>
    <t>joint debout</t>
  </si>
  <si>
    <t>Steingrau</t>
  </si>
  <si>
    <t>stone grey</t>
  </si>
  <si>
    <t>gris pierre</t>
  </si>
  <si>
    <t>fascia bracket</t>
  </si>
  <si>
    <t>crochet de larmier</t>
  </si>
  <si>
    <t>Stirnbretthaken für Kastenrinne</t>
  </si>
  <si>
    <t>fascia bracket for box gutter</t>
  </si>
  <si>
    <t>crochet de larmier pour gouttière carrée</t>
  </si>
  <si>
    <t>Stoßausbildung</t>
  </si>
  <si>
    <t>réalisation des joints </t>
  </si>
  <si>
    <t>Stoßverbindertafel</t>
  </si>
  <si>
    <t>joint connector plate</t>
  </si>
  <si>
    <t>Strangpressprofil</t>
  </si>
  <si>
    <t>extruded profile</t>
  </si>
  <si>
    <t>profil extrudé</t>
  </si>
  <si>
    <t>Stücklänge</t>
  </si>
  <si>
    <t>piece length</t>
  </si>
  <si>
    <t>longueur des éléments</t>
  </si>
  <si>
    <t>Stufenbohrer</t>
  </si>
  <si>
    <t>step drill bit</t>
  </si>
  <si>
    <t>foret étagé</t>
  </si>
  <si>
    <t>Sturmsicherungsclip für Siding 500 und 600</t>
  </si>
  <si>
    <t>storm-proof clip for siding 500 and 600</t>
  </si>
  <si>
    <t>clip tempête pour Siding 500 et 600</t>
  </si>
  <si>
    <t>Stutzen eingeschweißt</t>
  </si>
  <si>
    <t>outlet soldered</t>
  </si>
  <si>
    <t>supports soudés</t>
  </si>
  <si>
    <t>Stutzen mit Klebeflansch</t>
  </si>
  <si>
    <t>outlet with bonding flange</t>
  </si>
  <si>
    <t>moignon plat</t>
  </si>
  <si>
    <t>Symbolerklärung</t>
  </si>
  <si>
    <t>explanation of symbols</t>
  </si>
  <si>
    <t>System</t>
  </si>
  <si>
    <t>system</t>
  </si>
  <si>
    <t>système</t>
  </si>
  <si>
    <t>Tafel</t>
  </si>
  <si>
    <t>sheet</t>
  </si>
  <si>
    <t>Tafelblech</t>
  </si>
  <si>
    <t>feuille d’aluminium</t>
  </si>
  <si>
    <t>Tafellochblech in Polyesterqualität</t>
  </si>
  <si>
    <t>perforated sheet metal in polyester quality</t>
  </si>
  <si>
    <t>feuille d’aluminium perforée en qualité polyester</t>
  </si>
  <si>
    <t>Taschenprofil (Haltewinkel)</t>
  </si>
  <si>
    <t>channel profile (flashing strip)</t>
  </si>
  <si>
    <t>profil d’accrochage</t>
  </si>
  <si>
    <t>Taschenprofil für Profilwelle (gekantet)</t>
  </si>
  <si>
    <t>channel profile for ripple profile (canted)</t>
  </si>
  <si>
    <t>profil replié pour profil sinus</t>
  </si>
  <si>
    <t>Taschenprofile</t>
  </si>
  <si>
    <t>channel profiles</t>
  </si>
  <si>
    <t>Taubenblau</t>
  </si>
  <si>
    <t>dusty blue</t>
  </si>
  <si>
    <t>bleu pigeon</t>
  </si>
  <si>
    <t>TAURUS-BEF-10</t>
  </si>
  <si>
    <t>Taurus-Rail auf PREFA Kleinformaten</t>
  </si>
  <si>
    <t>Taurus rails on PREFA small format products</t>
  </si>
  <si>
    <t>technische Informationen</t>
  </si>
  <si>
    <t>technical information</t>
  </si>
  <si>
    <t>informations techniques</t>
  </si>
  <si>
    <t>Tiefe/Breite/Höhe</t>
  </si>
  <si>
    <t>depth/width/height</t>
  </si>
  <si>
    <t>profondeur/largeur/hauteur</t>
  </si>
  <si>
    <t>Tiefenanschlag</t>
  </si>
  <si>
    <t>depth stop</t>
  </si>
  <si>
    <t>Tiefenanschlag für Stufenbohrer</t>
  </si>
  <si>
    <t>step drill bit depth stop</t>
  </si>
  <si>
    <t>butée de profondeur pour foret étagé</t>
  </si>
  <si>
    <t>Türkisblau</t>
  </si>
  <si>
    <t>turquoise blue</t>
  </si>
  <si>
    <t>bleu turquoise</t>
  </si>
  <si>
    <t>Türmer &amp; Vordächer</t>
  </si>
  <si>
    <t>towers &amp; canopies</t>
  </si>
  <si>
    <t>TX 20</t>
  </si>
  <si>
    <t>Überbügel für Aluminiumdachrinne</t>
  </si>
  <si>
    <t>reinforcement hanger for aluminium gutter</t>
  </si>
  <si>
    <t>bride de renfort pour gouttières en aluminium</t>
  </si>
  <si>
    <t>Übergang von eckig auf rund</t>
  </si>
  <si>
    <t>transition from square to round</t>
  </si>
  <si>
    <t>transition de section carrée à section circulaire</t>
  </si>
  <si>
    <t>Überschubleiste</t>
  </si>
  <si>
    <t>coulisseau</t>
  </si>
  <si>
    <t xml:space="preserve">coulisseau </t>
  </si>
  <si>
    <t>unbearbeitet</t>
  </si>
  <si>
    <t>unprocessed</t>
  </si>
  <si>
    <t>non façonné </t>
  </si>
  <si>
    <t>Universaleinfassung</t>
  </si>
  <si>
    <t>universal vent pipe cover</t>
  </si>
  <si>
    <t>Universaleinfassung (2-teilig)</t>
  </si>
  <si>
    <t>universal vent pipe cover (two parts)</t>
  </si>
  <si>
    <t>Unterlagsplatte für DS.19 und Dachraute 44 × 44</t>
  </si>
  <si>
    <t>base plate for DS.19 and rhomboid roof tile 44 × 44</t>
  </si>
  <si>
    <t>U-Profil</t>
  </si>
  <si>
    <t>U-profile</t>
  </si>
  <si>
    <t>profil en U</t>
  </si>
  <si>
    <t>U-Profil 25</t>
  </si>
  <si>
    <t>U-profile 25</t>
  </si>
  <si>
    <t>profil en U 25</t>
  </si>
  <si>
    <t>U-Profil 50</t>
  </si>
  <si>
    <t>U-profile 50</t>
  </si>
  <si>
    <t>profil en U 50</t>
  </si>
  <si>
    <t>U-Profil 80</t>
  </si>
  <si>
    <t>U-profile 80</t>
  </si>
  <si>
    <t>profil en U 80</t>
  </si>
  <si>
    <t>Velux</t>
  </si>
  <si>
    <t>Verbundplatte</t>
  </si>
  <si>
    <t>composite panel</t>
  </si>
  <si>
    <t>panneau composite</t>
  </si>
  <si>
    <t>Verbundplatten</t>
  </si>
  <si>
    <t>composite panels</t>
  </si>
  <si>
    <t>panneaux composites</t>
  </si>
  <si>
    <t>verdeckte Montage</t>
  </si>
  <si>
    <t>concealed installation</t>
  </si>
  <si>
    <t>montage invisible</t>
  </si>
  <si>
    <t>verkleidet</t>
  </si>
  <si>
    <t>clad</t>
  </si>
  <si>
    <t>Verpackungseinheit</t>
  </si>
  <si>
    <t>packing unit</t>
  </si>
  <si>
    <t>unité d’emballage</t>
  </si>
  <si>
    <t>Verrechnungseinheit</t>
  </si>
  <si>
    <t>unit</t>
  </si>
  <si>
    <t>Verschnitt</t>
  </si>
  <si>
    <t>offcuts</t>
  </si>
  <si>
    <t>déchets de coupe </t>
  </si>
  <si>
    <t>verzinkt</t>
  </si>
  <si>
    <t>galvanised</t>
  </si>
  <si>
    <t>verzinkter Stahl</t>
  </si>
  <si>
    <t>galvanised steel</t>
  </si>
  <si>
    <t>acier galvanisé</t>
  </si>
  <si>
    <t>Vogelschutzgitter</t>
  </si>
  <si>
    <t>bird screen</t>
  </si>
  <si>
    <t>grille anti-insectes</t>
  </si>
  <si>
    <t>Vollschalung</t>
  </si>
  <si>
    <t>fully supported substrate</t>
  </si>
  <si>
    <t>vorbohren</t>
  </si>
  <si>
    <t>pre-drill</t>
  </si>
  <si>
    <t>Vorderseite</t>
  </si>
  <si>
    <t>front</t>
  </si>
  <si>
    <t>face endroit</t>
  </si>
  <si>
    <t>vormontierte Modulklemme</t>
  </si>
  <si>
    <t>pre-mounted solar panel clamp</t>
  </si>
  <si>
    <t>fixation de module préinstallée</t>
  </si>
  <si>
    <t>Walnuss braun </t>
  </si>
  <si>
    <t>walnut</t>
  </si>
  <si>
    <t>Wandhalterung</t>
  </si>
  <si>
    <t>console murale</t>
  </si>
  <si>
    <t>Wandprofil</t>
  </si>
  <si>
    <t>wall profile</t>
  </si>
  <si>
    <t>profil mural</t>
  </si>
  <si>
    <t>Wandraute 29 × 29</t>
  </si>
  <si>
    <t>rhomboid façade tile 29 × 29</t>
  </si>
  <si>
    <t>losange de façade 29 × 29</t>
  </si>
  <si>
    <t>Wandschindel XL</t>
  </si>
  <si>
    <t>XL façade shingle</t>
  </si>
  <si>
    <t>bardeau de façade XL</t>
  </si>
  <si>
    <t>Wärmedämmung</t>
  </si>
  <si>
    <t>thermal insulation</t>
  </si>
  <si>
    <t>isolation thermique</t>
  </si>
  <si>
    <t>Wassersammler für Quadratrohr</t>
  </si>
  <si>
    <t>square downpipe water collector</t>
  </si>
  <si>
    <t>WDVS-Rohrschellendübel</t>
  </si>
  <si>
    <t>ETICS pipe bracket plug</t>
  </si>
  <si>
    <t>cheville d’isolation pour collier (ite)</t>
  </si>
  <si>
    <t>Winkelschiebehaft</t>
  </si>
  <si>
    <t>preformed sliding clip</t>
  </si>
  <si>
    <t>Winkelstehfalzhaft</t>
  </si>
  <si>
    <t>preformed fixed clip</t>
  </si>
  <si>
    <t>Wulst</t>
  </si>
  <si>
    <t>bead</t>
  </si>
  <si>
    <t>boudin</t>
  </si>
  <si>
    <t>Wulst und Blende</t>
  </si>
  <si>
    <t>bead and cover plate</t>
  </si>
  <si>
    <t>boudin et cache</t>
  </si>
  <si>
    <t>Zackenprofil</t>
  </si>
  <si>
    <t>serrated profile</t>
  </si>
  <si>
    <t>profil triangle</t>
  </si>
  <si>
    <t>Ziegelrot</t>
  </si>
  <si>
    <t>brick red</t>
  </si>
  <si>
    <t>rouge tuile</t>
  </si>
  <si>
    <t>Zinkgrau</t>
  </si>
  <si>
    <t>zinc grey</t>
  </si>
  <si>
    <t>gris de zinc</t>
  </si>
  <si>
    <t>Zinngrau</t>
  </si>
  <si>
    <t>tin grey</t>
  </si>
  <si>
    <t>gris trafic</t>
  </si>
  <si>
    <t>zur Befestigung von Taurus-Rail auf PREFA Kleinformaten</t>
  </si>
  <si>
    <t>for fastening Taurus rails on PREFA small format products</t>
  </si>
  <si>
    <t>pour la fixation du rail Taurus sur les produits petits formats de PREFA</t>
  </si>
  <si>
    <t>max.: 2.500 mm</t>
  </si>
  <si>
    <t>max.: 2,500 mm</t>
  </si>
  <si>
    <t>max. : 2 500 mm</t>
  </si>
  <si>
    <t>Gesamte Maximalinnenlänge gerade (L1 + L2) = 5.000 mm</t>
  </si>
  <si>
    <t>total maximum inside length straight (L1 + L2) = 5,000 mm</t>
  </si>
  <si>
    <t>total de la longueur intérieure maximum droit (L1 + L2) = 5 000 mm</t>
  </si>
  <si>
    <t>Lunghezza interna totale massima diritto (L1 + L2) = 5.000 mm</t>
  </si>
  <si>
    <t>Celková maximální délka linky rovný (L1 + L2) = 5000 mm</t>
  </si>
  <si>
    <t>Całkowita maksymalna długość wewnętrzna prosty (L1 + L2) = 5000 mm</t>
  </si>
  <si>
    <t>teljes maximális belső hossz egyenes (L1 + L2) = 5000 mm</t>
  </si>
  <si>
    <t>Celková maximálna vnútorná dĺžka rovný (L1 + L2) = 5 000 mm</t>
  </si>
  <si>
    <t>Totale maximale binnenlengte recht (L1 + L2) = 5.000 mm</t>
  </si>
  <si>
    <t>Skupna največja notranja dolžina ravna (L1 + L2) = 5.000 mm</t>
  </si>
  <si>
    <t>Total maximal invändig längd rak (L1 + L2) = 5 000 mm</t>
  </si>
  <si>
    <t>Samlet maksimal indvendig længde lige (L1 + L2) = 5.000 mm</t>
  </si>
  <si>
    <t>Maksimal total innvendig lengde Rett (L1 + L2) = 5000 mm</t>
  </si>
  <si>
    <t>Ukupna maksimalna unutarnja duljina ravno (L1 + L2) = 5.000 mm</t>
  </si>
  <si>
    <t>max.: 1.500 mm</t>
  </si>
  <si>
    <t>max.: 1,500 mm</t>
  </si>
  <si>
    <t>max. : 1 500 mm</t>
  </si>
  <si>
    <t>Gesamte Maximalinnenlänge gerade (L1 + L2) = 3.000 mm</t>
  </si>
  <si>
    <t>total maximum inside length straight (L1 + L2) = 3,000 mm</t>
  </si>
  <si>
    <t>total de la longueur intérieure maximum droit (L1 + L2) = 3 000 mm</t>
  </si>
  <si>
    <t>Lunghezza interna totale massima diritto (L1 + L2) = 3.000 mm</t>
  </si>
  <si>
    <t>Celková maximální délka linky rovný (L1 + L2) = 3000 mm</t>
  </si>
  <si>
    <t>Całkowita maksymalna długość wewnętrzna prosty (L1 + L2) = 3000 mm</t>
  </si>
  <si>
    <t>teljes maximális belső hossz egyenes (L1 + L2) = 3000 mm</t>
  </si>
  <si>
    <t>Celková maximálna vnútorná dĺžka rovný (L1 + L2) = 3 000 mm</t>
  </si>
  <si>
    <t>Totale maximale binnenlengte recht (L1 + L2) = 3.000 mm</t>
  </si>
  <si>
    <t>Skupna največja notranja dolžina ravna (L1 + L2) = 3.000 mm</t>
  </si>
  <si>
    <t>Total maximal invändig längd rak (L1 + L2) = 3 000 mm</t>
  </si>
  <si>
    <t>Samlet maksimal indvendig længde lige (L1 + L2) = 3.000 mm</t>
  </si>
  <si>
    <t>Maksimal total innvendig lengde Rett (L1 + L2) = 3000 mm</t>
  </si>
  <si>
    <t>Ukupna maksimalna unutarnja duljina ravno (L1 + L2) = 3.000 mm</t>
  </si>
  <si>
    <t>Einfassungsplatte für Dachplatte; Stucco; ⌀ 80–125 mm</t>
  </si>
  <si>
    <t>vent pipe cover for roof tile, stucco, Ø 80–125 mm</t>
  </si>
  <si>
    <t>raccordement de ventilation pour tuiles ; Stucco; ⌀ 80-125 mm</t>
  </si>
  <si>
    <t>PREFAConversa di ventilazione per Tegole, goffrata, per tubi Ø 80 - 125 mm</t>
  </si>
  <si>
    <t>Prostup pro falcované tašky Stucco, Ø 80 - 125 mm</t>
  </si>
  <si>
    <t>element wentylacyjny dla dachówek klasycznych, stucco, Ø 80–125 mm</t>
  </si>
  <si>
    <t>kivezető elem Classic elemhez, stukkó, Ø 80 - 125 mm</t>
  </si>
  <si>
    <t>prestup pre falcované škridle; Stucco; Ø 80 - 125 mm</t>
  </si>
  <si>
    <t>inwerkplaat voor dakplaat, stucco, Ø 80 - 125 mm</t>
  </si>
  <si>
    <t>prehodna plošča za strešne plošče, stucco, premer 80 - 125 mm</t>
  </si>
  <si>
    <t>infattningsplatta för takplatta, stuckatur, Ø 80-125 mm</t>
  </si>
  <si>
    <t>indfatningsplade til tagplade, stucco, Ø 80 - 125 mm</t>
  </si>
  <si>
    <t>innfatningsplate for takplate, stucco, Ø 80 - 125 mm</t>
  </si>
  <si>
    <t>Podložna ploča za krovnu ploču; stucco, ⌀ 80-125 mm</t>
  </si>
  <si>
    <t>Einfassungsplatte zum Einfalzen; Stucco</t>
  </si>
  <si>
    <t>vent pipe cover for seaming, stucco</t>
  </si>
  <si>
    <t>Raccordement de ventilation ; Stucco</t>
  </si>
  <si>
    <t>PREFA Conversa, goffrata</t>
  </si>
  <si>
    <t>PREFA Prostup pro falcované Stucco</t>
  </si>
  <si>
    <t>PREFA element wentylacyjny, stucco</t>
  </si>
  <si>
    <t>PREFA kivezető elem, stukkó</t>
  </si>
  <si>
    <t>PREFA Prestup; Stucco</t>
  </si>
  <si>
    <t>PREFA inwerkplaat, stucco</t>
  </si>
  <si>
    <t>PREFA prehodna plošča za strešne, stucco</t>
  </si>
  <si>
    <t>PREFA infattningsplatta, stuckatur</t>
  </si>
  <si>
    <t>PREFA indfatningsplade, stucco</t>
  </si>
  <si>
    <t>PREFA innfatningsplate, stucco</t>
  </si>
  <si>
    <t>PREFA otvor za ventilaciju; stucco</t>
  </si>
  <si>
    <t>Einfassungsplatte, zum Einfalzen; Stucco</t>
  </si>
  <si>
    <t>Unterlagsplatte (540 × 125 mm [Länge × Breite]; glatt)</t>
  </si>
  <si>
    <t>base plate (length = 540 × width = 125 mm), smooth</t>
  </si>
  <si>
    <t>plaque de support (540 × 125 mm [longueur × largeur] ; lisse)</t>
  </si>
  <si>
    <t>Sottopiastra L=540 x B=125 mm, liscia</t>
  </si>
  <si>
    <t>Montážní podložka D=540 x Š=125 mm, Hladký</t>
  </si>
  <si>
    <t>element podkładowy (długość = 540 × szerokość = 125 mm), Gładka</t>
  </si>
  <si>
    <t>alátétlemez H=540 x SZ=125mm, sima</t>
  </si>
  <si>
    <t>montážna podložka D=540 x Š=125 mm, Hladký</t>
  </si>
  <si>
    <t>steunplaat L=540 x B=125 mm, glad</t>
  </si>
  <si>
    <t>podložna plošča L=540 x B=125 mm, gladka</t>
  </si>
  <si>
    <t>underlagsskiva L = 540 x B = 125 mm, slät</t>
  </si>
  <si>
    <t>underlagsplade L=540 x B=125 mm, glat</t>
  </si>
  <si>
    <t>underlagsplate L=540 x B=125 mm, glatt</t>
  </si>
  <si>
    <t>Osnovna ploča (540 × 125 mm [duljina × širina]; glatko)</t>
  </si>
  <si>
    <t>Unterlagsplatte (680 × 125 mm [Länge × Breite]; glatt)</t>
  </si>
  <si>
    <t>base plate (length = 680 × width = 125 mm), smooth</t>
  </si>
  <si>
    <t>plaque de support (680 × 125 mm [longueur × largeur] ; lisse)</t>
  </si>
  <si>
    <t>Sottopiastra L=680 x B=125 mm, liscia</t>
  </si>
  <si>
    <t>Montážní podložka D=680 x Š=125 mm, Hladký</t>
  </si>
  <si>
    <t>element podkładowy (długość = 680 × szerokość = 125 mm), Gładka</t>
  </si>
  <si>
    <t>alátétlemez H=680 x SZ=125mm, sima</t>
  </si>
  <si>
    <t>montážna podložka D=680 x Š=125 mm, Hladký</t>
  </si>
  <si>
    <t>steunplaat L=680 x B=125 mm, glad</t>
  </si>
  <si>
    <t>podložna plošča L=680 x B=125 mm, gladka</t>
  </si>
  <si>
    <t>underlagsskiva L = 680 x B = 125 mm, slät</t>
  </si>
  <si>
    <t>underlagsplade L=680 x B=125 mm, glat</t>
  </si>
  <si>
    <t>underlagsplate L=680 x B=125 mm, glatt</t>
  </si>
  <si>
    <t>Osnovna ploča (680 × 125 mm [duljina × širina]; glatko)</t>
  </si>
  <si>
    <t>Unterlagsplatte für DR44, DS.19; Stucco</t>
  </si>
  <si>
    <t>base plate for rhomboid roof tiles 44 × 44 and DS.19, stucco</t>
  </si>
  <si>
    <t>plaque de support pour losange de toiture 44 × 44 et DS.19 ; Stucco</t>
  </si>
  <si>
    <t>sottopiastra per scaglia 44 × 44 e DS.19, goffrata</t>
  </si>
  <si>
    <t>montážní podložka pro šablony 44 × 44 a DS.19, Stucco</t>
  </si>
  <si>
    <t>blacha podkładowa do dachówki romb 44 × 44 i DS.19, stucco</t>
  </si>
  <si>
    <t>alátétlemez tetőfedő rombuszhoz (44 × 44) és DS.19 elemhez, stukkó</t>
  </si>
  <si>
    <t>spevňovacia podložka pre strešnú šablónu 44 × 44 a DS.19, Stucco</t>
  </si>
  <si>
    <t>grondplaat voor daklosange 44 × 44 en DS.19, stucco</t>
  </si>
  <si>
    <t>podložna plošča za strešni romb 44 × 44 in DS.19, stucco</t>
  </si>
  <si>
    <t>underlagsskiva för takromb 44 × 44 och DS.19, stuckatur</t>
  </si>
  <si>
    <t>underlagsplade til tagrombe 44 × 44 og DS.19, stucco</t>
  </si>
  <si>
    <t>underlagsplate for takrombe 44 × 44 og DS.19, stucco</t>
  </si>
  <si>
    <t>podložna ploča za krovni romb 44 × 44 i DS.19; stucco</t>
  </si>
  <si>
    <t>Einfassungsplatte für Dachraute 44 × 44; Stucco; ⌀ 80–125 mm</t>
  </si>
  <si>
    <t>vent pipe cover for rhomboid roof tile 44 × 44, stucco, ⌀ 80–125 mm</t>
  </si>
  <si>
    <t>raccordement de ventilation pour losanges de toiture 44 × 44 ; Stucco; ⌀ 80-125 mm</t>
  </si>
  <si>
    <t>Conversa per Scaglia 44, goffrata, Ø 80 - 125 mm</t>
  </si>
  <si>
    <t>Prostup pro Falcovanou šablonu 44x44, Stucco Ø 80 - 125 mm</t>
  </si>
  <si>
    <t>Element wentylacyjny dla Dachówka romb 44 × 44, stucco, ⌀ 80–125 mm</t>
  </si>
  <si>
    <t>kivezető elem 44x44 tetőfedő rombuszhoz, stukkó, Ø 80 - 125 mm</t>
  </si>
  <si>
    <t>prestupový prvok pre strešnú šablónu 44x44, Stucco, Ø 80 - 125 mm</t>
  </si>
  <si>
    <t>inwerkplaat voor daklosange 44 × 44, stucco, ⌀ 80 – 125 mm</t>
  </si>
  <si>
    <t>prehodna plošča za strešni romb 44x44, stucco, Ø80-125</t>
  </si>
  <si>
    <t>infattningsplatta för takromb 44 × 44, stuckatur, ⌀ 80-125 mm</t>
  </si>
  <si>
    <t>indfatningsplade til rudeformet tagplade 44 × 44, stucco, ⌀ 80–125 mm</t>
  </si>
  <si>
    <t>innfatningsplate for takstein 44 × 44, stucco, ⌀ 80–125 mm</t>
  </si>
  <si>
    <t>Podložna ploča za krovni romb 44 × 44; stucco; ⌀ 80–125 mm</t>
  </si>
  <si>
    <t>nur in 45 Bronze verfügbar</t>
  </si>
  <si>
    <t>only available in 45 Bronze</t>
  </si>
  <si>
    <t>disponible uniquement en 45 Bronze</t>
  </si>
  <si>
    <t>disponibile solo in 45 Bronzo</t>
  </si>
  <si>
    <t>k dispozici pouze v 45 bronzové</t>
  </si>
  <si>
    <t>dostępny tylko w kolorze 45 Brązu</t>
  </si>
  <si>
    <t>csak 45 bronzban elérhető</t>
  </si>
  <si>
    <t>k dispozícii iba v 45 bronzovej</t>
  </si>
  <si>
    <t>alleen beschikbaar in 45 brons</t>
  </si>
  <si>
    <t>na voljo samo v 45 bronasti</t>
  </si>
  <si>
    <t>endast tillgänglig i 45 brons</t>
  </si>
  <si>
    <t>kun tilgængelig i 45 bronze</t>
  </si>
  <si>
    <t>kun tilgjengelig i 45 bronse</t>
  </si>
  <si>
    <t>dostupno samo u 45 bronci</t>
  </si>
  <si>
    <t>Gummidichtung passend für HT/KG (NW 125 mm)</t>
  </si>
  <si>
    <t>suitable for high-temperature and foul drainage pipe (nominal size 125 mm)</t>
  </si>
  <si>
    <t>joint en caoutchouc compatible tuyaux HT et canalisations souterraines (DN 125 mm)</t>
  </si>
  <si>
    <t>Guarnizione in gomma per raccordi al tubo HT/KG NW 125 mm</t>
  </si>
  <si>
    <t>Gumové těsnění pro zaústění do HT/KG DN 125 mm</t>
  </si>
  <si>
    <t>do rury wywiewnej kanalizacji  (średnica nominalna  125 mm) ????</t>
  </si>
  <si>
    <t>gumitömítés 125 mm-es PVC csőhöz</t>
  </si>
  <si>
    <t>gumové tesnenie sedí pre PVC DN 125 mm</t>
  </si>
  <si>
    <t>rubberdichting geschikt voor HT/KG (NW 125 mm)</t>
  </si>
  <si>
    <t>gumijasto tesnilo za HAT/KG NW 125 mm</t>
  </si>
  <si>
    <t>gummitätning lämplig för HT/KG (NV 125 mm)</t>
  </si>
  <si>
    <t>gummitætning passer til HT/KG (NW 125 mm)</t>
  </si>
  <si>
    <t>gummitetning passer til HT/KG (NW 125 mm)</t>
  </si>
  <si>
    <t>Gumena brtva prikladna za HT/KG (NW 125 mm)</t>
  </si>
  <si>
    <t>80 mm</t>
  </si>
  <si>
    <t>_INDEX_2501</t>
  </si>
  <si>
    <t>Gummidichtung passend für HT/KG (NW 110 mm)</t>
  </si>
  <si>
    <t>suitable for high-temperature and foul drainage pipe (nominal size 110 mm)</t>
  </si>
  <si>
    <t>joint en caoutchouc compatible tuyaux HT et canalisations souterraines (DN 110 mm)</t>
  </si>
  <si>
    <t>Guarnizione in gomma per raccordi al tubo HT/KG NW 110 mm</t>
  </si>
  <si>
    <t>Gumové těsnění pro zaústění do HT/KG DN 110 mm</t>
  </si>
  <si>
    <t>do rury wywiewnej kanalizacji  (średnica nominalna  110 mm) ????</t>
  </si>
  <si>
    <t>gumové tesnenie sedí pre PVC DN 110 mm</t>
  </si>
  <si>
    <t>rubberdichting geschikt voor HT/KG (NW 110 mm)</t>
  </si>
  <si>
    <t>gumijasto tesnilo za HAT/KG NW 110 mm</t>
  </si>
  <si>
    <t>gummitätning lämplig för HT/KG (NV 110 mm)</t>
  </si>
  <si>
    <t>gummitætning passer til HT/KG (NW 110 mm)</t>
  </si>
  <si>
    <t>gummitetning passer til HT/KG (NW 110 mm)</t>
  </si>
  <si>
    <t>Gumena brtva prikladna za HT/KG (NW 110 mm)</t>
  </si>
  <si>
    <t>Elemento isolante (Blocco termico)</t>
  </si>
  <si>
    <t>Izolátor (Tepelná zábrana)</t>
  </si>
  <si>
    <t>Materiał izolacyjny (Zabezpieczenie termiczne)</t>
  </si>
  <si>
    <t>Tryskový ventilátor</t>
  </si>
  <si>
    <t>Cover strip (cleat strip)</t>
  </si>
  <si>
    <t>Solární poklop</t>
  </si>
  <si>
    <t>Solarny właz</t>
  </si>
  <si>
    <t>nel caso di un sottotetto reso abitabile, a meno che non si tratti di una costruzione non ventilata</t>
  </si>
  <si>
    <r>
      <t xml:space="preserve">Membrana sottomanto (secondo la norma ÖNORM </t>
    </r>
    <r>
      <rPr>
        <sz val="11"/>
        <color rgb="FF000000"/>
        <rFont val="Arial"/>
        <family val="2"/>
      </rPr>
      <t>B 4119)</t>
    </r>
  </si>
  <si>
    <t>Směr falcování</t>
  </si>
  <si>
    <t>Einlegerinne (z.B. Edelstahl)</t>
  </si>
  <si>
    <t>gutter (stainless steel)</t>
  </si>
  <si>
    <t>Vložený žlab (např. nerezová ocel)</t>
  </si>
  <si>
    <t>Lunghezza interna totale massima (L1 + L2) = 1.140 mm</t>
  </si>
  <si>
    <r>
      <t>Taglierina per lamiera per punto fisso (</t>
    </r>
    <r>
      <rPr>
        <sz val="10"/>
        <color rgb="FF000000"/>
        <rFont val="Arial"/>
        <family val="2"/>
      </rPr>
      <t>⌀ 5,1 mm)</t>
    </r>
  </si>
  <si>
    <r>
      <t>Taglierina per lamiera per punto scorrevole (</t>
    </r>
    <r>
      <rPr>
        <sz val="10"/>
        <color rgb="FF000000"/>
        <rFont val="Arial"/>
        <family val="2"/>
      </rPr>
      <t>⌀ 9,5 mm)</t>
    </r>
  </si>
  <si>
    <t>Lepicí oblast</t>
  </si>
  <si>
    <t>Aufpreis Ausfräsung Wandprofile für Dammbalken</t>
  </si>
  <si>
    <t>Aufpreis Längenänderung Wandprofile</t>
  </si>
  <si>
    <t>Ausfräsung Wandprofile für DB</t>
  </si>
  <si>
    <t>Fresatura montante a parete</t>
  </si>
  <si>
    <t>Calculation of U-profile height when installing in reveal for threading</t>
  </si>
  <si>
    <t>Stop log hook</t>
  </si>
  <si>
    <t>Stop log length:</t>
  </si>
  <si>
    <t>ce qui inclut tout dommage causé par l’action mécanique de personnes ou d’objets.</t>
  </si>
  <si>
    <t>Die Gültigkeit dieses Dokumentes endet mit 31.12.2024</t>
  </si>
  <si>
    <t>This document is valid until 31 December 2024</t>
  </si>
  <si>
    <t>La validité du présent document expire le 31/12/2024</t>
  </si>
  <si>
    <t>Documento valido fino al 31.12.2024</t>
  </si>
  <si>
    <t>Platnost tohoto dokumentu končí k 31.12.2024</t>
  </si>
  <si>
    <t>Niniejszy dokument jest ważny do dnia 31.12.2024 r.</t>
  </si>
  <si>
    <t>Jelen dokumentum 2024 12.31-ig érvényes</t>
  </si>
  <si>
    <t>Platnosť tohto dokumentu končí 31. 12. 2024</t>
  </si>
  <si>
    <t>De geldigheid van dit document eindigt op 31-12-2024</t>
  </si>
  <si>
    <t>Ta dokument je veljaven do 31. 12. 2024.</t>
  </si>
  <si>
    <t>Detta dokument upphör att gälla 2024-12-31</t>
  </si>
  <si>
    <t>Gyldigheden af dette dokument ophører 31.12.2024</t>
  </si>
  <si>
    <t>Dette dokumentet er gyldig til 31.12.2024</t>
  </si>
  <si>
    <t>Valjanost ovog dokumenta prestaje s 31.12.2024.</t>
  </si>
  <si>
    <t>Flessione sponde</t>
  </si>
  <si>
    <t>Flessione sponde HD:</t>
  </si>
  <si>
    <t>Flessione sponde HD+HS:</t>
  </si>
  <si>
    <t>Flessione sponde HS:</t>
  </si>
  <si>
    <t>Flessione sponde:</t>
  </si>
  <si>
    <t>Halterung für Dammbalken Wandprofil</t>
  </si>
  <si>
    <t>Nell'intradosso</t>
  </si>
  <si>
    <t>Längenänderung Wandprofile</t>
  </si>
  <si>
    <t>paletto di rinforzo incl. tenditore, vite di ancoraggio e asta filettata</t>
  </si>
  <si>
    <t>Wandprofile</t>
  </si>
  <si>
    <t>Sollecitazione sponde [%]</t>
  </si>
  <si>
    <t>Sollecitazione montante intermedio [%]</t>
  </si>
  <si>
    <t>Livello di sollecitazione sponde</t>
  </si>
  <si>
    <t>Specjalny arkusz ankiety</t>
  </si>
  <si>
    <t>Špeciálny prieskumný hárok</t>
  </si>
  <si>
    <t>Speciale enquêteformulier</t>
  </si>
  <si>
    <t>Posebni anketni list</t>
  </si>
  <si>
    <t>Speciellt undersökningsformulär</t>
  </si>
  <si>
    <t>Særligt undersøgelsesskema</t>
  </si>
  <si>
    <t>Spesielt undersøkelsesskjema</t>
  </si>
  <si>
    <t>Kąt rynny 2D</t>
  </si>
  <si>
    <t>Uhol žľabu 2D</t>
  </si>
  <si>
    <t>Hoek van de goot 2D</t>
  </si>
  <si>
    <t>Kot žleba 2D</t>
  </si>
  <si>
    <t>Rännvinkel 2D</t>
  </si>
  <si>
    <t>Tagrendervinkel 2D</t>
  </si>
  <si>
    <t>Rennevinkel 2D</t>
  </si>
  <si>
    <t>Kut oluka 2D</t>
  </si>
  <si>
    <t>Kąt rynny 3D</t>
  </si>
  <si>
    <t>Uhol žľabu 3D</t>
  </si>
  <si>
    <t>Hoek van de goot 3D</t>
  </si>
  <si>
    <t>Kot žleba 3D</t>
  </si>
  <si>
    <t>Rännvinkel 3D</t>
  </si>
  <si>
    <t>Tagrendervinkel 3D</t>
  </si>
  <si>
    <t>Rennevinkel 3D</t>
  </si>
  <si>
    <t>Kut oluka 3D</t>
  </si>
  <si>
    <t>Kolano rurowe</t>
  </si>
  <si>
    <t>Rúrkový ohyb</t>
  </si>
  <si>
    <t>Koleno cevi</t>
  </si>
  <si>
    <t>Rörböj</t>
  </si>
  <si>
    <t>Rørbøjning</t>
  </si>
  <si>
    <t>Rørbøyning</t>
  </si>
  <si>
    <t>Savijanje cijevi</t>
  </si>
  <si>
    <t>Skrzynka na wodę</t>
  </si>
  <si>
    <t>Zberná nádrž na vodu</t>
  </si>
  <si>
    <t>Zbiralna škatla za vodo</t>
  </si>
  <si>
    <t>Vattenuppsamlingslåda</t>
  </si>
  <si>
    <t>Vannsamlerboks</t>
  </si>
  <si>
    <t>Kutija za sakupljanje vode</t>
  </si>
  <si>
    <t>Wpust rury (jednostronny)</t>
  </si>
  <si>
    <t>Vtok potrubia (jednostranný)</t>
  </si>
  <si>
    <t>Pijpinlaat (eenzijdig)</t>
  </si>
  <si>
    <t>Vtok cevi (enosmerni)</t>
  </si>
  <si>
    <t>Rörinlopp (ensidigt)</t>
  </si>
  <si>
    <t>Rørindløb (ensidet)</t>
  </si>
  <si>
    <t>Rørinntak (ensidig)</t>
  </si>
  <si>
    <t>Usmjerivač cijevi (jednostrani)</t>
  </si>
  <si>
    <t>Wpust rury (dwustronny)</t>
  </si>
  <si>
    <t>Vtok potrubia (obojstranný)</t>
  </si>
  <si>
    <t>Pijpinlaat (tweezijdig)</t>
  </si>
  <si>
    <t>Vtok cevi (dvostranski)</t>
  </si>
  <si>
    <t>Rörinlopp (tvåsidigt)</t>
  </si>
  <si>
    <t>Rørindløb (tosidet)</t>
  </si>
  <si>
    <t>Rørinntak (tosidig)</t>
  </si>
  <si>
    <t>Usmjerivač cijevi (dvosmjerni)</t>
  </si>
  <si>
    <t>Wpust kwadratowej rury (jednostronny)</t>
  </si>
  <si>
    <t>Vtok štvorcovej rúry (jednostranný)</t>
  </si>
  <si>
    <t>Vierkante pijpinlaat (eenzijdig)</t>
  </si>
  <si>
    <t>Vtok kvadratne cevi (enosmerni)</t>
  </si>
  <si>
    <t>Fyrkantigt rörinlopp (ensidigt)</t>
  </si>
  <si>
    <t>Firkantet rørindløb (ensidet)</t>
  </si>
  <si>
    <t>Firkantet rørinntak (ensidig)</t>
  </si>
  <si>
    <t>Usmjerivač kvadratne cijevi (jednostrani)</t>
  </si>
  <si>
    <t>Wlot rury kwadratowej (dwustronny)</t>
  </si>
  <si>
    <t>Štvorcový vstup potrubia (obojstranný)</t>
  </si>
  <si>
    <t>Vierkante buisinlaat (tweezijdig)</t>
  </si>
  <si>
    <t>Kvadratni vstop cevi (dvosmerni)</t>
  </si>
  <si>
    <t>Fyrkantigt rörinlopp (tvåsidor)</t>
  </si>
  <si>
    <t>Firkantet rørindløb (to-sidet)</t>
  </si>
  <si>
    <t>Firkantet rørinnløp (to-sidet)</t>
  </si>
  <si>
    <t>Kvadratni ulaz cijevi (dvostrani)</t>
  </si>
  <si>
    <t>Kolano podstawy rury kwadratowej</t>
  </si>
  <si>
    <t>Koleno základného štvorcového potrubia</t>
  </si>
  <si>
    <t>Vierkante buis basis elleboog</t>
  </si>
  <si>
    <t>Komolec osnovne kvadratne cevi</t>
  </si>
  <si>
    <t>Fyrkantsrörs basböj</t>
  </si>
  <si>
    <t>Firkantet rør sokkelknæ</t>
  </si>
  <si>
    <t>Firkantet rør sokkelalbue</t>
  </si>
  <si>
    <t>Kvadratna cijevna baza lakat</t>
  </si>
  <si>
    <t>Kolano podstawowe</t>
  </si>
  <si>
    <t>Soklové koleno</t>
  </si>
  <si>
    <t>Sokkelbocht</t>
  </si>
  <si>
    <t>Podnožje koleno</t>
  </si>
  <si>
    <t>Sockelknä</t>
  </si>
  <si>
    <t>Sokkelfals</t>
  </si>
  <si>
    <t>Sokkelalbue</t>
  </si>
  <si>
    <t>Postolno koljeno</t>
  </si>
  <si>
    <t>Skrzynka na wodę z kwadratowej rury</t>
  </si>
  <si>
    <t>Vodný zberač zo štvorcového potrubia</t>
  </si>
  <si>
    <t>Vierkante buis wateropvangbak</t>
  </si>
  <si>
    <t>Škatla za zbiranje vode za kvadratne cevi</t>
  </si>
  <si>
    <t>Fyrkantsrör vattenuppsamlingslåda</t>
  </si>
  <si>
    <t>Firkantet rør vandopsamlingsboks</t>
  </si>
  <si>
    <t>Firkantet rør vannoppsamlingsboks</t>
  </si>
  <si>
    <t>Kutija za vodu kvadratne cijevi</t>
  </si>
  <si>
    <t>Zewnętrzny kąt rynny</t>
  </si>
  <si>
    <t>Vonkajší uhol odkvapu</t>
  </si>
  <si>
    <t>Externe dakgoot hoek</t>
  </si>
  <si>
    <t>Zunanji kot žleba</t>
  </si>
  <si>
    <t>Extern rännvinkel</t>
  </si>
  <si>
    <t>Udvendig tagrende vinkel</t>
  </si>
  <si>
    <t>Ekstern takrennevinkel</t>
  </si>
  <si>
    <t>Vanjski kut žlijeba</t>
  </si>
  <si>
    <t>Wewnętrzny kąt rynny</t>
  </si>
  <si>
    <t>Vnútorný uhol odkvapu</t>
  </si>
  <si>
    <t>Interne dakgoot hoek</t>
  </si>
  <si>
    <t>Notranji kot žleba</t>
  </si>
  <si>
    <t>Intern rännvinkel</t>
  </si>
  <si>
    <t>Indvendig tagrende vinkel</t>
  </si>
  <si>
    <t>Intern takrennevinkel</t>
  </si>
  <si>
    <t>Unutarnji kut žlijeba</t>
  </si>
  <si>
    <t>Kwadratowa rura 100x80mm</t>
  </si>
  <si>
    <t>Štvorcová trubka 100x80mm</t>
  </si>
  <si>
    <t>Vierkante buis 100x80mm</t>
  </si>
  <si>
    <t>Kvadratna cev 100x80mm</t>
  </si>
  <si>
    <t>Fyrkantsrör 100x80mm</t>
  </si>
  <si>
    <t>Firkantet rør 100x80mm</t>
  </si>
  <si>
    <t>Kvadratna cijev 100x80mm</t>
  </si>
  <si>
    <t>Profil startowy P.10 specjalny kolor (długość: 2 000 mm)</t>
  </si>
  <si>
    <t>Štartovací profil P.10 špeciálna farba (dĺžka: 2 000 mm)</t>
  </si>
  <si>
    <t>Startprofiel P.10 speciale kleur (lengte: 2.000 mm)</t>
  </si>
  <si>
    <t>Začetni profil P.10 posebna barva (dolžina: 2.000 mm)</t>
  </si>
  <si>
    <t>Startprofil P.10 specialfärg (längd: 2 000 mm)</t>
  </si>
  <si>
    <t>Startprofil P.10 specialfarve (længde: 2.000 mm)</t>
  </si>
  <si>
    <t>Startprofil P.10 spesialfarge (lengde: 2 000 mm)</t>
  </si>
  <si>
    <t>Početni profil P.10 posebna boja (duljina: 2.000 mm)</t>
  </si>
  <si>
    <t>Profil kieszeniowy (uchwyt mocujący) (długość: 3 000 mm)</t>
  </si>
  <si>
    <t>Vreckový profil (držiak) (dĺžka: 3 000 mm)</t>
  </si>
  <si>
    <t>Žepni profil (pritrdilni nosilec) (dolžina: 3.000 mm)</t>
  </si>
  <si>
    <t>Džepni profil (držni nosač) (duljina: 3.000 mm)</t>
  </si>
  <si>
    <t>Szerokość mierzona w nachyleniu dachu</t>
  </si>
  <si>
    <t>Šírka meraná v sklone strechy</t>
  </si>
  <si>
    <t>Breedte gemeten in dakhelling</t>
  </si>
  <si>
    <t>Širina izmerjena v naklonu strehe</t>
  </si>
  <si>
    <t>Bredd mätt i taklutning</t>
  </si>
  <si>
    <t>Bredde målt i taghældning</t>
  </si>
  <si>
    <t>Bredde målt i takhelling</t>
  </si>
  <si>
    <t>Širina mjerena u nagibu krova</t>
  </si>
  <si>
    <t>Šírka</t>
  </si>
  <si>
    <t>Bredd</t>
  </si>
  <si>
    <t>Odstęp</t>
  </si>
  <si>
    <t>Vzdialenosť</t>
  </si>
  <si>
    <t>Afstand</t>
  </si>
  <si>
    <t>Razdalja</t>
  </si>
  <si>
    <t>Avstånd</t>
  </si>
  <si>
    <t>Avstand</t>
  </si>
  <si>
    <t>Razmak</t>
  </si>
  <si>
    <t>Rozměr</t>
  </si>
  <si>
    <t>Wymiar</t>
  </si>
  <si>
    <t>Rozmer</t>
  </si>
  <si>
    <t>Afmeting</t>
  </si>
  <si>
    <t>Dimenzija</t>
  </si>
  <si>
    <t>Dimensjon</t>
  </si>
  <si>
    <t>Strukturalne podłoże</t>
  </si>
  <si>
    <t>Nosná konštrukcia plášťa</t>
  </si>
  <si>
    <t>Structurele basis</t>
  </si>
  <si>
    <t>Nosilna konstrukcija</t>
  </si>
  <si>
    <t>Strukturellt substrat</t>
  </si>
  <si>
    <t>Strukturel basis</t>
  </si>
  <si>
    <t>Strukturelt underlag</t>
  </si>
  <si>
    <t>Strukturna podloga</t>
  </si>
  <si>
    <t>Długość paska obszycia</t>
  </si>
  <si>
    <t>Dĺžka lemu</t>
  </si>
  <si>
    <t>Zoomstrooklengte</t>
  </si>
  <si>
    <t>Dolžina robnega traku</t>
  </si>
  <si>
    <t>Fållbandslängd</t>
  </si>
  <si>
    <t>Kantbåndslængde</t>
  </si>
  <si>
    <t>Kantbåndslengde</t>
  </si>
  <si>
    <t>Duljina trake za rubove</t>
  </si>
  <si>
    <t>Ścienny uchwyt diamentowy do 29 x 29</t>
  </si>
  <si>
    <t>Nástenný diamantový držiak pre 29 x 29</t>
  </si>
  <si>
    <t>Muurdiamant bevestiger voor 29 x 29</t>
  </si>
  <si>
    <t>Stenski rombasti nosilec za 29 x 29</t>
  </si>
  <si>
    <t>Väggdiamonfäste för 29 x 29</t>
  </si>
  <si>
    <t>Vægdiamonfastgørelse til 29 x 29</t>
  </si>
  <si>
    <t>Veggdiamonfeste for 29 x 29</t>
  </si>
  <si>
    <t>Zidni dijamantni držač za 29 x 29</t>
  </si>
  <si>
    <t>Angle de connexion</t>
  </si>
  <si>
    <t>Kąt połączenia</t>
  </si>
  <si>
    <t>Spojovací uhol</t>
  </si>
  <si>
    <t>Verbindingshoek</t>
  </si>
  <si>
    <t>Povezovalni kot</t>
  </si>
  <si>
    <t>Anslutningsvinkel</t>
  </si>
  <si>
    <t>Forbindelsesvinkel</t>
  </si>
  <si>
    <t>Tilkoblingsvinkel</t>
  </si>
  <si>
    <t>Kut spajanja</t>
  </si>
  <si>
    <t>co najmniej 10 mm</t>
  </si>
  <si>
    <t>Nerezový stojatý šev pro upevnění šrouby</t>
  </si>
  <si>
    <t>Rozsdamentes acél állókorc bilincs csavaros rögzítéshez</t>
  </si>
  <si>
    <t>Nerezový stojatý šev pre upevnenie skrutkami</t>
  </si>
  <si>
    <t>RVS staande naad clip voor bevestiging met schroeven</t>
  </si>
  <si>
    <t>Nosilec za stoječi šiv iz nerjavečega jekla za pritrditev z vijaki</t>
  </si>
  <si>
    <t>Rostfri stående sömfäste för skruvmontering</t>
  </si>
  <si>
    <t>Rustfrit stål stående sømfæste til fastgørelse med skruer</t>
  </si>
  <si>
    <t>Rustfritt stående sømfeste for skruemontering</t>
  </si>
  <si>
    <t>Inox držač za stojeći spoj za pričvršćivanje vijcima</t>
  </si>
  <si>
    <t>Nerezová úhlová posuvná svorka pro upevnění šrouby</t>
  </si>
  <si>
    <t>Rozsdamentes acél csúszó szögbilincs csavaros rögzítéshez</t>
  </si>
  <si>
    <t>Nerezová úhlová posuvná svorka pre upevnenie skrutkami</t>
  </si>
  <si>
    <t>RVS schuivende hoekclip voor bevestiging met schroeven</t>
  </si>
  <si>
    <t>Kotni drsni nosilec iz nerjavečega jekla za pritrditev z vijaki</t>
  </si>
  <si>
    <t>Rostfri glidande vinkelfäste för skruvmontering</t>
  </si>
  <si>
    <t>Rustfrit stål glidende vinkelfæste til fastgørelse med skruer</t>
  </si>
  <si>
    <t>Rustfritt glidende vinkelfeste for skruemontering</t>
  </si>
  <si>
    <t>Inox klizni kutni držač za pričvršćivanje vijcima</t>
  </si>
  <si>
    <t>Nerezová dlouhá úhlová posuvná svorka pro upevnění šrouby</t>
  </si>
  <si>
    <t>Rozsdamentes acél hosszú csúszó szögbilincs csavaros rögzítéshez</t>
  </si>
  <si>
    <t>Nerezová dlhá úhlová posuvná svorka pre upevnenie skrutkami</t>
  </si>
  <si>
    <t>RVS lange schuivende hoekclip voor bevestiging met schroeven</t>
  </si>
  <si>
    <t>Dolgi kotni drsni nosilec iz nerjavečega jekla za pritrditev z vijaki</t>
  </si>
  <si>
    <t>Rostfri lång glidande vinkelfäste för skruvmontering</t>
  </si>
  <si>
    <t>Rustfrit stål langt glidende vinkelfæste til fastgørelse med skruer</t>
  </si>
  <si>
    <t>Rustfritt langt glidende vinkelfeste for skruemontering</t>
  </si>
  <si>
    <t>Inox duga klizna kutna držač za pričvršćivanje vijcima</t>
  </si>
  <si>
    <t>Perforovaný obklad bez stínové spáry</t>
  </si>
  <si>
    <t>Perforált burkolat árnyékfuga nélkül</t>
  </si>
  <si>
    <t>Perforovaný obklad bez tienovej škáry</t>
  </si>
  <si>
    <t>Geperforeerde gevelbekleding zonder schaduwvoeg</t>
  </si>
  <si>
    <t>Perforirana obloga brez senčne reže</t>
  </si>
  <si>
    <t>Perforerad beklädnad utan skuggfog</t>
  </si>
  <si>
    <t>Perforeret beklædning uden skyggefuge</t>
  </si>
  <si>
    <t>Perforert kledning uten skyggefuge</t>
  </si>
  <si>
    <t>Perforirani oplata bez sjene fugama</t>
  </si>
  <si>
    <t>Vite speciale per sottostruttura in alluminio 5,5 x 25 mm</t>
  </si>
  <si>
    <t>Speciální šroub pro hliníkovou podkonstrukci 5,5 x 25 mm</t>
  </si>
  <si>
    <t>Speciális csavar alumínium alépítményhez 5,5 x 25 mm</t>
  </si>
  <si>
    <t>Špeciálna skrutka pre hliníkovú podkonštrukciu 5,5 x 25 mm</t>
  </si>
  <si>
    <t>Poseben vijak za aluminijasto podkonstrukcijo 5,5 x 25 mm</t>
  </si>
  <si>
    <t>Specijalni vijak za aluminijsku podkonstrukciju 5,5 x 25 mm</t>
  </si>
  <si>
    <t>Speciální šroub pro ocelovou podkonstrukci 5,5 x 25 mm</t>
  </si>
  <si>
    <t>Speciális csavar acél alépítményhez 5,5 x 25 mm</t>
  </si>
  <si>
    <t>Špeciálna skrutka pre oceľovú podkonštrukciu 5,5 x 25 mm</t>
  </si>
  <si>
    <t>Poseben vijak za jekleno podkonstrukcijo 5,5 x 25 mm</t>
  </si>
  <si>
    <t>Specijalni vijak za čeličnu podkonstrukciju 5,5 x 25 mm</t>
  </si>
  <si>
    <t>Speciální šroub pro dřevěnou podkonstrukci 4,9 x 35 mm</t>
  </si>
  <si>
    <t>Speciális csavar fa alépítményhez 4,9 x 35 mm</t>
  </si>
  <si>
    <t>Špeciálna skrutka pre drevenú podkonštrukciu 4,9 x 35 mm</t>
  </si>
  <si>
    <t>Poseben vijak za leseno podkonstrukcijo 4,9 x 35 mm</t>
  </si>
  <si>
    <t>Specijalni vijak za drvenu podkonstrukciju 4,9 x 35 mm</t>
  </si>
  <si>
    <t>Fasádní šroub pro hliníkovou podkonstrukci</t>
  </si>
  <si>
    <t>Homlokzati csavar alumínium alépítményhez</t>
  </si>
  <si>
    <t>Fasádna skrutka pre hliníkovú podkonštrukciu</t>
  </si>
  <si>
    <t>Gevelschroef voor aluminium onderconstructie</t>
  </si>
  <si>
    <t>Fasadni vijak za aluminijasto podkonstrukcijo</t>
  </si>
  <si>
    <t>Fassadskruv för aluminiumunderkonstruktion</t>
  </si>
  <si>
    <t>Facadeskrue til aluminiumunderkonstruktion</t>
  </si>
  <si>
    <t>Fasadeskrue for aluminium underkonstruksjon</t>
  </si>
  <si>
    <t>Vijak za fasadu za aluminijsku podkonstrukciju</t>
  </si>
  <si>
    <t>Pevný bod pouzdro pro fasádní šroub</t>
  </si>
  <si>
    <t>Fix pont hüvely homlokzati csavarhoz</t>
  </si>
  <si>
    <t>Pevný bod puzdro pre fasádnu skrutku</t>
  </si>
  <si>
    <t>Vastpuntbus voor gevelschroef</t>
  </si>
  <si>
    <t>Tulka za fiksno točko za fasadni vijak</t>
  </si>
  <si>
    <t>Fixpunktshylsa för fasadskruv</t>
  </si>
  <si>
    <t>Fastpunkthylster til facadeskrue</t>
  </si>
  <si>
    <t>Fastpunktshylse for fasadeskrue</t>
  </si>
  <si>
    <t>Čahura fiksne točke za vijak za fasadu</t>
  </si>
  <si>
    <t>Kluzný bod pouzdro pro fasádní šroub</t>
  </si>
  <si>
    <t>Csúszópont hüvely homlokzati csavarhoz</t>
  </si>
  <si>
    <t>Posuvný bod puzdro pre fasádnu skrutku</t>
  </si>
  <si>
    <t>Glijpuntbus voor gevelschroef</t>
  </si>
  <si>
    <t>Tulka za drsno točko za fasadni vijak</t>
  </si>
  <si>
    <t>Glidpunktshylsa för fasadskruv</t>
  </si>
  <si>
    <t>Glidepunkthylster til facadeskrue</t>
  </si>
  <si>
    <t>Glidepunktshylse for fasadeskrue</t>
  </si>
  <si>
    <t>Čahura klizne točke za vijak za fasadu</t>
  </si>
  <si>
    <t>Perforovaný</t>
  </si>
  <si>
    <t>Perforowany</t>
  </si>
  <si>
    <t>Perforált</t>
  </si>
  <si>
    <t>Geperforeerd</t>
  </si>
  <si>
    <t>Perforiran</t>
  </si>
  <si>
    <t>Perforerad</t>
  </si>
  <si>
    <t>Perforeret</t>
  </si>
  <si>
    <t>Perforert</t>
  </si>
  <si>
    <t>Zápustné šrouby</t>
  </si>
  <si>
    <t>Süllyesztett fejű csavarok</t>
  </si>
  <si>
    <t>Zápustné skrutky</t>
  </si>
  <si>
    <t>Verzinkte schroeven</t>
  </si>
  <si>
    <t>Vijaki s stožčasto glavo</t>
  </si>
  <si>
    <t>Försänkta skruvar</t>
  </si>
  <si>
    <t>Forsænkede skruer</t>
  </si>
  <si>
    <t>Senkhodeskruer</t>
  </si>
  <si>
    <t>Vijci sa upuštenom glavom</t>
  </si>
  <si>
    <t>Překrytí 100 mm</t>
  </si>
  <si>
    <t>Zakładka 100 mm</t>
  </si>
  <si>
    <t>Átfedés 100 mm</t>
  </si>
  <si>
    <t>Prekrytie 100 mm</t>
  </si>
  <si>
    <t>Overlapping 100 mm</t>
  </si>
  <si>
    <t>Prekrivanje 100 mm</t>
  </si>
  <si>
    <t>Överlappning 100 mm</t>
  </si>
  <si>
    <t>Overlapning 100 mm</t>
  </si>
  <si>
    <t>Preklapanje 100 mm</t>
  </si>
  <si>
    <t>Fixation allowing sufficient expansion</t>
  </si>
  <si>
    <t>Uchycení umožňující dostatečnou dilataci</t>
  </si>
  <si>
    <t>Mocowanie umożliwiające wystarczającą dylatację</t>
  </si>
  <si>
    <t>Rögzítés, amely lehetővé teszi a megfelelő tágulást</t>
  </si>
  <si>
    <t>Upevnenie umožňujúce dostatočnú dilatáciu</t>
  </si>
  <si>
    <t>Bevestiging die voldoende uitzetting toelaat</t>
  </si>
  <si>
    <t>Pritrditev, ki omogoča zadostno raztezanje</t>
  </si>
  <si>
    <t>Fastsättning som tillåter tillräcklig expansion</t>
  </si>
  <si>
    <t>Fastgørelse der tillader tilstrækkelig udvidelse</t>
  </si>
  <si>
    <t>Feste som tillater tilstrekkelig ekspansjon</t>
  </si>
  <si>
    <t>Učvršćenje koje omogućuje dovoljno širenje</t>
  </si>
  <si>
    <t>V oblastech bohatých na sníh od 35° (70%)</t>
  </si>
  <si>
    <t>W obszarach o dużej ilości śniegu od 35° (70%)</t>
  </si>
  <si>
    <t>Hóban gazdag területeken 35°-tól (70%)</t>
  </si>
  <si>
    <t>V snehových oblastiach od 35° (70%)</t>
  </si>
  <si>
    <t>In sneeuwrijke gebieden vanaf 35° (70%)</t>
  </si>
  <si>
    <t>V zasneženih območjih od 35° (70%)</t>
  </si>
  <si>
    <t>I snörika områden från 35° (70%)</t>
  </si>
  <si>
    <t>I snefyldte områder fra 35° (70%)</t>
  </si>
  <si>
    <t>I snørike områder fra 35° (70%)</t>
  </si>
  <si>
    <t>U područjima bogatim snijegom od 35° (70%)</t>
  </si>
  <si>
    <t>Všechna práva vyhrazena. Tento dokument smí být použit pouze k účelu schválenému námi a nesmí být zpřístupněn třetím stranám bez našeho souhlasu.</t>
  </si>
  <si>
    <t>Wszelkie prawa zastrzeżone. Ten dokument może być używany wyłącznie do celów zatwierdzonych przez nas i nie może być udostępniany osobom trzecim bez naszej zgody.</t>
  </si>
  <si>
    <t>Minden jog fenntartva. Ezt a dokumentumot csak az általunk jóváhagyott célra szabad használni, és harmadik fél számára csak beleegyezésünkkel tehető hozzáférhetővé.</t>
  </si>
  <si>
    <t>Všetky práva vyhradené. Tento dokument môže byť použitý iba na účel nami schválený a nesmie byť sprístupnený tretím stranám bez nášho súhlasu.</t>
  </si>
  <si>
    <t>Alle rechten voorbehouden. Dit document mag alleen worden gebruikt voor het door ons goedgekeurde doel en mag niet zonder onze toestemming aan derden toegankelijk worden gemaakt.</t>
  </si>
  <si>
    <t>Vse pravice pridržane. Ta dokument se lahko uporablja samo za namen, ki smo ga odobrili, in ne sme biti brez našega soglasja dostopen tretjim osebam.</t>
  </si>
  <si>
    <t>Alla rättigheter förbehållna. Detta dokument får endast användas för det av oss godkända ändamålet och får inte göras tillgängligt för tredje part utan vårt samtycke.</t>
  </si>
  <si>
    <t>Alle rettigheder forbeholdes. Dette dokument må kun bruges til det af os godkendte formål og må ikke gøres tilgængeligt for tredjepart uden vores samtykke.</t>
  </si>
  <si>
    <t>Alle rettigheter forbeholdt. Dette dokumentet kan kun brukes til det formålet vi har godkjent og må ikke gjøres tilgjengelig for tredjeparter uten vårt samtykke.</t>
  </si>
  <si>
    <t>Sva prava pridržana. Ovaj dokument smije se koristiti samo za svrhu koju smo odobrili i ne smije se učiniti dostupnim trećim stranama bez našeg pristanka.</t>
  </si>
  <si>
    <t>(min. 8 cm for execution with boot seam/Bündner seam)</t>
  </si>
  <si>
    <t>(min. 8 cm při provedení s botovým švem/Bündnerovým švem)</t>
  </si>
  <si>
    <t>(min. 8 cm przy wykonaniu ze szwem butowym/szwem Bündner)</t>
  </si>
  <si>
    <t>(min. 8 cm csizmaszegéllyel/Bündner-szegéllyel történő kivitelezésnél)</t>
  </si>
  <si>
    <t>(min. 8 cm pri vykonaní s topánkovým švom/Bündnerským švom)</t>
  </si>
  <si>
    <t>(min. 8 cm bij uitvoering met laarsnaad/Bündnernaad)</t>
  </si>
  <si>
    <t>(min. 8 cm pri izvedbi z šivom za čevlje/Bündnerjevim šivom)</t>
  </si>
  <si>
    <t>(min. 8 cm vid utförande med stövelfog/Bündner fog)</t>
  </si>
  <si>
    <t>(min. 8 cm ved udførelse med støvlesøm/Bündner søm)</t>
  </si>
  <si>
    <t>(min. 8 cm ved utførelse med støvlesøm/Bündner søm)</t>
  </si>
  <si>
    <t>(min. 8 cm kod izvedbe sa šavom za čizme/Bündner šavom)</t>
  </si>
  <si>
    <t>Vodotěsné s těsnicí hmotou Prefa</t>
  </si>
  <si>
    <t>Wodoodporne z uszczelniaczem Prefa</t>
  </si>
  <si>
    <t>Vízálló Prefa varrattömítővel</t>
  </si>
  <si>
    <t>Vodotesné s tesniacou hmotou Prefa</t>
  </si>
  <si>
    <t>Waterdicht met Prefa naadkit</t>
  </si>
  <si>
    <t>Vodotesno s Prefa tesnilom za spoje</t>
  </si>
  <si>
    <t>Vattentät med Prefa fogmassa</t>
  </si>
  <si>
    <t>Vandtæt med Prefa fugeforsegling</t>
  </si>
  <si>
    <t>Vanntett med Prefa fugeforsegling</t>
  </si>
  <si>
    <t>Vodootporno s Prefa brtvilom za spojeve</t>
  </si>
  <si>
    <t>Svar: Pevné spojení</t>
  </si>
  <si>
    <t>Szew: Stałe połączenie</t>
  </si>
  <si>
    <t>Varrat: Rögzített kapcsolat</t>
  </si>
  <si>
    <t>Šev: Pevné spojenie</t>
  </si>
  <si>
    <t>Naad: Vaste verbinding</t>
  </si>
  <si>
    <t>Šiv: Trdna povezava</t>
  </si>
  <si>
    <t>Fals: Fast förbindelse</t>
  </si>
  <si>
    <t>Fals: Fast forbindelse</t>
  </si>
  <si>
    <t>Falssøm: Fast forbindelse</t>
  </si>
  <si>
    <t>Šav: Čvrsta veza</t>
  </si>
  <si>
    <t>s výztuží</t>
  </si>
  <si>
    <t>z przetłoczeniem</t>
  </si>
  <si>
    <t>bordázattal</t>
  </si>
  <si>
    <t>so ztužením</t>
  </si>
  <si>
    <t>met ribbel</t>
  </si>
  <si>
    <t>z rebro</t>
  </si>
  <si>
    <t>med fals</t>
  </si>
  <si>
    <t>med rille</t>
  </si>
  <si>
    <t>med sik</t>
  </si>
  <si>
    <t>s rebrom</t>
  </si>
  <si>
    <t>Curving</t>
  </si>
  <si>
    <t>Courbure</t>
  </si>
  <si>
    <t>Křivka</t>
  </si>
  <si>
    <t>Zakrzywienie</t>
  </si>
  <si>
    <t>Görbület</t>
  </si>
  <si>
    <t>Zakrivenie</t>
  </si>
  <si>
    <t>Kromming</t>
  </si>
  <si>
    <t>Ukrivljenje</t>
  </si>
  <si>
    <t>Böjning</t>
  </si>
  <si>
    <t>Bøjning</t>
  </si>
  <si>
    <t>Bøyning</t>
  </si>
  <si>
    <t>Zakrivljenje</t>
  </si>
  <si>
    <t>Podélný zámek</t>
  </si>
  <si>
    <t>Spoina wzdłużna</t>
  </si>
  <si>
    <t>Hosszanti illesztés</t>
  </si>
  <si>
    <t>Pozdĺžny zámok</t>
  </si>
  <si>
    <t>Lengtenaad</t>
  </si>
  <si>
    <t>Vzdolžni šiv</t>
  </si>
  <si>
    <t>Längsgående fals</t>
  </si>
  <si>
    <t>Langsgående fals</t>
  </si>
  <si>
    <t>Uzdužni preklop</t>
  </si>
  <si>
    <t>Rive de toit debout</t>
  </si>
  <si>
    <t>Stojatý závěr okapu</t>
  </si>
  <si>
    <t>Pionowe zakończenie okapu</t>
  </si>
  <si>
    <t>Álló ereszzárás</t>
  </si>
  <si>
    <t>Stojatá uzávierka odkvapu</t>
  </si>
  <si>
    <t>Staande dakrandafsluiting</t>
  </si>
  <si>
    <t>Stoječa zaključna kapa žleba</t>
  </si>
  <si>
    <t>Stående takfotavslutning</t>
  </si>
  <si>
    <t>Stående tagrendeafslutning</t>
  </si>
  <si>
    <t>Stående takutstikkavslutning</t>
  </si>
  <si>
    <t>Stojeći završetak strehe</t>
  </si>
  <si>
    <t>Spoje falců (příčné falce)</t>
  </si>
  <si>
    <t>Połączenia na rąbek (szwy poprzeczne)</t>
  </si>
  <si>
    <t>Szegélykapcsolatok (keresztirányú szegélyek)</t>
  </si>
  <si>
    <t>Spoje falcov (priečne falce)</t>
  </si>
  <si>
    <t>Naadverbindingen (dwarsnaden)</t>
  </si>
  <si>
    <t>Spoji na pregib (prečni pregibi)</t>
  </si>
  <si>
    <t>Falsförbindelser (tvärgående falsar)</t>
  </si>
  <si>
    <t>Falsforbindelser (tværgående false)</t>
  </si>
  <si>
    <t>Falsforbindelser (tverrgående falser)</t>
  </si>
  <si>
    <t>Spojevi preklopa (poprečni preklopi)</t>
  </si>
  <si>
    <t>Potrubní spoje</t>
  </si>
  <si>
    <t>Połączenia rur</t>
  </si>
  <si>
    <t>Csőcsatlakozások</t>
  </si>
  <si>
    <t>Potrubné prípojky</t>
  </si>
  <si>
    <t>Pijpaansluitingen</t>
  </si>
  <si>
    <t>Cevi povezave</t>
  </si>
  <si>
    <t>Röranslutningar</t>
  </si>
  <si>
    <t>Rørforbindelser</t>
  </si>
  <si>
    <t>Spojevi cijevi</t>
  </si>
  <si>
    <t>Half-round double standing seam eave closure</t>
  </si>
  <si>
    <t>Polokruhový dvojitý stojatý falc závěr okapu</t>
  </si>
  <si>
    <t>Półokrągłe zakończenie okapu z podwójnym rąbkiem stojącym</t>
  </si>
  <si>
    <t>Félköríves dupla állókorcos eresz lezárás</t>
  </si>
  <si>
    <t>Polkruhové dvojité stojaté falcové ukončenie rímsy</t>
  </si>
  <si>
    <t>Halfronde dubbele staande naad dakrandafsluiting</t>
  </si>
  <si>
    <t>Polkrožni dvojni stoječi šiv zaključek kapne</t>
  </si>
  <si>
    <t>Halvrund dubbel ståndfals takfotavslutning</t>
  </si>
  <si>
    <t>Halvrund dobbelt stående fals tagrendeafslutning</t>
  </si>
  <si>
    <t>Halvrund dobbelt stående fals takutstikkavslutning</t>
  </si>
  <si>
    <t>Polukružni završetak strehe s dvostrukim stojećim preklopom</t>
  </si>
  <si>
    <t>Eave wrap</t>
  </si>
  <si>
    <t>Okapový záhyb</t>
  </si>
  <si>
    <t>Zagięcie okapu</t>
  </si>
  <si>
    <t>Eresz hajlítás</t>
  </si>
  <si>
    <t>Ohnutie rímsy</t>
  </si>
  <si>
    <t>Dakrandomslag</t>
  </si>
  <si>
    <t>Pregib kapne</t>
  </si>
  <si>
    <t>Takfotsomslag</t>
  </si>
  <si>
    <t>Tagrendeomslag</t>
  </si>
  <si>
    <t>Takutstikkomslag</t>
  </si>
  <si>
    <t>Savijanje strehe</t>
  </si>
  <si>
    <t>Eave board</t>
  </si>
  <si>
    <t>Bord de toit</t>
  </si>
  <si>
    <t>Okapní deska</t>
  </si>
  <si>
    <t>Deska okapowa</t>
  </si>
  <si>
    <t>Eresz deszka</t>
  </si>
  <si>
    <t>Rímsová doska</t>
  </si>
  <si>
    <t>Dakrandbord</t>
  </si>
  <si>
    <t>Kapna deska</t>
  </si>
  <si>
    <t>Takfotsbräda</t>
  </si>
  <si>
    <t>Tagrendeplade</t>
  </si>
  <si>
    <t>Takfotplate</t>
  </si>
  <si>
    <t>Okapna ploča</t>
  </si>
  <si>
    <t>Half-round standing seam eave closure</t>
  </si>
  <si>
    <t>Polokruhový stojatý falc závěr okapu</t>
  </si>
  <si>
    <t>Półokrągłe zakończenie okapu z rąbkiem stojącym</t>
  </si>
  <si>
    <t>Félköríves állókorcos eresz lezárás</t>
  </si>
  <si>
    <t>Polkruhové stojaté falcové ukončenie rímsy</t>
  </si>
  <si>
    <t>Halfronde staande naad dakrandafsluiting</t>
  </si>
  <si>
    <t>Polkrožni stoječi šiv zaključek kapne</t>
  </si>
  <si>
    <t>Halvrund ståndfals takfotavslutning</t>
  </si>
  <si>
    <t>Halvrund stående fals tagrendeafslutning</t>
  </si>
  <si>
    <t>Halvrund stående fals takutstikkavslutning</t>
  </si>
  <si>
    <t>Polukružni završetak strehe s stojećim preklopom</t>
  </si>
  <si>
    <t>ČÁST 1 horní část</t>
  </si>
  <si>
    <t>CZĘŚĆ 1 część górna</t>
  </si>
  <si>
    <t>1. RÉSZ felső rész</t>
  </si>
  <si>
    <t>ČASŤ 1 horná časť</t>
  </si>
  <si>
    <t>DEEL 1 bovenste deel</t>
  </si>
  <si>
    <t>DEL 1 zgornji del</t>
  </si>
  <si>
    <t>DEL 1 övre del</t>
  </si>
  <si>
    <t>DEL 1 øvre del</t>
  </si>
  <si>
    <t>DIO 1 gornji dio</t>
  </si>
  <si>
    <t>ČÁST 2 dolní část</t>
  </si>
  <si>
    <t>CZĘŚĆ 2 część dolna</t>
  </si>
  <si>
    <t>2. RÉSZ alsó rész</t>
  </si>
  <si>
    <t>ČASŤ 2 dolná časť</t>
  </si>
  <si>
    <t>DEEL 2 onderste deel</t>
  </si>
  <si>
    <t>DEL 2 spodnji del</t>
  </si>
  <si>
    <t>DEL 2 nedre del</t>
  </si>
  <si>
    <t>DIO 2 donji dio</t>
  </si>
  <si>
    <t>Ridge formation - longitudinal seam</t>
  </si>
  <si>
    <t>Hřebenová konstrukce - podélný zámek</t>
  </si>
  <si>
    <t>Formowanie kalenicy - spoina wzdłużna</t>
  </si>
  <si>
    <t>Gerinc kialakítás - hosszanti illesztés</t>
  </si>
  <si>
    <t>Hrebeňová konštrukcia - pozdĺžny zámok</t>
  </si>
  <si>
    <t>Nokvorm - lengtenaad</t>
  </si>
  <si>
    <t>Izvedba slemena - vzdolžni šiv</t>
  </si>
  <si>
    <t>Nockutbildning - längsgående fals</t>
  </si>
  <si>
    <t>Mønstervalsning - langsgående fals</t>
  </si>
  <si>
    <t>Mønedannelse - langsgående fals</t>
  </si>
  <si>
    <t>blikovanje sljemena - uzdužni preklop</t>
  </si>
  <si>
    <t>Large and small angle seam front edges</t>
  </si>
  <si>
    <t>Velké a malé hranové falce přední hrany</t>
  </si>
  <si>
    <t>Duże i małe krawędzie szwu kątowego</t>
  </si>
  <si>
    <t>Nagy és kis szögletes varrat elülső élei</t>
  </si>
  <si>
    <t>Veľké a malé hrany uhľového falcu</t>
  </si>
  <si>
    <t>Grote en kleine hoeknaad voorkanten</t>
  </si>
  <si>
    <t>Veliki in mali robovi kotnega šiva</t>
  </si>
  <si>
    <t>Stora och små vinkelfals framkanter</t>
  </si>
  <si>
    <t>Store og små vinkelfals forkante</t>
  </si>
  <si>
    <t>Store og små vinkelfals forkant</t>
  </si>
  <si>
    <t>Veliki i mali rubni preklopi spojeva</t>
  </si>
  <si>
    <t>Indicate pinch seam</t>
  </si>
  <si>
    <t>Naznačit stlačený šev</t>
  </si>
  <si>
    <t>Wskazać szew szczypany</t>
  </si>
  <si>
    <t>Jelezze a csípett varratot</t>
  </si>
  <si>
    <t>Naznačiť stlačený šev</t>
  </si>
  <si>
    <t>Knijpnaad aanduiden</t>
  </si>
  <si>
    <t>Nakazati stisnjen šiv</t>
  </si>
  <si>
    <t>Ange klämveck</t>
  </si>
  <si>
    <t>Angiv klemsøm</t>
  </si>
  <si>
    <t>Angi klemfal</t>
  </si>
  <si>
    <t>Naznačiti stisnuti šav</t>
  </si>
  <si>
    <t>Draw the angle bisector back towards the ridge</t>
  </si>
  <si>
    <t>Vytáhněte úhlopříčku dozadu směrem k hřebeni</t>
  </si>
  <si>
    <t>Pociągnij dwusieczną kąta do tyłu w kierunku kalenicy</t>
  </si>
  <si>
    <t>Húzza az szögfelezőt hátra a gerinc felé</t>
  </si>
  <si>
    <t>Vytiahnite uhlopriečku dozadu smerom k hrebeňu</t>
  </si>
  <si>
    <t>Trek de deellijn naar achteren richting de nok</t>
  </si>
  <si>
    <t>Povlecite kotno razpolovilnico nazaj proti slemenu</t>
  </si>
  <si>
    <t>Dra vinkelbisektorn bakåt mot nocken</t>
  </si>
  <si>
    <t>Træk vinkelhalveringslinjen bagud mod mønningen</t>
  </si>
  <si>
    <t>Trekk vinkelhalveringslinjen bakover mot mønet</t>
  </si>
  <si>
    <t>Povucite simetrali kuta unatrag prema sljemenu</t>
  </si>
  <si>
    <t>Slowly raise the ridge upstand, observing the formation of pinch folds</t>
  </si>
  <si>
    <t>Pomalu zvedejte hřebenový záhyb a sledujte tvorbu stlačených záhybů</t>
  </si>
  <si>
    <t>Powoli podnosić zakończenie kalenicy, obserwując tworzenie się fałd szczypanych</t>
  </si>
  <si>
    <t>Lassan emelje a gerinc felhajtását, figyelve a csípett ráncok kialakulását</t>
  </si>
  <si>
    <t>Pomaly zdvíhajte hrebeňové vyvýšenie a sledujte tvorbu stlačených záhybov</t>
  </si>
  <si>
    <t>Trek de nokopstand langzaam omhoog, terwijl je de vorming van knijpplooien observeert</t>
  </si>
  <si>
    <t>Počasi dvigujte slemenasto zapognjen del, pri tem pa opazujte nastajanje stisnjenih gub</t>
  </si>
  <si>
    <t>Höj långsamt nockuppvikningen och observera bildandet av klämveck</t>
  </si>
  <si>
    <t>Hæv langsomt tagrygopbukningen og observer dannelsen af klemsømme</t>
  </si>
  <si>
    <t>Løft langsomt møneopkanten, mens du observerer dannelsen av klemfolder</t>
  </si>
  <si>
    <t>Polako podižite završetak sljemena, promatrajući stvaranje nabora</t>
  </si>
  <si>
    <t>Pinch the fold together and press in the opposite direction</t>
  </si>
  <si>
    <t>Sevřete záhyb k sobě a stlačte v opačném směru</t>
  </si>
  <si>
    <t>Ściśnij fałd razem i naciśnij w przeciwnym kierunku</t>
  </si>
  <si>
    <t>Nyomja össze a ráncot, majd nyomja az ellenkező irányba</t>
  </si>
  <si>
    <t>Stlačte záhyb k sebe a zatlačte v opačnom smere</t>
  </si>
  <si>
    <t>Knijp de plooi samen en druk in de tegenovergestelde richting</t>
  </si>
  <si>
    <t>Stisnite gubo skupaj in pritisnite v nasprotno smer</t>
  </si>
  <si>
    <t>Nyp ihop vecket och pressa i motsatt riktning</t>
  </si>
  <si>
    <t>Klem folden sammen og tryk i den modsatte retning</t>
  </si>
  <si>
    <t>Klem sammen bretten og press i motsatt retning</t>
  </si>
  <si>
    <t>Stisnite nabor zajedno i pritisnite u suprotnom smjeru</t>
  </si>
  <si>
    <t>Fold into an angle seam (only at the overlap)</t>
  </si>
  <si>
    <t>Přeložte do úhlového švu (pouze v místě překrytí)</t>
  </si>
  <si>
    <t>Złożyć na szew kątowy (tylko na zakładce)</t>
  </si>
  <si>
    <t>Hajtsa szögvarratba (csak az átfedésnél)</t>
  </si>
  <si>
    <t>Preložte do úhlového švu (len na prekrytí)</t>
  </si>
  <si>
    <t>Vouw in een hoeknaad (alleen bij de overlapping)</t>
  </si>
  <si>
    <t>Zložite v kotni šiv (samo pri prekrivanju)</t>
  </si>
  <si>
    <t>Vik till en vinkelfals (endast vid överlappningen)</t>
  </si>
  <si>
    <t>Fold til en vinkelfals (kun ved overlægningen)</t>
  </si>
  <si>
    <t>Brett til en vinkelfals (kun ved overlappingen)</t>
  </si>
  <si>
    <t>Preklopiti u kutni šav (samo na preklapanju)</t>
  </si>
  <si>
    <t>Hook the longitudinal seam and press it closed</t>
  </si>
  <si>
    <t>Zavěste podélný šev a stlačte jej k uzavření</t>
  </si>
  <si>
    <t>Zaczepić szew wzdłużny i ścisnąć, aby go zamknąć</t>
  </si>
  <si>
    <t>Akassza be a hosszanti varratot, majd nyomja össze</t>
  </si>
  <si>
    <t>Zaveste pozdĺžny šev a stlačte ho, aby sa uzavrel</t>
  </si>
  <si>
    <t>Haak de lengtenaad vast en druk deze dicht</t>
  </si>
  <si>
    <t>Obesite vzdolžni šiv in ga stisnite</t>
  </si>
  <si>
    <t>Haka fast längsgående söm och pressa den stängd</t>
  </si>
  <si>
    <t>Hægt langsømmen og tryk den sammen</t>
  </si>
  <si>
    <t>Heng opp langsømmen og trykk den sammen</t>
  </si>
  <si>
    <t>Zakačiti uzdužni šav i pritisnuti ga da se zatvori</t>
  </si>
  <si>
    <t>Press the overlap flap closed</t>
  </si>
  <si>
    <t>Stlačte překryvný klapek</t>
  </si>
  <si>
    <t>Ścisnąć klapę zakładki</t>
  </si>
  <si>
    <t>Nyomja össze az átfedő fület</t>
  </si>
  <si>
    <t>Stlačte prekryvný záhyb</t>
  </si>
  <si>
    <t>Druk de overlapflap dicht</t>
  </si>
  <si>
    <t>Stisnite prekrivni zavih</t>
  </si>
  <si>
    <t>Pressa överlappningsfliken stängd</t>
  </si>
  <si>
    <t>Tryk overlapningsflappen sammen</t>
  </si>
  <si>
    <t>Trykk overlappingsklaffen sammen</t>
  </si>
  <si>
    <t>Pritisnite preklopni rub</t>
  </si>
  <si>
    <t>Tap the pinch fold of the underlap to the pinch fold of the overlap</t>
  </si>
  <si>
    <t>Zaklepejte stlačený záhyb spodního překrytí na stlačený záhyb horního překrytí</t>
  </si>
  <si>
    <t>Postukaj fałd szczypany podkładu do fałdu szczypanego zakładki</t>
  </si>
  <si>
    <t>Koppintsa az alsó átfedés csípett hajtását a felső átfedés csípett hajtásához</t>
  </si>
  <si>
    <t>Poklepte stlačený záhyb spodného prekrytia na stlačený záhyb vrchného prekrytia</t>
  </si>
  <si>
    <t>Klop de knijpplooi van de onderlaag tegen de knijpplooi van de overlap</t>
  </si>
  <si>
    <t>Potrkajte stisnjen pregib spodnjega prekrivanja na stisnjen pregib zgornjega prekrivanja</t>
  </si>
  <si>
    <t>Knacka ihop klämvecket på underlaget med klämvecket på överlappningen</t>
  </si>
  <si>
    <t>Bank klemsømmen på underlaget til klemsømmen på overlægget</t>
  </si>
  <si>
    <t>Bank sammen klemfolden på underlaget med klemfolden på overlappingen</t>
  </si>
  <si>
    <t>Udarite stisnuti nabor podložnog sloja o stisnuti nabor preklopa</t>
  </si>
  <si>
    <t>Ridge seam height</t>
  </si>
  <si>
    <t>Výška hřebenového spoje</t>
  </si>
  <si>
    <t>Wysokość szwu kalenicy</t>
  </si>
  <si>
    <t>Gerincvarrat magassága</t>
  </si>
  <si>
    <t>Výška hrebeňového švu</t>
  </si>
  <si>
    <t>Noknaad hoogte</t>
  </si>
  <si>
    <t>Višina slemenastega šiva</t>
  </si>
  <si>
    <t>Nockfals höjd</t>
  </si>
  <si>
    <t>Mønefals højde</t>
  </si>
  <si>
    <t>Møne fals høyde</t>
  </si>
  <si>
    <t>Visina sljemenog šava</t>
  </si>
  <si>
    <t>Ridge seam</t>
  </si>
  <si>
    <t>Hřebenový šev</t>
  </si>
  <si>
    <t>Szew kalenicy</t>
  </si>
  <si>
    <t>Gerincvarrat</t>
  </si>
  <si>
    <t>Hrebeňový šev</t>
  </si>
  <si>
    <t>Noknaad</t>
  </si>
  <si>
    <t>Slemenasti šiv</t>
  </si>
  <si>
    <t>Nockfals</t>
  </si>
  <si>
    <t>Mønefals</t>
  </si>
  <si>
    <t>Møne fals</t>
  </si>
  <si>
    <t>Sljemeni šav</t>
  </si>
  <si>
    <t>Ridge upstand line</t>
  </si>
  <si>
    <t>Linie hřebenového záhybu</t>
  </si>
  <si>
    <t>Linia podwyższenia kalenicy</t>
  </si>
  <si>
    <t>Gerinc felhajtás vonal</t>
  </si>
  <si>
    <t>Čiara hrebeňového záhybu</t>
  </si>
  <si>
    <t>Nokopstandslijn</t>
  </si>
  <si>
    <t>Linija slemenastega zavihka</t>
  </si>
  <si>
    <t>Nockuppvikslinje</t>
  </si>
  <si>
    <t>Møneopbukkingslinje</t>
  </si>
  <si>
    <t>Møneopbøyingslinje</t>
  </si>
  <si>
    <t>Linija sljemenog savijanja</t>
  </si>
  <si>
    <t>Angle bisector</t>
  </si>
  <si>
    <t>Úhlopříčka</t>
  </si>
  <si>
    <t>Dwusieczna kąta</t>
  </si>
  <si>
    <t>Szögfelező</t>
  </si>
  <si>
    <t>Uhlopriečka</t>
  </si>
  <si>
    <t>Deellijn van de hoek</t>
  </si>
  <si>
    <t>Kotna razpolovilnica</t>
  </si>
  <si>
    <t>Vinkelbisektor</t>
  </si>
  <si>
    <t>Vinkelhalveringslinje</t>
  </si>
  <si>
    <t>Simetrala kuta</t>
  </si>
  <si>
    <t>Place the upper fold against the direction of the main seam</t>
  </si>
  <si>
    <t>Placer le pli supérieur contre la direction du joint principal</t>
  </si>
  <si>
    <t>Položte horní záhyb proti směru hlavního švu</t>
  </si>
  <si>
    <t>Umieść górny zakład w przeciwnym kierunku do głównego szwu</t>
  </si>
  <si>
    <t>Helyezze a felső hajtást a fő varrat irányával szemben</t>
  </si>
  <si>
    <t>Umiestnite horný záhyb proti smeru hlavného švu</t>
  </si>
  <si>
    <t>Plaats de bovenste vouw tegen de richting van de hoofdnaad</t>
  </si>
  <si>
    <t>Položite zgornji pregib proti smeri glavnega šiva</t>
  </si>
  <si>
    <t>Lägg den övre vikningen mot huvudfalsens riktning</t>
  </si>
  <si>
    <t>Placer den øverste fold mod hovedsømmens retning</t>
  </si>
  <si>
    <t>Legg den øvre folden mot hovedsømmen</t>
  </si>
  <si>
    <t>Postavite gornji nabor u suprotnom smjeru od glavnog šava</t>
  </si>
  <si>
    <t>Notch the ridge formation before profiling</t>
  </si>
  <si>
    <t>Vykrojte hřebenovou formaci před profilováním</t>
  </si>
  <si>
    <t>Wykonać nacięcie formacji kalenicy przed profilowaniem</t>
  </si>
  <si>
    <t>Horonyozza be a gerinc kialakítását a profilozás előtt</t>
  </si>
  <si>
    <t>Vyrežte hrebeňovú formáciu pred profilovaním</t>
  </si>
  <si>
    <t>Kloof de nokvorm voor het profileren</t>
  </si>
  <si>
    <t>Zarežite slemenasto formacijo pred profiliranjem</t>
  </si>
  <si>
    <t>Skåra nockformationen före profilering</t>
  </si>
  <si>
    <t>Notch mønedannelsen før profilering</t>
  </si>
  <si>
    <t>Kutt møneformasjonen før profilering</t>
  </si>
  <si>
    <t>Izrezujte formaciju sljemena prije profiliranja</t>
  </si>
  <si>
    <t>Roof peak</t>
  </si>
  <si>
    <t>Střešní špička</t>
  </si>
  <si>
    <t>Szczyt dachu</t>
  </si>
  <si>
    <t>Tetőcsúcs</t>
  </si>
  <si>
    <t>Strešný špic</t>
  </si>
  <si>
    <t>Dakpunt</t>
  </si>
  <si>
    <t>Strešni vrh</t>
  </si>
  <si>
    <t>Takspets</t>
  </si>
  <si>
    <t>Tagspids</t>
  </si>
  <si>
    <t>Takkant</t>
  </si>
  <si>
    <t>Krovni vrh</t>
  </si>
  <si>
    <t>Ridge formation longitudinal seam</t>
  </si>
  <si>
    <t>Hřebenová formace podélný šev</t>
  </si>
  <si>
    <t>Formowanie kalenicy z podłużnym szwem</t>
  </si>
  <si>
    <t>Gerincformálás hosszanti illesztéssel</t>
  </si>
  <si>
    <t>Hrebeňová formácia pozdĺžny šev</t>
  </si>
  <si>
    <t>Nokvorm longitudinale naad</t>
  </si>
  <si>
    <t>Slemenasta izvedba vzdolžni šiv</t>
  </si>
  <si>
    <t>Nockutbildning längsgående fals</t>
  </si>
  <si>
    <t>Mønedannelse langsgående fals</t>
  </si>
  <si>
    <t>Møneformasjon langsgående fals</t>
  </si>
  <si>
    <t>Oblikovanje sljemena uzdužni preklop</t>
  </si>
  <si>
    <t>Angle standing seam</t>
  </si>
  <si>
    <t>Úhlový stojatý šev</t>
  </si>
  <si>
    <t>Kątowy szew stojący</t>
  </si>
  <si>
    <t>Szögletes álló varrat</t>
  </si>
  <si>
    <t>Hoekstaande naad</t>
  </si>
  <si>
    <t>Kotni stoječi šiv</t>
  </si>
  <si>
    <t>Vinkelstående fals</t>
  </si>
  <si>
    <t>Kutni stojeći preklop</t>
  </si>
  <si>
    <t>Upstand line</t>
  </si>
  <si>
    <t>Linie ohybu</t>
  </si>
  <si>
    <t>Linia podgięcia</t>
  </si>
  <si>
    <t>Hajlítási vonal</t>
  </si>
  <si>
    <t>Ohybová línia</t>
  </si>
  <si>
    <t>Opstandslijn</t>
  </si>
  <si>
    <t>Linija zavihka</t>
  </si>
  <si>
    <t>Uppvikningslinje</t>
  </si>
  <si>
    <t>Opbukkingslinje</t>
  </si>
  <si>
    <t>Oppbøyningslinje</t>
  </si>
  <si>
    <t>Linija savijanja</t>
  </si>
  <si>
    <t>Wall connection angle standing seam</t>
  </si>
  <si>
    <t>Nástěnný spoj úhlový stojatý šev</t>
  </si>
  <si>
    <t>Połączenie ścienne z kątowym szwem stojącym</t>
  </si>
  <si>
    <t>Fali csatlakozás szögletes álló varrattal</t>
  </si>
  <si>
    <t>Nástenné spojenie úhlový stojatý šev</t>
  </si>
  <si>
    <t>Muurverbinding hoekstaande naad</t>
  </si>
  <si>
    <t>Povezava s steno kotni stoječi šiv</t>
  </si>
  <si>
    <t>Vägganslutning vinkelfals</t>
  </si>
  <si>
    <t>Vægforbindelse vinkelstående fals</t>
  </si>
  <si>
    <t>Veggtilkobling vinkelstående fals</t>
  </si>
  <si>
    <t>Spoj zida kutni stojeći preklop</t>
  </si>
  <si>
    <t>Folding process:</t>
  </si>
  <si>
    <t>Proces skládání:</t>
  </si>
  <si>
    <t>Proces składania:</t>
  </si>
  <si>
    <t>Hajlítási folyamat:</t>
  </si>
  <si>
    <t>Proces skladania:</t>
  </si>
  <si>
    <t>Vouwproces:</t>
  </si>
  <si>
    <t>Postopek pregibanja:</t>
  </si>
  <si>
    <t>Vikningsprocess:</t>
  </si>
  <si>
    <t>Foldningsproces:</t>
  </si>
  <si>
    <t>Faltprosess:</t>
  </si>
  <si>
    <t>Proces savijanja:</t>
  </si>
  <si>
    <t>Pre-bend angle seam</t>
  </si>
  <si>
    <t>Předohněte úhlový šev</t>
  </si>
  <si>
    <t>Wstępnie zagnij szew kątowy</t>
  </si>
  <si>
    <t>Hajtsa előre a szögletes varratot</t>
  </si>
  <si>
    <t>Predohýbajte úhlový šev</t>
  </si>
  <si>
    <t>Voorbuig hoeknaad</t>
  </si>
  <si>
    <t>Predhodno upognite kotni šiv</t>
  </si>
  <si>
    <t>Förböj vinkelfals</t>
  </si>
  <si>
    <t>Forbøj vinkelfals</t>
  </si>
  <si>
    <t>Forkant vinkelståsømmen</t>
  </si>
  <si>
    <t>Predsavijanje kutnog šava</t>
  </si>
  <si>
    <t>Bend the cover tab upwards</t>
  </si>
  <si>
    <t>Plier la languette de recouvrement vers le haut</t>
  </si>
  <si>
    <t>Ohněte krycí jazýček nahoru</t>
  </si>
  <si>
    <t>Zagnij zakładkę osłony do góry</t>
  </si>
  <si>
    <t>Hajlítsa fel a fedőfület</t>
  </si>
  <si>
    <t>Ohnite kryciu záložku nahor</t>
  </si>
  <si>
    <t>Buig het afdekflapje omhoog</t>
  </si>
  <si>
    <t>Upognite pokrivni jeziček navzgor</t>
  </si>
  <si>
    <t>Böj upp täckfliken</t>
  </si>
  <si>
    <t>Bøj dæknasen opad</t>
  </si>
  <si>
    <t>Bøy opp dekkfliken</t>
  </si>
  <si>
    <t>Savijte pokrovni jezičak prema gore</t>
  </si>
  <si>
    <t>Bend the metal tab downwards, it must be covered by the angle seam</t>
  </si>
  <si>
    <t>Plier la languette métallique vers le bas, elle doit être couverte par le joint angulaire</t>
  </si>
  <si>
    <t>Ohněte kovový jazýček dolů, musí být překryt úhlovým švem</t>
  </si>
  <si>
    <t>Zagnij metalową zakładkę w dół, musi być pokryta szwem kątowym</t>
  </si>
  <si>
    <t>Hajlítsa le a fémfület, ennek a szögletes varratnak kell fednie</t>
  </si>
  <si>
    <t>Ohnite kovovú záložku nadol, musí byť prekrytá úhlovým švom</t>
  </si>
  <si>
    <t>Buig het metalen flapje naar beneden, dit moet door de hoeknaad bedekt worden</t>
  </si>
  <si>
    <t>Upognite kovinski jeziček navzdol, ta mora biti prekrit s kotnim šivom</t>
  </si>
  <si>
    <t>Böj ner metallfliken, den måste täckas av vinkelfalsen</t>
  </si>
  <si>
    <t>Bøj metalnæsen nedad, denne skal dækkes af vinkelfalsen</t>
  </si>
  <si>
    <t>Bøy ned metallfliken, den må dekkes av vinkelståsømmen</t>
  </si>
  <si>
    <t>Savijte metalni jezičak prema dolje, mora biti pokriven kutnim šavom</t>
  </si>
  <si>
    <t>The angle bisector must be pulled forward towards the roof area</t>
  </si>
  <si>
    <t>La bissectrice de l'angle doit être tirée vers l'avant en direction de la zone de toit</t>
  </si>
  <si>
    <t>Úhlopříčka musí být tažena dopředu směrem k oblasti střechy</t>
  </si>
  <si>
    <t>Dwusieczna kąta musi być pociągnięta do przodu w kierunku obszaru dachu</t>
  </si>
  <si>
    <t>A szögfelezőt előre kell húzni a tetőterület felé</t>
  </si>
  <si>
    <t>Uhlopriečku treba ťahať dopredu smerom k strešnej oblasti</t>
  </si>
  <si>
    <t>De deellijn moet naar voren getrokken worden richting het dakgebied</t>
  </si>
  <si>
    <t>Kotna razpolovilnica mora biti povlečena naprej proti strešnemu področju</t>
  </si>
  <si>
    <t>Vinkelbisektorn måste dras framåt mot takområdet</t>
  </si>
  <si>
    <t>Vinkelhalveringslinjen skal trækkes frem mod tagområdet</t>
  </si>
  <si>
    <t>Trekk vinkelhalveringslinjen fremover mot takområdet</t>
  </si>
  <si>
    <t>Povucite simetralu kuta prema naprijed prema području krova</t>
  </si>
  <si>
    <t>Edge the wall connection at the upstand line</t>
  </si>
  <si>
    <t>Relever le raccord mural à la ligne de relevé</t>
  </si>
  <si>
    <t>Zvedněte nástěnný spoj na linii ohybu</t>
  </si>
  <si>
    <t>Podnieś połączenie ścienne na linii zagięcia</t>
  </si>
  <si>
    <t>Hajlítsa fel a falcsatlakozást a hajlítási vonalon</t>
  </si>
  <si>
    <t>Zdvihnite nástenný spoj na ohybovej línii</t>
  </si>
  <si>
    <t>Zet de muurverbinding op de opstandlijn rechtop</t>
  </si>
  <si>
    <t>Dvignite stenski priključek na liniji zavihka</t>
  </si>
  <si>
    <t>Kanta vägganslutningen vid uppvikningslinjen</t>
  </si>
  <si>
    <t>Kantsæt vægforbindelsen ved opbukkingslinjen</t>
  </si>
  <si>
    <t>Kant veggforbindelsen ved oppbøyningslinjen</t>
  </si>
  <si>
    <t>Savijanje priključka zida na liniji pregiba</t>
  </si>
  <si>
    <t>Monitor the formation of folds, correct if necessary!</t>
  </si>
  <si>
    <t>Surveiller la formation des plis, corriger si nécessaire !</t>
  </si>
  <si>
    <t>Sledujte tvorbu záhybů, v případě potřeby opravte!</t>
  </si>
  <si>
    <t>Monitoruj tworzenie się fałd, w razie potrzeby popraw!</t>
  </si>
  <si>
    <t>Kövesse a ráncok kialakulását, szükség esetén javítson!</t>
  </si>
  <si>
    <t>Sledujte tvorbu záhybov, v prípade potreby opravte!</t>
  </si>
  <si>
    <t>Volg de vorming van plooien, corrigeer indien nodig!</t>
  </si>
  <si>
    <t>Spremljajte nastajanje gub, po potrebi popravite!</t>
  </si>
  <si>
    <t>Övervaka veckbildningen, korrigera vid behov!</t>
  </si>
  <si>
    <t>Overvåg foldedannelsen, korriger om nødvendigt!</t>
  </si>
  <si>
    <t>Overvåk dannelsen av folder, korriger om nødvendig!</t>
  </si>
  <si>
    <t>Pratite nastanak nabora, po potrebi ispravite!</t>
  </si>
  <si>
    <t>Form and press the pinch fold (tap it closed)</t>
  </si>
  <si>
    <t>Former et presser le pli pincé (le frapper fermé)</t>
  </si>
  <si>
    <t>Vytvořte a stlačte stlačený záhyb (zaklepejte jej)</t>
  </si>
  <si>
    <t>Uformuj i ściśnij fałd (zamknij uderzeniem)</t>
  </si>
  <si>
    <t>Formázza és nyomja össze a csípett hajtást (kopogtassa be)</t>
  </si>
  <si>
    <t>Vytvorte a stlačte stlačený záhyb (zaklepte ho)</t>
  </si>
  <si>
    <t>Vorm en druk de knijpplooi dicht (klop hem dicht)</t>
  </si>
  <si>
    <t>Oblikujte in stisnite stisnjen pregib (zaklopite ga)</t>
  </si>
  <si>
    <t>Forma och pressa klämvecket (slå ihop det)</t>
  </si>
  <si>
    <t>Form og pres klemsømmen (bank den sammen)</t>
  </si>
  <si>
    <t>Form og press klemfolden (bank sammen)</t>
  </si>
  <si>
    <t>Oblikujte i stisnite nabor (pokucajte da zatvorite)</t>
  </si>
  <si>
    <t>Hook and close the angle seam</t>
  </si>
  <si>
    <t>Accrocher et fermer le joint angulaire</t>
  </si>
  <si>
    <t>Zavěste a zavřete úhlový šev</t>
  </si>
  <si>
    <t>Zaczep i zamknij szew kątowy</t>
  </si>
  <si>
    <t>Akassza be és zárja le a szögletes varratot</t>
  </si>
  <si>
    <t>Zaveste a zavrite úhlový šev</t>
  </si>
  <si>
    <t>Haak de hoeknaad in en sluit deze</t>
  </si>
  <si>
    <t>Zaskočite in zaprite kotni šiv</t>
  </si>
  <si>
    <t>Haka fast och stäng vinkelfalsen</t>
  </si>
  <si>
    <t>Hægt og luk vinkelfalsen</t>
  </si>
  <si>
    <t>Heng og lukk vinkelståsømmen</t>
  </si>
  <si>
    <t>Zakačite i zatvorite kutni šav</t>
  </si>
  <si>
    <t>Adjust cover tab B.) to the angle seam</t>
  </si>
  <si>
    <t>Ajuster la languette de recouvrement B.) au joint angulaire</t>
  </si>
  <si>
    <t>Přizpůsobte krycí jazýček B.) úhlovému švu</t>
  </si>
  <si>
    <t>Dostosuj zakładkę osłony B.) do szwu kątowego</t>
  </si>
  <si>
    <t>Igazítsa a fedőfület B.) a szögletes varrathoz</t>
  </si>
  <si>
    <t>Prispôsobte kryciu záložku B.) úhlovému švu</t>
  </si>
  <si>
    <t>Pas afdekflap B.) aan op de hoeknaad</t>
  </si>
  <si>
    <t>Prilagodite pokrivni jeziček B.) kotnemu šivu</t>
  </si>
  <si>
    <t>Anpassa täckfliken B.) till vinkelfalsen</t>
  </si>
  <si>
    <t>Tilpas dæknasen B.) til vinkelfals</t>
  </si>
  <si>
    <t>Tilpass dekkflik B.) til vinkelståsømmen</t>
  </si>
  <si>
    <t>Prilagodite pokrovni jezičak B.) kutnom šavu</t>
  </si>
  <si>
    <t>Two-part wall connection angle standing seam</t>
  </si>
  <si>
    <t>Raccord mural à joint debout angulaire en deux parties</t>
  </si>
  <si>
    <t>Dvoudílný nástěnný spoj úhlový stojatý šev</t>
  </si>
  <si>
    <t>Dwuczęściowe połączenie ścienne z kątowym szwem stojącym</t>
  </si>
  <si>
    <t>Kétrészes falcsatlakozás szögletes álló varrattal</t>
  </si>
  <si>
    <t>Dvojdielny nástenný spoj úhlový stojatý šev</t>
  </si>
  <si>
    <t>Tweedelige muurverbinding hoekstaande naad</t>
  </si>
  <si>
    <t>Dvodelni stenski priključek kotni stoječi šiv</t>
  </si>
  <si>
    <t>Tvådelad vägganslutning vinkelfals</t>
  </si>
  <si>
    <t>Vægforbindelse vinkelfals todelt</t>
  </si>
  <si>
    <t>Veggtilkobling vinkelståsøm todelt</t>
  </si>
  <si>
    <t>Zidni priključak kutni stojeći šav dvodijelni</t>
  </si>
  <si>
    <t>Indicate pinch seam - the angle bisector must be drawn forward to the metal roof.</t>
  </si>
  <si>
    <t>Indiquer le pli pincé - la bissectrice de l'angle doit être tirée vers l'avant jusqu'au toit en métal.</t>
  </si>
  <si>
    <t>Naznačit stlačený šev - úhlopříčka musí být tažena dopředu k plechové střeše.</t>
  </si>
  <si>
    <t>Wskazać szew szczypany - dwusieczna kąta musi być pociągnięta do przodu do metalowego dachu.</t>
  </si>
  <si>
    <t>A csípett varratot jelezni - a szögfelezőt előre kell húzni a fém tetőhöz.</t>
  </si>
  <si>
    <t>Naznačiť stlačený šev - uhlopriečka musí byť vytiahnutá dopredu k plechovej streche.</t>
  </si>
  <si>
    <t>Knijpnaad aanduiden - deellijn van de hoek moet naar voren worden getrokken naar het metalen dak.</t>
  </si>
  <si>
    <t>Nakazati stisnjen šiv - kotna razpolovilnica mora biti povlečena naprej proti kovinski strehi.</t>
  </si>
  <si>
    <t>Ange klämveck - vinkelbisektorn måste dras framåt mot plåttaket.</t>
  </si>
  <si>
    <t>Angiv klemsøm - vinkelhalveringslinjen skal trækkes fremad mod metaltaget.</t>
  </si>
  <si>
    <t>Angi klemfold - vinkelhalveringslinjen må trekkes fremover mot metalltaket.</t>
  </si>
  <si>
    <t>Naznačiti stisnuti šav - simetrala kuta mora biti povučena naprijed prema metalnom krovu.</t>
  </si>
  <si>
    <t>Střešní oblast</t>
  </si>
  <si>
    <t>Obszar dachu</t>
  </si>
  <si>
    <t>Tetőterület</t>
  </si>
  <si>
    <t>Strešná oblasť</t>
  </si>
  <si>
    <t>Dakgebied</t>
  </si>
  <si>
    <t>Strešno območje</t>
  </si>
  <si>
    <t>Takområde</t>
  </si>
  <si>
    <t>Tagområde</t>
  </si>
  <si>
    <t>Područje krova</t>
  </si>
  <si>
    <t>cut</t>
  </si>
  <si>
    <t>Řezat</t>
  </si>
  <si>
    <t>Ciąć</t>
  </si>
  <si>
    <t>Vágni</t>
  </si>
  <si>
    <t>Rezať</t>
  </si>
  <si>
    <t>Snijden</t>
  </si>
  <si>
    <t>Rezati</t>
  </si>
  <si>
    <t>Skära</t>
  </si>
  <si>
    <t>Skære</t>
  </si>
  <si>
    <t>Skjære</t>
  </si>
  <si>
    <t>Komínová manžeta</t>
  </si>
  <si>
    <t>Obróbka komina</t>
  </si>
  <si>
    <t>Kémény szegélyezés</t>
  </si>
  <si>
    <t>Komínový lem</t>
  </si>
  <si>
    <t>Schoorsteenomlijsting</t>
  </si>
  <si>
    <t>Obroba dimnika</t>
  </si>
  <si>
    <t>Skorstensbeslag</t>
  </si>
  <si>
    <t>Skorstensinddækning</t>
  </si>
  <si>
    <t>Skorsteinsbeslag</t>
  </si>
  <si>
    <t>Obrub za dimnjak</t>
  </si>
  <si>
    <t>Flashings - roof windows</t>
  </si>
  <si>
    <t>Lemování - střešní okna</t>
  </si>
  <si>
    <t>Obróbki - okna dachowe</t>
  </si>
  <si>
    <t>Szegélyezés - tetőablakok</t>
  </si>
  <si>
    <t>Lemovanie - strešné okná</t>
  </si>
  <si>
    <t>Aansluitingen - dakramen</t>
  </si>
  <si>
    <t>Obrobe - strešna okna</t>
  </si>
  <si>
    <t>Infattningar - takfönster</t>
  </si>
  <si>
    <t>Inddækninger - tagvinduer</t>
  </si>
  <si>
    <t>Inndekninger - takvinduer</t>
  </si>
  <si>
    <t>Obrubi - krovni prozori</t>
  </si>
  <si>
    <t>Fold line</t>
  </si>
  <si>
    <t>Linia zagięcia</t>
  </si>
  <si>
    <t>Vouwlijn</t>
  </si>
  <si>
    <t>Pregibna črta</t>
  </si>
  <si>
    <t>Viklinje</t>
  </si>
  <si>
    <t>Foldelinje</t>
  </si>
  <si>
    <t>Bøyelinje</t>
  </si>
  <si>
    <t>Folding process - boot seam:</t>
  </si>
  <si>
    <t>Proces skládání - botový šev:</t>
  </si>
  <si>
    <t>Proces składania - szew butowy:</t>
  </si>
  <si>
    <t>Hajlítási folyamat - csizmaszegély:</t>
  </si>
  <si>
    <t>Proces skladania - topánkový šev:</t>
  </si>
  <si>
    <t>Vouwproces - laarsnaad:</t>
  </si>
  <si>
    <t>Postopek pregibanja - škorenjski šiv:</t>
  </si>
  <si>
    <t>Vikningsprocess - stövelfals:</t>
  </si>
  <si>
    <t>Foldningsproces - støvlesøm:</t>
  </si>
  <si>
    <t>Faltprosess - støvlesøm:</t>
  </si>
  <si>
    <t>Proces savijanja - šav za čizme:</t>
  </si>
  <si>
    <t>Mark 150 mm, flatten the seams</t>
  </si>
  <si>
    <t>Označte 150 mm, uhlaďte švy</t>
  </si>
  <si>
    <t>Oznaczyć 150 mm, spłaszczyć szwy</t>
  </si>
  <si>
    <t>Jelölje meg 150 mm, lapítsa el a varratokat</t>
  </si>
  <si>
    <t>Označte 150 mm, vyrovnajte švy</t>
  </si>
  <si>
    <t>Markeer 150 mm, maak de naden plat</t>
  </si>
  <si>
    <t>Označite 150 mm, izravnajte šive</t>
  </si>
  <si>
    <t>Markera 150 mm, platta till sömmarna</t>
  </si>
  <si>
    <t>Marker 150 mm, fladgør sømmene</t>
  </si>
  <si>
    <t>Merk 150 mm, flat ut sømmene</t>
  </si>
  <si>
    <t>Označite 150 mm, spljoštite šavove</t>
  </si>
  <si>
    <t>Use needle-nose pliers to bend the seam edges diagonally inward</t>
  </si>
  <si>
    <t>Použijte štípačky na ohnutí švů šikmo dovnitř</t>
  </si>
  <si>
    <t>Użyj szczypiec igłowych, aby zagiąć krawędzie szwu ukośnie do środka</t>
  </si>
  <si>
    <t>Hegyesfogóval hajlítsa a varratok széleit átlósan befelé</t>
  </si>
  <si>
    <t>Použite kliešte na ohýbanie švov šikmo dovnútra</t>
  </si>
  <si>
    <t>Gebruik een spitsbektang om de naden schuin naar binnen te buigen</t>
  </si>
  <si>
    <t>Uporabite iglične klešče, da upognete robove šiva diagonalno navznoter</t>
  </si>
  <si>
    <t>Använd en spetstång för att böja sömskanterna diagonalt inåt</t>
  </si>
  <si>
    <t>Brug en spidstang til at bøje sømkanterne diagonalt indad</t>
  </si>
  <si>
    <t>Bruk en spisstang for å bøye sømkantene diagonalt innover</t>
  </si>
  <si>
    <t>Upotrijebite kliješta s iglenim vrhom da savijete rubove šava dijagonalno prema unutra</t>
  </si>
  <si>
    <t>Cut diagonally 10 mm on both sides</t>
  </si>
  <si>
    <t>Seřízněte diagonálně 10 mm na obou stranách</t>
  </si>
  <si>
    <t>Przyciąć ukośnie 10 mm z obu stron</t>
  </si>
  <si>
    <t>Vágjon átlósan 10 mm-t mindkét oldalon</t>
  </si>
  <si>
    <t>Šikmo zrežte 10 mm na oboch stranách</t>
  </si>
  <si>
    <t>Snijd schuin 10 mm aan beide kanten</t>
  </si>
  <si>
    <t>Poševno odrežite 10 mm na obeh straneh</t>
  </si>
  <si>
    <t>Skär diagonalt 10 mm på båda sidor</t>
  </si>
  <si>
    <t>Skær diagonalt 10 mm på begge sider</t>
  </si>
  <si>
    <t>Skjær diagonalt 10 mm på begge sider</t>
  </si>
  <si>
    <t>Izrežite dijagonalno 10 mm s obje strane</t>
  </si>
  <si>
    <t>Cut approx. 8 mm on the small seam and approx. 15 mm on the large seam</t>
  </si>
  <si>
    <t>Seřízněte cca 8 mm na malém švu a cca 15 mm na velkém švu</t>
  </si>
  <si>
    <t>Przyciąć ok. 8 mm na małym szwie i ok. 15 mm na dużym szwie</t>
  </si>
  <si>
    <t>Vágjon kb. 8 mm-t a kicsi varraton és kb. 15 mm-t a nagy varraton</t>
  </si>
  <si>
    <t>Zrežte cca 8 mm na malom šve a cca 15 mm na veľkom šve</t>
  </si>
  <si>
    <t>Snijd ca. 8 mm bij de kleine naad en ca. 15 mm bij de grote naad</t>
  </si>
  <si>
    <t>Odrežite približno 8 mm na majhnem šivu in približno 15 mm na velikem šivu</t>
  </si>
  <si>
    <t>Skär ca 8 mm på den lilla sömmen och ca 15 mm på den stora sömmen</t>
  </si>
  <si>
    <t>Skær ca. 8 mm på den lille søm og ca. 15 mm på den store søm</t>
  </si>
  <si>
    <t>Skjær ca. 8 mm på den lille sømmen og ca. 15 mm på den store sømmen</t>
  </si>
  <si>
    <t>Izrežite cca 8 mm na malom šavu i cca 15 mm na velikom šavu</t>
  </si>
  <si>
    <t>Close the longitudinal seam and fold the tabs together</t>
  </si>
  <si>
    <t>Uzavřete podélný šev a složte jazýčky dohromady</t>
  </si>
  <si>
    <t>Zamknąć szew wzdłużny i złożyć zakładki razem</t>
  </si>
  <si>
    <t>Zárja le a hosszanti varratot és hajtsa össze a füleket</t>
  </si>
  <si>
    <t>Uzavrite pozdĺžny šev a preložte chlopne spolu</t>
  </si>
  <si>
    <t>Sluit de lengtenaad en vouw de lipjes samen</t>
  </si>
  <si>
    <t>Zaprite vzdolžni šiv in zložite zavihke skupaj</t>
  </si>
  <si>
    <t>Stäng längsgående söm och vik ihop flikarna</t>
  </si>
  <si>
    <t>Luk langsømmen og fold tungerne sammen</t>
  </si>
  <si>
    <t>Lukk langssømmen og brett klaffene sammen</t>
  </si>
  <si>
    <t>Zatvorite uzdužni šav i preklopite jezičke zajedno</t>
  </si>
  <si>
    <t>Double seam</t>
  </si>
  <si>
    <t>Dvojitý záhyb</t>
  </si>
  <si>
    <t>Podwójny szew</t>
  </si>
  <si>
    <t>Dupla hajtás</t>
  </si>
  <si>
    <t>Dvojni pregib</t>
  </si>
  <si>
    <t>Dubbel fals</t>
  </si>
  <si>
    <t>Dobbeltfals</t>
  </si>
  <si>
    <t>Dobbel fals</t>
  </si>
  <si>
    <t>Dvostruki preklop</t>
  </si>
  <si>
    <t>Finished boot seam</t>
  </si>
  <si>
    <t>Hotový botový šev</t>
  </si>
  <si>
    <t>Gotowy szew butowy</t>
  </si>
  <si>
    <t>Kész csizmaszegély</t>
  </si>
  <si>
    <t>Hotový topánkový šev</t>
  </si>
  <si>
    <t>Afgewerkte laarsnaad</t>
  </si>
  <si>
    <t>Končana škorenjski šiv</t>
  </si>
  <si>
    <t>Färdig stövelfals</t>
  </si>
  <si>
    <t>Færdig støvlefals</t>
  </si>
  <si>
    <t>Ferdig støvlesøm</t>
  </si>
  <si>
    <t>Gotov šav za čizme</t>
  </si>
  <si>
    <t>Lateral wall connection at slope jump</t>
  </si>
  <si>
    <t>Boční napojení na zeď při skoku ve sklonu</t>
  </si>
  <si>
    <t>Boczna łączenie ściany przy skoku nachylenia</t>
  </si>
  <si>
    <t>Oldalsó fali csatlakozás lejtésugrásnál</t>
  </si>
  <si>
    <t>Bočné pripojenie steny pri skoku sklonu</t>
  </si>
  <si>
    <t>Laterale wandverbinding bij hellingssprong</t>
  </si>
  <si>
    <t>Stranski priključek na steno pri spremembi naklona</t>
  </si>
  <si>
    <t>Sidoväggsanslutning vid lutningshopp</t>
  </si>
  <si>
    <t>Sidevægstilslutning ved hældningsspring</t>
  </si>
  <si>
    <t>Sideveggstilkobling ved helningshopp</t>
  </si>
  <si>
    <t>Bočni zidni priključak kod skoka nagiba</t>
  </si>
  <si>
    <t>Height of lower wall upstand</t>
  </si>
  <si>
    <t>Výška spodního zvednutí stěny</t>
  </si>
  <si>
    <t>Wysokość dolnego podniesienia ściany</t>
  </si>
  <si>
    <t>Alsó fali felhajtás magassága</t>
  </si>
  <si>
    <t>Výška spodného zvedenia steny</t>
  </si>
  <si>
    <t>Hoogte van de onderste wandopstand</t>
  </si>
  <si>
    <t>Višina spodnjega dviga stene</t>
  </si>
  <si>
    <t>Höjd av nedre vägguppvikning</t>
  </si>
  <si>
    <t>Højde af nederste vægopbukning</t>
  </si>
  <si>
    <t>Høyde på nedre veggoppsving</t>
  </si>
  <si>
    <t>Visina donjeg zida</t>
  </si>
  <si>
    <t>Height of slope jump</t>
  </si>
  <si>
    <t>Výška skoku ve sklonu</t>
  </si>
  <si>
    <t>Wysokość skoku nachylenia</t>
  </si>
  <si>
    <t>Lejtésugrás magassága</t>
  </si>
  <si>
    <t>Výška skoku sklonu</t>
  </si>
  <si>
    <t>Hoogte van de hellingssprong</t>
  </si>
  <si>
    <t>Višina spremembe naklona</t>
  </si>
  <si>
    <t>Höjd av lutningshoppet</t>
  </si>
  <si>
    <t>Højde af hældningsspringet</t>
  </si>
  <si>
    <t>Høyde på helningshoppet</t>
  </si>
  <si>
    <t>Visina skoka nagiba</t>
  </si>
  <si>
    <t>Strip</t>
  </si>
  <si>
    <t>Pás</t>
  </si>
  <si>
    <t>Pas</t>
  </si>
  <si>
    <t>Sáv</t>
  </si>
  <si>
    <t>Baan</t>
  </si>
  <si>
    <t>Trak</t>
  </si>
  <si>
    <t>Bane</t>
  </si>
  <si>
    <t>Traka</t>
  </si>
  <si>
    <t>Neck flashing</t>
  </si>
  <si>
    <t>Krční plech</t>
  </si>
  <si>
    <t>Nyaklemez</t>
  </si>
  <si>
    <t>Krčný plech</t>
  </si>
  <si>
    <t>Nekflits</t>
  </si>
  <si>
    <t>Ovratna pločevina</t>
  </si>
  <si>
    <t>Halsplåt</t>
  </si>
  <si>
    <t>Halsinddækning</t>
  </si>
  <si>
    <t>Halsbeslag</t>
  </si>
  <si>
    <t>Vratna obloga</t>
  </si>
  <si>
    <t>Double transverse seam at penetrations</t>
  </si>
  <si>
    <t>Dvojitý příčný šev na prostupech</t>
  </si>
  <si>
    <t>Podwójny szew poprzeczny przy przejściach</t>
  </si>
  <si>
    <t>Dupla keresztirányú varrat áttöréseknél</t>
  </si>
  <si>
    <t>Dvojitý priečny šev na prierazoch</t>
  </si>
  <si>
    <t>Dubbele dwarsnaad bij doorvoeringen</t>
  </si>
  <si>
    <t>Dvojni prečni šiv na prebojih</t>
  </si>
  <si>
    <t>Dubbel tvärgående fals vid genomföringar</t>
  </si>
  <si>
    <t>Dobbelt tværfals ved gennembrydninger</t>
  </si>
  <si>
    <t>Dobbel tverrfals ved gjennomføringer</t>
  </si>
  <si>
    <t>Dvostruki poprečni šav na prolazima</t>
  </si>
  <si>
    <t>Interasse delle travature</t>
  </si>
  <si>
    <t>Stěnová šindel</t>
  </si>
  <si>
    <t>Gont ścienny</t>
  </si>
  <si>
    <t>Falzsindely</t>
  </si>
  <si>
    <t>Stenový šindeľ</t>
  </si>
  <si>
    <t>Gevelpan</t>
  </si>
  <si>
    <t>Stenska skodla</t>
  </si>
  <si>
    <t>Väggskiffer</t>
  </si>
  <si>
    <t>Vægskifer</t>
  </si>
  <si>
    <t>Veggskifer</t>
  </si>
  <si>
    <t>Zidna šindra</t>
  </si>
  <si>
    <t>Držák stěnové šindele</t>
  </si>
  <si>
    <t>Uchwyt gontu ściennego</t>
  </si>
  <si>
    <t>Falzsindely tartó</t>
  </si>
  <si>
    <t>Držiak stenového šindľa</t>
  </si>
  <si>
    <t>Bevestigingsclip voor gevelpan</t>
  </si>
  <si>
    <t>Nosilec za stensko skodlo</t>
  </si>
  <si>
    <t>Väggskifferfäste</t>
  </si>
  <si>
    <t>Vægskiferbeslag</t>
  </si>
  <si>
    <t>Veggskiferfeste</t>
  </si>
  <si>
    <t>Držač za zidnu šindru</t>
  </si>
  <si>
    <t>A partire da un carico di neve di 3,25 kN/m² o nelle categorie di terreno 0, I o II, è richiesta un'installazione su tavolato pieno secondo le normative nazionali con uno strato di separazione in bitume.</t>
  </si>
  <si>
    <t>Pełne deskowanie zgodnie z krajowymi przepisami</t>
  </si>
  <si>
    <t>Teljes burkolat a nemzeti előírások szerint</t>
  </si>
  <si>
    <t>Plné debnenie podľa národných predpisov</t>
  </si>
  <si>
    <t>Volledige beplanking volgens nationale voorschriften</t>
  </si>
  <si>
    <t>Polno opaženje v skladu z nacionalnimi predpisi</t>
  </si>
  <si>
    <t>Full beklädnad enligt nationella föreskrifter</t>
  </si>
  <si>
    <t>Fuld beklædning i henhold til nationale forskrifter</t>
  </si>
  <si>
    <t>Full bordkledning i henhold til nasjonale forskrifter</t>
  </si>
  <si>
    <t>Puna oplata prema nacionalnim propisima</t>
  </si>
  <si>
    <t xml:space="preserve">Skladování </t>
  </si>
  <si>
    <t>Magazynowanie</t>
  </si>
  <si>
    <t>Tárolás</t>
  </si>
  <si>
    <t>Skladovanie</t>
  </si>
  <si>
    <t>Opslag</t>
  </si>
  <si>
    <t>Skladiščenje</t>
  </si>
  <si>
    <t>Lagring</t>
  </si>
  <si>
    <t>Opbevaring</t>
  </si>
  <si>
    <t>Skladištenje</t>
  </si>
  <si>
    <t>(nutné pro trvalou instalaci)</t>
  </si>
  <si>
    <t>(wymagane przy stałej instalacji)</t>
  </si>
  <si>
    <t>(szükséges tartós felépítés esetén)</t>
  </si>
  <si>
    <t>(potrebné pri trvalej inštalácii)</t>
  </si>
  <si>
    <t>(vereist voor permanente opstelling)</t>
  </si>
  <si>
    <t>(potrebno za trajno namestitev)</t>
  </si>
  <si>
    <t>(krävs för permanent uppställning)</t>
  </si>
  <si>
    <t>(påkrævet ved permanent opstilling)</t>
  </si>
  <si>
    <t>(nødvendig for permanent oppsett)</t>
  </si>
  <si>
    <t>(potrebno za trajnu postavu)</t>
  </si>
  <si>
    <t>The ground for the system should be level to ensure optimal adjustment of the floor seal. Additionally, for cobblestones, adequate foundation and fastening should be ensured to prevent underwashing. Before the PREFA flood protection barrier system is installed, it must first be clarified whether the structure is suitable for installation from a static point of view.</t>
  </si>
  <si>
    <t>Povrch pro systém by měl být rovný, aby bylo zajištěno optimální přizpůsobení podlahového těsnění. Kromě toho je třeba u dlažebních kamenů zajistit odpovídající základy a upevnění, aby nedocházelo k podplavování. Před montáží systému protipovodňových zábran PREFA je nejprve třeba ověřit, zda je konstrukce z hlediska statiky vhodná pro montáž.</t>
  </si>
  <si>
    <t>Podłoże pod system powinno być równe, aby zapewnić optymalne dopasowanie uszczelnienia podłogi. Ponadto, w przypadku kostki brukowej, należy zapewnić odpowiednie fundamentowanie i mocowanie, aby zapobiec podmywaniu. Przed montażem systemu barier przeciwpowodziowych PREFA należy najpierw sprawdzić, czy konstrukcja nadaje się do montażu pod względem statycznym.</t>
  </si>
  <si>
    <t>A rendszer alapjának síknak kell lennie, hogy biztosítsa a padló tömítésének optimális illeszkedését. Továbbá, a burkolat esetében megfelelő alapozásra és rögzítésre van szükség az alámosás elkerülése érdekében. Mielőtt a PREFA árvízvédelmi rendszer telepítésre kerül, először meg kell vizsgálni, hogy az építmény statikai szempontból alkalmas-e a telepítésre.</t>
  </si>
  <si>
    <t>Podklad pre systém by mal byť rovný, aby sa zabezpečilo optimálne prispôsobenie podlahového tesnenia. Okrem toho je pri dlažbe potrebné dbať na primerané základy a upevnenie, aby sa predišlo podmývaniu. Pred montážou systému protipovodňových hrádzí PREFA je najprv potrebné overiť, či je stavba z hľadiska statiky vhodná na montáž.</t>
  </si>
  <si>
    <t>De ondergrond voor het systeem moet vlak zijn om een optimale aanpassing van de vloerdichting te garanderen. Bovendien moet bij bestratingen worden gezorgd voor een adequate fundering en bevestiging om onderspoeling te voorkomen. Voordat het PREFA overstromingsbarrièresysteem wordt geïnstalleerd, moet eerst worden vastgesteld of de constructie statisch geschikt is voor de installatie.</t>
  </si>
  <si>
    <t>Podlaga za sistem mora biti ravna, da se zagotovi optimalna prilagoditev talne tesnilke. Poleg tega je pri tlakovcih treba zagotoviti ustrezno temeljenje in pritrditev, da se prepreči podplavljanje. Pred montažo sistema protipoplavnih pregrad PREFA je najprej treba ugotoviti, ali je zgradba primerna za montažo z vidika statike.</t>
  </si>
  <si>
    <t>Underlaget för systemet bör vara plant för att säkerställa optimal anpassning av golvtätningen. Dessutom, för gatstenar, bör adekvat fundament och infästning säkerställas för att förhindra undergrävning. Innan PREFA översvämningsbarriärsystemet installeras måste det först klargöras om strukturen är lämplig för installation ur ett statiskt perspektiv.</t>
  </si>
  <si>
    <t>Underlaget til systemet bør være plant for at sikre optimal tilpasning af gulvtætningssystemet. Derudover skal der ved belægningssten sørges for en passende fundamentering og fastgørelse for at forhindre undergravning. Før PREFA oversvømmelsesbarrieresystemet installeres, skal det først afklares, om bygningen er egnet til installation med hensyn til statik.</t>
  </si>
  <si>
    <t>Underlaget for systemet bør være jevnt for å sikre optimal tilpasning av gulvforseglingen. Videre, for brostein, bør tilstrekkelig fundamentering og festing sikres for å forhindre undergraving. Før PREFA flomsikringssystemet monteres, må det først avklares om strukturen er egnet for montering med hensyn til statikk.</t>
  </si>
  <si>
    <t>Podloga za sustav treba biti ravna kako bi se osigurala optimalna prilagodba brtve poda. Nadalje, kod postavljanja kocki, potrebno je osigurati odgovarajuće temeljenje i učvršćivanje kako bi se spriječilo ispiranje. Prije nego što se montira PREFA sustav brana za zaštitu od poplava, najprije je potrebno utvrditi je li građevina statički prikladna za montažu.</t>
  </si>
  <si>
    <t>Všechny produkty protipovodňové ochrany PREFA jsou k dispozici u našich partnerů PREFA.</t>
  </si>
  <si>
    <t>Wszystkie produkty ochrony przed powodzią PREFA są dostępne u naszych partnerów PREFA.</t>
  </si>
  <si>
    <t>Minden PREFA árvízvédelmi termék elérhető PREFA partnereinknél.</t>
  </si>
  <si>
    <t>Všetky protipovodňové produkty PREFA sú dostupné u našich partnerov PREFA.</t>
  </si>
  <si>
    <t>Alle PREFA overstromingsbeschermingsproducten zijn verkrijgbaar bij onze PREFA-partners.</t>
  </si>
  <si>
    <t>Vsi PREFA izdelki za zaščito pred poplavami so na voljo pri naših PREFA partnerjih.</t>
  </si>
  <si>
    <t>Alla PREFA översvämningsskyddsprodukter finns tillgängliga hos våra PREFA-partners.</t>
  </si>
  <si>
    <t>Alle PREFA oversvømmelsesbeskyttelsesprodukter er tilgængelige hos vores PREFA-partnere.</t>
  </si>
  <si>
    <t>Alle PREFA flomvernprodukter er tilgjengelige hos våre PREFA-partnere.</t>
  </si>
  <si>
    <t>Svi PREFA proizvodi za zaštitu od poplava dostupni su kod naših PREFA partnera.</t>
  </si>
  <si>
    <t>Anfragen bitte an: hochwasserschutz.de@prefa.com</t>
  </si>
  <si>
    <t>Please send inquiries to: hochwasserschutz.de@prefa.com</t>
  </si>
  <si>
    <t>Dotazy prosím na:</t>
  </si>
  <si>
    <t>Zapytania proszę kierować do:</t>
  </si>
  <si>
    <t>Érdeklődés esetén kérjük, forduljon a következőhöz:</t>
  </si>
  <si>
    <t>Otázky prosím smerujte na:</t>
  </si>
  <si>
    <t>Vragen graag naar:</t>
  </si>
  <si>
    <t>Povpraševanja prosimo pošljite na:</t>
  </si>
  <si>
    <t>Förfrågningar vänligen till:</t>
  </si>
  <si>
    <t>Forespørgsler bedes rettes til:</t>
  </si>
  <si>
    <t>Forespørsler vennligst til:</t>
  </si>
  <si>
    <t>Upiti molimo pošaljite na:</t>
  </si>
  <si>
    <t>Additional edge distance</t>
  </si>
  <si>
    <t>Dodatečná vzdálenost od okraje</t>
  </si>
  <si>
    <t>Dodatkowy odstęp od krawędzi</t>
  </si>
  <si>
    <t>Kiegészítő széltávolság</t>
  </si>
  <si>
    <t>Dodatočná vzdialenosť od okraja</t>
  </si>
  <si>
    <t>Extra randafstand</t>
  </si>
  <si>
    <t>Dodatna razdalja od roba</t>
  </si>
  <si>
    <t>Ytterligare kantavstånd</t>
  </si>
  <si>
    <t>Ekstra kantafstand</t>
  </si>
  <si>
    <t>Ekstra kantavstand</t>
  </si>
  <si>
    <t>Dodatna udaljenost od ruba</t>
  </si>
  <si>
    <t>POZNÁMKY:</t>
  </si>
  <si>
    <t>NOTATKI:</t>
  </si>
  <si>
    <t>JEGYZETEK:</t>
  </si>
  <si>
    <t>NOTITIES:</t>
  </si>
  <si>
    <t>OPOZORILA:</t>
  </si>
  <si>
    <t>ANTECKNINGAR:</t>
  </si>
  <si>
    <t>NOTATER:</t>
  </si>
  <si>
    <t>BILJEŠKE:</t>
  </si>
  <si>
    <t>Coating parts</t>
  </si>
  <si>
    <t>Povrchové části</t>
  </si>
  <si>
    <t>Części powłokowe</t>
  </si>
  <si>
    <t>Bevonati részek</t>
  </si>
  <si>
    <t>Povrchové časti</t>
  </si>
  <si>
    <t>Coating onderdelen</t>
  </si>
  <si>
    <t>Premazni deli</t>
  </si>
  <si>
    <t>Beläggningsdelar</t>
  </si>
  <si>
    <t>Belægningsdele</t>
  </si>
  <si>
    <t>Beleggdeler</t>
  </si>
  <si>
    <t>Premazni dijelovi</t>
  </si>
  <si>
    <t>Speciální výroba</t>
  </si>
  <si>
    <t>Wykonanie na zamówienie</t>
  </si>
  <si>
    <t>Egyedi gyártás</t>
  </si>
  <si>
    <t>Špeciálna výroba</t>
  </si>
  <si>
    <t>Maatwerk</t>
  </si>
  <si>
    <t>Posebna izdelava</t>
  </si>
  <si>
    <t>Specialtillverkning</t>
  </si>
  <si>
    <t>Specialfremstilling</t>
  </si>
  <si>
    <t>Spesialfremstilling</t>
  </si>
  <si>
    <t>Izrada po narudžbi</t>
  </si>
  <si>
    <t>Výběr systému</t>
  </si>
  <si>
    <t>Wybór systemu</t>
  </si>
  <si>
    <t>Rendszerválasztás</t>
  </si>
  <si>
    <t>Výber systému</t>
  </si>
  <si>
    <t>Systeemkeuze</t>
  </si>
  <si>
    <t>Izbira sistema</t>
  </si>
  <si>
    <t>Systemval</t>
  </si>
  <si>
    <t>Systemvalg</t>
  </si>
  <si>
    <t>Izbor sustava</t>
  </si>
  <si>
    <t>Seznam materiálů</t>
  </si>
  <si>
    <t>Lista materiałów</t>
  </si>
  <si>
    <t>Darabjegyzék</t>
  </si>
  <si>
    <t>Zoznam materiálov</t>
  </si>
  <si>
    <t>Materiaallijst</t>
  </si>
  <si>
    <t>Seznam materialov</t>
  </si>
  <si>
    <t>Materiallista</t>
  </si>
  <si>
    <t>Stykliste</t>
  </si>
  <si>
    <t>Stykkliste</t>
  </si>
  <si>
    <t>Popis materijala</t>
  </si>
  <si>
    <t>custodia per sponde (elemento centrale)</t>
  </si>
  <si>
    <t>Kryt ložiska (střední část)</t>
  </si>
  <si>
    <t>Pokrywa łożyska (część środkowa)</t>
  </si>
  <si>
    <t>Csapágyfedél (középső rész)</t>
  </si>
  <si>
    <t>Kryt ložiska (stredná časť)</t>
  </si>
  <si>
    <t>Lagerdeksel (middenstuk)</t>
  </si>
  <si>
    <t>Pokrov ležišča (srednji del)</t>
  </si>
  <si>
    <t>Lagerlock (mittdel)</t>
  </si>
  <si>
    <t>Lejedæksel (mellemstykke)</t>
  </si>
  <si>
    <t>Lagerdeksel (midtdel)</t>
  </si>
  <si>
    <t>Poklopac ležaja (središnji dio)</t>
  </si>
  <si>
    <t>Lagerabdeckung (Wandprofil)</t>
  </si>
  <si>
    <t>custodia per sponde (elemento laterale)</t>
  </si>
  <si>
    <t>Kryt ložiska (boční část)</t>
  </si>
  <si>
    <t>Pokrywa łożyska (część boczna)</t>
  </si>
  <si>
    <t>Csapágyfedél (oldalsó rész)</t>
  </si>
  <si>
    <t>Kryt ložiska (bočná časť)</t>
  </si>
  <si>
    <t>Lagerdeksel (zijstuk)</t>
  </si>
  <si>
    <t>Pokrov ležišča (stranski del)</t>
  </si>
  <si>
    <t>Lagerlock (sidodel)</t>
  </si>
  <si>
    <t>Lejedæksel (sidestykke)</t>
  </si>
  <si>
    <t>Lagerdeksel (side del)</t>
  </si>
  <si>
    <t>Poklopac ležaja (bočni dio)</t>
  </si>
  <si>
    <t>Spannstück mit Sterngriff zum seitlich Eindrehen</t>
  </si>
  <si>
    <t>elemento di bloccaggio con manopola a stella (montaggio laterale)</t>
  </si>
  <si>
    <t>Upínací kus s hvězdicovou rukojetí pro boční navlékání</t>
  </si>
  <si>
    <t>Zacisk z uchwytem gwiaździstym do bocznego nawlekania</t>
  </si>
  <si>
    <t>Szorítódarab csillagfogantyúval oldalsó befűzéshez</t>
  </si>
  <si>
    <t>Upínací kus s hviezdicovou rukoväťou na bočné navliekanie</t>
  </si>
  <si>
    <t>Spanklem met sterknop voor zijdelingse inschroef</t>
  </si>
  <si>
    <t>Napenjalni kos z zvezdastim ročajem za bočno navojevanje</t>
  </si>
  <si>
    <t>Spännbit med stjärnhandtag för sidoinfällning</t>
  </si>
  <si>
    <t>Spændestykke med stjerngreb til lateral indføring</t>
  </si>
  <si>
    <t>Klemstykke med stjernehåndtak for sideinnføring</t>
  </si>
  <si>
    <t>Stezni komad s zvjezdastom ručkom za bočno uvlačenje</t>
  </si>
  <si>
    <t>Spannstück mit Sterngriff zum Eindrehen</t>
  </si>
  <si>
    <t>Spannstück mit 6-Kantschraube zum Eindrehen</t>
  </si>
  <si>
    <t>elemento di bloccaggio con vite a testa esagonale (montaggio laterale)</t>
  </si>
  <si>
    <t>Upínací kus s šestihranným šroubem pro boční navlékání</t>
  </si>
  <si>
    <t>Zacisk z śrubą sześciokątną do bocznego nawlekania</t>
  </si>
  <si>
    <t>Szorítódarab hatszögletű csavarral oldalsó befűzéshez</t>
  </si>
  <si>
    <t>Upínací kus so šesťhrannou skrutkou na bočné navliekanie</t>
  </si>
  <si>
    <t>Spanklem met zeskantschroef voor zijdelingse inschroef</t>
  </si>
  <si>
    <t>Napenjalni kos s šestrobo vijakom za bočno navojevanje</t>
  </si>
  <si>
    <t>Spännbit med sexkantskruv för sidoinfällning</t>
  </si>
  <si>
    <t>Spændestykke med sekskantskrue til lateral indføring</t>
  </si>
  <si>
    <t>Klemstykke med sekskantskrue for sideinnføring</t>
  </si>
  <si>
    <t>Stezni komad sa šesterokutnim vijkom za bočno uvlačenje</t>
  </si>
  <si>
    <t>U-profil 25 (v ostění) bez těsnění, vrtaný a odjehlený</t>
  </si>
  <si>
    <t>Profil U 25 (w ościeżnicy) bez uszczelki, wiercony i gratowany</t>
  </si>
  <si>
    <t>U-profil 25 (keretben) tömítés nélkül, fúrva és sorjázva</t>
  </si>
  <si>
    <t>U-profil 25 (v ostení) bez tesnenia, vŕtaný a odihlovaný</t>
  </si>
  <si>
    <t>U-profiel 25 (in de sponning) excl. afdichting, geboord en ontbraamd</t>
  </si>
  <si>
    <t>U-profil 25 (v špaleti) brez tesnila, izvrtan in posnet</t>
  </si>
  <si>
    <t>U-profil 25 (i sidostycket) exkl. tätning, borrad och gradad</t>
  </si>
  <si>
    <t>U-profil 25 (i væggen) ekskl. tætning, boret og affaset</t>
  </si>
  <si>
    <t>U-profil 25 (i karmen) ekskl. tetning, boret og avgratet</t>
  </si>
  <si>
    <t>U-profil 25 (u lajsni) bez brtve, bušen i obrušen</t>
  </si>
  <si>
    <t>maggiorazione per verniciatura a polvere</t>
  </si>
  <si>
    <t>Paušální poplatek za povlakování</t>
  </si>
  <si>
    <t>Ryczałt za powłokę</t>
  </si>
  <si>
    <t>Bevonati átalánydíj</t>
  </si>
  <si>
    <t>Paušálny poplatok za povrchovú úpravu</t>
  </si>
  <si>
    <t>Coatingforfait</t>
  </si>
  <si>
    <t>Pavšalni premaz</t>
  </si>
  <si>
    <t>Beläggningsschablon</t>
  </si>
  <si>
    <t>Belægningspristillæg</t>
  </si>
  <si>
    <t>Beleggavgift</t>
  </si>
  <si>
    <t>Paušalna naknada za premazivanje</t>
  </si>
  <si>
    <t>Název souboru:</t>
  </si>
  <si>
    <t>Nazwa pliku:</t>
  </si>
  <si>
    <t>Fájlnév:</t>
  </si>
  <si>
    <t>Názov súboru:</t>
  </si>
  <si>
    <t>Bestandsnaam:</t>
  </si>
  <si>
    <t>Ime datoteke:</t>
  </si>
  <si>
    <t>Filnamn:</t>
  </si>
  <si>
    <t>Filnavn:</t>
  </si>
  <si>
    <t>Naziv datoteke:</t>
  </si>
  <si>
    <t>Technologie produktu</t>
  </si>
  <si>
    <t>Technologia produktu</t>
  </si>
  <si>
    <t>Technológia produktu</t>
  </si>
  <si>
    <t>Producttechnologie</t>
  </si>
  <si>
    <t>Tehnologija izdelka</t>
  </si>
  <si>
    <t>Produktteteknik</t>
  </si>
  <si>
    <t>Produktteknologi</t>
  </si>
  <si>
    <t>selected in the following calculations</t>
  </si>
  <si>
    <t>vybráno v následujících výpočtech</t>
  </si>
  <si>
    <t>wybrano w następujących kalkulacjach</t>
  </si>
  <si>
    <t>a következő számításokban választva</t>
  </si>
  <si>
    <t>vybrané v nasledujúcich výpočtoch</t>
  </si>
  <si>
    <t>gekozen in de volgende berekeningen</t>
  </si>
  <si>
    <t>izbrano v naslednjih izračunih</t>
  </si>
  <si>
    <t>vald i följande beräkningar</t>
  </si>
  <si>
    <t>valgt i følgende beregninger</t>
  </si>
  <si>
    <t>odabrano u sljedećim kalkulacijama</t>
  </si>
  <si>
    <t>(Top edge of recess - Top edge DB)</t>
  </si>
  <si>
    <t>(Horní okraj výřezu - Horní okraj DB)</t>
  </si>
  <si>
    <t>(Górna krawędź wnęki - Górna krawędź DB)</t>
  </si>
  <si>
    <t>(Kivágás felső éle - DB felső éle)</t>
  </si>
  <si>
    <t>(Horný okraj výrezu - Horný okraj DB)</t>
  </si>
  <si>
    <t>(Bovenkant uitsparing - Bovenkant DB)</t>
  </si>
  <si>
    <t>(Zgornji rob izreza - Zgornji rob DB)</t>
  </si>
  <si>
    <t>(Överkant urtag - Överkant DB)</t>
  </si>
  <si>
    <t>(Overkant af udsparing - Overkant DB)</t>
  </si>
  <si>
    <t>(Overkant av utsparing - Overkant DB)</t>
  </si>
  <si>
    <t>(Gornji rub izreza - Gornji rub DB)</t>
  </si>
  <si>
    <t>(Top edge of lintel - Top edge DB)</t>
  </si>
  <si>
    <t>(Horní okraj překladu - Horní okraj DB)</t>
  </si>
  <si>
    <t>(Górna krawędź nadproża - Górna krawędź DB)</t>
  </si>
  <si>
    <t>(Áthidaló felső éle - DB felső éle)</t>
  </si>
  <si>
    <t>(Horný okraj prekladu - Horný okraj DB)</t>
  </si>
  <si>
    <t>(Bovenkant latei - Bovenkant DB)</t>
  </si>
  <si>
    <t>(Zgornji rob preklade - Zgornji rob DB)</t>
  </si>
  <si>
    <t>(Överkant av balk - Överkant DB)</t>
  </si>
  <si>
    <t>(Overkant af overligger - Overkant DB)</t>
  </si>
  <si>
    <t>(Overkant av overligger - Overkant DB)</t>
  </si>
  <si>
    <t>(Gornji rub nadvoja - Gornji rub DB)</t>
  </si>
  <si>
    <t>[v mm]</t>
  </si>
  <si>
    <t>[mm-ben]</t>
  </si>
  <si>
    <t>Profilové výlisky</t>
  </si>
  <si>
    <t>Profile wytłaczane</t>
  </si>
  <si>
    <t>Extrudált profilok</t>
  </si>
  <si>
    <t>Extrúzne profily</t>
  </si>
  <si>
    <t>Extrusieprofielen</t>
  </si>
  <si>
    <t>Ekstrudirani profili</t>
  </si>
  <si>
    <t>Extruderade profiler</t>
  </si>
  <si>
    <t>Ekstruderede profiler</t>
  </si>
  <si>
    <t>Ekstruderingsprofiler</t>
  </si>
  <si>
    <t>Upevňovací prostředek na obklady - Hliník UK 4,8 x 19 mm</t>
  </si>
  <si>
    <t>Element mocujący do oblicówki - Aluminium UK 4,8 x 19 mm</t>
  </si>
  <si>
    <t>Rögzítőelem burkolathoz - Alumínium UK 4,8 x 19 mm</t>
  </si>
  <si>
    <t>Upevňovací prostriedok na obklady - Hliník UK 4,8 x 19 mm</t>
  </si>
  <si>
    <t>Bevestigingsmiddel voor gevelbekleding - Aluminium UK 4,8 x 19 mm</t>
  </si>
  <si>
    <t>Pritrdilni element za oblogo - Aluminij UK 4,8 x 19 mm</t>
  </si>
  <si>
    <t>Fästanordning för beklädnad - Aluminium UK 4,8 x 19 mm</t>
  </si>
  <si>
    <t>Fastgørelsesmiddel til beklædning - Aluminium UK 4,8 x 19 mm</t>
  </si>
  <si>
    <t>Festemiddel for kledning - Aluminium UK 4,8 x 19 mm</t>
  </si>
  <si>
    <t>Sredstvo za pričvršćivanje obloga - Aluminij UK 4,8 x 19 mm</t>
  </si>
  <si>
    <t>Upevňovací prostředek na obklady - Dřevo UK 4,9 x 35 mm</t>
  </si>
  <si>
    <t>Element mocujący do oblicówki - Drewno UK 4,9 x 35 mm</t>
  </si>
  <si>
    <t>Rögzítőelem burkolathoz - Fa UK 4,9 x 35 mm</t>
  </si>
  <si>
    <t>Upevňovací prostriedok na obklady - Drevo UK 4,9 x 35 mm</t>
  </si>
  <si>
    <t>Pritrdilni element za oblogo - Les UK 4,9 x 35 mm</t>
  </si>
  <si>
    <t>Sredstvo za pričvršćivanje obloga - Drvo UK 4,9 x 35 mm</t>
  </si>
  <si>
    <t>Startovací profil (délka: 2 000 mm) P.10 antracit</t>
  </si>
  <si>
    <t>Profil początkowy (długość: 2 000 mm) P.10 antracyt</t>
  </si>
  <si>
    <t>Indító profil (hossz: 2000 mm) P.10 antracit</t>
  </si>
  <si>
    <t>Štartovací profil (dĺžka: 2 000 mm) P.10 antracit</t>
  </si>
  <si>
    <t>Startprofiel (lengte: 2.000 mm) P.10 antraciet</t>
  </si>
  <si>
    <t>Začetni profil (dolžina: 2.000 mm) P.10 antracit</t>
  </si>
  <si>
    <t>Startprofil (längd: 2 000 mm) P.10 antracit</t>
  </si>
  <si>
    <t>Startprofil (længde: 2.000 mm) P.10 antracit</t>
  </si>
  <si>
    <t>Startprofil (lengde: 2 000 mm) P.10 antrasitt</t>
  </si>
  <si>
    <t>Početni profil (duljina: 2.000 mm) P.10 antracit</t>
  </si>
  <si>
    <t xml:space="preserve"> </t>
  </si>
  <si>
    <t>Blacha ościeżnicy (długość: 2 500 mm)</t>
  </si>
  <si>
    <t>Ablakmélyedés lemez (hossz: 2 500 mm)</t>
  </si>
  <si>
    <t>Okenný plech (dĺžka: 2 500 mm)</t>
  </si>
  <si>
    <t>Špaletna pločevina (dolžina: 2.500 mm)</t>
  </si>
  <si>
    <t>Lim za špaletu (duljina: 2.500 mm)</t>
  </si>
  <si>
    <t>Kosovnica Siding</t>
  </si>
  <si>
    <t>Ostění plech (délka: 3 000 mm)</t>
  </si>
  <si>
    <t>Blacha ościeżnicy (długość: 3 000 mm)</t>
  </si>
  <si>
    <t>Ablakmélyedés lemez (hossz: 3 000 mm)</t>
  </si>
  <si>
    <t>Okenný plech (dĺžka: 3 000 mm)</t>
  </si>
  <si>
    <t>Špaletna pločevina (dolžina: 3.000 mm)</t>
  </si>
  <si>
    <t>Lim za špaletu (duljina: 3.000 mm)</t>
  </si>
  <si>
    <t>Kontralata - odvětrávání</t>
  </si>
  <si>
    <t>Kontrłata - wentylacja</t>
  </si>
  <si>
    <t>Ellenléc - szellőzés</t>
  </si>
  <si>
    <t>Kontralata - odvetranie</t>
  </si>
  <si>
    <t>Tengellat - ventilatie</t>
  </si>
  <si>
    <t>Protirazrez - prezračevanje</t>
  </si>
  <si>
    <t>Kontraläkt - ventilation</t>
  </si>
  <si>
    <t>Kontraliste - ventilation</t>
  </si>
  <si>
    <t>Motlekt - ventilasjon</t>
  </si>
  <si>
    <t>Kontraleta - ventilacija</t>
  </si>
  <si>
    <t>Těsnící šroub NIRO, 4,5x25</t>
  </si>
  <si>
    <t>Tesnilni vijak NIRO, 4,5x25</t>
  </si>
  <si>
    <t>Dřevěný rám (vnitřní rozměr: 595x595 mm)</t>
  </si>
  <si>
    <t>Leseni okvir (notranja mera: 595x595 mm)</t>
  </si>
  <si>
    <t>samovrtný šroub ocelový - podkonstrukce</t>
  </si>
  <si>
    <t>Wkręt samowiercący stalowy - podkonstrukcja</t>
  </si>
  <si>
    <t>Önfúró csavar acél - alépítmény</t>
  </si>
  <si>
    <t>Samovrtná skrutka oceľová - podkonštrukcia</t>
  </si>
  <si>
    <t>Zelfborende schroef staal - onderconstructie</t>
  </si>
  <si>
    <t>Samovrtalni vijak jekleni - podkonstrukcija</t>
  </si>
  <si>
    <t>Självborrande skruv stål - underkonstruktion</t>
  </si>
  <si>
    <t>Selvborende skrue stål - underkonstruktion</t>
  </si>
  <si>
    <t>Selvborende skrue stål - understruktur</t>
  </si>
  <si>
    <t>Samobušeći vijak čelik - podkonstrukcija</t>
  </si>
  <si>
    <t>Upevňovací prvky pro extrudované profily na hliníkovou podkonstrukci</t>
  </si>
  <si>
    <t>Elementy mocujące do profili wytłaczanych na podkonstrukcji aluminiowej</t>
  </si>
  <si>
    <t>Rögzítőelemek alumínium alépítményhez extrudált profilokhoz</t>
  </si>
  <si>
    <t>Upevňovacie prvky pre extrudované profily na hliníkovú podkonštrukciu</t>
  </si>
  <si>
    <t>Bevestigingsmiddelen voor extrusieprofielen op aluminium onderconstructie</t>
  </si>
  <si>
    <t>Pritrdilni elementi za ekstrudirane profile na aluminijasto podkonstrukcijo</t>
  </si>
  <si>
    <t>Fästdon för extrusionsprofiler på aluminiumunderkonstruktion</t>
  </si>
  <si>
    <t>Befæstelseselementer til ekstruderede profiler på aluminiumunderkonstruktion</t>
  </si>
  <si>
    <t>Festemidler for ekstruderingsprofiler på aluminiumunderstruktur</t>
  </si>
  <si>
    <t>Pričvrsni elementi za ekstruzijske profile na aluminijskoj podkonstrukciji</t>
  </si>
  <si>
    <t>Load determination:</t>
  </si>
  <si>
    <t>Détermination des charges :</t>
  </si>
  <si>
    <t>Určení zatížení:</t>
  </si>
  <si>
    <t>Określenie obciążenia:</t>
  </si>
  <si>
    <t>Terhelés meghatározása:</t>
  </si>
  <si>
    <t>Určenie zaťaženia:</t>
  </si>
  <si>
    <t>Bepaling van de belasting:</t>
  </si>
  <si>
    <t>Določitev obremenitve:</t>
  </si>
  <si>
    <t>Lastbestämning:</t>
  </si>
  <si>
    <t>Belastningsbestemmelse:</t>
  </si>
  <si>
    <t>Određivanje opterećenja:</t>
  </si>
  <si>
    <t>laut ÖNORM B 1991-1-3:2022</t>
  </si>
  <si>
    <t>according to ÖNORM B 1991-1-3:2022</t>
  </si>
  <si>
    <t>selon ÖNORM B 1991-1-3:2022</t>
  </si>
  <si>
    <t>secondo Norme nazionali</t>
  </si>
  <si>
    <t>podle ÖNORM B 1991-1-3:2022</t>
  </si>
  <si>
    <t>zgodnie z ÖNORM B 1991-1-3:2022</t>
  </si>
  <si>
    <t>szerint ÖNORM B 1991-1-3:2022</t>
  </si>
  <si>
    <t>podľa ÖNORM B 1991-1-3:2022</t>
  </si>
  <si>
    <t>volgens ÖNORM B 1991-1-3:2022</t>
  </si>
  <si>
    <t>po ÖNORM B 1991-1-3:2022</t>
  </si>
  <si>
    <t>enligt ÖNORM B 1991-1-3:2022</t>
  </si>
  <si>
    <t>ifølge ÖNORM B 1991-1-3:2022</t>
  </si>
  <si>
    <t>i henhold tilÖNORM B 1991-1-3:2022</t>
  </si>
  <si>
    <t>prema ÖNORM B 1991-1-3:2022</t>
  </si>
  <si>
    <t>Verification in the area:</t>
  </si>
  <si>
    <t>Vérification dans la zone :</t>
  </si>
  <si>
    <t>Ověření v ploše:</t>
  </si>
  <si>
    <t>Weryfikacja na powierzchni:</t>
  </si>
  <si>
    <t>Igazolás a területen:</t>
  </si>
  <si>
    <t>Dôkaz v oblasti:</t>
  </si>
  <si>
    <t>Verificatie in het gebied:</t>
  </si>
  <si>
    <t>Preverjanje na površini:</t>
  </si>
  <si>
    <t>Verifiering i området:</t>
  </si>
  <si>
    <t>Verifikation i området:</t>
  </si>
  <si>
    <t>Verifikasjon i området:</t>
  </si>
  <si>
    <t>Provjera na području:</t>
  </si>
  <si>
    <t>Milling cut-outs dam beam</t>
  </si>
  <si>
    <t>Frézování hrázového nosníku</t>
  </si>
  <si>
    <t>Frezowanie belki tamy</t>
  </si>
  <si>
    <t>Gátgerenda marások</t>
  </si>
  <si>
    <t>Frézovanie hrádzového nosníka</t>
  </si>
  <si>
    <t>Freesuitsparingen dam balk</t>
  </si>
  <si>
    <t>Frezanja pregradni nosilec</t>
  </si>
  <si>
    <t>Fräsningar dammbalk</t>
  </si>
  <si>
    <t>Fræsninger dæmning bjælke</t>
  </si>
  <si>
    <t>Fresninger dam bjelke</t>
  </si>
  <si>
    <t>Frezanja pregradna greda</t>
  </si>
  <si>
    <t>Cappuccio di plastica</t>
  </si>
  <si>
    <t>Kryt z plastu</t>
  </si>
  <si>
    <t>Plastikowa nasadka</t>
  </si>
  <si>
    <t>Műanyag végzáró kupak</t>
  </si>
  <si>
    <t>Plastová krytka</t>
  </si>
  <si>
    <t>Eindkap van kunststof</t>
  </si>
  <si>
    <t>Plastični pokrovček</t>
  </si>
  <si>
    <t>Plaständkåpa</t>
  </si>
  <si>
    <t>Plastik endehætte</t>
  </si>
  <si>
    <t>Plast endekappe</t>
  </si>
  <si>
    <t>Plastični završni čep</t>
  </si>
  <si>
    <t>Copertura V 25</t>
  </si>
  <si>
    <t>Kryt V 25</t>
  </si>
  <si>
    <t>Pokrywa V 25</t>
  </si>
  <si>
    <t>Fedél V 25</t>
  </si>
  <si>
    <t>Afdekking V 25</t>
  </si>
  <si>
    <t>Pokrov V 25</t>
  </si>
  <si>
    <t>Täckning V 25</t>
  </si>
  <si>
    <t>Dækning V 25</t>
  </si>
  <si>
    <t>Deksel V 25</t>
  </si>
  <si>
    <t>Poklopac V 25</t>
  </si>
  <si>
    <t>Copertura V 50</t>
  </si>
  <si>
    <t>Kryt V 50</t>
  </si>
  <si>
    <t>Pokrywa V 50</t>
  </si>
  <si>
    <t>Fedél V 50</t>
  </si>
  <si>
    <t>Afdekking V 50</t>
  </si>
  <si>
    <t>Pokrov V 50</t>
  </si>
  <si>
    <t>Täckning V 50</t>
  </si>
  <si>
    <t>Dækning V 50</t>
  </si>
  <si>
    <t>Deksel V 50</t>
  </si>
  <si>
    <t>Poklopac V 50</t>
  </si>
  <si>
    <t>Copertura V 80</t>
  </si>
  <si>
    <t>Kryt V 80</t>
  </si>
  <si>
    <t>Pokrywa V 80</t>
  </si>
  <si>
    <t>Fedél V 80</t>
  </si>
  <si>
    <t>Afdekking V 80</t>
  </si>
  <si>
    <t>Pokrov V 80</t>
  </si>
  <si>
    <t>Täckning V 80</t>
  </si>
  <si>
    <t>Dækning V 80</t>
  </si>
  <si>
    <t>Deksel V 80</t>
  </si>
  <si>
    <t>Poklopac V 80</t>
  </si>
  <si>
    <t>Copertura VO 25</t>
  </si>
  <si>
    <t>Kryt VO 25</t>
  </si>
  <si>
    <t>Pokrywa VO 25</t>
  </si>
  <si>
    <t>Fedél VO 25</t>
  </si>
  <si>
    <t>Afdekking VO 25</t>
  </si>
  <si>
    <t>Pokrov VO 25</t>
  </si>
  <si>
    <t>Täckning VO 25</t>
  </si>
  <si>
    <t>Dækning VO 25</t>
  </si>
  <si>
    <t>Deksel VO 25</t>
  </si>
  <si>
    <t>Poklopac VO 25</t>
  </si>
  <si>
    <t>Copertura VO 50</t>
  </si>
  <si>
    <t>Kryt VO 50</t>
  </si>
  <si>
    <t>Pokrywa VO 50</t>
  </si>
  <si>
    <t>Fedél VO 50</t>
  </si>
  <si>
    <t>Afdekking VO 50</t>
  </si>
  <si>
    <t>Pokrov VO 50</t>
  </si>
  <si>
    <t>Täckning VO 50</t>
  </si>
  <si>
    <t>Dækning VO 50</t>
  </si>
  <si>
    <t>Deksel VO 50</t>
  </si>
  <si>
    <t>Poklopac VO 50</t>
  </si>
  <si>
    <t>Copertura VO 80</t>
  </si>
  <si>
    <t>Kryt VO 80</t>
  </si>
  <si>
    <t>Pokrywa VO 80</t>
  </si>
  <si>
    <t>Fedél VO 80</t>
  </si>
  <si>
    <t>Afdekking VO 80</t>
  </si>
  <si>
    <t>Pokrov VO 80</t>
  </si>
  <si>
    <t>Täckning VO 80</t>
  </si>
  <si>
    <t>Dækning VO 80</t>
  </si>
  <si>
    <t>Deksel VO 80</t>
  </si>
  <si>
    <t>Poklopac VO 80</t>
  </si>
  <si>
    <t>Ugello di scarico eccentrico</t>
  </si>
  <si>
    <t>Excentrická odtoková hubice</t>
  </si>
  <si>
    <t>Ekscentryczna dysza odpływowa</t>
  </si>
  <si>
    <t>Excentrikus lefolyócsonk</t>
  </si>
  <si>
    <t>Excentrický odtokový nátrubok</t>
  </si>
  <si>
    <t>Excentrische afvoermondstuk</t>
  </si>
  <si>
    <t>Ekscentrična odtočna šoba</t>
  </si>
  <si>
    <t>Excentriskt avloppsmunstycke</t>
  </si>
  <si>
    <t>Excentrisk afløbsdyse</t>
  </si>
  <si>
    <t>Eksentrisk avløpsdyse</t>
  </si>
  <si>
    <t>Ekscentrični odvodni nastavak</t>
  </si>
  <si>
    <t>Lemování</t>
  </si>
  <si>
    <t>Obróbka blacharska</t>
  </si>
  <si>
    <t>Szegélylemez</t>
  </si>
  <si>
    <t>Lemovanie</t>
  </si>
  <si>
    <t>Afdichtingslijst</t>
  </si>
  <si>
    <t>Oblog</t>
  </si>
  <si>
    <t>Tätning</t>
  </si>
  <si>
    <t>Inddækning</t>
  </si>
  <si>
    <t>Beslag</t>
  </si>
  <si>
    <t>Lim za pokrivanje</t>
  </si>
  <si>
    <t>Scossaline</t>
  </si>
  <si>
    <t>Lemování (množné)</t>
  </si>
  <si>
    <t>Obróbki blacharskie</t>
  </si>
  <si>
    <t>Szegélylemezek</t>
  </si>
  <si>
    <t>Lemovania</t>
  </si>
  <si>
    <t>Afdichtingslijsten</t>
  </si>
  <si>
    <t>Oblogi</t>
  </si>
  <si>
    <t>Tätningar</t>
  </si>
  <si>
    <t>Inddækninger</t>
  </si>
  <si>
    <t>Limovi za pokrivanje</t>
  </si>
  <si>
    <t>Profilo di scossalina incollato (bipartito)</t>
  </si>
  <si>
    <t>Lemovací profil lepený (dvoudílný)</t>
  </si>
  <si>
    <t>Profil obróbki blacharskiej klejony (dwuczęściowy)</t>
  </si>
  <si>
    <t>Ragasztott szegélyprofil (kétrészes)</t>
  </si>
  <si>
    <t>Lemovací profil lepený (dvojdielny)</t>
  </si>
  <si>
    <t>Afdichtingsprofiel gelijmd (tweedeilig)</t>
  </si>
  <si>
    <t>Oblog profil lepljen (dvodelen)</t>
  </si>
  <si>
    <t>Tätningprofil limmad (tvådelad)</t>
  </si>
  <si>
    <t>Inddækningsprofil limet (todelt)</t>
  </si>
  <si>
    <t>Beslagprofil limt (todelt)</t>
  </si>
  <si>
    <t>Limeni profil zalijepljen (dvodijelni)</t>
  </si>
  <si>
    <t>Distanza dalla parete posteriore</t>
  </si>
  <si>
    <t>Vzdálenost k zadní stěně</t>
  </si>
  <si>
    <t>Odległość od ściany tylnej</t>
  </si>
  <si>
    <t>Hátsó fal távolsága</t>
  </si>
  <si>
    <t>Vzdialenosť k zadnej stene</t>
  </si>
  <si>
    <t>Afstand tot achterwand</t>
  </si>
  <si>
    <t>Razdalja do zadnje stene</t>
  </si>
  <si>
    <t>Avstånd till bakvägg</t>
  </si>
  <si>
    <t>Afstand til bagvæg</t>
  </si>
  <si>
    <t>Avstand til bakvegg</t>
  </si>
  <si>
    <t>Udaljenost do stražnjeg zida</t>
  </si>
  <si>
    <t>Météorisant</t>
  </si>
  <si>
    <t>Meteorizzante</t>
  </si>
  <si>
    <t>Povětrnostní</t>
  </si>
  <si>
    <t>Wietrzejący</t>
  </si>
  <si>
    <t>Időjárásálló</t>
  </si>
  <si>
    <t>Povoľovanie</t>
  </si>
  <si>
    <t>Verwering</t>
  </si>
  <si>
    <t>Vremenski vplivi</t>
  </si>
  <si>
    <t>Vittrande</t>
  </si>
  <si>
    <t>Forvitrende</t>
  </si>
  <si>
    <t>Starenje</t>
  </si>
  <si>
    <t>Buse d'adaptation</t>
  </si>
  <si>
    <t>Ugello adattatore</t>
  </si>
  <si>
    <t>Adaptérová tryska</t>
  </si>
  <si>
    <t>Dysza adaptera</t>
  </si>
  <si>
    <t>Adapter fúvóka</t>
  </si>
  <si>
    <t>Adapter mondstuk</t>
  </si>
  <si>
    <t>Prilagoditvena šoba</t>
  </si>
  <si>
    <t>Adaptermunstycke</t>
  </si>
  <si>
    <t>Adapterdyse</t>
  </si>
  <si>
    <t>Prilagodljiva mlaznica</t>
  </si>
  <si>
    <t>Condizioni generali di vendita e consegna</t>
  </si>
  <si>
    <t>Všeobecné prodejní a dodací podmínky</t>
  </si>
  <si>
    <t>Ogólne warunki sprzedaży i dostawy</t>
  </si>
  <si>
    <t>Általános értékesítési és szállítási feltételek</t>
  </si>
  <si>
    <t>Všeobecné obchodné a dodacie podmienky</t>
  </si>
  <si>
    <t>Algemene verkoop- en leveringsvoorwaarden</t>
  </si>
  <si>
    <t>Splošni prodajni in dobavni pogoji</t>
  </si>
  <si>
    <t>Allmänna försäljnings- och leveransvillkor</t>
  </si>
  <si>
    <t>Generelle salgs- og leveringsbetingelser</t>
  </si>
  <si>
    <t>Opći uvjeti prodaje i isporuke</t>
  </si>
  <si>
    <t>Rosso storico</t>
  </si>
  <si>
    <t>Historická červená</t>
  </si>
  <si>
    <t>Historyczna czerwień</t>
  </si>
  <si>
    <t>Történelmi vörös</t>
  </si>
  <si>
    <t>Historisch rood</t>
  </si>
  <si>
    <t>Zgodovinska rdeča</t>
  </si>
  <si>
    <t>Historisk röd</t>
  </si>
  <si>
    <t>Historisk rød</t>
  </si>
  <si>
    <t>Povijesna crvena</t>
  </si>
  <si>
    <t>Alluminio spazzolato</t>
  </si>
  <si>
    <t>Kartáčovaný hliník</t>
  </si>
  <si>
    <t>Szczotkowane aluminium</t>
  </si>
  <si>
    <t>Csiszolt alumínium</t>
  </si>
  <si>
    <t>Geborsteld aluminium</t>
  </si>
  <si>
    <t>Krtačen aluminij</t>
  </si>
  <si>
    <t>Borstat aluminium</t>
  </si>
  <si>
    <t>Børstet aluminium</t>
  </si>
  <si>
    <t>Četkani aluminij</t>
  </si>
  <si>
    <t>Aluminium avec goupille en acier inoxydable</t>
  </si>
  <si>
    <t>Alluminio con perno in acciaio inossidabile</t>
  </si>
  <si>
    <t>Hliník s nerezovým čepem</t>
  </si>
  <si>
    <t>Aluminium z trzpieniem ze stali nierdzewnej</t>
  </si>
  <si>
    <t>Alumínium rozsdamentes acél tüskével</t>
  </si>
  <si>
    <t>Hliník s nerezovým čapom</t>
  </si>
  <si>
    <t>Aluminium met roestvrijstalen pen</t>
  </si>
  <si>
    <t>Aluminij z nerjavečim trnom</t>
  </si>
  <si>
    <t>Aluminium med rostfri stålpinne</t>
  </si>
  <si>
    <t>Aluminium med rustfri stålstift</t>
  </si>
  <si>
    <t>Aluminium med rustfritt stålpinne</t>
  </si>
  <si>
    <t>Aluminij s klinom od nehrđajućeg čelika</t>
  </si>
  <si>
    <t>Alluminio e gomma EPDM</t>
  </si>
  <si>
    <t>Hliník a EPDM guma</t>
  </si>
  <si>
    <t>Aluminium i guma EPDM</t>
  </si>
  <si>
    <t>Alumínium és EPDM gumi</t>
  </si>
  <si>
    <t>Aluminium en EPDM rubber</t>
  </si>
  <si>
    <t>Aluminij in EPDM guma</t>
  </si>
  <si>
    <t>Aluminium och EPDM-gummi</t>
  </si>
  <si>
    <t>Aluminium og EPDM-gummi</t>
  </si>
  <si>
    <t>Aluminij i EPDM guma</t>
  </si>
  <si>
    <t>Ruban d'aluminium</t>
  </si>
  <si>
    <t>Nastro di alluminio</t>
  </si>
  <si>
    <t>Hliníková páska</t>
  </si>
  <si>
    <t>Taśma aluminiowa</t>
  </si>
  <si>
    <t>Alumínium szalag</t>
  </si>
  <si>
    <t>Aluminium tape</t>
  </si>
  <si>
    <t>Aluminijasti trak</t>
  </si>
  <si>
    <t>Aluminiumtejp</t>
  </si>
  <si>
    <t>Aluminiumstape</t>
  </si>
  <si>
    <t>Aluminijska traka</t>
  </si>
  <si>
    <t>Strisce di alluminio</t>
  </si>
  <si>
    <t>Hliníkové pásy</t>
  </si>
  <si>
    <t>Paski aluminiowe</t>
  </si>
  <si>
    <t>Alumínium csíkok</t>
  </si>
  <si>
    <t>Aluminium strips</t>
  </si>
  <si>
    <t>Aluminijasti trakovi</t>
  </si>
  <si>
    <t>Aluminiumremsor</t>
  </si>
  <si>
    <t>Aluminiumstrimler</t>
  </si>
  <si>
    <t>Aluminijske trake</t>
  </si>
  <si>
    <t>Couverture en aluminium</t>
  </si>
  <si>
    <t>Copertura in alluminio</t>
  </si>
  <si>
    <t>Hliníková střešní krytina</t>
  </si>
  <si>
    <t>Pokrycie dachowe z aluminium</t>
  </si>
  <si>
    <t>Alumínium tetőfedés</t>
  </si>
  <si>
    <t>Hliníková strešná krytina</t>
  </si>
  <si>
    <t>Aluminium dakbedekking</t>
  </si>
  <si>
    <t>Aluminijasta kritina</t>
  </si>
  <si>
    <t>Aluminiumtak</t>
  </si>
  <si>
    <t>Aluminiumtagdækning</t>
  </si>
  <si>
    <t>Aluminiumstaktekking</t>
  </si>
  <si>
    <t>Aluminijski krov</t>
  </si>
  <si>
    <t>Alliage d'aluminium</t>
  </si>
  <si>
    <t>Lega di alluminio</t>
  </si>
  <si>
    <t>Hliníková slitina</t>
  </si>
  <si>
    <t>Stop aluminium</t>
  </si>
  <si>
    <t>Alumínium ötvözet</t>
  </si>
  <si>
    <t>Hliníková zliatina</t>
  </si>
  <si>
    <t>Aluminium legering</t>
  </si>
  <si>
    <t>Aluminijeva zlitina</t>
  </si>
  <si>
    <t>Aluminiumlegering</t>
  </si>
  <si>
    <t>Aluminiumslegering</t>
  </si>
  <si>
    <t>Aluminijska legura</t>
  </si>
  <si>
    <t>Bacchette per saldatura in alluminio (confezione)</t>
  </si>
  <si>
    <t>Hliníkové pájky (balení)</t>
  </si>
  <si>
    <t>Pręty do lutowania aluminium (pakiet)</t>
  </si>
  <si>
    <t>Alumínium forrasztópálcák (csomag)</t>
  </si>
  <si>
    <t>Hliníkové spájkovacie tyče (balenie)</t>
  </si>
  <si>
    <t>Aluminium soldeerstaven (pakket)</t>
  </si>
  <si>
    <t>Aluminijaste spajkalne palice (paket)</t>
  </si>
  <si>
    <t>Aluminiumlodstavar (paket)</t>
  </si>
  <si>
    <t>Aluminiumlodestænger (pakke)</t>
  </si>
  <si>
    <t>Aluminium loddepinner (pakke)</t>
  </si>
  <si>
    <t>Aluminijske lemljive šipke (paket)</t>
  </si>
  <si>
    <t>Sottostruttura in alluminio</t>
  </si>
  <si>
    <t>Hliníková podkonstrukce</t>
  </si>
  <si>
    <t>Podkonstrukcja aluminiowa</t>
  </si>
  <si>
    <t>Alumínium alépítmény</t>
  </si>
  <si>
    <t>Hliníková podkonštrukcia</t>
  </si>
  <si>
    <t>Aluminium onderconstructie</t>
  </si>
  <si>
    <t>Aluminijasta podkonstrukcija</t>
  </si>
  <si>
    <t>Aluminiumunderkonstruktion</t>
  </si>
  <si>
    <t>Aluminiumsunderkonstruktion</t>
  </si>
  <si>
    <t>Aluminiumunderkonstruksjon</t>
  </si>
  <si>
    <t>Aluminijska podkonstrukcija</t>
  </si>
  <si>
    <t>Fatto su ordinazione</t>
  </si>
  <si>
    <t>Vyrobeno na zakázku</t>
  </si>
  <si>
    <t>Wykonane na zamówienie</t>
  </si>
  <si>
    <t>Rendelésre készül</t>
  </si>
  <si>
    <t>Vyrobené na objednávku</t>
  </si>
  <si>
    <t>Gemaakt op bestelling</t>
  </si>
  <si>
    <t>Izdelano po naročilu</t>
  </si>
  <si>
    <t>Tillverkat på beställning</t>
  </si>
  <si>
    <t>Fremstillet efter bestilling</t>
  </si>
  <si>
    <t>Laget på bestilling</t>
  </si>
  <si>
    <t>Izrađeno po narudžbi</t>
  </si>
  <si>
    <t>Produzione secondo distinta base</t>
  </si>
  <si>
    <t>Výroba podle kusovníku</t>
  </si>
  <si>
    <t>Wykonanie według listy części</t>
  </si>
  <si>
    <t>Gyártás a darabjegyzék szerint</t>
  </si>
  <si>
    <t>Výroba podľa zoznamu dielov</t>
  </si>
  <si>
    <t>Productie volgens stuklijst</t>
  </si>
  <si>
    <t>Izdelava po seznamu delov</t>
  </si>
  <si>
    <t>Tillverkning enligt stycklista</t>
  </si>
  <si>
    <t>Fremstilling efter stykliste</t>
  </si>
  <si>
    <t>Produksjon i henhold til stykklisten</t>
  </si>
  <si>
    <t>Izrada prema popisu dijelova</t>
  </si>
  <si>
    <t>Grigio antracite</t>
  </si>
  <si>
    <t>Antracitová šedá</t>
  </si>
  <si>
    <t>Szary antracytowy</t>
  </si>
  <si>
    <t>Antracitszürke</t>
  </si>
  <si>
    <t>Antracitová sivá</t>
  </si>
  <si>
    <t>Antracietgrijs</t>
  </si>
  <si>
    <t>Antracit siva</t>
  </si>
  <si>
    <t>Antracitgrå</t>
  </si>
  <si>
    <t>Antrasittgrå</t>
  </si>
  <si>
    <t>Unità di azionamento Makita</t>
  </si>
  <si>
    <t>Pohonná jednotka Makita</t>
  </si>
  <si>
    <t>Urządzenie napędowe Makita</t>
  </si>
  <si>
    <t>Makita hajtómű</t>
  </si>
  <si>
    <t>Makita aandrijfeenheid</t>
  </si>
  <si>
    <t>Pogonska enota Makita</t>
  </si>
  <si>
    <t>Makita drivaggregat</t>
  </si>
  <si>
    <t>Makita drev enhed</t>
  </si>
  <si>
    <t>Makita pogonska jedinica</t>
  </si>
  <si>
    <t>Numero</t>
  </si>
  <si>
    <t>Číslo</t>
  </si>
  <si>
    <t>Numer</t>
  </si>
  <si>
    <t>Szám</t>
  </si>
  <si>
    <t>Nummer</t>
  </si>
  <si>
    <t>Številka</t>
  </si>
  <si>
    <t>Broj</t>
  </si>
  <si>
    <t>No. d'article</t>
  </si>
  <si>
    <t>N. Art.</t>
  </si>
  <si>
    <t>Čís. art.</t>
  </si>
  <si>
    <t>Nr art.</t>
  </si>
  <si>
    <t>Art. nr.</t>
  </si>
  <si>
    <t>Št. art.</t>
  </si>
  <si>
    <t>Art. br.</t>
  </si>
  <si>
    <t>Numéro d'article</t>
  </si>
  <si>
    <t>Numero articolo</t>
  </si>
  <si>
    <t>Číslo artiklu</t>
  </si>
  <si>
    <t>Numer artykułu</t>
  </si>
  <si>
    <t>Številka artikla</t>
  </si>
  <si>
    <t>Artikkelnummer</t>
  </si>
  <si>
    <t>Broj artikla</t>
  </si>
  <si>
    <t>Support pour pince de retenue</t>
  </si>
  <si>
    <t>Supporto per morsetto di ritenuta</t>
  </si>
  <si>
    <t>Držák pro upínací svorku</t>
  </si>
  <si>
    <t>Uchwyt do zacisku mocującego</t>
  </si>
  <si>
    <t>Tartóbilincs</t>
  </si>
  <si>
    <t>Držiak pre upínaciu svorku</t>
  </si>
  <si>
    <t>Houder voor bevestigingsklem</t>
  </si>
  <si>
    <t>Nosilec za pritrdilno sponko</t>
  </si>
  <si>
    <t>Hållare för hållklämma</t>
  </si>
  <si>
    <t>Holder til fastholdelsesklemme</t>
  </si>
  <si>
    <t>Holder for festeklemme</t>
  </si>
  <si>
    <t>Držač za steznu stezaljku</t>
  </si>
  <si>
    <t>Sovrapprezzo per fresatura profilo muro</t>
  </si>
  <si>
    <t>Příplatek za frézování stěnového profilu</t>
  </si>
  <si>
    <t>Dopłata za frezowanie profilu ściennego</t>
  </si>
  <si>
    <t>Falprofilmarás felár</t>
  </si>
  <si>
    <t>Príplatok za frézovanie stenového profilu</t>
  </si>
  <si>
    <t>Toeslag voor frezen van wandprofiel</t>
  </si>
  <si>
    <t>Doplačilo za rezkanje stenskega profila</t>
  </si>
  <si>
    <t>Tillägg för väggprofilsfräsning</t>
  </si>
  <si>
    <t>Tillægsgebyr for fræsning af vægprofil</t>
  </si>
  <si>
    <t>Tillegg for veggprofil fresing</t>
  </si>
  <si>
    <t>Dodatak za glodanje zidnog profila</t>
  </si>
  <si>
    <t>Sovrapprezzo per modifica lunghezza</t>
  </si>
  <si>
    <t>Příplatek za změnu délky</t>
  </si>
  <si>
    <t>Dopłata za zmianę długości</t>
  </si>
  <si>
    <t>Hosszváltoztatás felár</t>
  </si>
  <si>
    <t>Príplatok za zmenu dĺžky</t>
  </si>
  <si>
    <t>Toeslag voor lengtemodificatie</t>
  </si>
  <si>
    <t>Doplačilo za spremembo dolžine</t>
  </si>
  <si>
    <t>Tillägg för längdändring</t>
  </si>
  <si>
    <t>Tillægsgebyr for længdeændring</t>
  </si>
  <si>
    <t>Tillegg for lengdeendring</t>
  </si>
  <si>
    <t>Dodatak za promjenu duljine</t>
  </si>
  <si>
    <t>Attacco</t>
  </si>
  <si>
    <t>Nástavec</t>
  </si>
  <si>
    <t>Nasadka</t>
  </si>
  <si>
    <t>Rátét</t>
  </si>
  <si>
    <t>Opzetstuk</t>
  </si>
  <si>
    <t>Nastavek</t>
  </si>
  <si>
    <t>Fäste</t>
  </si>
  <si>
    <t>Vedhæftning</t>
  </si>
  <si>
    <t>Vedlegg</t>
  </si>
  <si>
    <t>Dodatak</t>
  </si>
  <si>
    <t>Attacco per viti collate</t>
  </si>
  <si>
    <t>Nástavec pro páskové šrouby</t>
  </si>
  <si>
    <t>Nasadka do wkrętów taśmowych</t>
  </si>
  <si>
    <t>Rátét szalagos csavarokhoz</t>
  </si>
  <si>
    <t>Nástavec pre páskové skrutky</t>
  </si>
  <si>
    <t>Opzetstuk voor magazijnschroeven</t>
  </si>
  <si>
    <t>Nastavek za vijačne vijake</t>
  </si>
  <si>
    <t>Fäste för bandade skruvar</t>
  </si>
  <si>
    <t>Vedhæftning til magasinskruer</t>
  </si>
  <si>
    <t>Vedlegg for båndede skruer</t>
  </si>
  <si>
    <t>Dodatak za vijčane vijke</t>
  </si>
  <si>
    <t>Gestione ordini</t>
  </si>
  <si>
    <t>Zpracování zakázek</t>
  </si>
  <si>
    <t>Realizacja zamówienia</t>
  </si>
  <si>
    <t>Megrendelés feldolgozása</t>
  </si>
  <si>
    <t>Spracovanie objednávky</t>
  </si>
  <si>
    <t>Orderverwerking</t>
  </si>
  <si>
    <t>Obdelava naročil</t>
  </si>
  <si>
    <t>Orderhantering</t>
  </si>
  <si>
    <t>Ordrebehandling</t>
  </si>
  <si>
    <t>Obrada narudžbe</t>
  </si>
  <si>
    <t>Finitura in naturale grezzo</t>
  </si>
  <si>
    <t>Povrchová úprava v přírodním stavu</t>
  </si>
  <si>
    <t>Wykończenie w stanie surowym</t>
  </si>
  <si>
    <t>Natúr felületkezelés</t>
  </si>
  <si>
    <t>Povrchová úprava v prírodnom stave</t>
  </si>
  <si>
    <t>Afwerking in natuurblank</t>
  </si>
  <si>
    <t>Površinska obdelava v naravni barvi</t>
  </si>
  <si>
    <t>Utförande i naturblankt</t>
  </si>
  <si>
    <t>Udførelse i naturblank</t>
  </si>
  <si>
    <t>Utførelse i naturlig blank</t>
  </si>
  <si>
    <t>Izvedba u prirodnom stanju</t>
  </si>
  <si>
    <t>Finitura in P.10</t>
  </si>
  <si>
    <t>Povrchová úprava v P.10</t>
  </si>
  <si>
    <t>Wykończenie w P.10</t>
  </si>
  <si>
    <t>P.10 felületkezelés</t>
  </si>
  <si>
    <t>Afwerking in P.10</t>
  </si>
  <si>
    <t>Površinska obdelava v P.10</t>
  </si>
  <si>
    <t>Utförande i P.10</t>
  </si>
  <si>
    <t>Udførelse i P.10</t>
  </si>
  <si>
    <t>Utførelse i P.10</t>
  </si>
  <si>
    <t>Izvedba u P.10</t>
  </si>
  <si>
    <t>Saillie</t>
  </si>
  <si>
    <t>Sporgenza</t>
  </si>
  <si>
    <t>Výčnělek</t>
  </si>
  <si>
    <t>Występ</t>
  </si>
  <si>
    <t>Kinyúlás</t>
  </si>
  <si>
    <t>Výčnelok</t>
  </si>
  <si>
    <t>Overstek</t>
  </si>
  <si>
    <t>Izstop</t>
  </si>
  <si>
    <t>Utstick</t>
  </si>
  <si>
    <t>Udhæng</t>
  </si>
  <si>
    <t>Fremspring</t>
  </si>
  <si>
    <t>Izbočina</t>
  </si>
  <si>
    <t>Utilizzo</t>
  </si>
  <si>
    <t>Využití</t>
  </si>
  <si>
    <t>Wykorzystanie</t>
  </si>
  <si>
    <t>Kihasználás</t>
  </si>
  <si>
    <t>Využitie</t>
  </si>
  <si>
    <t>Benutting</t>
  </si>
  <si>
    <t>Izkoristek</t>
  </si>
  <si>
    <t>Utnyttjande</t>
  </si>
  <si>
    <t>Udnyttelse</t>
  </si>
  <si>
    <t>Utnyttelse</t>
  </si>
  <si>
    <t>Iskorištavanje</t>
  </si>
  <si>
    <t>Coin extérieur (en plusieurs parties)</t>
  </si>
  <si>
    <t>Angolo esterno (multiparti)</t>
  </si>
  <si>
    <t>Vnější roh (vícedílný)</t>
  </si>
  <si>
    <t>Róg zewnętrzny (wieloczęściowy)</t>
  </si>
  <si>
    <t>Külső sarok (többrészes)</t>
  </si>
  <si>
    <t>Vonkajší roh (viacdielny)</t>
  </si>
  <si>
    <t>Buitenhoek (meerdelig)</t>
  </si>
  <si>
    <t>Zunanji kot (večdelni)</t>
  </si>
  <si>
    <t>Ytterhörn (flerdelad)</t>
  </si>
  <si>
    <t>Ydre hjørne (flerdelt)</t>
  </si>
  <si>
    <t>Ytre hjørne (flere deler)</t>
  </si>
  <si>
    <t>Vanjski kut (višedijelni)</t>
  </si>
  <si>
    <t>Cordone esterno</t>
  </si>
  <si>
    <t>Vnější korálek</t>
  </si>
  <si>
    <t>Zewnętrzny koralik</t>
  </si>
  <si>
    <t>Külső gyöngy</t>
  </si>
  <si>
    <t>Vonkaší korálka</t>
  </si>
  <si>
    <t>Externe kraal</t>
  </si>
  <si>
    <t>Zunanji kroglica</t>
  </si>
  <si>
    <t>Yttre pärla</t>
  </si>
  <si>
    <t>Ydre perle</t>
  </si>
  <si>
    <t>Ekstern perle</t>
  </si>
  <si>
    <t>Vanjski perla</t>
  </si>
  <si>
    <t>Cordone esterno e piega interna</t>
  </si>
  <si>
    <t>Vnější korálek a vnitřní ohyb</t>
  </si>
  <si>
    <t>Zewnętrzny koralik i wewnętrzne zagięcie</t>
  </si>
  <si>
    <t>Külső gyöngy és belső hajtás</t>
  </si>
  <si>
    <t>Vonkaší korálka a vnútorný ohyb</t>
  </si>
  <si>
    <t>Externe kraal en interne bocht</t>
  </si>
  <si>
    <t>Zunanji kroglica in notranji pregib</t>
  </si>
  <si>
    <t>Yttre pärla och inre böjning</t>
  </si>
  <si>
    <t>Ydre perle og indvendig bøjning</t>
  </si>
  <si>
    <t>Ekstern perle og indre bøy</t>
  </si>
  <si>
    <t>Vanjski perla i unutarnji pregib</t>
  </si>
  <si>
    <t>Blu azzurro</t>
  </si>
  <si>
    <t>Azurová modrá</t>
  </si>
  <si>
    <t>Błękit azurowy</t>
  </si>
  <si>
    <t>Azúrkék</t>
  </si>
  <si>
    <t>Azúrová modrá</t>
  </si>
  <si>
    <t>Azurenblauw</t>
  </si>
  <si>
    <t>Azurno modra</t>
  </si>
  <si>
    <t>Azurblå</t>
  </si>
  <si>
    <t>Asurblå</t>
  </si>
  <si>
    <t>Azurno plava</t>
  </si>
  <si>
    <t>Nastro</t>
  </si>
  <si>
    <t>Taśma</t>
  </si>
  <si>
    <t>Szalag</t>
  </si>
  <si>
    <t>Remsa</t>
  </si>
  <si>
    <t>Strimmel</t>
  </si>
  <si>
    <t>Revêtu en continu</t>
  </si>
  <si>
    <t>Rivestito a bobina</t>
  </si>
  <si>
    <t>Potahované páskem</t>
  </si>
  <si>
    <t>Powlekane taśmą</t>
  </si>
  <si>
    <t>Tekercsben bevonva</t>
  </si>
  <si>
    <t>Potiahnuté páskou</t>
  </si>
  <si>
    <t>Continu bekleed</t>
  </si>
  <si>
    <t>Premazano v traku</t>
  </si>
  <si>
    <t>Belagd i rulle</t>
  </si>
  <si>
    <t>Belagt i rulle</t>
  </si>
  <si>
    <t>Belagt i rull</t>
  </si>
  <si>
    <t>Premazano trakom</t>
  </si>
  <si>
    <t>Larghezza del nastro</t>
  </si>
  <si>
    <t>Šířka pásu</t>
  </si>
  <si>
    <t>Szerokość taśmy</t>
  </si>
  <si>
    <t>Szélesség</t>
  </si>
  <si>
    <t>Šírka pásu</t>
  </si>
  <si>
    <t>Breedte van de strip</t>
  </si>
  <si>
    <t>Širina traku</t>
  </si>
  <si>
    <t>Remsans bredd</t>
  </si>
  <si>
    <t>Strimmelbredde</t>
  </si>
  <si>
    <t>Širina trake</t>
  </si>
  <si>
    <t>Nastri</t>
  </si>
  <si>
    <t>Pásky</t>
  </si>
  <si>
    <t>Taśmy</t>
  </si>
  <si>
    <t>Szalagok</t>
  </si>
  <si>
    <t>Strips</t>
  </si>
  <si>
    <t>Trakovi</t>
  </si>
  <si>
    <t>Remsor</t>
  </si>
  <si>
    <t>Strimler</t>
  </si>
  <si>
    <t>Trake</t>
  </si>
  <si>
    <t>Nastri e lamiere</t>
  </si>
  <si>
    <t>Pásky a plechy</t>
  </si>
  <si>
    <t>Taśmy i blachy</t>
  </si>
  <si>
    <t>Szalagok és lemezek</t>
  </si>
  <si>
    <t>Strips en platen</t>
  </si>
  <si>
    <t>Trakovi in plošče</t>
  </si>
  <si>
    <t>Remsor och plåtar</t>
  </si>
  <si>
    <t>Strimler og plader</t>
  </si>
  <si>
    <t>Strimler og plater</t>
  </si>
  <si>
    <t>Trake i ploče</t>
  </si>
  <si>
    <t>Fissaggio con chiodi scanalati</t>
  </si>
  <si>
    <t>Upevnění drážkovanými hřebíky</t>
  </si>
  <si>
    <t>Mocowanie gwoździami rowkowanymi</t>
  </si>
  <si>
    <t>Rögzítés bordás szögekkel</t>
  </si>
  <si>
    <t>Upevnenie drážkovanými klincami</t>
  </si>
  <si>
    <t>Bevestiging met gefreesde spijkers</t>
  </si>
  <si>
    <t>Pritrditev z utornimi žeblji</t>
  </si>
  <si>
    <t>Fästning med räfflade spikar</t>
  </si>
  <si>
    <t>Fastgørelse med rillede søm</t>
  </si>
  <si>
    <t>Festing med riflede spiker</t>
  </si>
  <si>
    <t>Učvršćivanje rebrastim čavlima</t>
  </si>
  <si>
    <t>Fissaggio con viti</t>
  </si>
  <si>
    <t>Upevnění šrouby</t>
  </si>
  <si>
    <t>Mocowanie za pomocą śrub</t>
  </si>
  <si>
    <t>Csavarokkal történő rögzítés</t>
  </si>
  <si>
    <t>Upevnenie skrutkami</t>
  </si>
  <si>
    <t>Bevestiging met schroeven</t>
  </si>
  <si>
    <t>Pritrditev z vijaki</t>
  </si>
  <si>
    <t>Fästning med skruvar</t>
  </si>
  <si>
    <t>Fastgørelse med skruer</t>
  </si>
  <si>
    <t>Festing med skruer</t>
  </si>
  <si>
    <t>Učvršćivanje vijcima</t>
  </si>
  <si>
    <t>Fixation et bande de rive</t>
  </si>
  <si>
    <t>Fissaggio e fascia di bordo</t>
  </si>
  <si>
    <t>Upevnění a okrajový pás</t>
  </si>
  <si>
    <t>Mocowanie i taśma brzegowa</t>
  </si>
  <si>
    <t>Rögzítés és élcsík</t>
  </si>
  <si>
    <t>Upevnenie a okrajový pás</t>
  </si>
  <si>
    <t>Bevestiging en randstrook</t>
  </si>
  <si>
    <t>Pritrditev in robni trak</t>
  </si>
  <si>
    <t>Fästning och kantlist</t>
  </si>
  <si>
    <t>Fastgørelse og kantstrimmel</t>
  </si>
  <si>
    <t>Festing og kantstrimmel</t>
  </si>
  <si>
    <t>Učvršćivanje i rubna traka</t>
  </si>
  <si>
    <t>Fissaggio e accessori</t>
  </si>
  <si>
    <t>Upevnění a příslušenství</t>
  </si>
  <si>
    <t>Mocowanie i akcesoria</t>
  </si>
  <si>
    <t>Rögzítés és tartozékok</t>
  </si>
  <si>
    <t>Upevnenie a príslušenstvo</t>
  </si>
  <si>
    <t>Bevestiging en accessoires</t>
  </si>
  <si>
    <t>Pritrditev in dodatki</t>
  </si>
  <si>
    <t>Fästning och tillbehör</t>
  </si>
  <si>
    <t>Fastgørelse og tilbehør</t>
  </si>
  <si>
    <t>Festing og tilbehør</t>
  </si>
  <si>
    <t>Učvršćivanje i pribor</t>
  </si>
  <si>
    <t>Fixation du Taurus-Rail</t>
  </si>
  <si>
    <t>Fissaggio del Taurus-Rail</t>
  </si>
  <si>
    <t>Upevnění Taurus-Rail</t>
  </si>
  <si>
    <t>Mocowanie Taurus-Rail</t>
  </si>
  <si>
    <t>Taurus-Rail rögzítése</t>
  </si>
  <si>
    <t>Upevnenie Taurus-Rail</t>
  </si>
  <si>
    <t>Bevestiging van Taurus-Rail</t>
  </si>
  <si>
    <t>Pritrditev Taurus-Rail</t>
  </si>
  <si>
    <t>Fästning av Taurus-Rail</t>
  </si>
  <si>
    <t>Fastgørelse af Taurus-Rail</t>
  </si>
  <si>
    <t>Festing av Taurus-Rail</t>
  </si>
  <si>
    <t>Učvršćivanje Taurus-Rail</t>
  </si>
  <si>
    <t>Fissaggi</t>
  </si>
  <si>
    <t>Spojovací materiály</t>
  </si>
  <si>
    <t>Rögzítőelemek</t>
  </si>
  <si>
    <t>Bevestigingsmiddelen</t>
  </si>
  <si>
    <t>Pritrdilni elementi</t>
  </si>
  <si>
    <t>Fästelement</t>
  </si>
  <si>
    <t>Fastgørelsesmidler</t>
  </si>
  <si>
    <t>Festemidler</t>
  </si>
  <si>
    <t>Spojni elementi</t>
  </si>
  <si>
    <t>Fixations pour profilés extrudés</t>
  </si>
  <si>
    <t>Fissaggi per profilati estrusi</t>
  </si>
  <si>
    <t>Spojovací materiály pro extrudované profily</t>
  </si>
  <si>
    <t>Elementy złączne do profili wytłaczanych</t>
  </si>
  <si>
    <t>Rögzítőelemek extrudált profilokhoz</t>
  </si>
  <si>
    <t>Spojovací materiály pre extrudované profily</t>
  </si>
  <si>
    <t>Bevestigingsmiddelen voor geëxtrudeerde profielen</t>
  </si>
  <si>
    <t>Pritrdilni elementi za ekstrudirane profile</t>
  </si>
  <si>
    <t>Fästelement för extruderade profiler</t>
  </si>
  <si>
    <t>Fastgørelsesmidler til ekstruderede profiler</t>
  </si>
  <si>
    <t>Festemidler for ekstruderte profiler</t>
  </si>
  <si>
    <t>Spojni elementi za ekstrudirane profile</t>
  </si>
  <si>
    <t>Rivestito a bobina su entrambi i lati</t>
  </si>
  <si>
    <t>Oboustranně potahované</t>
  </si>
  <si>
    <t>Powlekane z obu stron</t>
  </si>
  <si>
    <t>Kétoldalú tekercsbevonat</t>
  </si>
  <si>
    <t>Obostranné potiahnutie</t>
  </si>
  <si>
    <t>Dubbelzijdig bekleed</t>
  </si>
  <si>
    <t>Obojestransko prevlečeno</t>
  </si>
  <si>
    <t>Dubbelsidigt belagd</t>
  </si>
  <si>
    <t>Dobbeltsidet belagt</t>
  </si>
  <si>
    <t>Dobbelsidig belagt</t>
  </si>
  <si>
    <t>Obojestrano prevučeno</t>
  </si>
  <si>
    <t>vissable des deux côtés</t>
  </si>
  <si>
    <t>Avvitabile su entrambi i lati</t>
  </si>
  <si>
    <t>Šroubovatelné z obou stran</t>
  </si>
  <si>
    <t>Przykręcane z obu stron</t>
  </si>
  <si>
    <t>Mindkét oldalon csavarozható</t>
  </si>
  <si>
    <t>Šróbovateľné z oboch strán</t>
  </si>
  <si>
    <t>Aan beide zijden schroefbaar</t>
  </si>
  <si>
    <t>Privijačeno z obeh strani</t>
  </si>
  <si>
    <t>Skruvbar på båda sidor</t>
  </si>
  <si>
    <t>Skruelig på begge sider</t>
  </si>
  <si>
    <t>Vijčano s obje strane</t>
  </si>
  <si>
    <t>beige-gris</t>
  </si>
  <si>
    <t>Beige-grigio</t>
  </si>
  <si>
    <t>Béžovo-šedá</t>
  </si>
  <si>
    <t>Beżowo-szary</t>
  </si>
  <si>
    <t>Bézs-szürke</t>
  </si>
  <si>
    <t>Beige-grijs</t>
  </si>
  <si>
    <t>Bež-siva</t>
  </si>
  <si>
    <t>Beige-grå</t>
  </si>
  <si>
    <t>Piegatrice</t>
  </si>
  <si>
    <t>Ohýbačka</t>
  </si>
  <si>
    <t>Giętarka</t>
  </si>
  <si>
    <t>Hajlítógép</t>
  </si>
  <si>
    <t>Buigbank</t>
  </si>
  <si>
    <t>Upogibna klop</t>
  </si>
  <si>
    <t>Bockbänk</t>
  </si>
  <si>
    <t>Bukkebænk</t>
  </si>
  <si>
    <t>Bøyebenken</t>
  </si>
  <si>
    <t>Savijač</t>
  </si>
  <si>
    <t>Strato di separazione bituminosa</t>
  </si>
  <si>
    <t>Bitumenová separační vrstva</t>
  </si>
  <si>
    <t>Warstwa separacyjna z bitumu</t>
  </si>
  <si>
    <t>Bitumen elválasztó réteg</t>
  </si>
  <si>
    <t>Bitúmenová separačná vrstva</t>
  </si>
  <si>
    <t>Bitumen scheidingslaag</t>
  </si>
  <si>
    <t>Bitumenski ločilni sloj</t>
  </si>
  <si>
    <t>Bitumenskikt</t>
  </si>
  <si>
    <t>Bitumenseparationslag</t>
  </si>
  <si>
    <t>Bitumenseparasjonslag</t>
  </si>
  <si>
    <t>Bitumenski razdjelni sloj</t>
  </si>
  <si>
    <t>Lega di alluminio nuda</t>
  </si>
  <si>
    <t>Holá hliníková slitina</t>
  </si>
  <si>
    <t>Goły stop aluminium</t>
  </si>
  <si>
    <t>Csiszolt alumíniumötvözet</t>
  </si>
  <si>
    <t>Holá hliníková zliatina</t>
  </si>
  <si>
    <t>Kale aluminiumlegering</t>
  </si>
  <si>
    <t>Gola aluminijeva zlitina</t>
  </si>
  <si>
    <t>Bar aluminiumlegering</t>
  </si>
  <si>
    <t>Bare aluminiumlegering</t>
  </si>
  <si>
    <t>Bar aluminiumslegering</t>
  </si>
  <si>
    <t>Gola aluminijska legura</t>
  </si>
  <si>
    <t>Lamiera</t>
  </si>
  <si>
    <t>Plech</t>
  </si>
  <si>
    <t>Blacha</t>
  </si>
  <si>
    <t>Pločevina</t>
  </si>
  <si>
    <t>Plåt</t>
  </si>
  <si>
    <t>Plade</t>
  </si>
  <si>
    <t>Plate</t>
  </si>
  <si>
    <t>Lim</t>
  </si>
  <si>
    <t>Lamiere</t>
  </si>
  <si>
    <t>Plechy</t>
  </si>
  <si>
    <t>Blachy</t>
  </si>
  <si>
    <t>Lemezek</t>
  </si>
  <si>
    <t>Plåtar</t>
  </si>
  <si>
    <t>Limovi</t>
  </si>
  <si>
    <t>Copertura</t>
  </si>
  <si>
    <t>Fedőlap</t>
  </si>
  <si>
    <t>Omslag</t>
  </si>
  <si>
    <t>Dækning</t>
  </si>
  <si>
    <t>Guarnizione del pavimento</t>
  </si>
  <si>
    <t>Těsnění podlahy</t>
  </si>
  <si>
    <t>Uszczelnienie podłogi</t>
  </si>
  <si>
    <t>Padlótömítés</t>
  </si>
  <si>
    <t>Tesnenie podlahy</t>
  </si>
  <si>
    <t>Vloerafdichting</t>
  </si>
  <si>
    <t>Tlačno tesnilo</t>
  </si>
  <si>
    <t>Golvtätning</t>
  </si>
  <si>
    <t>Gulvtætning</t>
  </si>
  <si>
    <t>Gulvtetning</t>
  </si>
  <si>
    <t>Brtvljenje poda</t>
  </si>
  <si>
    <t>Boccola di terra (grande)</t>
  </si>
  <si>
    <t>Zemní pouzdro (velké)</t>
  </si>
  <si>
    <t>Tuleja gruntowa (duża)</t>
  </si>
  <si>
    <t>Talajhüvely (nagy)</t>
  </si>
  <si>
    <t>Zemná puzdro (veľké)</t>
  </si>
  <si>
    <t>Grondhuls (groot)</t>
  </si>
  <si>
    <t>Talni tulec (velik)</t>
  </si>
  <si>
    <t>Markhylsa (stor)</t>
  </si>
  <si>
    <t>Jordhylster (stor)</t>
  </si>
  <si>
    <t>Jordhylse (stor)</t>
  </si>
  <si>
    <t>Zemljana čahura (velika)</t>
  </si>
  <si>
    <t>Capacità di foratura</t>
  </si>
  <si>
    <t>Vrtací kapacita</t>
  </si>
  <si>
    <t>Zdolność wiercenia</t>
  </si>
  <si>
    <t>Fúrási kapacitás</t>
  </si>
  <si>
    <t>Vŕtacia kapacita</t>
  </si>
  <si>
    <t>Boorcapaciteit</t>
  </si>
  <si>
    <t>Vrtalna zmogljivost</t>
  </si>
  <si>
    <t>Borkapacitet</t>
  </si>
  <si>
    <t>Borkapasitet</t>
  </si>
  <si>
    <t>Kapacitet bušenja</t>
  </si>
  <si>
    <t>Capacité de perçage T</t>
  </si>
  <si>
    <t>Capacità di foratura T</t>
  </si>
  <si>
    <t>Vrtací kapacita T</t>
  </si>
  <si>
    <t>Zdolność wiercenia T</t>
  </si>
  <si>
    <t>Fúrási kapacitás T</t>
  </si>
  <si>
    <t>Vŕtacia kapacita T</t>
  </si>
  <si>
    <t>Boorcapaciteit T</t>
  </si>
  <si>
    <t>Vrtalna zmogljivost T</t>
  </si>
  <si>
    <t>Borkapacitet T</t>
  </si>
  <si>
    <t>Borkapasitet T</t>
  </si>
  <si>
    <t>Kapacitet bušenja T</t>
  </si>
  <si>
    <t>Trou de forage</t>
  </si>
  <si>
    <t>foro di trivellazione</t>
  </si>
  <si>
    <t>Vrtaná díra</t>
  </si>
  <si>
    <t>Otwór wiertniczy</t>
  </si>
  <si>
    <t>Fúrólyuk</t>
  </si>
  <si>
    <t>Vrtaná diera</t>
  </si>
  <si>
    <t>Boorgat</t>
  </si>
  <si>
    <t>Vrtina</t>
  </si>
  <si>
    <t>Borrhål</t>
  </si>
  <si>
    <t>Borehul</t>
  </si>
  <si>
    <t>Bušotina</t>
  </si>
  <si>
    <t>Forage</t>
  </si>
  <si>
    <t>Perforazione</t>
  </si>
  <si>
    <t>Vrtání</t>
  </si>
  <si>
    <t>Wiercenie</t>
  </si>
  <si>
    <t>Fúrás</t>
  </si>
  <si>
    <t>Vŕtanie</t>
  </si>
  <si>
    <t>Boring</t>
  </si>
  <si>
    <t>Vrtanje</t>
  </si>
  <si>
    <t>Borrning</t>
  </si>
  <si>
    <t>Bušenje</t>
  </si>
  <si>
    <t>Marrone</t>
  </si>
  <si>
    <t>Hnědá</t>
  </si>
  <si>
    <t>Brązowy</t>
  </si>
  <si>
    <t>Barna</t>
  </si>
  <si>
    <t>Hnedá</t>
  </si>
  <si>
    <t>Bruin</t>
  </si>
  <si>
    <t>Rjava</t>
  </si>
  <si>
    <t>Brun</t>
  </si>
  <si>
    <t>Smeđa</t>
  </si>
  <si>
    <t>Brillante metallico</t>
  </si>
  <si>
    <t>Lesklý kov</t>
  </si>
  <si>
    <t>Błyszczący metalik</t>
  </si>
  <si>
    <t>Briliáns metál</t>
  </si>
  <si>
    <t>Briljant metallic</t>
  </si>
  <si>
    <t>Sijoča kovina</t>
  </si>
  <si>
    <t>Glänsande metall</t>
  </si>
  <si>
    <t>Glansfuld metal</t>
  </si>
  <si>
    <t>Skinnende metall</t>
  </si>
  <si>
    <t>Sjajni metalik</t>
  </si>
  <si>
    <t>Bronzo</t>
  </si>
  <si>
    <t>Bronz</t>
  </si>
  <si>
    <t>Brąz</t>
  </si>
  <si>
    <t>Brons</t>
  </si>
  <si>
    <t>Bron</t>
  </si>
  <si>
    <t>Bronse</t>
  </si>
  <si>
    <t>Bronca</t>
  </si>
  <si>
    <t>Chiodatrice Bull Tack Power</t>
  </si>
  <si>
    <t>Hřebíkovačka Bull Tack Power</t>
  </si>
  <si>
    <t>Gwoździarka Bull Tack Power</t>
  </si>
  <si>
    <t>Bull Tack Power szögbelövő</t>
  </si>
  <si>
    <t>Bull Tack Power klincovačka</t>
  </si>
  <si>
    <t>Bull Tack Power spijkerpistool</t>
  </si>
  <si>
    <t>Žebljalnik Bull Tack Power</t>
  </si>
  <si>
    <t>Bull Tack Power spikpistol</t>
  </si>
  <si>
    <t>Bull Tack Power sømpistol</t>
  </si>
  <si>
    <t>Bull Tack Power spikerpistol</t>
  </si>
  <si>
    <t>Bull Tack Power čavlerica</t>
  </si>
  <si>
    <t>Revêtement de bobine</t>
  </si>
  <si>
    <t>Rivestimento a bobina</t>
  </si>
  <si>
    <t>Povlakování páskem</t>
  </si>
  <si>
    <t>Powlekanie taśmowe</t>
  </si>
  <si>
    <t>Tekercsbevonat</t>
  </si>
  <si>
    <t>Povlakovanie pásom</t>
  </si>
  <si>
    <t>Prevleka v traku</t>
  </si>
  <si>
    <t>Premazivanje u traci</t>
  </si>
  <si>
    <t>Rivestimento a bobina smaltato HDCC</t>
  </si>
  <si>
    <t>Povlakování páskem HDCC</t>
  </si>
  <si>
    <t>Powlekanie taśmowe emalią HDCC</t>
  </si>
  <si>
    <t>Tekercsbevonat HDCC</t>
  </si>
  <si>
    <t>Povlakovanie pásom HDCC</t>
  </si>
  <si>
    <t>Coil Coating geëmailleerd HDCC</t>
  </si>
  <si>
    <t>Prevleka v traku HDCC</t>
  </si>
  <si>
    <t>Coil Coating emaljerad HDCC</t>
  </si>
  <si>
    <t>Coil Coating emaljeret HDCC</t>
  </si>
  <si>
    <t>Coil Coating emaljert HDCC</t>
  </si>
  <si>
    <t>Premazivanje u traci HDCC</t>
  </si>
  <si>
    <t>Superfici del tetto e della facciata</t>
  </si>
  <si>
    <t>Plochy střechy a fasády</t>
  </si>
  <si>
    <t>Powierzchnie dachowe i elewacyjne</t>
  </si>
  <si>
    <t>Tető- és homlokzatfelületek</t>
  </si>
  <si>
    <t>Strešné a fasádne plochy</t>
  </si>
  <si>
    <t>Dak- en geveloppervlakken</t>
  </si>
  <si>
    <t>Strešne in fasadne površine</t>
  </si>
  <si>
    <t>Tak- och fasadytor</t>
  </si>
  <si>
    <t>Tag- og facadearealer</t>
  </si>
  <si>
    <t>Tak- og fasadeområder</t>
  </si>
  <si>
    <t>Površine krova i fasade</t>
  </si>
  <si>
    <t>ystèmes de toiture et de façade</t>
  </si>
  <si>
    <t>Sistemi di tetto e facciata</t>
  </si>
  <si>
    <t>Střešní a fasádní systémy</t>
  </si>
  <si>
    <t>Systemy dachowe i elewacyjne</t>
  </si>
  <si>
    <t>Tető- és homlokzati rendszerek</t>
  </si>
  <si>
    <t>Strešné a fasádne systémy</t>
  </si>
  <si>
    <t>Dak- en gevelsystemen</t>
  </si>
  <si>
    <t>Strešni in fasadni sistemi</t>
  </si>
  <si>
    <t>Tak- och fasadsystem</t>
  </si>
  <si>
    <t>Tag- og facadesystemer</t>
  </si>
  <si>
    <t>Tak- og fasadesystemer</t>
  </si>
  <si>
    <t>Sustavi krova i fasade</t>
  </si>
  <si>
    <t>Finestra da tetto</t>
  </si>
  <si>
    <t>Střešní okno</t>
  </si>
  <si>
    <t>Okno dachowe</t>
  </si>
  <si>
    <t>Tetőablak</t>
  </si>
  <si>
    <t>Strešné okno</t>
  </si>
  <si>
    <t>Dakraam</t>
  </si>
  <si>
    <t>Strešno okno</t>
  </si>
  <si>
    <t>Takfönster</t>
  </si>
  <si>
    <t>Tagvindue</t>
  </si>
  <si>
    <t>Takvindu</t>
  </si>
  <si>
    <t>Krovni prozor</t>
  </si>
  <si>
    <t>Curvatura del tetto</t>
  </si>
  <si>
    <t>Střešní ohyb</t>
  </si>
  <si>
    <t>Zgięcie dachu</t>
  </si>
  <si>
    <t>Tetőhajlat</t>
  </si>
  <si>
    <t>Strešný ohyb</t>
  </si>
  <si>
    <t>Dakbocht</t>
  </si>
  <si>
    <t>Strešni ovinek</t>
  </si>
  <si>
    <t>Takböjning</t>
  </si>
  <si>
    <t>Tagbøjning</t>
  </si>
  <si>
    <t>Takknekk</t>
  </si>
  <si>
    <t>Savijanje krova</t>
  </si>
  <si>
    <t>Botola sul tetto</t>
  </si>
  <si>
    <t>Střešní poklop</t>
  </si>
  <si>
    <t>Właz dachowy</t>
  </si>
  <si>
    <t>Tetőnyílás</t>
  </si>
  <si>
    <t>Strešný poklop</t>
  </si>
  <si>
    <t>Dakluik</t>
  </si>
  <si>
    <t>Strešni loputa</t>
  </si>
  <si>
    <t>Taklucka</t>
  </si>
  <si>
    <t>Tagluge</t>
  </si>
  <si>
    <t>Takluke</t>
  </si>
  <si>
    <t>Krovni otvor</t>
  </si>
  <si>
    <t>Coperchio della botola e telaio in legno</t>
  </si>
  <si>
    <t>Kryt střešního poklopu a dřevěný rám</t>
  </si>
  <si>
    <t>Pokrywa włazu dachowego i drewniana rama</t>
  </si>
  <si>
    <t>Tetőnyílás fedél és fa keret</t>
  </si>
  <si>
    <t>Kryt strešného poklopu a drevený rám</t>
  </si>
  <si>
    <t>Dakluikdeksel en houten frame</t>
  </si>
  <si>
    <t>Pokrov strešne lopute in leseni okvir</t>
  </si>
  <si>
    <t>Takluckans lock och träram</t>
  </si>
  <si>
    <t>Taglugedæksel og træramme</t>
  </si>
  <si>
    <t>Taklukedeksel og treramme</t>
  </si>
  <si>
    <t>Poklopac krovnog otvora i drveni okvir</t>
  </si>
  <si>
    <t>Pentes de toit</t>
  </si>
  <si>
    <t>Pendenze del tetto</t>
  </si>
  <si>
    <t>Střešní sklony</t>
  </si>
  <si>
    <t>Nachylenia dachu</t>
  </si>
  <si>
    <t>Tetőlejtések</t>
  </si>
  <si>
    <t>Strešné sklony</t>
  </si>
  <si>
    <t>Dakhellingen</t>
  </si>
  <si>
    <t>Nakloni strehe</t>
  </si>
  <si>
    <t>Taklutningar</t>
  </si>
  <si>
    <t>Taghældninger</t>
  </si>
  <si>
    <t>Takhellinger</t>
  </si>
  <si>
    <t>Nagibi krova</t>
  </si>
  <si>
    <t>Pannello del tetto</t>
  </si>
  <si>
    <t>Střešní panel</t>
  </si>
  <si>
    <t>Panel dachowy</t>
  </si>
  <si>
    <t>Tetőpanel</t>
  </si>
  <si>
    <t>Strešný panel</t>
  </si>
  <si>
    <t>Dakpaneel</t>
  </si>
  <si>
    <t>Strešni panel</t>
  </si>
  <si>
    <t>Takpanel</t>
  </si>
  <si>
    <t>Tagpanel</t>
  </si>
  <si>
    <t>Krovna ploča</t>
  </si>
  <si>
    <t>Pannello del tetto FX.12 (grande)</t>
  </si>
  <si>
    <t>Střešní panel FX.12 (velký)</t>
  </si>
  <si>
    <t>Panel dachowy FX.12 (duży)</t>
  </si>
  <si>
    <t>Tetőpanel FX.12 (nagy)</t>
  </si>
  <si>
    <t>Strešný panel FX.12 (veľký)</t>
  </si>
  <si>
    <t>Dakpaneel FX.12 (groot)</t>
  </si>
  <si>
    <t>Strešni panel FX.12 (velik)</t>
  </si>
  <si>
    <t>Takpanel FX.12 (stor)</t>
  </si>
  <si>
    <t>Tagpanel FX.12 (stor)</t>
  </si>
  <si>
    <t>Krovna ploča FX.12 (velika)</t>
  </si>
  <si>
    <t>Pannello del tetto FX.12 (piccolo)</t>
  </si>
  <si>
    <t>Střešní panel FX.12 (malý)</t>
  </si>
  <si>
    <t>Panel dachowy FX.12 (mały)</t>
  </si>
  <si>
    <t>Tetőpanel FX.12 (kicsi)</t>
  </si>
  <si>
    <t>Strešný panel FX.12 (malý)</t>
  </si>
  <si>
    <t>Dakpaneel FX.12 (klein)</t>
  </si>
  <si>
    <t>Strešni panel FX.12 (majhen)</t>
  </si>
  <si>
    <t>Takpanel FX.12 (liten)</t>
  </si>
  <si>
    <t>Tagpanel FX.12 (lille)</t>
  </si>
  <si>
    <t>Krovna ploča FX.12 (mala)</t>
  </si>
  <si>
    <t>Plaques de toit</t>
  </si>
  <si>
    <t>Lamiere del tetto</t>
  </si>
  <si>
    <t>Střešní desky</t>
  </si>
  <si>
    <t>Arkusze dachowe</t>
  </si>
  <si>
    <t>Tetőlemezek</t>
  </si>
  <si>
    <t>Strešné dosky</t>
  </si>
  <si>
    <t>Dakplaten</t>
  </si>
  <si>
    <t>Strešne plošče</t>
  </si>
  <si>
    <t>Takplåtar</t>
  </si>
  <si>
    <t>Tagplader</t>
  </si>
  <si>
    <t>Takplater</t>
  </si>
  <si>
    <t>Krovne ploče</t>
  </si>
  <si>
    <t>Rombo del tetto</t>
  </si>
  <si>
    <t>Střešní diamant</t>
  </si>
  <si>
    <t>Diament dachowy</t>
  </si>
  <si>
    <t>Tetőgyémánt</t>
  </si>
  <si>
    <t>Strešný diamant</t>
  </si>
  <si>
    <t>Dakdiamant</t>
  </si>
  <si>
    <t>Strešni diamant</t>
  </si>
  <si>
    <t>Takdiamant</t>
  </si>
  <si>
    <t>Tagdiamant</t>
  </si>
  <si>
    <t>Krovni dijamant</t>
  </si>
  <si>
    <t>Sicurezza del tetto</t>
  </si>
  <si>
    <t>Střešní bezpečnost</t>
  </si>
  <si>
    <t>Bezpieczeństwo dachowe</t>
  </si>
  <si>
    <t>Tetőbiztonság</t>
  </si>
  <si>
    <t>Strešná bezpečnosť</t>
  </si>
  <si>
    <t>Dakveiligheid</t>
  </si>
  <si>
    <t>Strešna varnost</t>
  </si>
  <si>
    <t>Taksäkerhet</t>
  </si>
  <si>
    <t>Tag sikkerhed</t>
  </si>
  <si>
    <t>Taksikkerhet</t>
  </si>
  <si>
    <t>Sigurnost krova</t>
  </si>
  <si>
    <t>Sistema di copertura</t>
  </si>
  <si>
    <t>Střešní systém</t>
  </si>
  <si>
    <t>System dachowy</t>
  </si>
  <si>
    <t>Tetőrendszer</t>
  </si>
  <si>
    <t>Strešný systém</t>
  </si>
  <si>
    <t>Daksysteem</t>
  </si>
  <si>
    <t>Strešni sistem</t>
  </si>
  <si>
    <t>Taksystem</t>
  </si>
  <si>
    <t>Tagsystem</t>
  </si>
  <si>
    <t>Krovni sustav</t>
  </si>
  <si>
    <t>Trave di sbarramento 25/200</t>
  </si>
  <si>
    <t>Zábranný nosník 25/200</t>
  </si>
  <si>
    <t>Belka przeciwpowodziowa 25/200</t>
  </si>
  <si>
    <t>Gátgerenda 25/200</t>
  </si>
  <si>
    <t>Povodňový nosník 25/200</t>
  </si>
  <si>
    <t>Overstromingsbalk 25/200</t>
  </si>
  <si>
    <t>Pregradni nosilec 25/200</t>
  </si>
  <si>
    <t>Översvämningsbalk 25/200</t>
  </si>
  <si>
    <t>Oversvømmelsesbjælke 25/200</t>
  </si>
  <si>
    <t>Flomstråle 25/200</t>
  </si>
  <si>
    <t>Pregradna greda 25/200</t>
  </si>
  <si>
    <t>Trave di sbarramento 50/150</t>
  </si>
  <si>
    <t>Zábranný nosník 50/150</t>
  </si>
  <si>
    <t>Belka przeciwpowodziowa 50/150</t>
  </si>
  <si>
    <t>Gátgerenda 50/150</t>
  </si>
  <si>
    <t>Povodňový nosník 50/150</t>
  </si>
  <si>
    <t>Overstromingsbalk 50/150</t>
  </si>
  <si>
    <t>Pregradni nosilec 50/150</t>
  </si>
  <si>
    <t>Översvämningsbalk 50/150</t>
  </si>
  <si>
    <t>Oversvømmelsesbjælke 50/150</t>
  </si>
  <si>
    <t>Flomstråle 50/150</t>
  </si>
  <si>
    <t>Pregradna greda 50/150</t>
  </si>
  <si>
    <t>Trave di sbarramento 50/200</t>
  </si>
  <si>
    <t>Zábranný nosník 50/200</t>
  </si>
  <si>
    <t>Belka przeciwpowodziowa 50/200</t>
  </si>
  <si>
    <t>Gátgerenda 50/200</t>
  </si>
  <si>
    <t>Povodňový nosník 50/200</t>
  </si>
  <si>
    <t>Overstromingsbalk 50/200</t>
  </si>
  <si>
    <t>Pregradni nosilec 50/200</t>
  </si>
  <si>
    <t>Översvämningsbalk 50/200</t>
  </si>
  <si>
    <t>Oversvømmelsesbjælke 50/200</t>
  </si>
  <si>
    <t>Flomstråle 50/200</t>
  </si>
  <si>
    <t>Pregradna greda 50/200</t>
  </si>
  <si>
    <t>Trave di sbarramento 80/200</t>
  </si>
  <si>
    <t>Zábranný nosník 80/200</t>
  </si>
  <si>
    <t>Belka przeciwpowodziowa 80/200</t>
  </si>
  <si>
    <t>Gátgerenda 80/200</t>
  </si>
  <si>
    <t>Povodňový nosník 80/200</t>
  </si>
  <si>
    <t>Overstromingsbalk 80/200</t>
  </si>
  <si>
    <t>Pregradni nosilec 80/200</t>
  </si>
  <si>
    <t>Översvämningsbalk 80/200</t>
  </si>
  <si>
    <t>Oversvømmelsesbjælke 80/200</t>
  </si>
  <si>
    <t>Flomstråle 80/200</t>
  </si>
  <si>
    <t>Pregradna greda 80/200</t>
  </si>
  <si>
    <t>Guarnizione della trave di sbarramento</t>
  </si>
  <si>
    <t>Těsnění zábranného nosníku</t>
  </si>
  <si>
    <t>Uszczelka belki przeciwpowodziowej</t>
  </si>
  <si>
    <t>Gátgerenda tömítés</t>
  </si>
  <si>
    <t>Těsnění povodňového nosníka</t>
  </si>
  <si>
    <t>Overstromingsbalkafdichting</t>
  </si>
  <si>
    <t>Tesnilo pregradnega nosilca</t>
  </si>
  <si>
    <t>Översvämningsbalktätning</t>
  </si>
  <si>
    <t>Oversvømmelsesbjælketætning</t>
  </si>
  <si>
    <t>Flomstråle tetning</t>
  </si>
  <si>
    <t>Brtva pregradne grede</t>
  </si>
  <si>
    <t>Altezza della trave di sbarramento</t>
  </si>
  <si>
    <t>Výška zábranného nosníku</t>
  </si>
  <si>
    <t>Wysokość belki przeciwpowodziowej</t>
  </si>
  <si>
    <t>Gátgerenda magassága</t>
  </si>
  <si>
    <t>Výška povodňového nosníka</t>
  </si>
  <si>
    <t>Overstromingsbalkhoogte</t>
  </si>
  <si>
    <t>Višina pregradnega nosilca</t>
  </si>
  <si>
    <t>Översvämningsbalkhöjd</t>
  </si>
  <si>
    <t>Oversvømmelsesbjælkehøjde</t>
  </si>
  <si>
    <t>Flomstråle høyde</t>
  </si>
  <si>
    <t>Visina pregradne grede</t>
  </si>
  <si>
    <t>Coperchio e boccola del terreno</t>
  </si>
  <si>
    <t>Kryt a zemní pouzdro</t>
  </si>
  <si>
    <t>Pokrywa i tuleja gruntowa</t>
  </si>
  <si>
    <t>Fedél és földhüvely</t>
  </si>
  <si>
    <t>Kryt a zemná puzdro</t>
  </si>
  <si>
    <t>Deksel en grondhuls</t>
  </si>
  <si>
    <t>Pokrov in talni tulec</t>
  </si>
  <si>
    <t>Lock och markhylsa</t>
  </si>
  <si>
    <t>Låg og jordhylster</t>
  </si>
  <si>
    <t>Lokk og jordhylse</t>
  </si>
  <si>
    <t>Poklopac i zemljana čahura</t>
  </si>
  <si>
    <t>Inserto del nastro sigillante</t>
  </si>
  <si>
    <t>Vložka těsnicí pásky</t>
  </si>
  <si>
    <t>Wkładka taśmy uszczelniającej</t>
  </si>
  <si>
    <t>Tömítőszalag betét</t>
  </si>
  <si>
    <t>Vložka těsniacej pásky</t>
  </si>
  <si>
    <t>Afdichtingstape-inzet</t>
  </si>
  <si>
    <t>Vložek tesnilnega traku</t>
  </si>
  <si>
    <t>Tätningstejp insats</t>
  </si>
  <si>
    <t>Tætningstape indsats</t>
  </si>
  <si>
    <t>Tetningstape innsats</t>
  </si>
  <si>
    <t>Umetak trake za brtvljenje</t>
  </si>
  <si>
    <t>Sigillante</t>
  </si>
  <si>
    <t>Těsnicí hmota</t>
  </si>
  <si>
    <t>Uszczelniacz</t>
  </si>
  <si>
    <t>Tömítőanyag</t>
  </si>
  <si>
    <t>Těsniaca hmota</t>
  </si>
  <si>
    <t>Afdichtmiddel</t>
  </si>
  <si>
    <t>Tesnilno sredstvo</t>
  </si>
  <si>
    <t>Tätningsmedel</t>
  </si>
  <si>
    <t>Tætningsmiddel</t>
  </si>
  <si>
    <t>Tetningsmasse</t>
  </si>
  <si>
    <t>Brtvilo</t>
  </si>
  <si>
    <t>Joint</t>
  </si>
  <si>
    <t>Guarnizione</t>
  </si>
  <si>
    <t>Těsnění</t>
  </si>
  <si>
    <t>Uszczelka</t>
  </si>
  <si>
    <t>Tömítés</t>
  </si>
  <si>
    <t>Tesnenie</t>
  </si>
  <si>
    <t>Tesnilo</t>
  </si>
  <si>
    <t>Tætning</t>
  </si>
  <si>
    <t>Tetning</t>
  </si>
  <si>
    <t>Brtva</t>
  </si>
  <si>
    <t>Guarnizione per coperchio e boccola del terreno</t>
  </si>
  <si>
    <t>Těsnění pro kryt a zemní pouzdro</t>
  </si>
  <si>
    <t>Uszczelka do pokrywy i tulei gruntowej</t>
  </si>
  <si>
    <t>Tömítés fedélhez és földhüvelyhez</t>
  </si>
  <si>
    <t>Tesnenie pre kryt a zemnú puzdro</t>
  </si>
  <si>
    <t>Afdichting voor deksel en grondhuls</t>
  </si>
  <si>
    <t>Tesnilo za pokrov in talni tulec</t>
  </si>
  <si>
    <t>Tätning för lock och markhylsa</t>
  </si>
  <si>
    <t>Tætning til låg og jordhylster</t>
  </si>
  <si>
    <t>Tetning for lokk og jordhylse</t>
  </si>
  <si>
    <t>Brtva za poklopac i zemljanu čahuru</t>
  </si>
  <si>
    <t>Rullo di tenuta</t>
  </si>
  <si>
    <t>Těsnicí válec</t>
  </si>
  <si>
    <t>Wałek uszczelniający</t>
  </si>
  <si>
    <t>Tömítőhenger</t>
  </si>
  <si>
    <t>Tesniaci valec</t>
  </si>
  <si>
    <t>Afdichtingsroller</t>
  </si>
  <si>
    <t>Tesnilni valj</t>
  </si>
  <si>
    <t>Tätvals</t>
  </si>
  <si>
    <t>Tætningsrulle</t>
  </si>
  <si>
    <t>Tetningsrulle</t>
  </si>
  <si>
    <t>Valjak za brtvljenje</t>
  </si>
  <si>
    <t>Boîte</t>
  </si>
  <si>
    <t>Scatola</t>
  </si>
  <si>
    <t>Plechovka</t>
  </si>
  <si>
    <t>Puszka</t>
  </si>
  <si>
    <t>Doboz</t>
  </si>
  <si>
    <t>Blik</t>
  </si>
  <si>
    <t>Pločevinka</t>
  </si>
  <si>
    <t>Burk</t>
  </si>
  <si>
    <t>Dåse</t>
  </si>
  <si>
    <t>Boks</t>
  </si>
  <si>
    <t>Limenka</t>
  </si>
  <si>
    <t>traversée</t>
  </si>
  <si>
    <t>Penetrazione</t>
  </si>
  <si>
    <t>Průnik</t>
  </si>
  <si>
    <t>Przenikanie</t>
  </si>
  <si>
    <t>Átmenet</t>
  </si>
  <si>
    <t>Prienik</t>
  </si>
  <si>
    <t>Doorgang</t>
  </si>
  <si>
    <t>Penetracija</t>
  </si>
  <si>
    <t>Genomträngning</t>
  </si>
  <si>
    <t>Gennemtrængning</t>
  </si>
  <si>
    <t>Inntrenging</t>
  </si>
  <si>
    <t>Proboj</t>
  </si>
  <si>
    <t>Penetrazioni</t>
  </si>
  <si>
    <t>Průniky</t>
  </si>
  <si>
    <t>Przenikania</t>
  </si>
  <si>
    <t>Átmenetek</t>
  </si>
  <si>
    <t>Prieniky</t>
  </si>
  <si>
    <t>Doorgangen</t>
  </si>
  <si>
    <t>Penetracije</t>
  </si>
  <si>
    <t>Genomträngningar</t>
  </si>
  <si>
    <t>Gennemtrængninger</t>
  </si>
  <si>
    <t>Inntrengninger</t>
  </si>
  <si>
    <t>Proboji</t>
  </si>
  <si>
    <t>Penetrazioni e rivestimenti</t>
  </si>
  <si>
    <t>Průniky a lemování</t>
  </si>
  <si>
    <t>Przenikania i obramowania</t>
  </si>
  <si>
    <t>Átmenetek és keretek</t>
  </si>
  <si>
    <t>Prieniky a lemovania</t>
  </si>
  <si>
    <t>Doorgangen en afdekkingen</t>
  </si>
  <si>
    <t>Penetracije in obrobe</t>
  </si>
  <si>
    <t>Genomträngningar och infattningar</t>
  </si>
  <si>
    <t>Gennemtrængninger og indfatninger</t>
  </si>
  <si>
    <t>Inntrengninger og innramminger</t>
  </si>
  <si>
    <t>Proboji i obloge</t>
  </si>
  <si>
    <t>Penetrazioni e ventilazioni</t>
  </si>
  <si>
    <t>Průniky a ventilace</t>
  </si>
  <si>
    <t>Przenikania i wentylacje</t>
  </si>
  <si>
    <t>Átmenetek és szellőzések</t>
  </si>
  <si>
    <t>Prieniky a vetrania</t>
  </si>
  <si>
    <t>Doorgangen en ventilaties</t>
  </si>
  <si>
    <t>Penetracije in prezračevanja</t>
  </si>
  <si>
    <t>Genomträngningar och ventilationer</t>
  </si>
  <si>
    <t>Gennemtrængninger og ventilationer</t>
  </si>
  <si>
    <t>Inntrengninger og ventilasjoner</t>
  </si>
  <si>
    <t>Proboji i ventilacije</t>
  </si>
  <si>
    <t>Diametro</t>
  </si>
  <si>
    <t>Průměr</t>
  </si>
  <si>
    <t>Średnica</t>
  </si>
  <si>
    <t>Átmérő</t>
  </si>
  <si>
    <t>Priemer</t>
  </si>
  <si>
    <t>Diameter</t>
  </si>
  <si>
    <t>Premer</t>
  </si>
  <si>
    <t>Promjer</t>
  </si>
  <si>
    <t>Ouverture de passage</t>
  </si>
  <si>
    <t>Apertura di passaggio</t>
  </si>
  <si>
    <t>Průchozí otvor</t>
  </si>
  <si>
    <t>Otwór przelotowy</t>
  </si>
  <si>
    <t>Átmenő nyílás</t>
  </si>
  <si>
    <t>Priechodný otvor</t>
  </si>
  <si>
    <t>Doorvoeropening</t>
  </si>
  <si>
    <t>Prehodna odprtina</t>
  </si>
  <si>
    <t>Genomföringsöppning</t>
  </si>
  <si>
    <t>Gennemgangsåbning</t>
  </si>
  <si>
    <t>Gjennomføringsåpning</t>
  </si>
  <si>
    <t>Prolazni otvor</t>
  </si>
  <si>
    <t>Aperture di passaggio</t>
  </si>
  <si>
    <t>Průchozí otvory</t>
  </si>
  <si>
    <t>Otwory przelotowe</t>
  </si>
  <si>
    <t>Átmenő nyílások</t>
  </si>
  <si>
    <t>Priechodné otvory</t>
  </si>
  <si>
    <t>Doorvoeropeningen</t>
  </si>
  <si>
    <t>Prehodne odprtine</t>
  </si>
  <si>
    <t>Genomföringsöppningar</t>
  </si>
  <si>
    <t>Gennemgangsåbninger</t>
  </si>
  <si>
    <t>Gjennomføringsåpninger</t>
  </si>
  <si>
    <t>Prolazni otvori</t>
  </si>
  <si>
    <t>Profilo angolare</t>
  </si>
  <si>
    <t>Rohový profil</t>
  </si>
  <si>
    <t>Profil narożny</t>
  </si>
  <si>
    <t>Sarokprofil</t>
  </si>
  <si>
    <t>Hoekprofiel</t>
  </si>
  <si>
    <t>Kotni profil</t>
  </si>
  <si>
    <t>Hörnprofil</t>
  </si>
  <si>
    <t>Hjørneprofil</t>
  </si>
  <si>
    <t>Kutni profil</t>
  </si>
  <si>
    <t>Connettore angolare 90°</t>
  </si>
  <si>
    <t>Rohový konektor 90°</t>
  </si>
  <si>
    <t>Łącznik narożny 90°</t>
  </si>
  <si>
    <t>Sarokcsatlakozó 90°</t>
  </si>
  <si>
    <t>Hoekconnector 90°</t>
  </si>
  <si>
    <t>Kotni priključek 90°</t>
  </si>
  <si>
    <t>Hörnanslutning 90°</t>
  </si>
  <si>
    <t>Hjørneforbindelse 90°</t>
  </si>
  <si>
    <t>Hjørnekontakt 90°</t>
  </si>
  <si>
    <t>Kutni priključak 90°</t>
  </si>
  <si>
    <t>Acier inoxydable avec broche en acier inoxydable</t>
  </si>
  <si>
    <t>Acciaio inossidabile con perno in acciaio inossidabile</t>
  </si>
  <si>
    <t>Nerezová ocel s nerezovým čepem</t>
  </si>
  <si>
    <t>Stal nierdzewna ze szpilką ze stali nierdzewnej</t>
  </si>
  <si>
    <t>Rozsdamentes acél rozsdamentes acéltüskével</t>
  </si>
  <si>
    <t>Nerezová oceľ s čapom z nerezovej ocele</t>
  </si>
  <si>
    <t>Roestvrij staal met roestvrij stalen pin</t>
  </si>
  <si>
    <t>Nerjaveče jeklo z nerjavečim zatičem</t>
  </si>
  <si>
    <t>Rostfritt stål med rostfri ståltapp</t>
  </si>
  <si>
    <t>Rustfrit stål med rustfri stålstift</t>
  </si>
  <si>
    <t>Rustfritt stål med rustfri ståltapp</t>
  </si>
  <si>
    <t>Nehrđajući čelik s klinom od nehrđajućeg čelika</t>
  </si>
  <si>
    <t>Acciaio inossidabile e plastica</t>
  </si>
  <si>
    <t>Nerezová ocel a plast</t>
  </si>
  <si>
    <t>Stal nierdzewna i plastik</t>
  </si>
  <si>
    <t>Rozsdamentes acél és műanyag</t>
  </si>
  <si>
    <t>Nerezová oceľ a plast</t>
  </si>
  <si>
    <t>Roestvrij staal en kunststof</t>
  </si>
  <si>
    <t>Nerjaveče jeklo in plastika</t>
  </si>
  <si>
    <t>Rostfritt stål och plast</t>
  </si>
  <si>
    <t>Rustfrit stål og plastik</t>
  </si>
  <si>
    <t>Rustfritt stål og plast</t>
  </si>
  <si>
    <t>Nehrđajući čelik i plastika</t>
  </si>
  <si>
    <t>Profondeur d'installation dans le substrat porteur</t>
  </si>
  <si>
    <t>Profondità di installazione nel substrato portante</t>
  </si>
  <si>
    <t>Montážní hloubka v nosném podkladu</t>
  </si>
  <si>
    <t>Głębokość instalacji w nośnym podłożu</t>
  </si>
  <si>
    <t>Beépítési mélység a teherhordó aljzatban</t>
  </si>
  <si>
    <t>Montážna hĺbka v nosnom podklade</t>
  </si>
  <si>
    <t>Inbouwdiepte in de dragende ondergrond</t>
  </si>
  <si>
    <t>Vgradna globina v nosilni podlagi</t>
  </si>
  <si>
    <t>Installationsdjup i bärande underlag</t>
  </si>
  <si>
    <t>Installationsdybde i bærende underlag</t>
  </si>
  <si>
    <t>Installasjonsdybde i bærende underlag</t>
  </si>
  <si>
    <t>Ugradna dubina u nosivi podložak</t>
  </si>
  <si>
    <t>Rivestimento</t>
  </si>
  <si>
    <t>Szegélyezés</t>
  </si>
  <si>
    <t>Oplechovanie</t>
  </si>
  <si>
    <t>Bekleding</t>
  </si>
  <si>
    <t>Obroba</t>
  </si>
  <si>
    <t>Infattning</t>
  </si>
  <si>
    <t>Indfatning</t>
  </si>
  <si>
    <t>Innfatning</t>
  </si>
  <si>
    <t>Rivestimento Vario</t>
  </si>
  <si>
    <t>Lemování Vario</t>
  </si>
  <si>
    <t>Obróbka blacharska Vario</t>
  </si>
  <si>
    <t>Szegélyezés Vario</t>
  </si>
  <si>
    <t>Oplechovanie Vario</t>
  </si>
  <si>
    <t>Bekleding Vario</t>
  </si>
  <si>
    <t>Obroba Vario</t>
  </si>
  <si>
    <t>Infattning Vario</t>
  </si>
  <si>
    <t>Indfatning Vario</t>
  </si>
  <si>
    <t>Innfatning Vario</t>
  </si>
  <si>
    <t>Rivestimenti</t>
  </si>
  <si>
    <t>Szegélyezések</t>
  </si>
  <si>
    <t>Oplechovania</t>
  </si>
  <si>
    <t>Bekledingen</t>
  </si>
  <si>
    <t>Obrobe</t>
  </si>
  <si>
    <t>Infattningar</t>
  </si>
  <si>
    <t>Indfatninger</t>
  </si>
  <si>
    <t>Innfatninger</t>
  </si>
  <si>
    <t>Piastra di rivestimento</t>
  </si>
  <si>
    <t>Lemovací deska</t>
  </si>
  <si>
    <t>Płyta obróbki blacharskiej</t>
  </si>
  <si>
    <t>Oplechovacia doska</t>
  </si>
  <si>
    <t>Bekledingsplaat</t>
  </si>
  <si>
    <t>Obrobna plošča</t>
  </si>
  <si>
    <t>Trimplatta</t>
  </si>
  <si>
    <t>Afslutningsplade</t>
  </si>
  <si>
    <t>Trimplate</t>
  </si>
  <si>
    <t>Ploča za oblaganje</t>
  </si>
  <si>
    <t>Plaque de garniture pour FX.12, lisse</t>
  </si>
  <si>
    <t>Piastra di rivestimento per FX.12, liscia</t>
  </si>
  <si>
    <t>Lemovací deska pro FX.12, hladká</t>
  </si>
  <si>
    <t>Płyta obróbki blacharskiej dla FX.12, gładka</t>
  </si>
  <si>
    <t>Szegélylemez FX.12-hez, sima</t>
  </si>
  <si>
    <t>Oplechovacia doska pre FX.12, hladká</t>
  </si>
  <si>
    <t>Bekledingsplaat voor FX.12, glad</t>
  </si>
  <si>
    <t>Obrobna plošča za FX.12, gladka</t>
  </si>
  <si>
    <t>Trimplatta för FX.12, slät</t>
  </si>
  <si>
    <t>Afslutningsplade til FX.12, glat</t>
  </si>
  <si>
    <t>Trimplate for FX.12, glatt</t>
  </si>
  <si>
    <t>Ploča za oblaganje za FX.12, glatka</t>
  </si>
  <si>
    <t>Plaque de garniture pour R.16, stucco</t>
  </si>
  <si>
    <t>Piastra di rivestimento per R.16, stucco</t>
  </si>
  <si>
    <t>Lemovací deska pro R.16, štuková</t>
  </si>
  <si>
    <t>Płyta obróbki blacharskiej dla R.16, stucco</t>
  </si>
  <si>
    <t>Szegélylemez R.16-hoz, stukkó</t>
  </si>
  <si>
    <t>Oplechovacia doska pre R.16, štuková</t>
  </si>
  <si>
    <t>Bekledingsplaat voor R.16, stucwerk</t>
  </si>
  <si>
    <t>Obrobna plošča za R.16, štukatura</t>
  </si>
  <si>
    <t>Trimplatta för R.16, stucco</t>
  </si>
  <si>
    <t>Afslutningsplade til R.16, stucco</t>
  </si>
  <si>
    <t>Trimplate for R.16, stukkatur</t>
  </si>
  <si>
    <t>Ploča za oblaganje za R.16, štuko</t>
  </si>
  <si>
    <t>Cucitura sospesa</t>
  </si>
  <si>
    <t>Zavěšený šev</t>
  </si>
  <si>
    <t>Zawieszony szew</t>
  </si>
  <si>
    <t>Függő varrat</t>
  </si>
  <si>
    <t>Závesný šev</t>
  </si>
  <si>
    <t>Hangende naad</t>
  </si>
  <si>
    <t>Viseči šiv</t>
  </si>
  <si>
    <t>Hängande kant</t>
  </si>
  <si>
    <t>Ophængningskant</t>
  </si>
  <si>
    <t>Hengende kant</t>
  </si>
  <si>
    <t>Viseći rub</t>
  </si>
  <si>
    <t>Profili di inserimento</t>
  </si>
  <si>
    <t>Vložné profily</t>
  </si>
  <si>
    <t>Profile wkładane</t>
  </si>
  <si>
    <t>Betétprofilok</t>
  </si>
  <si>
    <t>Vkladacie profily</t>
  </si>
  <si>
    <t>Inzetprofielen</t>
  </si>
  <si>
    <t>Vložni profili</t>
  </si>
  <si>
    <t>Insatsprofiler</t>
  </si>
  <si>
    <t>Indsatsprofiler</t>
  </si>
  <si>
    <t>Innsatsprofiler</t>
  </si>
  <si>
    <t>Umetni profili</t>
  </si>
  <si>
    <t>Autoadesivo su un lato</t>
  </si>
  <si>
    <t>Samolepicí na jedné straně</t>
  </si>
  <si>
    <t>Samoprzylepne jednostronnie</t>
  </si>
  <si>
    <t>Egyoldalú öntapadó</t>
  </si>
  <si>
    <t>Samolepiace na jednej strane</t>
  </si>
  <si>
    <t>Zelfklevend aan één kant</t>
  </si>
  <si>
    <t>Samolepilni na eni strani</t>
  </si>
  <si>
    <t>Självhäftande på ena sidan</t>
  </si>
  <si>
    <t>Selvklæbende på den ene side</t>
  </si>
  <si>
    <t>Selvheftende på den ene siden</t>
  </si>
  <si>
    <t>Samoljepljivo s jedne strane</t>
  </si>
  <si>
    <t>Marrone anodizzato</t>
  </si>
  <si>
    <t>Eloxovaný hnědý</t>
  </si>
  <si>
    <t>Brąz anodowany</t>
  </si>
  <si>
    <t>Eloxált barna</t>
  </si>
  <si>
    <t>Eloxovaný hnedý</t>
  </si>
  <si>
    <t>Geanodiseerd bruin</t>
  </si>
  <si>
    <t>Eloxiran rjav</t>
  </si>
  <si>
    <t>Anodiserad brun</t>
  </si>
  <si>
    <t>Anodiseret brun</t>
  </si>
  <si>
    <t>Anodisert brun</t>
  </si>
  <si>
    <t>Anodizirana smeđa</t>
  </si>
  <si>
    <t>Morsetto finale</t>
  </si>
  <si>
    <t>Koncová svorka</t>
  </si>
  <si>
    <t>Zacisk końcowy</t>
  </si>
  <si>
    <t>Végbilincs</t>
  </si>
  <si>
    <t>Eindklem</t>
  </si>
  <si>
    <t>Končna sponka</t>
  </si>
  <si>
    <t>Ändklämma</t>
  </si>
  <si>
    <t>Endeklemme</t>
  </si>
  <si>
    <t>Završna stezaljka</t>
  </si>
  <si>
    <t>Morsetto finale grezzo</t>
  </si>
  <si>
    <t>Koncová svorka holá</t>
  </si>
  <si>
    <t>Zacisk końcowy surowy</t>
  </si>
  <si>
    <t>Végbilincs nyers</t>
  </si>
  <si>
    <t>Eindklem kaal</t>
  </si>
  <si>
    <t>Končna sponka gola</t>
  </si>
  <si>
    <t>Ändklämma plain</t>
  </si>
  <si>
    <t>Endeklemme blank</t>
  </si>
  <si>
    <t>Endeklemme plain</t>
  </si>
  <si>
    <t>Završna stezaljka sirova</t>
  </si>
  <si>
    <t>Morsetto finale anodizzato nero</t>
  </si>
  <si>
    <t>Koncová svorka černě eloxovaná</t>
  </si>
  <si>
    <t>Zacisk końcowy czarny anodowany</t>
  </si>
  <si>
    <t>Végbilincs fekete eloxált</t>
  </si>
  <si>
    <t>Koncová svorka čierne eloxovaná</t>
  </si>
  <si>
    <t>Eindklem zwart geanodiseerd</t>
  </si>
  <si>
    <t>Končna sponka črno eloksirana</t>
  </si>
  <si>
    <t>Ändklämma svart anodiserad</t>
  </si>
  <si>
    <t>Endeklemme sort anodiseret</t>
  </si>
  <si>
    <t>Endeklemme svart anodisert</t>
  </si>
  <si>
    <t>Završna stezaljka crno eloksirana</t>
  </si>
  <si>
    <t>Plaque d'extrémité</t>
  </si>
  <si>
    <t>Piastra terminale</t>
  </si>
  <si>
    <t>Koncová deska</t>
  </si>
  <si>
    <t>Płyta końcowa</t>
  </si>
  <si>
    <t>Véglemez</t>
  </si>
  <si>
    <t>Koncová doska</t>
  </si>
  <si>
    <t>Eindplaat</t>
  </si>
  <si>
    <t>Končna plošča</t>
  </si>
  <si>
    <t>Ändplatta</t>
  </si>
  <si>
    <t>Endeplade</t>
  </si>
  <si>
    <t>Endeplate</t>
  </si>
  <si>
    <t>Završna ploča</t>
  </si>
  <si>
    <t>Plaque d'extrémité pour losange mural</t>
  </si>
  <si>
    <t>Piastra terminale per losanga da parete</t>
  </si>
  <si>
    <t>Koncová deska pro nástěnný diamant</t>
  </si>
  <si>
    <t>Płyta końcowa dla ściennego rombu</t>
  </si>
  <si>
    <t>Véglemez falgyémánthoz</t>
  </si>
  <si>
    <t>Koncová doska pre nástenný diamant</t>
  </si>
  <si>
    <t>Eindplaat voor muurruit</t>
  </si>
  <si>
    <t>Končna plošča za stenski diamant</t>
  </si>
  <si>
    <t>Ändplatta för väggdiamant</t>
  </si>
  <si>
    <t>Endeplade til vægdiamant</t>
  </si>
  <si>
    <t>Endeplate for veggdiamant</t>
  </si>
  <si>
    <t>Završna ploča za zidni dijamant</t>
  </si>
  <si>
    <t>Piastra terminale per losanga da parete 29×29</t>
  </si>
  <si>
    <t>Koncová deska pro nástěnný diamant 29×29</t>
  </si>
  <si>
    <t>Płyta końcowa dla ściennego rombu 29×29</t>
  </si>
  <si>
    <t>Véglemez falgyémánthoz 29×29</t>
  </si>
  <si>
    <t>Koncová doska pre nástenný diamant 29×29</t>
  </si>
  <si>
    <t>Eindplaat voor muurruit 29×29</t>
  </si>
  <si>
    <t>Končna plošča za stenski diamant 29×29</t>
  </si>
  <si>
    <t>Ändplatta för väggdiamant 29 × 29</t>
  </si>
  <si>
    <t>Endeplade til vægdiamant 29 × 29</t>
  </si>
  <si>
    <t>Endeplate for veggdiamant 29 × 29</t>
  </si>
  <si>
    <t>Završna ploča za zidni dijamant 29 × 29</t>
  </si>
  <si>
    <t>Piastra terminale per losanga da parete 44×44</t>
  </si>
  <si>
    <t>Koncová deska pro nástěnný diamant 44×44</t>
  </si>
  <si>
    <t>Płyta końcowa dla ściennego rombu 44×44</t>
  </si>
  <si>
    <t>Véglemez falgyémánthoz 44×44</t>
  </si>
  <si>
    <t>Koncová doska pre nástenný diamant 44×44</t>
  </si>
  <si>
    <t>Eindplaat voor muurruit 44×44</t>
  </si>
  <si>
    <t>Končna plošča za stenski diamant 44×44</t>
  </si>
  <si>
    <t>Ändplatta för väggdiamant 44 × 44</t>
  </si>
  <si>
    <t>Endeplade til vægdiamant 44 × 44</t>
  </si>
  <si>
    <t>Endeplate for veggdiamant 44 × 44</t>
  </si>
  <si>
    <t>Završna ploča za zidni dijamant 44 × 44</t>
  </si>
  <si>
    <t>Sbavato</t>
  </si>
  <si>
    <t>Odstraněné otřepy</t>
  </si>
  <si>
    <t>Odkamienione</t>
  </si>
  <si>
    <t>Sorjázott</t>
  </si>
  <si>
    <t>Odstránené otrepy</t>
  </si>
  <si>
    <t>Ontbraamd</t>
  </si>
  <si>
    <t>Brez ostrih robov</t>
  </si>
  <si>
    <t>Avgradad</t>
  </si>
  <si>
    <t>Afgratet</t>
  </si>
  <si>
    <t>Avgradet</t>
  </si>
  <si>
    <t>Očišćeno od srha</t>
  </si>
  <si>
    <t>Ventilazioni</t>
  </si>
  <si>
    <t>Větrání</t>
  </si>
  <si>
    <t>Wentylacje</t>
  </si>
  <si>
    <t>Szellőzések</t>
  </si>
  <si>
    <t>Vetrania</t>
  </si>
  <si>
    <t>Ventilaties</t>
  </si>
  <si>
    <t>Prezračevanja</t>
  </si>
  <si>
    <t>Ventilationer</t>
  </si>
  <si>
    <t>Ventilasjoner</t>
  </si>
  <si>
    <t>Ventilacije</t>
  </si>
  <si>
    <t>Cappa di ventilazione</t>
  </si>
  <si>
    <t>Ventilační digestoř</t>
  </si>
  <si>
    <t>Kaptur wentylacyjny</t>
  </si>
  <si>
    <t>Szellőző sapka</t>
  </si>
  <si>
    <t>Ventilačná kapota</t>
  </si>
  <si>
    <t>Ventilatiekap</t>
  </si>
  <si>
    <t>Prezračevalna napa</t>
  </si>
  <si>
    <t>Ventilationshuv</t>
  </si>
  <si>
    <t>Ventilationshætte</t>
  </si>
  <si>
    <t>Ventilasjonshette</t>
  </si>
  <si>
    <t>Ventilacijska kapa</t>
  </si>
  <si>
    <t>Tubo di ventilazione</t>
  </si>
  <si>
    <t>Větrací trubka</t>
  </si>
  <si>
    <t>Rura wentylacyjna</t>
  </si>
  <si>
    <t>Szellőzőcső</t>
  </si>
  <si>
    <t>Vetracia rúrka</t>
  </si>
  <si>
    <t>Ventilatiebuis</t>
  </si>
  <si>
    <t>Prezračevalna cev</t>
  </si>
  <si>
    <t>Ventilationsrör</t>
  </si>
  <si>
    <t>Ventilationsrør</t>
  </si>
  <si>
    <t>Ventilasjonsrør</t>
  </si>
  <si>
    <t>Ventilacijska cijev</t>
  </si>
  <si>
    <t>Blu genziana</t>
  </si>
  <si>
    <t>Hořcově modrá</t>
  </si>
  <si>
    <t>Gencjanowy niebieski</t>
  </si>
  <si>
    <t>Tárnicskék</t>
  </si>
  <si>
    <t>Horec modrá</t>
  </si>
  <si>
    <t>Gentiaanblauw</t>
  </si>
  <si>
    <t>Encijan modra</t>
  </si>
  <si>
    <t>Gentianablå</t>
  </si>
  <si>
    <t>Enzian plava</t>
  </si>
  <si>
    <t>Guarnizione EPDM</t>
  </si>
  <si>
    <t>EPDM těsnění</t>
  </si>
  <si>
    <t>Uszczelka EPDM</t>
  </si>
  <si>
    <t>EPDM tömítés</t>
  </si>
  <si>
    <t>EPDM tesnenie</t>
  </si>
  <si>
    <t>EPDM afdichting</t>
  </si>
  <si>
    <t>EPDM tesnilo</t>
  </si>
  <si>
    <t>EPDM-tätning</t>
  </si>
  <si>
    <t>EPDM-tætning</t>
  </si>
  <si>
    <t>EPDM-tetning</t>
  </si>
  <si>
    <t>EPDM brtva</t>
  </si>
  <si>
    <t>Gomma EPDM</t>
  </si>
  <si>
    <t>EPDM guma</t>
  </si>
  <si>
    <t>Guma EPDM</t>
  </si>
  <si>
    <t>EPDM gumi</t>
  </si>
  <si>
    <t>EPDM-gummi</t>
  </si>
  <si>
    <t>Expérience</t>
  </si>
  <si>
    <t>Esperienza</t>
  </si>
  <si>
    <t>Zkušenost</t>
  </si>
  <si>
    <t>Doświadczenie</t>
  </si>
  <si>
    <t>Tapasztalat</t>
  </si>
  <si>
    <t>Skúsenosť</t>
  </si>
  <si>
    <t>Ervaring</t>
  </si>
  <si>
    <t>Izkušnje</t>
  </si>
  <si>
    <t>Erfarenhet</t>
  </si>
  <si>
    <t>Erfaring</t>
  </si>
  <si>
    <t>Iskustvo</t>
  </si>
  <si>
    <t>Pezzo di ricambio per coperchio e manicotto di base</t>
  </si>
  <si>
    <t>Náhradní díl pro víko a spodní pouzdro</t>
  </si>
  <si>
    <t>Część zamienna do pokrywy i tulei podstawowej</t>
  </si>
  <si>
    <t>Pótalkatrész a fedélhez és az alap hüvelyhez</t>
  </si>
  <si>
    <t>Náhradný diel pre veko a spodnú objímku</t>
  </si>
  <si>
    <t>Reserveonderdeel voor deksel en bodembuis</t>
  </si>
  <si>
    <t>Nadomestni del za pokrov in osnovno pušo</t>
  </si>
  <si>
    <t>Reservdel för lock och bottensleeve</t>
  </si>
  <si>
    <t>Reserve del til låg og bundmuffe</t>
  </si>
  <si>
    <t>Reserve del for lokk og bunnhylse</t>
  </si>
  <si>
    <t>Rezervni dio za poklopac i donju čahuru</t>
  </si>
  <si>
    <t>escluso materiale di fissaggio</t>
  </si>
  <si>
    <t>vč. spojovacího materiálu</t>
  </si>
  <si>
    <t>wykl. materiały mocujące</t>
  </si>
  <si>
    <t>kiv. rögzítőanyag</t>
  </si>
  <si>
    <t>vč. spojovací materiál</t>
  </si>
  <si>
    <t>excl. bevestigingsmateriaal</t>
  </si>
  <si>
    <t>izklj. pritrdilni material</t>
  </si>
  <si>
    <t>exkl. fästelement</t>
  </si>
  <si>
    <t>exkl. fastgørelsesmateriale</t>
  </si>
  <si>
    <t>ekskl. festemateriell</t>
  </si>
  <si>
    <t>isklj. materijal za pričvršćivanje</t>
  </si>
  <si>
    <t>escluso guarnizione</t>
  </si>
  <si>
    <t>vč. těsnění</t>
  </si>
  <si>
    <t>wykl. uszczelka</t>
  </si>
  <si>
    <t>kiv. tömítés</t>
  </si>
  <si>
    <t>vč. tesnenie</t>
  </si>
  <si>
    <t>excl. pakking</t>
  </si>
  <si>
    <t>izklj. tesnilo</t>
  </si>
  <si>
    <t>exkl. packning</t>
  </si>
  <si>
    <t>exkl. pakning</t>
  </si>
  <si>
    <t>ekskl. pakning</t>
  </si>
  <si>
    <t>isklj. brtva</t>
  </si>
  <si>
    <t>eccentrico</t>
  </si>
  <si>
    <t>excentrický</t>
  </si>
  <si>
    <t>ekscentryczny</t>
  </si>
  <si>
    <t>excentrikus</t>
  </si>
  <si>
    <t>excentrisch</t>
  </si>
  <si>
    <t>ekscentričen</t>
  </si>
  <si>
    <t>excentrisk</t>
  </si>
  <si>
    <t>eksentrisk</t>
  </si>
  <si>
    <t>ekscentričan</t>
  </si>
  <si>
    <t>polsino pieghevole</t>
  </si>
  <si>
    <t>složková manžeta</t>
  </si>
  <si>
    <t>mankiet składany</t>
  </si>
  <si>
    <t>hajtogatott mandzsetta</t>
  </si>
  <si>
    <t>složená manžeta</t>
  </si>
  <si>
    <t>vouwmanchet</t>
  </si>
  <si>
    <t>zložljiv manšeta</t>
  </si>
  <si>
    <t>vikmanschett</t>
  </si>
  <si>
    <t>foldemanchet</t>
  </si>
  <si>
    <t>brettemansjett</t>
  </si>
  <si>
    <t>savitljiva manžeta</t>
  </si>
  <si>
    <t>polsino pieghevole 100</t>
  </si>
  <si>
    <t>složková manžeta 100</t>
  </si>
  <si>
    <t>mankiet składany 100</t>
  </si>
  <si>
    <t>hajtogatott mandzsetta 100</t>
  </si>
  <si>
    <t>složená manžeta 100</t>
  </si>
  <si>
    <t>vouwmanchet 100</t>
  </si>
  <si>
    <t>zložljiv manšeta 100</t>
  </si>
  <si>
    <t>vikmanschett 100</t>
  </si>
  <si>
    <t>foldemanchet 100</t>
  </si>
  <si>
    <t>brettemansjett 100</t>
  </si>
  <si>
    <t>savitljiva manžeta 100</t>
  </si>
  <si>
    <t>Repli</t>
  </si>
  <si>
    <t>piega</t>
  </si>
  <si>
    <t>složka</t>
  </si>
  <si>
    <t>składanie</t>
  </si>
  <si>
    <t>hajtogatás</t>
  </si>
  <si>
    <t>sklad</t>
  </si>
  <si>
    <t>vouw</t>
  </si>
  <si>
    <t>zloženka</t>
  </si>
  <si>
    <t>vik</t>
  </si>
  <si>
    <t>brett</t>
  </si>
  <si>
    <t>savijanje</t>
  </si>
  <si>
    <t>FALZONAL banda di alluminio colorata</t>
  </si>
  <si>
    <t>FALZONAL barevný hliníkový pás</t>
  </si>
  <si>
    <t>FALZONAL kolorowa taśma aluminiowa</t>
  </si>
  <si>
    <t>FALZONAL színes alumínium szalag</t>
  </si>
  <si>
    <t>FALZONAL farebný hliníkový pás</t>
  </si>
  <si>
    <t>FALZONAL gekleurde aluminium band</t>
  </si>
  <si>
    <t>FALZONAL barvni aluminijasti trak</t>
  </si>
  <si>
    <t>FALZONAL färgat aluminium band</t>
  </si>
  <si>
    <t>FALZONAL farvet aluminiumsbånd</t>
  </si>
  <si>
    <t>FALZONAL farget aluminium bånd</t>
  </si>
  <si>
    <t>FALZONAL obojena aluminijska traka</t>
  </si>
  <si>
    <t>Qualité de pliage</t>
  </si>
  <si>
    <t>qualità della piega</t>
  </si>
  <si>
    <t>kvalita skládání</t>
  </si>
  <si>
    <t>jakość składania</t>
  </si>
  <si>
    <t>hajtogatás minősége</t>
  </si>
  <si>
    <t>kvalita skladania</t>
  </si>
  <si>
    <t>vouwkwaliteit</t>
  </si>
  <si>
    <t>kakovost zlaganja</t>
  </si>
  <si>
    <t>vik kvalitet</t>
  </si>
  <si>
    <t>fold kvalitet</t>
  </si>
  <si>
    <t>brette kvalitet</t>
  </si>
  <si>
    <t>kvaliteta savijanja</t>
  </si>
  <si>
    <t>banda di alluminio colorata</t>
  </si>
  <si>
    <t>barevný hliníkový pás</t>
  </si>
  <si>
    <t>kolorowa taśma aluminiowa</t>
  </si>
  <si>
    <t>színes alumínium szalag</t>
  </si>
  <si>
    <t>farebný hliníkový pás</t>
  </si>
  <si>
    <t>gekleurde aluminium band</t>
  </si>
  <si>
    <t>barvni aluminijasti trak</t>
  </si>
  <si>
    <t>färgat aluminium band</t>
  </si>
  <si>
    <t>farvet aluminiumsbånd</t>
  </si>
  <si>
    <t>farget aluminium bånd</t>
  </si>
  <si>
    <t>obojena aluminijska traka</t>
  </si>
  <si>
    <t>Bande d'aluminium peint en qualité polyester</t>
  </si>
  <si>
    <t>banda di alluminio colorata in qualità poliestere</t>
  </si>
  <si>
    <t>barevný hliníkový pás v kvalitě polyesteru</t>
  </si>
  <si>
    <t>kolorowa taśma aluminiowa w jakości poliestrowej</t>
  </si>
  <si>
    <t>színes alumínium szalag poliészter minőségben</t>
  </si>
  <si>
    <t>farebný hliníkový pás v polyesterovej kvalite</t>
  </si>
  <si>
    <t>gekleurde aluminium band in polyester kwaliteit</t>
  </si>
  <si>
    <t>barvni aluminijasti trak v poliestrski kakovosti</t>
  </si>
  <si>
    <t>färgat aluminium band i polyester kvalitet</t>
  </si>
  <si>
    <t>farvet aluminiumsbånd i polyester kvalitet</t>
  </si>
  <si>
    <t>farget aluminium bånd i polyester kvalitet</t>
  </si>
  <si>
    <t>obojena aluminijska traka u kvaliteti poliestera</t>
  </si>
  <si>
    <t>lamiera di alluminio colorata</t>
  </si>
  <si>
    <t>barevný hliníkový plech</t>
  </si>
  <si>
    <t>kolorowa blacha aluminiowa</t>
  </si>
  <si>
    <t>színes alumínium lemez</t>
  </si>
  <si>
    <t>farebný hliníkový plech</t>
  </si>
  <si>
    <t>gekleurde aluminium plaat</t>
  </si>
  <si>
    <t>barvna aluminijasta pločevina</t>
  </si>
  <si>
    <t>färgat aluminium plåt</t>
  </si>
  <si>
    <t>farvet aluminiumsplade</t>
  </si>
  <si>
    <t>farget aluminium plate</t>
  </si>
  <si>
    <t>obojeni aluminijski lim</t>
  </si>
  <si>
    <t>lamiera di alluminio colorata in qualità poliestere</t>
  </si>
  <si>
    <t>barevný hliníkový plech v kvalitě polyesteru</t>
  </si>
  <si>
    <t>kolorowa blacha aluminiowa w jakości poliestrowej</t>
  </si>
  <si>
    <t>színes alumínium lemez poliészter minőségben</t>
  </si>
  <si>
    <t>farebný hliníkový plech v polyesterovej kvalite</t>
  </si>
  <si>
    <t>gekleurde aluminium plaat in polyester kwaliteit</t>
  </si>
  <si>
    <t>barvna aluminijasta pločevina v poliestrski kakovosti</t>
  </si>
  <si>
    <t>färgat aluminium plåt i polyester kvalitet</t>
  </si>
  <si>
    <t>farvet aluminiumsplade i polyester kvalitet</t>
  </si>
  <si>
    <t>farget aluminium plate i polyester kvalitet</t>
  </si>
  <si>
    <t>obojeni aluminijski lim u kvaliteti poliestera</t>
  </si>
  <si>
    <t>colore del cappuccio di copertura</t>
  </si>
  <si>
    <t>barva krytu</t>
  </si>
  <si>
    <t>kolor nasadki kryjącej</t>
  </si>
  <si>
    <t>fedő sapka színe</t>
  </si>
  <si>
    <t>farba krycieho viečka</t>
  </si>
  <si>
    <t>kleur van de afdekkap</t>
  </si>
  <si>
    <t>barva pokrova</t>
  </si>
  <si>
    <t>färgen på skyddslocket</t>
  </si>
  <si>
    <t>farve på dækselkappen</t>
  </si>
  <si>
    <t>fargen på deksellokket</t>
  </si>
  <si>
    <t>boja poklopca</t>
  </si>
  <si>
    <t>colori</t>
  </si>
  <si>
    <t>barvy</t>
  </si>
  <si>
    <t>kolory</t>
  </si>
  <si>
    <t>színek</t>
  </si>
  <si>
    <t>farby</t>
  </si>
  <si>
    <t>kleuren</t>
  </si>
  <si>
    <t>barve</t>
  </si>
  <si>
    <t>färger</t>
  </si>
  <si>
    <t>farver</t>
  </si>
  <si>
    <t>farger</t>
  </si>
  <si>
    <t>boje</t>
  </si>
  <si>
    <t>gruppo di colori</t>
  </si>
  <si>
    <t>skupina barev</t>
  </si>
  <si>
    <t>grupa kolorów</t>
  </si>
  <si>
    <t>színcsoport</t>
  </si>
  <si>
    <t>skupina farieb</t>
  </si>
  <si>
    <t>kleurengroep</t>
  </si>
  <si>
    <t>barvna skupina</t>
  </si>
  <si>
    <t>färggupp</t>
  </si>
  <si>
    <t>farvegruppe</t>
  </si>
  <si>
    <t>fargegruppe</t>
  </si>
  <si>
    <t>grupa boja</t>
  </si>
  <si>
    <t>assortimento di colori</t>
  </si>
  <si>
    <t>sortiment barev</t>
  </si>
  <si>
    <t>asortyment kolorów</t>
  </si>
  <si>
    <t>színválaszték</t>
  </si>
  <si>
    <t>sortiment farieb</t>
  </si>
  <si>
    <t>kleurenassortiment</t>
  </si>
  <si>
    <t>barvni asortiman</t>
  </si>
  <si>
    <t>färgsortiment</t>
  </si>
  <si>
    <t>farvesortiment</t>
  </si>
  <si>
    <t>fargesortiment</t>
  </si>
  <si>
    <t>asortiman boja</t>
  </si>
  <si>
    <t>Table des couleurs</t>
  </si>
  <si>
    <t>Tabella dei colori</t>
  </si>
  <si>
    <t>Tabulka barev</t>
  </si>
  <si>
    <t>Tabela kolorów</t>
  </si>
  <si>
    <t>Színtáblázat</t>
  </si>
  <si>
    <t>Tabuľka farieb</t>
  </si>
  <si>
    <t>Kleuren tabel</t>
  </si>
  <si>
    <t>Barvna tabela</t>
  </si>
  <si>
    <t>Färgtabell</t>
  </si>
  <si>
    <t>Farvetabel</t>
  </si>
  <si>
    <t>Fargetabell</t>
  </si>
  <si>
    <t>Tablica boja</t>
  </si>
  <si>
    <t>Différence de couleur</t>
  </si>
  <si>
    <t>Differenza di colore</t>
  </si>
  <si>
    <t>Barevný rozdíl</t>
  </si>
  <si>
    <t>Różnica kolorów</t>
  </si>
  <si>
    <t>Színkülönbség</t>
  </si>
  <si>
    <t>Farebný rozdiel</t>
  </si>
  <si>
    <t>Kleur verschil</t>
  </si>
  <si>
    <t>Barvna razlika</t>
  </si>
  <si>
    <t>Färgskillnad</t>
  </si>
  <si>
    <t>Farveforskel</t>
  </si>
  <si>
    <t>Fargeforskjell</t>
  </si>
  <si>
    <t>Razlika u boji</t>
  </si>
  <si>
    <t>Facciata</t>
  </si>
  <si>
    <t>Fasáda</t>
  </si>
  <si>
    <t>Fasada</t>
  </si>
  <si>
    <t>Homlokzat</t>
  </si>
  <si>
    <t>Gevel</t>
  </si>
  <si>
    <t>Fasad</t>
  </si>
  <si>
    <t>Facade</t>
  </si>
  <si>
    <t>Fasade</t>
  </si>
  <si>
    <t>Completamento della facciata</t>
  </si>
  <si>
    <t>Doplněk fasády</t>
  </si>
  <si>
    <t>Uzupełnienie fasady</t>
  </si>
  <si>
    <t>Homlokzat kiegészítés</t>
  </si>
  <si>
    <t>Doplnok fasády</t>
  </si>
  <si>
    <t>Gevel aanvulling</t>
  </si>
  <si>
    <t>Dopolnitev fasade</t>
  </si>
  <si>
    <t>Fasadtillägg</t>
  </si>
  <si>
    <t>Facade tilføjelse</t>
  </si>
  <si>
    <t>Fasade tillegg</t>
  </si>
  <si>
    <t>Dodatak fasade</t>
  </si>
  <si>
    <t>Nastro di completamento della facciata</t>
  </si>
  <si>
    <t>Páska pro doplnění fasády</t>
  </si>
  <si>
    <t>Taśma uzupełniająca fasadę</t>
  </si>
  <si>
    <t>Homlokzat kiegészítő szalag</t>
  </si>
  <si>
    <t>Páska pre doplnenie fasády</t>
  </si>
  <si>
    <t>Gevel aanvulling band</t>
  </si>
  <si>
    <t>Dopolnilni trak za fasado</t>
  </si>
  <si>
    <t>Fasadtilläggsband</t>
  </si>
  <si>
    <t>Facade tilføjelsesbånd</t>
  </si>
  <si>
    <t>Fasade tilleggsbånd</t>
  </si>
  <si>
    <t>Traka za dopunu fasade</t>
  </si>
  <si>
    <t>Panneau de complément de façade</t>
  </si>
  <si>
    <t>Lamiera di completamento della facciata</t>
  </si>
  <si>
    <t>Plech pro doplnění fasády</t>
  </si>
  <si>
    <t>Blacha uzupełniająca fasadę</t>
  </si>
  <si>
    <t>Homlokzat kiegészítő lemez</t>
  </si>
  <si>
    <t>Plech pre doplnenie fasády</t>
  </si>
  <si>
    <t>Gevel aanvulling plaat</t>
  </si>
  <si>
    <t>Dopolnilna pločevina za fasado</t>
  </si>
  <si>
    <t>Fasadtilläggsplåt</t>
  </si>
  <si>
    <t>Facade tilføjelsesplade</t>
  </si>
  <si>
    <t>Fasade tilleggsplate</t>
  </si>
  <si>
    <t>Lim za dopunu fasade</t>
  </si>
  <si>
    <t>Lamiere di completamento della facciata</t>
  </si>
  <si>
    <t>Plechy pro doplnění fasády</t>
  </si>
  <si>
    <t>Blachy uzupełniające fasadę</t>
  </si>
  <si>
    <t>Homlokzat kiegészítő lemezek</t>
  </si>
  <si>
    <t>Plechy pre doplnenie fasády</t>
  </si>
  <si>
    <t>Gevel aanvulling platen</t>
  </si>
  <si>
    <t>Dopolnilne pločevine za fasado</t>
  </si>
  <si>
    <t>Fasadtilläggsplåtar</t>
  </si>
  <si>
    <t>Facade tilføjelsesplader</t>
  </si>
  <si>
    <t>Fasade tilleggsplater</t>
  </si>
  <si>
    <t>Limovi za dopunu fasade</t>
  </si>
  <si>
    <t>Surface de façade</t>
  </si>
  <si>
    <t>Superficie della facciata</t>
  </si>
  <si>
    <t>Plocha fasády</t>
  </si>
  <si>
    <t>Powierzchnia fasady</t>
  </si>
  <si>
    <t>Homlokzat felülete</t>
  </si>
  <si>
    <t>Geveloppervlak</t>
  </si>
  <si>
    <t>Površina fasade</t>
  </si>
  <si>
    <t>Fasadyta</t>
  </si>
  <si>
    <t>Facadeoverflade</t>
  </si>
  <si>
    <t>Fasadeoverflate</t>
  </si>
  <si>
    <t>Pannello di facciata FX.12 (grande)</t>
  </si>
  <si>
    <t>Fasádní panel FX.12 (velký)</t>
  </si>
  <si>
    <t>Panel fasady FX.12 (duży)</t>
  </si>
  <si>
    <t>Homlokzati panel FX.12 (nagy)</t>
  </si>
  <si>
    <t>Fasádny panel FX.12 (veľký)</t>
  </si>
  <si>
    <t>Gevelpaneel FX.12 (groot)</t>
  </si>
  <si>
    <t>Fasadna plošča FX.12 (velika)</t>
  </si>
  <si>
    <t>Fasadpanel FX.12 (stor)</t>
  </si>
  <si>
    <t>Facadepanel FX.12 (stor)</t>
  </si>
  <si>
    <t>Fasadni panel FX.12 (veliki)</t>
  </si>
  <si>
    <t>Pannello di facciata FX.12 (piccolo)</t>
  </si>
  <si>
    <t>Fasádní panel FX.12 (malý)</t>
  </si>
  <si>
    <t>Panel fasady FX.12 (mały)</t>
  </si>
  <si>
    <t>Homlokzati panel FX.12 (kicsi)</t>
  </si>
  <si>
    <t>Fasádny panel FX.12 (malý)</t>
  </si>
  <si>
    <t>Gevelpaneel FX.12 (klein)</t>
  </si>
  <si>
    <t>Fasadna plošča FX.12 (majhna)</t>
  </si>
  <si>
    <t>Fasadpanel FX.12 (liten)</t>
  </si>
  <si>
    <t>Facadepanel FX.12 (lille)</t>
  </si>
  <si>
    <t>Fasadni panel FX.12 (mali)</t>
  </si>
  <si>
    <t>Vite per facciata per sotto-struttura in legno</t>
  </si>
  <si>
    <t>Šroub pro fasádu pro dřevěnou podkonstrukci</t>
  </si>
  <si>
    <t>Śruba fasadowa do drewnianej podkonstrukcji</t>
  </si>
  <si>
    <t>Homlokzati csavar fa alépítményhez</t>
  </si>
  <si>
    <t>Skrutka pre fasádu pre drevenú podkonštrukciu</t>
  </si>
  <si>
    <t>Gevelschroef voor houten onderconstructie</t>
  </si>
  <si>
    <t>Vijak za fasado za leseno podkonstrukcijo</t>
  </si>
  <si>
    <t>Fasadskruv för trädstruktur</t>
  </si>
  <si>
    <t>Facadeskrue til træunderstruktur</t>
  </si>
  <si>
    <t>Fasadeskrue for trekonstruksjon</t>
  </si>
  <si>
    <t>Vijak za fasadu za drvenu podkonstrukciju</t>
  </si>
  <si>
    <t>Sistema di facciata</t>
  </si>
  <si>
    <t>Fasádní systém</t>
  </si>
  <si>
    <t>System fasadowy</t>
  </si>
  <si>
    <t>Homlokzati rendszer</t>
  </si>
  <si>
    <t>Fasádny systém</t>
  </si>
  <si>
    <t>Gevelsysteem</t>
  </si>
  <si>
    <t>Fasadni sistem</t>
  </si>
  <si>
    <t>Fasadsystem</t>
  </si>
  <si>
    <t>Facadesystem</t>
  </si>
  <si>
    <t>Fasadesystem</t>
  </si>
  <si>
    <t>Fasadni sustav</t>
  </si>
  <si>
    <t>Joint de centrage de façade</t>
  </si>
  <si>
    <t>Anello di tenuta centrante per facciata</t>
  </si>
  <si>
    <t>Centrovací těsnicí kroužek pro fasádu</t>
  </si>
  <si>
    <t>Pierścień uszczelniający centrowanie fasady</t>
  </si>
  <si>
    <t>Homlokzati központosító tömítőgyűrű</t>
  </si>
  <si>
    <t>Centrovaný tesniaci krúžok fasády</t>
  </si>
  <si>
    <t>Gevel centrerende afdichtring</t>
  </si>
  <si>
    <t>Centrirni tesnilni obroč fasade</t>
  </si>
  <si>
    <t>Fasadcentrerande tätningsring</t>
  </si>
  <si>
    <t>Facadecentrerende tætningsring</t>
  </si>
  <si>
    <t>Fasadesentrerende tetningsring</t>
  </si>
  <si>
    <t>Centarirajući brtveni prsten fasade</t>
  </si>
  <si>
    <t>Encadrements de fenêtre</t>
  </si>
  <si>
    <t>Telaio della finestra</t>
  </si>
  <si>
    <t>Okenní rámy</t>
  </si>
  <si>
    <t>Obramowania okien</t>
  </si>
  <si>
    <t>Ablakkeretek</t>
  </si>
  <si>
    <t>Okenné rámy</t>
  </si>
  <si>
    <t>Raamkozijnen</t>
  </si>
  <si>
    <t>Okvirji za okna</t>
  </si>
  <si>
    <t>Fönsterramar</t>
  </si>
  <si>
    <t>Vinduesrammer</t>
  </si>
  <si>
    <t>Vindusrammer</t>
  </si>
  <si>
    <t>Okviri za prozore</t>
  </si>
  <si>
    <t>Telaio della finestra per Roto</t>
  </si>
  <si>
    <t>Okenní rámy pro Roto</t>
  </si>
  <si>
    <t>Obramowania okien dla Roto</t>
  </si>
  <si>
    <t>Ablakkeretek a Roto számára</t>
  </si>
  <si>
    <t>Okenné rámy pre Roto</t>
  </si>
  <si>
    <t>Raamkozijnen voor Roto</t>
  </si>
  <si>
    <t>Okvirji za okna za Roto</t>
  </si>
  <si>
    <t>Fönsterramar för Roto</t>
  </si>
  <si>
    <t>Vinduesrammer til Roto</t>
  </si>
  <si>
    <t>Vindusrammer for Roto</t>
  </si>
  <si>
    <t>Okviri za prozore za Roto</t>
  </si>
  <si>
    <t>Encadrements de fenêtre pour la série RotoQ</t>
  </si>
  <si>
    <t>Telaio della finestra per la serie RotoQ</t>
  </si>
  <si>
    <t>Okenní rámy pro řadu RotoQ</t>
  </si>
  <si>
    <t>Obramowania okien dla serii RotoQ</t>
  </si>
  <si>
    <t>Ablakkeretek a RotoQ sorozathoz</t>
  </si>
  <si>
    <t>Okenné rámy pre sériu RotoQ</t>
  </si>
  <si>
    <t>Raamkozijnen voor de RotoQ-serie</t>
  </si>
  <si>
    <t>Okvirji za okna za serijo RotoQ</t>
  </si>
  <si>
    <t>Fönsterramar för RotoQ-serien</t>
  </si>
  <si>
    <t>Vinduesrammer til RotoQ-serien</t>
  </si>
  <si>
    <t>Vindusrammer for RotoQ-serien</t>
  </si>
  <si>
    <t>Okviri za prozore za seriju RotoQ</t>
  </si>
  <si>
    <t>Telaio della finestra per Velux</t>
  </si>
  <si>
    <t>Okenní rámy pro Velux</t>
  </si>
  <si>
    <t>Obramowania okien dla Velux</t>
  </si>
  <si>
    <t>Ablakkeretek a Velux számára</t>
  </si>
  <si>
    <t>Okenné rámy pre Velux</t>
  </si>
  <si>
    <t>Raamkozijnen voor Velux</t>
  </si>
  <si>
    <t>Okvirji za okna za Velux</t>
  </si>
  <si>
    <t>Fönsterramar för Velux</t>
  </si>
  <si>
    <t>Vinduesrammer til Velux</t>
  </si>
  <si>
    <t>Vindusrammer for Velux</t>
  </si>
  <si>
    <t>Okviri za prozore za Velux</t>
  </si>
  <si>
    <t>Boccola di punto fisso</t>
  </si>
  <si>
    <t>Pouzdro pevného bodu</t>
  </si>
  <si>
    <t>Tuleja stałego punktu</t>
  </si>
  <si>
    <t>Fix pont hüvely</t>
  </si>
  <si>
    <t>Vastepuntbus</t>
  </si>
  <si>
    <t>Puša za fiksno točko</t>
  </si>
  <si>
    <t>Fixpunktsbussning</t>
  </si>
  <si>
    <t>Fastpunktsbøsning</t>
  </si>
  <si>
    <t>Fastpunkthylse</t>
  </si>
  <si>
    <t>Čahura fiksne točke</t>
  </si>
  <si>
    <t>Boccola di punto fisso per rivetto di facciata</t>
  </si>
  <si>
    <t>Pouzdro pevného bodu pro fasádní nýty</t>
  </si>
  <si>
    <t>Tuleja stałego punktu dla nitu fasadowego</t>
  </si>
  <si>
    <t>Fix pont hüvely homlokzati szegecsekhez</t>
  </si>
  <si>
    <t>Pouzdro pevného bodu pre fasádne nity</t>
  </si>
  <si>
    <t>Vastepuntbus voor gevelklinknagels</t>
  </si>
  <si>
    <t>Puša za fiksno točko za fasadne zakovice</t>
  </si>
  <si>
    <t>Fixpunktsbussning för fasadnitar</t>
  </si>
  <si>
    <t>Fastpunktsbøsning til facade nitter</t>
  </si>
  <si>
    <t>Fastpunkthylse for fasadenagler</t>
  </si>
  <si>
    <t>Čahura fiksne točke za zakovice fasade</t>
  </si>
  <si>
    <t>Douille de point fixe pour point fixe</t>
  </si>
  <si>
    <t>Boccola di punto fisso per punto fisso</t>
  </si>
  <si>
    <t>Pouzdro pevného bodu pro pevný bod</t>
  </si>
  <si>
    <t>Tuleja stałego punktu dla punktu stałego</t>
  </si>
  <si>
    <t>Fix pont hüvely fix ponthoz</t>
  </si>
  <si>
    <t>Pouzdro pevného bodu pre pevný bod</t>
  </si>
  <si>
    <t>Vastepuntbus voor vast punt</t>
  </si>
  <si>
    <t>Puša za fiksno točko za fiksno točko</t>
  </si>
  <si>
    <t>Fixpunktsbussning för fast punkt</t>
  </si>
  <si>
    <t>Fastpunktsbøsning til fast punkt</t>
  </si>
  <si>
    <t>Fastpunkthylse for fast punkt</t>
  </si>
  <si>
    <t>Čahura fiksne točke za fiksnu točku</t>
  </si>
  <si>
    <t>galvanisé à chaud</t>
  </si>
  <si>
    <t>zincato a caldo</t>
  </si>
  <si>
    <t>žárově zinkováno</t>
  </si>
  <si>
    <t>ocynkowany ogniowo</t>
  </si>
  <si>
    <t>tűzihorganyzott</t>
  </si>
  <si>
    <t>žiarovo pozinkované</t>
  </si>
  <si>
    <t>thermisch verzinkt</t>
  </si>
  <si>
    <t>vroče cinkano</t>
  </si>
  <si>
    <t>varmförzinkad</t>
  </si>
  <si>
    <t>varmgalvaniseret</t>
  </si>
  <si>
    <t>varmgalvanisert</t>
  </si>
  <si>
    <t>vruće pocinčano</t>
  </si>
  <si>
    <t>Acciaio zincato a caldo</t>
  </si>
  <si>
    <t>žárově pozinkovaná ocel</t>
  </si>
  <si>
    <t>Stal ocynkowana ogniowo</t>
  </si>
  <si>
    <t>tűzihorganyzott acél</t>
  </si>
  <si>
    <t>žiarovo pozinkovaná oceľ</t>
  </si>
  <si>
    <t>thermisch verzinkt staal</t>
  </si>
  <si>
    <t>vroče cinkano jeklo</t>
  </si>
  <si>
    <t>varmförzinkat stål</t>
  </si>
  <si>
    <t>varmgalvaniseret stål</t>
  </si>
  <si>
    <t>varmgalvanisert stål</t>
  </si>
  <si>
    <t>vruće pocinčani čelik</t>
  </si>
  <si>
    <t>Guarnizione superficiale</t>
  </si>
  <si>
    <t>Plošné těsnění</t>
  </si>
  <si>
    <t>Uszczelnienie powierzchni</t>
  </si>
  <si>
    <t>Felületi tömítés</t>
  </si>
  <si>
    <t>Plošné tesnenie</t>
  </si>
  <si>
    <t>Oppervlakte afdichting</t>
  </si>
  <si>
    <t>Tesnilo površine</t>
  </si>
  <si>
    <t>Ytpackning</t>
  </si>
  <si>
    <t>Overflade tætning</t>
  </si>
  <si>
    <t>Overflatespakning</t>
  </si>
  <si>
    <t>Površinska brtva</t>
  </si>
  <si>
    <t>Profilo piatto</t>
  </si>
  <si>
    <t>Plochý profil</t>
  </si>
  <si>
    <t>Profil płaski</t>
  </si>
  <si>
    <t>Lapos profil</t>
  </si>
  <si>
    <t>Plat profiel</t>
  </si>
  <si>
    <t>Ravni profil</t>
  </si>
  <si>
    <t>Platt profil</t>
  </si>
  <si>
    <t>Fladt profil</t>
  </si>
  <si>
    <t>Flatt profil</t>
  </si>
  <si>
    <t>Profilé plat pour étai de chapeau de cheminée</t>
  </si>
  <si>
    <t>Profilo piatto per supporto cappello camino</t>
  </si>
  <si>
    <t>Plochý profil pro podpěru komínového klobouku</t>
  </si>
  <si>
    <t>Płaski profil dla podpory kaptura kominowego</t>
  </si>
  <si>
    <t>Lapos profil kémény sapka támaszhoz</t>
  </si>
  <si>
    <t>Plochý profil pre podperu komínového klobúka</t>
  </si>
  <si>
    <t>Vlak profiel voor schoorsteen kap steun</t>
  </si>
  <si>
    <t>Ravni profil za podporo dimniškega klobuka</t>
  </si>
  <si>
    <t>Platt profil för skorstenshatt stag</t>
  </si>
  <si>
    <t>Fladt profil til skorstenshætte støtte</t>
  </si>
  <si>
    <t>Flatt profil for skorsteinhattstøtte</t>
  </si>
  <si>
    <t>Ravni profil za potpornjak dimnog poklopca</t>
  </si>
  <si>
    <t>Film</t>
  </si>
  <si>
    <t>Pellicola</t>
  </si>
  <si>
    <t>Fólie</t>
  </si>
  <si>
    <t>Folia</t>
  </si>
  <si>
    <t>Nucleo FR</t>
  </si>
  <si>
    <t>FR jádro</t>
  </si>
  <si>
    <t>Rdzeń FR</t>
  </si>
  <si>
    <t>FR mag</t>
  </si>
  <si>
    <t>FR jadro</t>
  </si>
  <si>
    <t>FR kern</t>
  </si>
  <si>
    <t>FR jedro</t>
  </si>
  <si>
    <t>FR-kärna</t>
  </si>
  <si>
    <t>FR-kerne</t>
  </si>
  <si>
    <t>FR-kjerne</t>
  </si>
  <si>
    <t>FR jezgra</t>
  </si>
  <si>
    <t>Sfiato per pannello di copertura FX.12 (grande)</t>
  </si>
  <si>
    <t>Větrací otvor pro střešní panel FX.12 (velký)</t>
  </si>
  <si>
    <t>Wentylacja dla panelu dachowego FX.12 (duży)</t>
  </si>
  <si>
    <t>Szellőzőnyílás tetőpanelhez FX.12 (nagy)</t>
  </si>
  <si>
    <t>Vetrací otvor pre strešný panel FX.12 (veľký)</t>
  </si>
  <si>
    <t>Ventilatie voor dakpaneel FX.12 (groot)</t>
  </si>
  <si>
    <t>Prezračevalna odprtina za strešno ploščo FX.12 (velika)</t>
  </si>
  <si>
    <t>Ventil för takpanel FX.12 (stor)</t>
  </si>
  <si>
    <t>Ventilation til tagpanel FX.12 (stor)</t>
  </si>
  <si>
    <t>Ventilasjon for takpanel FX.12 (stor)</t>
  </si>
  <si>
    <t>Ventilacija za krovni panel FX.12 (veliki)</t>
  </si>
  <si>
    <t>chatière pour panneau de toiture FX.12 (petit)</t>
  </si>
  <si>
    <t>Sfiato per pannello di copertura FX.12 (piccolo)</t>
  </si>
  <si>
    <t>Větrací otvor pro střešní panel FX.12 (malý)</t>
  </si>
  <si>
    <t>Wentylacja dla panelu dachowego FX.12 (mały)</t>
  </si>
  <si>
    <t>Szellőzőnyílás tetőpanelhez FX.12 (kicsi)</t>
  </si>
  <si>
    <t>Vetrací otvor pre strešný panel FX.12 (malý)</t>
  </si>
  <si>
    <t>Ventilatie voor dakpaneel FX.12 (klein)</t>
  </si>
  <si>
    <t>Prezračevalna odprtina za strešno ploščo FX.12 (majhna)</t>
  </si>
  <si>
    <t>Ventil för takpanel FX.12 (liten)</t>
  </si>
  <si>
    <t>Ventilation til tagpanel FX.12 (lille)</t>
  </si>
  <si>
    <t>Ventilasjon for takpanel FX.12 (liten)</t>
  </si>
  <si>
    <t>Ventilacija za krovni panel FX.12 (mali)</t>
  </si>
  <si>
    <t>Sfiato per lastra di copertura</t>
  </si>
  <si>
    <t>Větrací otvor pro střešní desku</t>
  </si>
  <si>
    <t>Wentylacja dla płyty dachowej</t>
  </si>
  <si>
    <t>Szellőzőnyílás tetőlemezhez</t>
  </si>
  <si>
    <t>Vetrací otvor pre strešnú dosku</t>
  </si>
  <si>
    <t>Ventilatie voor dakplaat</t>
  </si>
  <si>
    <t>Prezračevalna odprtina za strešno ploščo</t>
  </si>
  <si>
    <t>Ventil för takplåt</t>
  </si>
  <si>
    <t>Ventilation til tagplade</t>
  </si>
  <si>
    <t>Ventilasjon for takplate</t>
  </si>
  <si>
    <t>Ventilacija za krovnu ploču</t>
  </si>
  <si>
    <t>Sfiato per lastra di copertura R.16</t>
  </si>
  <si>
    <t>Větrací otvor pro střešní desku R.16</t>
  </si>
  <si>
    <t>Wentylacja dla płyty dachowej R.16</t>
  </si>
  <si>
    <t>Szellőzőnyílás tetőlemezhez R.16</t>
  </si>
  <si>
    <t>Vetrací otvor pre strešnú dosku R.16</t>
  </si>
  <si>
    <t>Ventilatie voor dakplaat R.16</t>
  </si>
  <si>
    <t>Prezračevalna odprtina za strešno ploščo R.16</t>
  </si>
  <si>
    <t>Ventil för takplåt R.16</t>
  </si>
  <si>
    <t>Ventilation til tagplade R.16</t>
  </si>
  <si>
    <t>Ventilasjon for takplate R.16</t>
  </si>
  <si>
    <t>Ventilacija za krovnu ploču R.16</t>
  </si>
  <si>
    <t>chatière pour losange de toiture 29 x 29</t>
  </si>
  <si>
    <t>Sfiato per rombo di copertura 29 x 29</t>
  </si>
  <si>
    <t>Větrací otvor pro střešní kosočtverec 29 x 29</t>
  </si>
  <si>
    <t>Wentylacja dla rombu dachowego 29 x 29</t>
  </si>
  <si>
    <t>Szellőzőnyílás tetőgyémánt számára 29 x 29</t>
  </si>
  <si>
    <t>Vetrací otvor pre strešný kosoštvorec 29 x 29</t>
  </si>
  <si>
    <t>Ventilatie voor dakruit 29 x 29</t>
  </si>
  <si>
    <t>Prezračevalna odprtina za strešno rombo 29 x 29</t>
  </si>
  <si>
    <t>Ventil för takdiamant 29 x 29</t>
  </si>
  <si>
    <t>Ventilation til tagdiamant 29 x 29</t>
  </si>
  <si>
    <t>Ventilasjon for takdiamant 29 x 29</t>
  </si>
  <si>
    <t>Ventilacija za krovni romb 29 x 29</t>
  </si>
  <si>
    <t>chatière pour losange de toiture 44 x 44</t>
  </si>
  <si>
    <t>Sfiato per rombo di copertura 44 x 44</t>
  </si>
  <si>
    <t>Větrací otvor pro střešní kosočtverec 44 x 44</t>
  </si>
  <si>
    <t>Wentylacja dla rombu dachowego 44 x 44</t>
  </si>
  <si>
    <t>Szellőzőnyílás tetőgyémánt számára 44 x 44</t>
  </si>
  <si>
    <t>Vetrací otvor pre strešný kosoštvorec 44 x 44</t>
  </si>
  <si>
    <t>Ventilatie voor dakruit 44 x 44</t>
  </si>
  <si>
    <t>Prezračevalna odprtina za strešno rombo 44 x 44</t>
  </si>
  <si>
    <t>Ventil för takdiamant 44 x 44</t>
  </si>
  <si>
    <t>Ventilation til tagdiamant 44 x 44</t>
  </si>
  <si>
    <t>Ventilasjon for takdiamant 44 x 44</t>
  </si>
  <si>
    <t>Ventilacija za krovni romb 44 x 44</t>
  </si>
  <si>
    <t>Sfiato per tegola</t>
  </si>
  <si>
    <t>Větrací otvor pro střešní šindel</t>
  </si>
  <si>
    <t>Wentylacja dla gontu dachowego</t>
  </si>
  <si>
    <t>Szellőzőnyílás tetőzsindelyhez</t>
  </si>
  <si>
    <t>Vetrací otvor pre strešný šindeľ</t>
  </si>
  <si>
    <t>Ventilatie voor dakshingle</t>
  </si>
  <si>
    <t>Prezračevalna odprtina za strešno skodlo</t>
  </si>
  <si>
    <t>Ventil för takshingel</t>
  </si>
  <si>
    <t>Ventilation til tagshingle</t>
  </si>
  <si>
    <t>Ventilasjon for takshingel</t>
  </si>
  <si>
    <t>Ventilacija za krovni šindel</t>
  </si>
  <si>
    <t>Sfiato per tegola DS.19</t>
  </si>
  <si>
    <t>Větrací otvor pro střešní šindel DS.19</t>
  </si>
  <si>
    <t>Wentylacja dla gontu dachowego DS.19</t>
  </si>
  <si>
    <t>Szellőzőnyílás tetőzsindelyhez DS.19</t>
  </si>
  <si>
    <t>Vetrací otvor pre strešný šindeľ DS.19</t>
  </si>
  <si>
    <t>Ventilatie voor dakshingle DS.19</t>
  </si>
  <si>
    <t>Prezračevalna odprtina za strešno skodlo DS.19</t>
  </si>
  <si>
    <t>Ventil för takshingel DS.19</t>
  </si>
  <si>
    <t>Ventilation til tagshingle DS.19</t>
  </si>
  <si>
    <t>Ventilasjon for takshingel DS.19</t>
  </si>
  <si>
    <t>Ventilacija za krovni šindel DS.19</t>
  </si>
  <si>
    <t>pour montage caché</t>
  </si>
  <si>
    <t>per installazione nascosta</t>
  </si>
  <si>
    <t>pro skrytou montáž</t>
  </si>
  <si>
    <t>do ukrytego montażu</t>
  </si>
  <si>
    <t>rejtett szereléshez</t>
  </si>
  <si>
    <t>pre skrytú montáž</t>
  </si>
  <si>
    <t>voor verborgen montage</t>
  </si>
  <si>
    <t>za skrito montažo</t>
  </si>
  <si>
    <t>för dold montering</t>
  </si>
  <si>
    <t>til skjult montering</t>
  </si>
  <si>
    <t>for skjult montering</t>
  </si>
  <si>
    <t>za skrivenu montažu</t>
  </si>
  <si>
    <t>pièces de base</t>
  </si>
  <si>
    <t>parti di base</t>
  </si>
  <si>
    <t>základní díly</t>
  </si>
  <si>
    <t>części bazowe</t>
  </si>
  <si>
    <t>alapalkatrészek</t>
  </si>
  <si>
    <t>základné diely</t>
  </si>
  <si>
    <t>voetdelen</t>
  </si>
  <si>
    <t>osnovni deli</t>
  </si>
  <si>
    <t>fotdelar</t>
  </si>
  <si>
    <t>føddele</t>
  </si>
  <si>
    <t>fotdeler</t>
  </si>
  <si>
    <t>osnovni dijelovi</t>
  </si>
  <si>
    <t>pièces de base avec joint de surface</t>
  </si>
  <si>
    <t>parti di base con guarnizione di superficie</t>
  </si>
  <si>
    <t>základní díly s povrchovým těsněním</t>
  </si>
  <si>
    <t>części bazowe z uszczelnieniem powierzchniowym</t>
  </si>
  <si>
    <t>alapalkatrészek felületi tömítéssel</t>
  </si>
  <si>
    <t>základné diely s povrchovým tesnením</t>
  </si>
  <si>
    <t>voetdelen met oppervlakteafdichting</t>
  </si>
  <si>
    <t>osnovni deli s površinskim tesnjenjem</t>
  </si>
  <si>
    <t>fotdelar med yttätning</t>
  </si>
  <si>
    <t>føddele med overflade tætning</t>
  </si>
  <si>
    <t>fotdeler med overflatetetning</t>
  </si>
  <si>
    <t>osnovni dijelovi s površinskim brtvljenjem</t>
  </si>
  <si>
    <t>formes de lucarne</t>
  </si>
  <si>
    <t>forme abbaino</t>
  </si>
  <si>
    <t>tvary vikýřů</t>
  </si>
  <si>
    <t>kształty lukarn</t>
  </si>
  <si>
    <t>tetőablak formák</t>
  </si>
  <si>
    <t>tvary vikýřov</t>
  </si>
  <si>
    <t>dakkapel vormen</t>
  </si>
  <si>
    <t>oblike frčade</t>
  </si>
  <si>
    <t>takfönsterformer</t>
  </si>
  <si>
    <t>kvistformer</t>
  </si>
  <si>
    <t>arkvinduformer</t>
  </si>
  <si>
    <t>oblici krovnih prozora</t>
  </si>
  <si>
    <t>forato e sbavato</t>
  </si>
  <si>
    <t>vrtané a odjehlované</t>
  </si>
  <si>
    <t>wiercone i odgratowane</t>
  </si>
  <si>
    <t>fúrt és sorjázott</t>
  </si>
  <si>
    <t>vŕtané a odhrotované</t>
  </si>
  <si>
    <t>geboord en ontbraamd</t>
  </si>
  <si>
    <t>vrtano in posneto</t>
  </si>
  <si>
    <t>borrad och gradad</t>
  </si>
  <si>
    <t>boret og afgratet</t>
  </si>
  <si>
    <t>boret og avgradet</t>
  </si>
  <si>
    <t>bušeno i odrubljeno</t>
  </si>
  <si>
    <t>modèle d'utilité</t>
  </si>
  <si>
    <t>modello di utilità</t>
  </si>
  <si>
    <t>užitný vzor</t>
  </si>
  <si>
    <t>wzór użytkowy</t>
  </si>
  <si>
    <t>használati minta</t>
  </si>
  <si>
    <t>úžitkový vzor</t>
  </si>
  <si>
    <t>gebruiksmodel</t>
  </si>
  <si>
    <t>uporabni model</t>
  </si>
  <si>
    <t>bruksmodell</t>
  </si>
  <si>
    <t>brugsmodel</t>
  </si>
  <si>
    <t>korisni model</t>
  </si>
  <si>
    <t>plié</t>
  </si>
  <si>
    <t>piegato</t>
  </si>
  <si>
    <t>skládaný</t>
  </si>
  <si>
    <t>składane</t>
  </si>
  <si>
    <t>hajtogatott</t>
  </si>
  <si>
    <t>skladaný</t>
  </si>
  <si>
    <t>gevouwen</t>
  </si>
  <si>
    <t>zložen</t>
  </si>
  <si>
    <t>veckad</t>
  </si>
  <si>
    <t>foldet</t>
  </si>
  <si>
    <t>presavijeni</t>
  </si>
  <si>
    <t>fresato</t>
  </si>
  <si>
    <t>frézovaný</t>
  </si>
  <si>
    <t>frezowane</t>
  </si>
  <si>
    <t>marás</t>
  </si>
  <si>
    <t>gefreesd</t>
  </si>
  <si>
    <t>rezkano</t>
  </si>
  <si>
    <t>fräst</t>
  </si>
  <si>
    <t>fræset</t>
  </si>
  <si>
    <t>frest</t>
  </si>
  <si>
    <t>frezeno</t>
  </si>
  <si>
    <t>fresato e sbavato</t>
  </si>
  <si>
    <t>frézovaný a odjehlovaný</t>
  </si>
  <si>
    <t>frezowane i odgratowane</t>
  </si>
  <si>
    <t>marás és sorjázás</t>
  </si>
  <si>
    <t>frézovaný a odhrotovaný</t>
  </si>
  <si>
    <t>gefreesd en ontbraamd</t>
  </si>
  <si>
    <t>rezkano in posneto</t>
  </si>
  <si>
    <t>fräst och gradad</t>
  </si>
  <si>
    <t>fræset og afgratet</t>
  </si>
  <si>
    <t>frest og avgradet</t>
  </si>
  <si>
    <t>frezeno i odrubljeno</t>
  </si>
  <si>
    <t>zone perforée</t>
  </si>
  <si>
    <t>area perforata</t>
  </si>
  <si>
    <t>perforovaná oblast</t>
  </si>
  <si>
    <t>perforowany obszar</t>
  </si>
  <si>
    <t>perforált terület</t>
  </si>
  <si>
    <t>perforovaná oblasť</t>
  </si>
  <si>
    <t>geperforeerd gebied</t>
  </si>
  <si>
    <t>perforirano območje</t>
  </si>
  <si>
    <t>perforerat område</t>
  </si>
  <si>
    <t>perforeret område</t>
  </si>
  <si>
    <t>perforert område</t>
  </si>
  <si>
    <t>perforirano područje</t>
  </si>
  <si>
    <t>cloué</t>
  </si>
  <si>
    <t>inchiodato</t>
  </si>
  <si>
    <t>přibité</t>
  </si>
  <si>
    <t>przybite</t>
  </si>
  <si>
    <t>szögelve</t>
  </si>
  <si>
    <t>pribité</t>
  </si>
  <si>
    <t>genageld</t>
  </si>
  <si>
    <t>žebljeno</t>
  </si>
  <si>
    <t>spikad</t>
  </si>
  <si>
    <t>sømt</t>
  </si>
  <si>
    <t>spikret</t>
  </si>
  <si>
    <t>zakucano</t>
  </si>
  <si>
    <t>testato per la sicurezza di due persone</t>
  </si>
  <si>
    <t>testováno pro zajištění dvou osob</t>
  </si>
  <si>
    <t>przetestowane do zabezpieczenia dwóch osób</t>
  </si>
  <si>
    <t>tesztelve két ember biztosítására</t>
  </si>
  <si>
    <t>testované pre zabezpečenie dvoch osôb</t>
  </si>
  <si>
    <t>getest voor de beveiliging van twee personen</t>
  </si>
  <si>
    <t>preizkušeno za zavarovanje dveh oseb</t>
  </si>
  <si>
    <t>testad för att säkra två personer</t>
  </si>
  <si>
    <t>testet til at sikre to personer</t>
  </si>
  <si>
    <t>testet for sikring av to personer</t>
  </si>
  <si>
    <t>testirano za osiguranje dvije osobe</t>
  </si>
  <si>
    <t>segato</t>
  </si>
  <si>
    <t>řezané</t>
  </si>
  <si>
    <t>cięte</t>
  </si>
  <si>
    <t>fűrészelt</t>
  </si>
  <si>
    <t>rezané</t>
  </si>
  <si>
    <t>gezaagd</t>
  </si>
  <si>
    <t>žagano</t>
  </si>
  <si>
    <t>sågad</t>
  </si>
  <si>
    <t>savskåret</t>
  </si>
  <si>
    <t>saget</t>
  </si>
  <si>
    <t>piljeno</t>
  </si>
  <si>
    <t>segato e sbavato</t>
  </si>
  <si>
    <t>řezané a odjehlované</t>
  </si>
  <si>
    <t>cięte i odgratowane</t>
  </si>
  <si>
    <t>fűrészelt és sorjázott</t>
  </si>
  <si>
    <t>rezané a odhrotované</t>
  </si>
  <si>
    <t>gezaagd en ontbraamd</t>
  </si>
  <si>
    <t>žagano in posneto</t>
  </si>
  <si>
    <t>sågad och gradad</t>
  </si>
  <si>
    <t>savskåret og afgratet</t>
  </si>
  <si>
    <t>saget og avgradet</t>
  </si>
  <si>
    <t>piljeno i odrubljeno</t>
  </si>
  <si>
    <t>Altezza totale</t>
  </si>
  <si>
    <t>Celková výška</t>
  </si>
  <si>
    <t>Całkowita wysokość</t>
  </si>
  <si>
    <t>Teljes magasság</t>
  </si>
  <si>
    <t>Totale hoogte</t>
  </si>
  <si>
    <t>Skupna višina</t>
  </si>
  <si>
    <t>Totalhöjd</t>
  </si>
  <si>
    <t>Samlet højde</t>
  </si>
  <si>
    <t>Total høyde</t>
  </si>
  <si>
    <t>Ukupna visina</t>
  </si>
  <si>
    <t>Lunghezza totale</t>
  </si>
  <si>
    <t>Całkowita długość</t>
  </si>
  <si>
    <t>Teljes hosszúság</t>
  </si>
  <si>
    <t>Totallängd</t>
  </si>
  <si>
    <t>vissé</t>
  </si>
  <si>
    <t>avvitato</t>
  </si>
  <si>
    <t>šroubovaný</t>
  </si>
  <si>
    <t>przykręcony</t>
  </si>
  <si>
    <t>csavarozott</t>
  </si>
  <si>
    <t>zaskrutkovaný</t>
  </si>
  <si>
    <t>geschroefd</t>
  </si>
  <si>
    <t>privit</t>
  </si>
  <si>
    <t>skruvad</t>
  </si>
  <si>
    <t>skruet</t>
  </si>
  <si>
    <t>skrudd</t>
  </si>
  <si>
    <t>zavijeno</t>
  </si>
  <si>
    <t>incassato</t>
  </si>
  <si>
    <t>zapouzdřený</t>
  </si>
  <si>
    <t>wpuszczany</t>
  </si>
  <si>
    <t>süllyesztett</t>
  </si>
  <si>
    <t>zápustný</t>
  </si>
  <si>
    <t>verzonken</t>
  </si>
  <si>
    <t>vgreznjen</t>
  </si>
  <si>
    <t>försänkt</t>
  </si>
  <si>
    <t>forsænket</t>
  </si>
  <si>
    <t>forsenket</t>
  </si>
  <si>
    <t>u upuštenju</t>
  </si>
  <si>
    <t>trou de vis fraisé</t>
  </si>
  <si>
    <t>foro per vite incassato</t>
  </si>
  <si>
    <t>zapouzdřený otvor pro šroub</t>
  </si>
  <si>
    <t>wpuszczany otwór na śrubę</t>
  </si>
  <si>
    <t>süllyesztett csavarfurat</t>
  </si>
  <si>
    <t>zápustný otvor na skrutku</t>
  </si>
  <si>
    <t>verzonken schroefgat</t>
  </si>
  <si>
    <t>vgreznjena luknja za vijak</t>
  </si>
  <si>
    <t>försänkt skruvhål</t>
  </si>
  <si>
    <t>forsænket skruehul</t>
  </si>
  <si>
    <t>forsenket skruehull</t>
  </si>
  <si>
    <t>upuštena rupa za vijak</t>
  </si>
  <si>
    <t>Poids</t>
  </si>
  <si>
    <t>Peso</t>
  </si>
  <si>
    <t>Hmotnost</t>
  </si>
  <si>
    <t>Waga</t>
  </si>
  <si>
    <t>Súly</t>
  </si>
  <si>
    <t>Hmotnosť</t>
  </si>
  <si>
    <t>Teža</t>
  </si>
  <si>
    <t>Vikt</t>
  </si>
  <si>
    <t>Vægt</t>
  </si>
  <si>
    <t>Vekt</t>
  </si>
  <si>
    <t>Težina</t>
  </si>
  <si>
    <t>Peso per foglio</t>
  </si>
  <si>
    <t>Hmotnost na list</t>
  </si>
  <si>
    <t>Waga na arkusz</t>
  </si>
  <si>
    <t>Súly laponként</t>
  </si>
  <si>
    <t>Hmotnosť na list</t>
  </si>
  <si>
    <t>Gewicht per vel</t>
  </si>
  <si>
    <t>Teža na list</t>
  </si>
  <si>
    <t>Vikt per ark</t>
  </si>
  <si>
    <t>Vægt pr. ark</t>
  </si>
  <si>
    <t>Vekt per ark</t>
  </si>
  <si>
    <t>Težina po listu</t>
  </si>
  <si>
    <t>Filettatura</t>
  </si>
  <si>
    <t>Závit</t>
  </si>
  <si>
    <t>Gwint</t>
  </si>
  <si>
    <t>Menet</t>
  </si>
  <si>
    <t>Draad</t>
  </si>
  <si>
    <t>Navoj</t>
  </si>
  <si>
    <t>Gänga</t>
  </si>
  <si>
    <t>Gevind</t>
  </si>
  <si>
    <t>Gjenge</t>
  </si>
  <si>
    <t>Filetage sans mandrin</t>
  </si>
  <si>
    <t>Filettatura senza mandrino</t>
  </si>
  <si>
    <t>Závit bez trnu</t>
  </si>
  <si>
    <t>Gwint bez trzpienia</t>
  </si>
  <si>
    <t>Menet tüske nélkül</t>
  </si>
  <si>
    <t>Závit bez tŕňa</t>
  </si>
  <si>
    <t>Draad zonder doorn</t>
  </si>
  <si>
    <t>Navoj brez trna</t>
  </si>
  <si>
    <t>Gänga utan dorn</t>
  </si>
  <si>
    <t>Gevind uden dorn</t>
  </si>
  <si>
    <t>Gjenge uten dor</t>
  </si>
  <si>
    <t>Navoj bez trna</t>
  </si>
  <si>
    <t>Giallo ginestra</t>
  </si>
  <si>
    <t>Janovec žlutý</t>
  </si>
  <si>
    <t>Żółty janowiec</t>
  </si>
  <si>
    <t>Rekettye sárga</t>
  </si>
  <si>
    <t>Žltý kôpor</t>
  </si>
  <si>
    <t>Bremgeel</t>
  </si>
  <si>
    <t>Rumeni žarek</t>
  </si>
  <si>
    <t>Ginstgul</t>
  </si>
  <si>
    <t>Gyvelgul</t>
  </si>
  <si>
    <t>Žuta žuka</t>
  </si>
  <si>
    <t>liscio con film</t>
  </si>
  <si>
    <t>hladký s fólií</t>
  </si>
  <si>
    <t>gładki z folią</t>
  </si>
  <si>
    <t>sima fóliával</t>
  </si>
  <si>
    <t>hladký s fóliou</t>
  </si>
  <si>
    <t>glad met folie</t>
  </si>
  <si>
    <t>gladko s folijo</t>
  </si>
  <si>
    <t>slät med film</t>
  </si>
  <si>
    <t>glat med film</t>
  </si>
  <si>
    <t>glatt med film</t>
  </si>
  <si>
    <t>glatko s filmom</t>
  </si>
  <si>
    <t>Joint coulissant</t>
  </si>
  <si>
    <t>Giunto scorrevole</t>
  </si>
  <si>
    <t>Kluzné spojení</t>
  </si>
  <si>
    <t>Połączenie ślizgowe</t>
  </si>
  <si>
    <t>Csúszócsukló</t>
  </si>
  <si>
    <t>Kĺbový spoj</t>
  </si>
  <si>
    <t>Glijverbinding</t>
  </si>
  <si>
    <t>Drsni spoj</t>
  </si>
  <si>
    <t>Glidfogar</t>
  </si>
  <si>
    <t>Glideled</t>
  </si>
  <si>
    <t>Glidende ledd</t>
  </si>
  <si>
    <t>Klizni spoj</t>
  </si>
  <si>
    <t>Giunto scorrevole per onda profilata e profilo dentato</t>
  </si>
  <si>
    <t>Kluzné spojení pro profilovou vlnu a zubatý profil</t>
  </si>
  <si>
    <t>Połączenie ślizgowe dla profilu falistego i ząbkowanego</t>
  </si>
  <si>
    <t>Csúszócsukló profilhullámhoz és fogazott profilhoz</t>
  </si>
  <si>
    <t>Kĺbový spoj pre profilovú vlnu a zúbkovaný profil</t>
  </si>
  <si>
    <t>Glijverbinding voor profielgolf en getand profiel</t>
  </si>
  <si>
    <t>Drsni spoj za profilni val in zobati profil</t>
  </si>
  <si>
    <t>Glidfogar för profilvåg och tandprofil</t>
  </si>
  <si>
    <t>Glideled for profilmuffe og takket profil</t>
  </si>
  <si>
    <t>Glidende ledd for profilbølge og tagget profil</t>
  </si>
  <si>
    <t>Klizni spoj za profilni val i nazubljeni profil</t>
  </si>
  <si>
    <t>Boccola di punto scorrevole</t>
  </si>
  <si>
    <t>Kluzná pouzdra</t>
  </si>
  <si>
    <t>Tuleja punktu ślizgowego</t>
  </si>
  <si>
    <t>Csúszó pont hüvely</t>
  </si>
  <si>
    <t>Kĺbová puzdra</t>
  </si>
  <si>
    <t>Glijpuntbus</t>
  </si>
  <si>
    <t>Drsna puša</t>
  </si>
  <si>
    <t>Glidpunktshylsa</t>
  </si>
  <si>
    <t>Glidepunkthylse</t>
  </si>
  <si>
    <t>Klizna točka čahure</t>
  </si>
  <si>
    <t>Cavalier de faîte</t>
  </si>
  <si>
    <t>Cavaliere di colmo</t>
  </si>
  <si>
    <t>Hřebenová jezdce</t>
  </si>
  <si>
    <t>Jezdziec kalenicowy</t>
  </si>
  <si>
    <t>Gerinclovas</t>
  </si>
  <si>
    <t>Hrebeňový jazdec</t>
  </si>
  <si>
    <t>Nokruiter</t>
  </si>
  <si>
    <t>Slemenski jahač</t>
  </si>
  <si>
    <t>Åsridare</t>
  </si>
  <si>
    <t>Rygplade rytter</t>
  </si>
  <si>
    <t>Mønerytter</t>
  </si>
  <si>
    <t>Sljemenski jahač</t>
  </si>
  <si>
    <t>Testa del cavaliere di colmo</t>
  </si>
  <si>
    <t>Hřebenová jezdec hlava</t>
  </si>
  <si>
    <t>Głowica jeźdźca kalenicowego</t>
  </si>
  <si>
    <t>Gerinclovas fej</t>
  </si>
  <si>
    <t>Hrebeňový jazdec hlava</t>
  </si>
  <si>
    <t>Nokruiterkop</t>
  </si>
  <si>
    <t>Glava slemenskega jahača</t>
  </si>
  <si>
    <t>Åsridare huvud</t>
  </si>
  <si>
    <t>Rygplade rytter hoved</t>
  </si>
  <si>
    <t>Mønerytter hode</t>
  </si>
  <si>
    <t>Glava sljemenskog jahača</t>
  </si>
  <si>
    <t>Grigio-verde</t>
  </si>
  <si>
    <t>Šedozelený</t>
  </si>
  <si>
    <t>Szaro-zielony</t>
  </si>
  <si>
    <t>Szürke-zöld</t>
  </si>
  <si>
    <t>Grijs-groen</t>
  </si>
  <si>
    <t>Sivo-zelena</t>
  </si>
  <si>
    <t>Grågrön</t>
  </si>
  <si>
    <t>Grågrøn</t>
  </si>
  <si>
    <t>Grågrønn</t>
  </si>
  <si>
    <t>profil en applique</t>
  </si>
  <si>
    <t>Profilo di base</t>
  </si>
  <si>
    <t>Základní profil</t>
  </si>
  <si>
    <t>Profil bazowy</t>
  </si>
  <si>
    <t>Alapprofil</t>
  </si>
  <si>
    <t>Základný profil</t>
  </si>
  <si>
    <t>Basisprofiel</t>
  </si>
  <si>
    <t>Osnovni profil</t>
  </si>
  <si>
    <t>Basprofil</t>
  </si>
  <si>
    <t>Grundprofil</t>
  </si>
  <si>
    <t>Grunnprofil</t>
  </si>
  <si>
    <t>Profilo di base 25</t>
  </si>
  <si>
    <t>Základní profil 25</t>
  </si>
  <si>
    <t>Profil bazowy 25</t>
  </si>
  <si>
    <t>Alapprofil 25</t>
  </si>
  <si>
    <t>Základný profil 25</t>
  </si>
  <si>
    <t>Basisprofiel 25</t>
  </si>
  <si>
    <t>Osnovni profil 25</t>
  </si>
  <si>
    <t>Basprofil 25</t>
  </si>
  <si>
    <t>Grunnprofil 25</t>
  </si>
  <si>
    <t>Profilo di base 50</t>
  </si>
  <si>
    <t>Základní profil 50</t>
  </si>
  <si>
    <t>Profil bazowy 50</t>
  </si>
  <si>
    <t>Alapprofil 50</t>
  </si>
  <si>
    <t>Základný profil 50</t>
  </si>
  <si>
    <t>Basisprofiel 50</t>
  </si>
  <si>
    <t>Osnovni profil 50</t>
  </si>
  <si>
    <t>Basprofil 50</t>
  </si>
  <si>
    <t>Grunnprofil 50</t>
  </si>
  <si>
    <t>Profilo di base 80</t>
  </si>
  <si>
    <t>Základní profil 80</t>
  </si>
  <si>
    <t>Profil bazowy 80</t>
  </si>
  <si>
    <t>Alapprofil 80</t>
  </si>
  <si>
    <t>Základný profil 80</t>
  </si>
  <si>
    <t>Basisprofiel 80</t>
  </si>
  <si>
    <t>Osnovni profil 80</t>
  </si>
  <si>
    <t>Basprofil 80</t>
  </si>
  <si>
    <t>Grunnprofil 80</t>
  </si>
  <si>
    <t>Clips pour systèmes à joints debout</t>
  </si>
  <si>
    <t>Clip per sistemi a giunto aggraffato</t>
  </si>
  <si>
    <t>Spony pro systémy se stojatým švem</t>
  </si>
  <si>
    <t>Zatrzaski do systemów rąbka stojącego</t>
  </si>
  <si>
    <t>Kapcsok állókorcos rendszerekhez</t>
  </si>
  <si>
    <t>Svorky pre systémy so stojatým švom</t>
  </si>
  <si>
    <t>Klemmen voor staande naadsystemen</t>
  </si>
  <si>
    <t>Sponke za sisteme s stoječimi šivi</t>
  </si>
  <si>
    <t>Klipp för stående sömsystem</t>
  </si>
  <si>
    <t>Klips til stående sømsystemer</t>
  </si>
  <si>
    <t>Klemmer for stående falssystemer</t>
  </si>
  <si>
    <t>Kopče za sustave s uspravnim šavom</t>
  </si>
  <si>
    <t>Clips vissés</t>
  </si>
  <si>
    <t>Clip avvitate</t>
  </si>
  <si>
    <t>Přišroubované spony</t>
  </si>
  <si>
    <t>Zatrzaski przykręcane</t>
  </si>
  <si>
    <t>Csavarozott kapcsok</t>
  </si>
  <si>
    <t>Skrutkované svorky</t>
  </si>
  <si>
    <t>Geschroefde klemmen</t>
  </si>
  <si>
    <t>Pritrjene sponke</t>
  </si>
  <si>
    <t>Skruvade klipp</t>
  </si>
  <si>
    <t>Skruede klips</t>
  </si>
  <si>
    <t>Skrudde klemmer</t>
  </si>
  <si>
    <t>Pričvršćene kopče</t>
  </si>
  <si>
    <t>Rivista di clip</t>
  </si>
  <si>
    <t>Sponkový zásobník</t>
  </si>
  <si>
    <t>Magazyn zatrzasków</t>
  </si>
  <si>
    <t>Kapocs magazin</t>
  </si>
  <si>
    <t>Zásobník na svorky</t>
  </si>
  <si>
    <t>Klemmenmagazijn</t>
  </si>
  <si>
    <t>Revija sponk</t>
  </si>
  <si>
    <t>Klippmagasin</t>
  </si>
  <si>
    <t>Klips magasin</t>
  </si>
  <si>
    <t>Klemmemagasin</t>
  </si>
  <si>
    <t>Spremnik kopči</t>
  </si>
  <si>
    <t>Bande de clips</t>
  </si>
  <si>
    <t>Striscia di clip</t>
  </si>
  <si>
    <t>Sponková lišta</t>
  </si>
  <si>
    <t>Listwa zatrzaskowa</t>
  </si>
  <si>
    <t>Kapocs szalag</t>
  </si>
  <si>
    <t>Svorková lišta</t>
  </si>
  <si>
    <t>Klemstrip</t>
  </si>
  <si>
    <t>Sponkasta letev</t>
  </si>
  <si>
    <t>Klippremsa</t>
  </si>
  <si>
    <t>Klips strimmel</t>
  </si>
  <si>
    <t>Klemmelist</t>
  </si>
  <si>
    <t>Traka kopči</t>
  </si>
  <si>
    <t>Detergente adesivo</t>
  </si>
  <si>
    <t>Čistič lepidel</t>
  </si>
  <si>
    <t>Środek czyszczący do kleju</t>
  </si>
  <si>
    <t>Ragasztó tisztító</t>
  </si>
  <si>
    <t>Čistič lepidiel</t>
  </si>
  <si>
    <t>Lijmreiniger</t>
  </si>
  <si>
    <t>Čistilo za lepilo</t>
  </si>
  <si>
    <t>Limrengöringsmedel</t>
  </si>
  <si>
    <t>Klæbemiddelrenser</t>
  </si>
  <si>
    <t>Limrens</t>
  </si>
  <si>
    <t>Čistač ljepila</t>
  </si>
  <si>
    <t>Gancio per sistema di rastrello da neve</t>
  </si>
  <si>
    <t>Háček pro sněhový hrabla</t>
  </si>
  <si>
    <t>Hak do systemu odśnieżającego</t>
  </si>
  <si>
    <t>Horog hórakodó rendszerhez</t>
  </si>
  <si>
    <t>Háčik pre snehové hrablo</t>
  </si>
  <si>
    <t>Haak voor sneeuwreksysteem</t>
  </si>
  <si>
    <t>Kavelj za sistem snežne grablje</t>
  </si>
  <si>
    <t>Krok för snöraka system</t>
  </si>
  <si>
    <t>Krog til sneskrabesystem</t>
  </si>
  <si>
    <t>Krok for snørakesystem</t>
  </si>
  <si>
    <t>Kuka za sustav za snijeg</t>
  </si>
  <si>
    <t>Gancio XL per sistema di rastrello da neve</t>
  </si>
  <si>
    <t>XL háček pro sněhový hrabla</t>
  </si>
  <si>
    <t>Hak XL do systemu odśnieżającego</t>
  </si>
  <si>
    <t>XL horog hórakodó rendszerhez</t>
  </si>
  <si>
    <t>XL háčik pre snehové hrablo</t>
  </si>
  <si>
    <t>XL-haak voor sneeuwreksysteem</t>
  </si>
  <si>
    <t>XL kavelj za sistem snežne grablje</t>
  </si>
  <si>
    <t>XL krok för snöraka system</t>
  </si>
  <si>
    <t>XL krog til sneskrabesystem</t>
  </si>
  <si>
    <t>XL krok for snørakesystem</t>
  </si>
  <si>
    <t>XL kuka za sustav za snijeg</t>
  </si>
  <si>
    <t>Supporto per 6 travi della diga</t>
  </si>
  <si>
    <t>Držák pro 6 hrázových nosníků</t>
  </si>
  <si>
    <t>Uchwyt na 6 belek tamowych</t>
  </si>
  <si>
    <t>Tartó 6 gátgerendához</t>
  </si>
  <si>
    <t>Držiak pre 6 hrádzových nosníkov</t>
  </si>
  <si>
    <t>Houder voor 6 stuwbalken</t>
  </si>
  <si>
    <t>Nosilec za 6 pregradnih tramov</t>
  </si>
  <si>
    <t>Hållare för 6 damm balkar</t>
  </si>
  <si>
    <t>Holder til 6 dæmningsbjælker</t>
  </si>
  <si>
    <t>Holder for 6 demningsbjelker</t>
  </si>
  <si>
    <t>Držač za 6 brana</t>
  </si>
  <si>
    <t>Grondaia sospesa e a cassetta</t>
  </si>
  <si>
    <t>Závěsný a skříňový žlab</t>
  </si>
  <si>
    <t>Rynna wisząca i skrzynkowa</t>
  </si>
  <si>
    <t>Lógó és doboz ereszcsatorna</t>
  </si>
  <si>
    <t>Závesný a skriňový žľab</t>
  </si>
  <si>
    <t>Hangende en bakgoot</t>
  </si>
  <si>
    <t>Viseči in škatlasti žleb</t>
  </si>
  <si>
    <t>Hängande och lådformig ränna</t>
  </si>
  <si>
    <t>Hængende og kassette tagrender</t>
  </si>
  <si>
    <t>Hengende og kasserende renne</t>
  </si>
  <si>
    <t>Viseći i kutijasti žlijeb</t>
  </si>
  <si>
    <t>Grondaia sospesa</t>
  </si>
  <si>
    <t>Závěsný žlab</t>
  </si>
  <si>
    <t>Rynna wisząca</t>
  </si>
  <si>
    <t>Lógó ereszcsatorna</t>
  </si>
  <si>
    <t>Závesný žľab</t>
  </si>
  <si>
    <t>Hangende goot</t>
  </si>
  <si>
    <t>Viseči žleb</t>
  </si>
  <si>
    <t>Hängränna</t>
  </si>
  <si>
    <t>Hængende tagrender</t>
  </si>
  <si>
    <t>Hengerenne</t>
  </si>
  <si>
    <t>Viseći žlijeb</t>
  </si>
  <si>
    <t>Grondaia sospesa (3 m) con film protettivo esterno</t>
  </si>
  <si>
    <t>Závěsný žlab (3 m) s ochrannou fólií na vnější straně</t>
  </si>
  <si>
    <t>Rynna wisząca (3 m) z folią ochronną na zewnątrz</t>
  </si>
  <si>
    <t>Lógó ereszcsatorna (3 m) külső védőfóliával</t>
  </si>
  <si>
    <t>Závesný žľab (3 m) s ochrannou fóliou na vonkajšej strane</t>
  </si>
  <si>
    <t>Hangende goot (3 m) met beschermfolie buiten</t>
  </si>
  <si>
    <t>Viseči žleb (3 m) z zaščitno folijo na zunanji strani</t>
  </si>
  <si>
    <t>Hängränna (3 m) med skyddsfilm på utsidan</t>
  </si>
  <si>
    <t>Hængende tagrender (3 m) med beskyttelsesfilm på ydersiden</t>
  </si>
  <si>
    <t>Hengerenne (3 m) med beskyttelsesfilm på utsiden</t>
  </si>
  <si>
    <t>Viseći žlijeb (3 m) s vanjskom zaštitnom folijom</t>
  </si>
  <si>
    <t>Grondaia sospesa (6 m) con pellicola protettiva esterna</t>
  </si>
  <si>
    <t>Závěsný žlab (6 m) s ochrannou fólií na vnější straně</t>
  </si>
  <si>
    <t>Rynna wisząca (6 m) z folią ochronną na zewnątrz</t>
  </si>
  <si>
    <t>Lógó ereszcsatorna (6 m) külső védőfóliával</t>
  </si>
  <si>
    <t>Závesný žľab (6 m) s ochrannou fóliou na vonkajšej strane</t>
  </si>
  <si>
    <t>Hangende goot (6 m) met beschermfolie aan de buitenkant</t>
  </si>
  <si>
    <t>Viseči žleb (6 m) z zaščitno folijo na zunanji strani</t>
  </si>
  <si>
    <t>Hängränna (6 m) med skyddsfilm utanför</t>
  </si>
  <si>
    <t>Hængende tagrender (6 m) med beskyttelsesfilm på ydersiden</t>
  </si>
  <si>
    <t>Hengerenne (6 m) med beskyttelsesfilm på utsiden</t>
  </si>
  <si>
    <t>Viseći žlijeb (6 m) s vanjskom zaštitnom folijom</t>
  </si>
  <si>
    <t>Gobba</t>
  </si>
  <si>
    <t>Hrbol</t>
  </si>
  <si>
    <t>Garb</t>
  </si>
  <si>
    <t>Dudor</t>
  </si>
  <si>
    <t>Bobbel</t>
  </si>
  <si>
    <t>Grb</t>
  </si>
  <si>
    <t>Bula</t>
  </si>
  <si>
    <t>Bule</t>
  </si>
  <si>
    <t>Kul</t>
  </si>
  <si>
    <t>Kvrga</t>
  </si>
  <si>
    <t>Avorio chiaro</t>
  </si>
  <si>
    <t>Světle slonová kost</t>
  </si>
  <si>
    <t>Jasno kość słoniowa</t>
  </si>
  <si>
    <t>Világos elefántcsont</t>
  </si>
  <si>
    <t>Svetlá slonovina</t>
  </si>
  <si>
    <t>Licht ivoor</t>
  </si>
  <si>
    <t>Svetla slonovina</t>
  </si>
  <si>
    <t>Ljus elfenben</t>
  </si>
  <si>
    <t>Lys elfenben</t>
  </si>
  <si>
    <t>Svijetla slonovača</t>
  </si>
  <si>
    <t>Grigio chiaro</t>
  </si>
  <si>
    <t>Světle šedá</t>
  </si>
  <si>
    <t>Jasnoszary</t>
  </si>
  <si>
    <t>Világosszürke</t>
  </si>
  <si>
    <t>Svetlosivá</t>
  </si>
  <si>
    <t>Lichtgrijs</t>
  </si>
  <si>
    <t>Svetlo siva</t>
  </si>
  <si>
    <t>Ljusgrå</t>
  </si>
  <si>
    <t>Lysegrå</t>
  </si>
  <si>
    <t>Lys grå</t>
  </si>
  <si>
    <t>Svijetlo siva</t>
  </si>
  <si>
    <t>revêtement en bobine haute durabilité</t>
  </si>
  <si>
    <t>rivestimento di bobina ad alta durata</t>
  </si>
  <si>
    <t>vysoce odolný nátěr cívky</t>
  </si>
  <si>
    <t>bardzo trwała powłoka cewki</t>
  </si>
  <si>
    <t>nagyon tartós tekercsbevonat</t>
  </si>
  <si>
    <t>vysoko odolný náter cievky</t>
  </si>
  <si>
    <t>zeer duurzame spoelbekleding</t>
  </si>
  <si>
    <t>zelo trpežen navit premaz</t>
  </si>
  <si>
    <t>mycket hållbar spolbeläggning</t>
  </si>
  <si>
    <t>meget holdbar coil coat</t>
  </si>
  <si>
    <t>svært holdbar spolbelegg</t>
  </si>
  <si>
    <t>vrlo izdržljiv premaz za namatanje</t>
  </si>
  <si>
    <t>Protezione contro le inondazioni</t>
  </si>
  <si>
    <t>Ochrana proti povodním</t>
  </si>
  <si>
    <t>Ochrona przed powodzią</t>
  </si>
  <si>
    <t>Árvédelmi</t>
  </si>
  <si>
    <t>Ochrana pred povodňami</t>
  </si>
  <si>
    <t>Overstromingsbescherming</t>
  </si>
  <si>
    <t>Zaščita pred poplavami</t>
  </si>
  <si>
    <t>Översvämningsskydd</t>
  </si>
  <si>
    <t>Oversvømmelsesbeskyttelse</t>
  </si>
  <si>
    <t>Flomvern</t>
  </si>
  <si>
    <t>Zaštita od poplava</t>
  </si>
  <si>
    <t>Cornice in legno</t>
  </si>
  <si>
    <t>Dřevěný rám</t>
  </si>
  <si>
    <t>Drewniana rama</t>
  </si>
  <si>
    <t>Fakeret</t>
  </si>
  <si>
    <t>Drevený rám</t>
  </si>
  <si>
    <t>Houten frame</t>
  </si>
  <si>
    <t>Leseni okvir</t>
  </si>
  <si>
    <t>Träram</t>
  </si>
  <si>
    <t>Træramme</t>
  </si>
  <si>
    <t>Tre ramme</t>
  </si>
  <si>
    <t>Drveni okvir</t>
  </si>
  <si>
    <t>Sotto-struttura in legno</t>
  </si>
  <si>
    <t>Dřevěná podkonstrukce</t>
  </si>
  <si>
    <t>Drewniana podkonstrukcja</t>
  </si>
  <si>
    <t>Fa alépítmény</t>
  </si>
  <si>
    <t>Drevená podkonštrukcia</t>
  </si>
  <si>
    <t>Houten onderconstructie</t>
  </si>
  <si>
    <t>Lesena podkonstrukcija</t>
  </si>
  <si>
    <t>Träunderkonstruktion</t>
  </si>
  <si>
    <t>Træunderkonstruktion</t>
  </si>
  <si>
    <t>Drvena podkonstrukcija</t>
  </si>
  <si>
    <t>Tuyau HT (tuyau haute température)</t>
  </si>
  <si>
    <t>Tubo HT (tubo ad alta temperatura)</t>
  </si>
  <si>
    <t>HT potrubí (potrubí s vysokou teplotou)</t>
  </si>
  <si>
    <t>Rura HT (rura wysokotemperaturowa)</t>
  </si>
  <si>
    <t>HT cső (magas hőmérsékletű cső)</t>
  </si>
  <si>
    <t>HT rúra (rúra s vysokou teplotou)</t>
  </si>
  <si>
    <t>HT-buis (hoge-temperatuur buis)</t>
  </si>
  <si>
    <t>HT cev (cev za visoke temperature)</t>
  </si>
  <si>
    <t>HT-rör (högtemperaturrör)</t>
  </si>
  <si>
    <t>HT-rør (højtemperaturrør)</t>
  </si>
  <si>
    <t>HT-rør (høytemperaturrør)</t>
  </si>
  <si>
    <t>HT cijev (cijev za visoke temperature)</t>
  </si>
  <si>
    <t>Tubo HT NW 110</t>
  </si>
  <si>
    <t>HT potrubí NW 110</t>
  </si>
  <si>
    <t>Rura HT NW 110</t>
  </si>
  <si>
    <t>HT cső NW 110</t>
  </si>
  <si>
    <t>HT rúra NW 110</t>
  </si>
  <si>
    <t>HT-buis NW 110</t>
  </si>
  <si>
    <t>HT cev NW 110</t>
  </si>
  <si>
    <t>HT-rör NW 110</t>
  </si>
  <si>
    <t>HT-rør NW 110</t>
  </si>
  <si>
    <t>HT cijev NW 110</t>
  </si>
  <si>
    <t>Tubo HT NW 125</t>
  </si>
  <si>
    <t>HT potrubí NW 125</t>
  </si>
  <si>
    <t>Rura HT NW 125</t>
  </si>
  <si>
    <t>HT cső NW 125</t>
  </si>
  <si>
    <t>HT rúra NW 125</t>
  </si>
  <si>
    <t>HT-buis NW 125</t>
  </si>
  <si>
    <t>HT cev NW 125</t>
  </si>
  <si>
    <t>HT-rör NW 125</t>
  </si>
  <si>
    <t>HT-rør NW 125</t>
  </si>
  <si>
    <t>HT cijev NW 125</t>
  </si>
  <si>
    <t>Tubo HT NW 75</t>
  </si>
  <si>
    <t>HT potrubí NW 75</t>
  </si>
  <si>
    <t>Rura HT NW 75</t>
  </si>
  <si>
    <t>HT cső NW 75</t>
  </si>
  <si>
    <t>HT rúra NW 75</t>
  </si>
  <si>
    <t>HT-buis NW 75</t>
  </si>
  <si>
    <t>HT cev NW 75</t>
  </si>
  <si>
    <t>HT-rör NW 75</t>
  </si>
  <si>
    <t>HT-rør NW 75</t>
  </si>
  <si>
    <t>HT cijev NW 75</t>
  </si>
  <si>
    <t>en qualité de pliage</t>
  </si>
  <si>
    <t>in qualità di piega</t>
  </si>
  <si>
    <t>v kvalitě švu</t>
  </si>
  <si>
    <t>w jakości szwu</t>
  </si>
  <si>
    <t>hajtási minőségben</t>
  </si>
  <si>
    <t>v kvalite švu</t>
  </si>
  <si>
    <t>in naadkwaliteit</t>
  </si>
  <si>
    <t>v kakovosti šiva</t>
  </si>
  <si>
    <t>i sömkvalitet</t>
  </si>
  <si>
    <t>i sømkvalitet</t>
  </si>
  <si>
    <t>u kvaliteti šava</t>
  </si>
  <si>
    <t>in qualità P.10</t>
  </si>
  <si>
    <t>v kvalitě P.10</t>
  </si>
  <si>
    <t>w jakości P.10</t>
  </si>
  <si>
    <t>P.10 minőségben</t>
  </si>
  <si>
    <t>v kvalite P.10</t>
  </si>
  <si>
    <t>in P.10-kwaliteit</t>
  </si>
  <si>
    <t>v kakovosti P.10</t>
  </si>
  <si>
    <t>i P.10-kvalitet</t>
  </si>
  <si>
    <t>i P.10 kvalitet</t>
  </si>
  <si>
    <t>u kvaliteti P.10</t>
  </si>
  <si>
    <t>intérieur</t>
  </si>
  <si>
    <t>interno</t>
  </si>
  <si>
    <t>uvnitř</t>
  </si>
  <si>
    <t>wewnątrz</t>
  </si>
  <si>
    <t>belső</t>
  </si>
  <si>
    <t>vo vnútri</t>
  </si>
  <si>
    <t>binnen</t>
  </si>
  <si>
    <t>znotraj</t>
  </si>
  <si>
    <t>inuti</t>
  </si>
  <si>
    <t>indvendig</t>
  </si>
  <si>
    <t>innvendig</t>
  </si>
  <si>
    <t>unutarnji</t>
  </si>
  <si>
    <t>Coin intérieur (une pièce)</t>
  </si>
  <si>
    <t>Angolo interno (pezzo unico)</t>
  </si>
  <si>
    <t>Vnitřní roh (jednodílný)</t>
  </si>
  <si>
    <t>Wewnętrzny narożnik (jednoczęściowy)</t>
  </si>
  <si>
    <t>Belső sarok (egyrészes)</t>
  </si>
  <si>
    <t>Vnútorný roh (jednodielny)</t>
  </si>
  <si>
    <t>Binnenhoek (eendelig)</t>
  </si>
  <si>
    <t>Notranji kot (enosestavni)</t>
  </si>
  <si>
    <t>Innerhörn (enkel del)</t>
  </si>
  <si>
    <t>Indre hjørne (enkeltdel)</t>
  </si>
  <si>
    <t>Indre hjørne (en del)</t>
  </si>
  <si>
    <t>Unutarnji kut (jednodijelni)</t>
  </si>
  <si>
    <t>Coin intérieur (multi-pièces)</t>
  </si>
  <si>
    <t>Angolo interno (multi-pezzo)</t>
  </si>
  <si>
    <t>Vnitřní roh (vícedílný)</t>
  </si>
  <si>
    <t>Wewnętrzny narożnik (wieloczęściowy)</t>
  </si>
  <si>
    <t>Belső sarok (többrészes)</t>
  </si>
  <si>
    <t>Vnútorný roh (viacdielny)</t>
  </si>
  <si>
    <t>Binnenhoek (meerdelig)</t>
  </si>
  <si>
    <t>Notranji kot (večdelni)</t>
  </si>
  <si>
    <t>Innerhörn (flerdelad)</t>
  </si>
  <si>
    <t>Indre hjørne (flerdelt)</t>
  </si>
  <si>
    <t>Unutarnji kut (višedijelni)</t>
  </si>
  <si>
    <t>Risvolto interno</t>
  </si>
  <si>
    <t>Vnitřní ohyb</t>
  </si>
  <si>
    <t>Zagięcie wewnętrzne</t>
  </si>
  <si>
    <t>Belső hajtás</t>
  </si>
  <si>
    <t>Vnútorný ohyb</t>
  </si>
  <si>
    <t>Interne vouw</t>
  </si>
  <si>
    <t>Notranji ovinek</t>
  </si>
  <si>
    <t>Inre veck</t>
  </si>
  <si>
    <t>Indvendig fold</t>
  </si>
  <si>
    <t>Indre kant</t>
  </si>
  <si>
    <t>Unutarnji pregib</t>
  </si>
  <si>
    <t>Testa di ventilatore a getto</t>
  </si>
  <si>
    <t>Hlava tryskového ventilátoru</t>
  </si>
  <si>
    <t>Głowica wentylatora strumieniowego</t>
  </si>
  <si>
    <t>Sugárventilátor fej</t>
  </si>
  <si>
    <t>Hlava prúdového ventilátora</t>
  </si>
  <si>
    <t>Jetventilator kop</t>
  </si>
  <si>
    <t>Glava jet ventilatorja</t>
  </si>
  <si>
    <t>Jetfläkt huvud</t>
  </si>
  <si>
    <t>Jetventilator hoved</t>
  </si>
  <si>
    <t>Jetventilatorhode</t>
  </si>
  <si>
    <t>Glava jet ventilatora</t>
  </si>
  <si>
    <t>Clip per cavi</t>
  </si>
  <si>
    <t>Kabelová svorka</t>
  </si>
  <si>
    <t>Klips kablowy</t>
  </si>
  <si>
    <t>Kábelcsipesz</t>
  </si>
  <si>
    <t>Káblová spona</t>
  </si>
  <si>
    <t>Kabelska sponka</t>
  </si>
  <si>
    <t>Kabelklämma</t>
  </si>
  <si>
    <t>Kabelklips</t>
  </si>
  <si>
    <t>Kabelska kopča</t>
  </si>
  <si>
    <t>Marrone caffè</t>
  </si>
  <si>
    <t>Kávová hnědá</t>
  </si>
  <si>
    <t>Brąz kawowy</t>
  </si>
  <si>
    <t>Kávébarna</t>
  </si>
  <si>
    <t>Kávová hnedá</t>
  </si>
  <si>
    <t>Koffiebruin</t>
  </si>
  <si>
    <t>Kavno rjava</t>
  </si>
  <si>
    <t>Kaffebrun</t>
  </si>
  <si>
    <t>Kava smeđa</t>
  </si>
  <si>
    <t>Cappello per camino</t>
  </si>
  <si>
    <t>Komínová čepice</t>
  </si>
  <si>
    <t>Daszek komina</t>
  </si>
  <si>
    <t>Kéménysapka</t>
  </si>
  <si>
    <t>Komínová čiapka</t>
  </si>
  <si>
    <t>Schoorsteenkap</t>
  </si>
  <si>
    <t>Dimniški pokrov</t>
  </si>
  <si>
    <t>Skorstenshuv</t>
  </si>
  <si>
    <t>Skorstenhætte</t>
  </si>
  <si>
    <t>Pipehatt</t>
  </si>
  <si>
    <t>Kapa dimnjaka</t>
  </si>
  <si>
    <t>Staffa per cappello da camino (curva)</t>
  </si>
  <si>
    <t>Opěrka komínové čepice (zakřivená)</t>
  </si>
  <si>
    <t>Wspornik daszka komina (zakrzywiony)</t>
  </si>
  <si>
    <t>Kéménysapka tartó (íves)</t>
  </si>
  <si>
    <t>Držiak komínovej čiapky (zakrivený)</t>
  </si>
  <si>
    <t>Schoorsteenkap beugel (gebogen)</t>
  </si>
  <si>
    <t>Opora za dimniški pokrov (ukrivljena)</t>
  </si>
  <si>
    <t>Stöd för skorstenshuv (böjd)</t>
  </si>
  <si>
    <t>Støtte til skorstenhætte (buet)</t>
  </si>
  <si>
    <t>Støtte for pipehatt (buet)</t>
  </si>
  <si>
    <t>Nosač kape dimnjaka (zakrivljen)</t>
  </si>
  <si>
    <t>Rosso carminio</t>
  </si>
  <si>
    <t>Karmínová červená</t>
  </si>
  <si>
    <t>Karminowy czerwony</t>
  </si>
  <si>
    <t>Karmazsinvörös</t>
  </si>
  <si>
    <t>Karmozijnrood</t>
  </si>
  <si>
    <t>Karmin rdeča</t>
  </si>
  <si>
    <t>Karmröd</t>
  </si>
  <si>
    <t>Karminrød</t>
  </si>
  <si>
    <t>Karmin crvena</t>
  </si>
  <si>
    <t>Cartouche</t>
  </si>
  <si>
    <t>Cartuccia</t>
  </si>
  <si>
    <t>Kazeta</t>
  </si>
  <si>
    <t>Kartusz</t>
  </si>
  <si>
    <t>Patron</t>
  </si>
  <si>
    <t>Cartridge</t>
  </si>
  <si>
    <t>Kartuša</t>
  </si>
  <si>
    <t>Uložak</t>
  </si>
  <si>
    <t>Grondaia rettangolare (3 m) con pellicola protettiva all'esterno</t>
  </si>
  <si>
    <t>Krabicový žlab (3 m) s ochrannou fólií venku</t>
  </si>
  <si>
    <t>Rynna prostokątna (3 m) z folią ochronną na zewnątrz</t>
  </si>
  <si>
    <t>Téglalap alakú ereszcsatorna (3 m) védőfóliával kívül</t>
  </si>
  <si>
    <t>Štvorcový žľab (3 m) s ochrannou fóliou vonku</t>
  </si>
  <si>
    <t>Doosgoot (3 m) met beschermfolie buiten</t>
  </si>
  <si>
    <t>Kvadratni žleb (3 m) z zaščitno folijo zunaj</t>
  </si>
  <si>
    <t>Ränna (3 m) med skyddsfilm på utsidan</t>
  </si>
  <si>
    <t>Kasserende (3 m) med beskyttelsesfilm udenfor</t>
  </si>
  <si>
    <t>Kasserende (3 m) med beskyttelsesfilm på utsiden</t>
  </si>
  <si>
    <t>Kutija (3 m) s zaštitnom folijom izvana</t>
  </si>
  <si>
    <t>Grondaia rettangolare (6 m) con pellicola protettiva all'esterno</t>
  </si>
  <si>
    <t>Krabicový žlab (6 m) s ochrannou fólií venku</t>
  </si>
  <si>
    <t>Rynna prostokątna (6 m) z folią ochronną na zewnątrz</t>
  </si>
  <si>
    <t>Téglalap alakú ereszcsatorna (6 m) védőfóliával kívül</t>
  </si>
  <si>
    <t>Štvorcový žľab (6 m) s ochrannou fóliou vonku</t>
  </si>
  <si>
    <t>Doosgoot (6 m) met beschermfolie buiten</t>
  </si>
  <si>
    <t>Kvadratni žleb (6 m) z zaščitno folijo zunaj</t>
  </si>
  <si>
    <t>Ränna (6 m) med skyddsfilm på utsidan</t>
  </si>
  <si>
    <t>Kasserende (6 m) med beskyttelsesfilm udenfor</t>
  </si>
  <si>
    <t>Kasserende (6 m) med beskyttelsesfilm på utsiden</t>
  </si>
  <si>
    <t>Kutija (6 m) s zaštitnom folijom izvana</t>
  </si>
  <si>
    <t>Grondaia rettangolare 250</t>
  </si>
  <si>
    <t>Krabicový žlab 250</t>
  </si>
  <si>
    <t>Rynna prostokątna 250</t>
  </si>
  <si>
    <t>Téglalap alakú ereszcsatorna 250</t>
  </si>
  <si>
    <t>Štvorcový žľab 250</t>
  </si>
  <si>
    <t>Doosgoot 250</t>
  </si>
  <si>
    <t>Kvadratni žleb 250</t>
  </si>
  <si>
    <t>Ränna 250</t>
  </si>
  <si>
    <t>Kasserende 250</t>
  </si>
  <si>
    <t>Kutija 250</t>
  </si>
  <si>
    <t>Grondaia rettangolare 333</t>
  </si>
  <si>
    <t>Krabicový žlab 333</t>
  </si>
  <si>
    <t>Rynna prostokątna 333</t>
  </si>
  <si>
    <t>Téglalap alakú ereszcsatorna 333</t>
  </si>
  <si>
    <t>Štvorcový žľab 333</t>
  </si>
  <si>
    <t>Doosgoot 333</t>
  </si>
  <si>
    <t>Kvadratni žleb 333</t>
  </si>
  <si>
    <t>Ränna 333</t>
  </si>
  <si>
    <t>Kasserende 333</t>
  </si>
  <si>
    <t>Kutija 333</t>
  </si>
  <si>
    <t>Giunto di dilatazione per grondaia rettangolare</t>
  </si>
  <si>
    <t>Dilatační spára krabicového žlabu</t>
  </si>
  <si>
    <t>Złącze dylatacyjne rynny prostokątnej</t>
  </si>
  <si>
    <t>Téglalap alakú ereszcsatorna dilatációs csatlakozás</t>
  </si>
  <si>
    <t>Dilatačný spoj štvorcového žľabu</t>
  </si>
  <si>
    <t>Doosgoot uitzettingsvoeg</t>
  </si>
  <si>
    <t>Raztezni spoj kvadratnega žleba</t>
  </si>
  <si>
    <t>Expansion för ränna</t>
  </si>
  <si>
    <t>Udvidelse for kasserende</t>
  </si>
  <si>
    <t>Utvidelse for kasserende</t>
  </si>
  <si>
    <t>Proširenje za kutiju</t>
  </si>
  <si>
    <t>Giunto di dilatazione per grondaia rettangolare con bordo e copertura (set)</t>
  </si>
  <si>
    <t>Dilatační spára krabicového žlabu s korálkem a krytem (sada)</t>
  </si>
  <si>
    <t>Złącze dylatacyjne rynny prostokątnej z koralikami i pokrywą (zestaw)</t>
  </si>
  <si>
    <t>Téglalap alakú ereszcsatorna dilatációs csatlakozás gyönggyel és fedéllel (készlet)</t>
  </si>
  <si>
    <t>Dilatačný spoj štvorcového žľabu s korálikom a krytom (súprava)</t>
  </si>
  <si>
    <t>Doosgoot uitzettingsvoeg met kraal en afdekking (set)</t>
  </si>
  <si>
    <t>Raztezni spoj kvadratnega žleba z robom in pokrovom (set)</t>
  </si>
  <si>
    <t>Expansion för ränna med pärla och lock (set)</t>
  </si>
  <si>
    <t>Udvidelse for kasserende med perle og låg (sæt)</t>
  </si>
  <si>
    <t>Utvidelse for kasserende med perle og lokk (sett)</t>
  </si>
  <si>
    <t>Proširenje za kutiju s perlicom i poklopcem (set)</t>
  </si>
  <si>
    <t>Giunto di dilatazione per grondaia rettangolare senza bordo e copertura</t>
  </si>
  <si>
    <t>Dilatační spára krabicového žlabu bez korálku a krytu</t>
  </si>
  <si>
    <t>Złącze dylatacyjne rynny prostokątnej bez koralików i pokrywy</t>
  </si>
  <si>
    <t>Téglalap alakú ereszcsatorna dilatációs csatlakozás gyöngy és fedél nélkül</t>
  </si>
  <si>
    <t>Dilatačný spoj štvorcového žľabu bez korálika a krytu</t>
  </si>
  <si>
    <t>Doosgoot uitzettingsvoeg zonder kraal en afdekking</t>
  </si>
  <si>
    <t>Raztezni spoj kvadratnega žleba brez roba in pokrova</t>
  </si>
  <si>
    <t>Expansion för ränna utan pärla och lock</t>
  </si>
  <si>
    <t>Udvidelse for kasserende uden perle og låg</t>
  </si>
  <si>
    <t>Utvidelse for kasserende uten perle og lokk</t>
  </si>
  <si>
    <t>Proširenje za kutiju bez perlica i poklopca</t>
  </si>
  <si>
    <t>Fondo grondaia rettangolare 500</t>
  </si>
  <si>
    <t>Krabicová zátka 500</t>
  </si>
  <si>
    <t>Zakończenie rynny prostokątnej 500</t>
  </si>
  <si>
    <t>Téglalap alakú ereszcsatorna végzáró 500</t>
  </si>
  <si>
    <t>Koncová zátka štvorcového žľabu 500</t>
  </si>
  <si>
    <t>Doosgoot eindkap 500</t>
  </si>
  <si>
    <t>Končni pokrov kvadratnega žleba 500</t>
  </si>
  <si>
    <t>Rännände 500</t>
  </si>
  <si>
    <t>Kasserende afslutning 500</t>
  </si>
  <si>
    <t>Kasserende endekappe 500</t>
  </si>
  <si>
    <t>Završni poklopac kutije 500</t>
  </si>
  <si>
    <t>Gancio per grondaia rettangolare</t>
  </si>
  <si>
    <t>Háček na krabicový žlab</t>
  </si>
  <si>
    <t>Hak rynny prostokątnej</t>
  </si>
  <si>
    <t>Téglalap alakú ereszcsatorna kampó</t>
  </si>
  <si>
    <t>Háčik na štvorcový žľab</t>
  </si>
  <si>
    <t>Doosgoot haak</t>
  </si>
  <si>
    <t>Kljuka za kvadratni žleb</t>
  </si>
  <si>
    <t>Rännhake</t>
  </si>
  <si>
    <t>Kasserende krog</t>
  </si>
  <si>
    <t>Kasserende krok</t>
  </si>
  <si>
    <t>Kuka za kutiju</t>
  </si>
  <si>
    <t>Angolo grondaia rettangolare</t>
  </si>
  <si>
    <t>Krabicový žlabový úhel</t>
  </si>
  <si>
    <t>Kąt rynny prostokątnej</t>
  </si>
  <si>
    <t>Téglalap alakú ereszcsatorna szög</t>
  </si>
  <si>
    <t>Štvorcový žľabový uhol</t>
  </si>
  <si>
    <t>Doosgoot hoek</t>
  </si>
  <si>
    <t>Kotni element za kvadratni žleb</t>
  </si>
  <si>
    <t>Rännvinkel</t>
  </si>
  <si>
    <t>Kasserende vinkel</t>
  </si>
  <si>
    <t>Kutni element za kutiju</t>
  </si>
  <si>
    <t>Angolo grondaia rettangolare 90°</t>
  </si>
  <si>
    <t>Krabicový žlabový úhel 90°</t>
  </si>
  <si>
    <t>Kąt rynny prostokątnej 90°</t>
  </si>
  <si>
    <t>Téglalap alakú ereszcsatorna szög 90°</t>
  </si>
  <si>
    <t>Štvorcový žľabový uhol 90°</t>
  </si>
  <si>
    <t>Doosgoot hoek 90°</t>
  </si>
  <si>
    <t>Kotni element za kvadratni žleb 90°</t>
  </si>
  <si>
    <t>Rännvinkel 90°</t>
  </si>
  <si>
    <t>Kasserende vinkel 90°</t>
  </si>
  <si>
    <t>Kutni element za kutiju 90°</t>
  </si>
  <si>
    <t>Tube KG</t>
  </si>
  <si>
    <t>Tubo KG</t>
  </si>
  <si>
    <t>KG trubka</t>
  </si>
  <si>
    <t>Rura KG</t>
  </si>
  <si>
    <t>KG cső</t>
  </si>
  <si>
    <t>KG rúrka</t>
  </si>
  <si>
    <t>KG buis</t>
  </si>
  <si>
    <t>KG cev</t>
  </si>
  <si>
    <t>KG-rör</t>
  </si>
  <si>
    <t>KG-rør</t>
  </si>
  <si>
    <t>KG cijev</t>
  </si>
  <si>
    <t>Vernis transparent</t>
  </si>
  <si>
    <t>Vernice trasparente</t>
  </si>
  <si>
    <t>Čirý lak</t>
  </si>
  <si>
    <t>Lakier bezbarwny</t>
  </si>
  <si>
    <t>Átlátszó lakk</t>
  </si>
  <si>
    <t>Číry lak</t>
  </si>
  <si>
    <t>Transparante lak</t>
  </si>
  <si>
    <t>Prozoren lak</t>
  </si>
  <si>
    <t>Klar lak</t>
  </si>
  <si>
    <t>Klarlakk</t>
  </si>
  <si>
    <t>Prozirni lak</t>
  </si>
  <si>
    <t>Vernice trasparente resistente agli agenti atmosferici</t>
  </si>
  <si>
    <t>Odolný čirý lak</t>
  </si>
  <si>
    <t>Przezroczysty lakier odporny na warunki atmosferyczne</t>
  </si>
  <si>
    <t>Időjárásálló átlátszó lakk</t>
  </si>
  <si>
    <t>Poveternostne odolný číry lak</t>
  </si>
  <si>
    <t>Weerbestendige heldere lak</t>
  </si>
  <si>
    <t>Prozorni lak odporen na vremenske vplive</t>
  </si>
  <si>
    <t>Väderbeständig klarlack</t>
  </si>
  <si>
    <t>Vejrbestandig klarlak</t>
  </si>
  <si>
    <t>Værbestandig klarlakk</t>
  </si>
  <si>
    <t>Bezbojni lak otporan na vremenske uvjete</t>
  </si>
  <si>
    <t>Rifinitura adesiva per tetti con giunti aggraffati</t>
  </si>
  <si>
    <t>Lepicí lišta pro střechy se stojatou drážkou</t>
  </si>
  <si>
    <t>Obrzeże samoprzylepne do dachów z rąbkiem stojącym</t>
  </si>
  <si>
    <t>Ragasztószegély állókorcos tetőkhöz</t>
  </si>
  <si>
    <t>Samolepiaci lem pre strechy so stojatou drážkou</t>
  </si>
  <si>
    <t>Zelfklevende trim voor staande naad daken</t>
  </si>
  <si>
    <t>Samolepilna obloga za strehe z ležečim robom</t>
  </si>
  <si>
    <t>Självhäftande trim för falsade tak</t>
  </si>
  <si>
    <t>Klæbende trim til stående sømme</t>
  </si>
  <si>
    <t>Selvklebende trim for stående søm tak</t>
  </si>
  <si>
    <t>Samoljepljivi obrub za krovove sa stojećim šavom</t>
  </si>
  <si>
    <t>Petit format et PREFALZ</t>
  </si>
  <si>
    <t>Piccolo formato e PREFALZ</t>
  </si>
  <si>
    <t>Malý formát a PREFALZ</t>
  </si>
  <si>
    <t>Mały format i PREFALZ</t>
  </si>
  <si>
    <t>Kis formátum és PREFALZ</t>
  </si>
  <si>
    <t>Klein formaat en PREFALZ</t>
  </si>
  <si>
    <t>Majhen format in PREFALZ</t>
  </si>
  <si>
    <t>Litet format och PREFALZ</t>
  </si>
  <si>
    <t>Lille format og PREFALZ</t>
  </si>
  <si>
    <t>Lite format og PREFALZ</t>
  </si>
  <si>
    <t>Mali format i PREFALZ</t>
  </si>
  <si>
    <t>Piccoli formati</t>
  </si>
  <si>
    <t>Malé formáty</t>
  </si>
  <si>
    <t>Małe formaty</t>
  </si>
  <si>
    <t>Kis formátumok</t>
  </si>
  <si>
    <t>Kleine formaten</t>
  </si>
  <si>
    <t>Majhni formati</t>
  </si>
  <si>
    <t>Små format</t>
  </si>
  <si>
    <t>Små formater</t>
  </si>
  <si>
    <t>Mali formati</t>
  </si>
  <si>
    <t>Prodotti in piccolo formato</t>
  </si>
  <si>
    <t>Produkty malého formátu</t>
  </si>
  <si>
    <t>Produkty małego formatu</t>
  </si>
  <si>
    <t>Kis formátumú termékek</t>
  </si>
  <si>
    <t>Kleine formaten producten</t>
  </si>
  <si>
    <t>Izdelki majhnega formata</t>
  </si>
  <si>
    <t>Små formatprodukter</t>
  </si>
  <si>
    <t>Proizvodi malog formata</t>
  </si>
  <si>
    <t>Campo di serraggio</t>
  </si>
  <si>
    <t>Upínací rozsah</t>
  </si>
  <si>
    <t>Zakres zaciskania</t>
  </si>
  <si>
    <t>Befogási tartomány</t>
  </si>
  <si>
    <t>Klembereik</t>
  </si>
  <si>
    <t>Območje vpenjanja</t>
  </si>
  <si>
    <t>Klämområde</t>
  </si>
  <si>
    <t>Klemområde</t>
  </si>
  <si>
    <t>Klemmområde</t>
  </si>
  <si>
    <t>Raspon stezanja</t>
  </si>
  <si>
    <t>lame</t>
  </si>
  <si>
    <t>Lama</t>
  </si>
  <si>
    <t>Čepel</t>
  </si>
  <si>
    <t>Ostrze</t>
  </si>
  <si>
    <t>Penge</t>
  </si>
  <si>
    <t>Čepeľ</t>
  </si>
  <si>
    <t>Mes</t>
  </si>
  <si>
    <t>Rezilo</t>
  </si>
  <si>
    <t>Klinga</t>
  </si>
  <si>
    <t>Oštrica</t>
  </si>
  <si>
    <t>lames</t>
  </si>
  <si>
    <t>Lame</t>
  </si>
  <si>
    <t>Čepele</t>
  </si>
  <si>
    <t>Ostrza</t>
  </si>
  <si>
    <t>Pengék</t>
  </si>
  <si>
    <t>Messen</t>
  </si>
  <si>
    <t>Rezila</t>
  </si>
  <si>
    <t>Klinger</t>
  </si>
  <si>
    <t>Oštrice</t>
  </si>
  <si>
    <t>Nero carbone</t>
  </si>
  <si>
    <t>Uhelná černá</t>
  </si>
  <si>
    <t>Węglowa czerń</t>
  </si>
  <si>
    <t>Szénfekete</t>
  </si>
  <si>
    <t>Uhoľná čierna</t>
  </si>
  <si>
    <t>Koolzwart</t>
  </si>
  <si>
    <t>Ogljena črna</t>
  </si>
  <si>
    <t>Kolsvart</t>
  </si>
  <si>
    <t>Kulsort</t>
  </si>
  <si>
    <t>Kullsvart</t>
  </si>
  <si>
    <t>Ugljena crna</t>
  </si>
  <si>
    <t>Kombinační koeficient</t>
  </si>
  <si>
    <t>Współczynnik kombinacji</t>
  </si>
  <si>
    <t>Kombinációs együttható</t>
  </si>
  <si>
    <t>Kombinačný koeficient</t>
  </si>
  <si>
    <t>Combinatiefactor</t>
  </si>
  <si>
    <t>Kombinacijski koeficient</t>
  </si>
  <si>
    <t>Kombinationskoefficient</t>
  </si>
  <si>
    <t>Kombinasjonskoeffisient</t>
  </si>
  <si>
    <t>Koeficijent kombinacije</t>
  </si>
  <si>
    <t>Diametro della testa</t>
  </si>
  <si>
    <t>Průměr hlavy</t>
  </si>
  <si>
    <t>Średnica głowy</t>
  </si>
  <si>
    <t>Fejátmérő</t>
  </si>
  <si>
    <t>Priemer hlavy</t>
  </si>
  <si>
    <t>Hoofddiameter</t>
  </si>
  <si>
    <t>Premer glave</t>
  </si>
  <si>
    <t>Huvuddiameter</t>
  </si>
  <si>
    <t>Hovede diameter</t>
  </si>
  <si>
    <t>Hodediameter</t>
  </si>
  <si>
    <t>Promjer glave</t>
  </si>
  <si>
    <t>Morsetto incrociato e di messa a terra</t>
  </si>
  <si>
    <t>Křížová a uzemňovací svorka</t>
  </si>
  <si>
    <t>Zacisk krzyżowy i uziemiający</t>
  </si>
  <si>
    <t>Kereszt- és földelőbilincs</t>
  </si>
  <si>
    <t>Krížová a uzemňovacia svorka</t>
  </si>
  <si>
    <t>Kruis- en aardklem</t>
  </si>
  <si>
    <t>Križni in ozemljitveni sponki</t>
  </si>
  <si>
    <t>Kors- och jordklämma</t>
  </si>
  <si>
    <t>Kryds- og jordingsklemme</t>
  </si>
  <si>
    <t>Kryss- og jordingsklemme</t>
  </si>
  <si>
    <t>Križna i uzemljujuća stezaljka</t>
  </si>
  <si>
    <t>Connettore incrociato per supporto solare</t>
  </si>
  <si>
    <t>Křížový konektor pro solární držák</t>
  </si>
  <si>
    <t>Łącznik krzyżowy do uchwytów solarnych</t>
  </si>
  <si>
    <t>Keresztcsatlakozó napelemtartóhoz</t>
  </si>
  <si>
    <t>Krížový konektor pre solárny držiak</t>
  </si>
  <si>
    <t>Kruisconnector voor zonnehouder</t>
  </si>
  <si>
    <t>Križni priključek za nosilec sončne energije</t>
  </si>
  <si>
    <t>Korskoppling för solhållare</t>
  </si>
  <si>
    <t>Krydsforbinder til solholder</t>
  </si>
  <si>
    <t>Kryssforbinder for solholder</t>
  </si>
  <si>
    <t>Križni spoj za nosač solarne energije</t>
  </si>
  <si>
    <t>Connettore incrociato per supporto solare Vario e Fix, Sunny e Sunny Special</t>
  </si>
  <si>
    <t>Křížový konektor pro solární držák Vario a Fix, Sunny a Sunny Special</t>
  </si>
  <si>
    <t>Łącznik krzyżowy do uchwytów solarnych Vario i Fix, Sunny i Sunny Special</t>
  </si>
  <si>
    <t>Keresztcsatlakozó napelemtartóhoz Vario és Fix, Sunny és Sunny Special</t>
  </si>
  <si>
    <t>Krížový konektor pre solárny držiak Vario a Fix, Sunny a Sunny Special</t>
  </si>
  <si>
    <t>Kruisconnector voor zonnehouder Vario en Fix, Sunny en Sunny Special</t>
  </si>
  <si>
    <t>Križni priključek za nosilec sončne energije Vario in Fix, Sunny in Sunny Special</t>
  </si>
  <si>
    <t>Korskoppling för solhållare Vario och Fix, Sunny och Sunny Special</t>
  </si>
  <si>
    <t>Krydsforbinder til solholder Vario og Fix, Sunny og Sunny Special</t>
  </si>
  <si>
    <t>Kryssforbinder for solholder Vario og Fix, Sunny og Sunny Special</t>
  </si>
  <si>
    <t>Križni spoj za nosač solarne energije Vario i Fix, Sunny i Sunny Special</t>
  </si>
  <si>
    <t>client</t>
  </si>
  <si>
    <t>Cliente</t>
  </si>
  <si>
    <t>Zákazník</t>
  </si>
  <si>
    <t>Klient</t>
  </si>
  <si>
    <t>Ügyfél</t>
  </si>
  <si>
    <t>Klant</t>
  </si>
  <si>
    <t>Stranka</t>
  </si>
  <si>
    <t>Kund</t>
  </si>
  <si>
    <t>Kupac</t>
  </si>
  <si>
    <t>Numero cliente</t>
  </si>
  <si>
    <t>Číslo zákazníka</t>
  </si>
  <si>
    <t>Numer klienta</t>
  </si>
  <si>
    <t>Ügyfélszám</t>
  </si>
  <si>
    <t>Klantnummer</t>
  </si>
  <si>
    <t>Številka stranke</t>
  </si>
  <si>
    <t>Kundnummer</t>
  </si>
  <si>
    <t>Kundenummer</t>
  </si>
  <si>
    <t>Broj kupca</t>
  </si>
  <si>
    <t>Plastica</t>
  </si>
  <si>
    <t>Plast</t>
  </si>
  <si>
    <t>Tworzywo sztuczne</t>
  </si>
  <si>
    <t>Műanyag</t>
  </si>
  <si>
    <t>Kunststof</t>
  </si>
  <si>
    <t>Plastika</t>
  </si>
  <si>
    <t>Plastik</t>
  </si>
  <si>
    <t>Marrone rame</t>
  </si>
  <si>
    <t>Měděná hnědá</t>
  </si>
  <si>
    <t>Miedziany brąz</t>
  </si>
  <si>
    <t>Rézbarna</t>
  </si>
  <si>
    <t>Medená hnedá</t>
  </si>
  <si>
    <t>Koperbruin</t>
  </si>
  <si>
    <t>Bakreno rjava</t>
  </si>
  <si>
    <t>Kopparbrun</t>
  </si>
  <si>
    <t>Kobberbrun</t>
  </si>
  <si>
    <t>Bakrenosmeđa</t>
  </si>
  <si>
    <t>Bois de construction solide</t>
  </si>
  <si>
    <t>Legno massiccio da costruzione</t>
  </si>
  <si>
    <t>Konstrukční masivní dřevo</t>
  </si>
  <si>
    <t>Lite drewno konstrukcyjne</t>
  </si>
  <si>
    <t>Szilárd építőfa</t>
  </si>
  <si>
    <t>Konstrukčné masívne drevo</t>
  </si>
  <si>
    <t>Massief constructiehout</t>
  </si>
  <si>
    <t>Konstrukcijski masivni les</t>
  </si>
  <si>
    <t>Konstruktionsmassivt trä</t>
  </si>
  <si>
    <t>Konstruktionsmassivt træ</t>
  </si>
  <si>
    <t>Konstruksjonsmassivt tre</t>
  </si>
  <si>
    <t>Masivno građevno drvo</t>
  </si>
  <si>
    <t>Pennarello per ritocchi</t>
  </si>
  <si>
    <t>Korekční tyčinka</t>
  </si>
  <si>
    <t>Pisak retuszujący</t>
  </si>
  <si>
    <t>Javítófesték</t>
  </si>
  <si>
    <t>Retušovacia ceruzka</t>
  </si>
  <si>
    <t>Korekcijska palčka</t>
  </si>
  <si>
    <t>Retuschpenna</t>
  </si>
  <si>
    <t>Touch-up pen</t>
  </si>
  <si>
    <t>Retusjeringspenn</t>
  </si>
  <si>
    <t>Olovka za popravke</t>
  </si>
  <si>
    <t>Ébrasement</t>
  </si>
  <si>
    <t>Stipite</t>
  </si>
  <si>
    <t>Špaleta</t>
  </si>
  <si>
    <t>Ościeże</t>
  </si>
  <si>
    <t>Szemöldökfa</t>
  </si>
  <si>
    <t>Ostění</t>
  </si>
  <si>
    <t>Kozijn</t>
  </si>
  <si>
    <t>Okvir</t>
  </si>
  <si>
    <t>Dörrkarm</t>
  </si>
  <si>
    <t>Karm</t>
  </si>
  <si>
    <t>Dørkarm</t>
  </si>
  <si>
    <t>Longueur et largeur</t>
  </si>
  <si>
    <t>Lunghezza e larghezza</t>
  </si>
  <si>
    <t>Délka a šířka</t>
  </si>
  <si>
    <t>Długość i szerokość</t>
  </si>
  <si>
    <t>Hosszúság és szélesség</t>
  </si>
  <si>
    <t>Dĺžka a šírka</t>
  </si>
  <si>
    <t>Lengte en breedte</t>
  </si>
  <si>
    <t>Dolžina in širina</t>
  </si>
  <si>
    <t>Längd och bredd</t>
  </si>
  <si>
    <t>Længde og bredde</t>
  </si>
  <si>
    <t>Lengde og bredde</t>
  </si>
  <si>
    <t>Duljina i širina</t>
  </si>
  <si>
    <t>Cattura foglie</t>
  </si>
  <si>
    <t>Lapač listí</t>
  </si>
  <si>
    <t>Łapacz liści</t>
  </si>
  <si>
    <t>Levélgyűjtő</t>
  </si>
  <si>
    <t>Lapač lístia</t>
  </si>
  <si>
    <t>Bladvanger</t>
  </si>
  <si>
    <t>Lovilec listja</t>
  </si>
  <si>
    <t>Lövfångare</t>
  </si>
  <si>
    <t>Bladfanger</t>
  </si>
  <si>
    <t>Sakupljač lišća</t>
  </si>
  <si>
    <t>Connettore per passerella</t>
  </si>
  <si>
    <t>Spojka chodníku</t>
  </si>
  <si>
    <t>Złączka podestu</t>
  </si>
  <si>
    <t>Járdaszegély-csatlakozó</t>
  </si>
  <si>
    <t>Spojka lávky</t>
  </si>
  <si>
    <t>Loopbrug connector</t>
  </si>
  <si>
    <t>Povezava za stopnišče</t>
  </si>
  <si>
    <t>Gångvägsanslutning</t>
  </si>
  <si>
    <t>Gangbroforbindelse</t>
  </si>
  <si>
    <t>Gangveisforbindelse</t>
  </si>
  <si>
    <t>Poveznica za prolaz</t>
  </si>
  <si>
    <t>Bronzo chiaro</t>
  </si>
  <si>
    <t>Světlý bronz</t>
  </si>
  <si>
    <t>Jasny brąz</t>
  </si>
  <si>
    <t>Világos bronz</t>
  </si>
  <si>
    <t>Svetlý bronz</t>
  </si>
  <si>
    <t>Licht brons</t>
  </si>
  <si>
    <t>Svetlo bronasta</t>
  </si>
  <si>
    <t>Ljus brons</t>
  </si>
  <si>
    <t>Lys bronze</t>
  </si>
  <si>
    <t>Lys bronse</t>
  </si>
  <si>
    <t>Svijetla bronca</t>
  </si>
  <si>
    <t>Larghezza libera</t>
  </si>
  <si>
    <t>Světlá šířka</t>
  </si>
  <si>
    <t>Szerokość otworu</t>
  </si>
  <si>
    <t>Szabad szélesség</t>
  </si>
  <si>
    <t>Voľná šírka</t>
  </si>
  <si>
    <t>Vrije breedte</t>
  </si>
  <si>
    <t>Prosta širina</t>
  </si>
  <si>
    <t>Fri bredd</t>
  </si>
  <si>
    <t>Fri bredde</t>
  </si>
  <si>
    <t>Slobodna širina</t>
  </si>
  <si>
    <t>Svijetlosiva</t>
  </si>
  <si>
    <t>Contenu de la livraison</t>
  </si>
  <si>
    <t>Ambito di consegna</t>
  </si>
  <si>
    <t>Rozsah dodávky</t>
  </si>
  <si>
    <t>Zakres dostawy</t>
  </si>
  <si>
    <t>Szállítási terjedelem</t>
  </si>
  <si>
    <t>Leveringsomvang</t>
  </si>
  <si>
    <t>Obseg dobave</t>
  </si>
  <si>
    <t>Leveransomfattning</t>
  </si>
  <si>
    <t>Leveringsomfang</t>
  </si>
  <si>
    <t>Opseg isporuke</t>
  </si>
  <si>
    <t>Livraison</t>
  </si>
  <si>
    <t>Consegna</t>
  </si>
  <si>
    <t>Dodávka</t>
  </si>
  <si>
    <t>Dostawa</t>
  </si>
  <si>
    <t>Szállítás</t>
  </si>
  <si>
    <t>Levering</t>
  </si>
  <si>
    <t>Dostava</t>
  </si>
  <si>
    <t>Leverans</t>
  </si>
  <si>
    <t>Isporuka</t>
  </si>
  <si>
    <t>Délai de livraison</t>
  </si>
  <si>
    <t>Tempo di consegna</t>
  </si>
  <si>
    <t>Doba dodání</t>
  </si>
  <si>
    <t>Czas dostawy</t>
  </si>
  <si>
    <t>Szállítási idő</t>
  </si>
  <si>
    <t>Dodacia lehota</t>
  </si>
  <si>
    <t>Levertijd</t>
  </si>
  <si>
    <t>Čas dostave</t>
  </si>
  <si>
    <t>Leveranstid</t>
  </si>
  <si>
    <t>Leveringstid</t>
  </si>
  <si>
    <t>Vrijeme isporuke</t>
  </si>
  <si>
    <t>Tempo di consegna su richiesta</t>
  </si>
  <si>
    <t>Doba dodání na vyžádání</t>
  </si>
  <si>
    <t>Czas dostawy na życzenie</t>
  </si>
  <si>
    <t>Szállítási idő kérésre</t>
  </si>
  <si>
    <t>Dodacia lehota na požiadanie</t>
  </si>
  <si>
    <t>Levertijd op aanvraag</t>
  </si>
  <si>
    <t>Čas dostave na zahtevo</t>
  </si>
  <si>
    <t>Leveranstid på begäran</t>
  </si>
  <si>
    <t>Leveringstid efter anmodning</t>
  </si>
  <si>
    <t>Leveringstid på forespørsel</t>
  </si>
  <si>
    <t>Vrijeme isporuke na upit</t>
  </si>
  <si>
    <t>Nombre de trous</t>
  </si>
  <si>
    <t>Numero di fori</t>
  </si>
  <si>
    <t>Počet děr</t>
  </si>
  <si>
    <t>Liczba otworów</t>
  </si>
  <si>
    <t>Lyukak száma</t>
  </si>
  <si>
    <t>Počet otvorov</t>
  </si>
  <si>
    <t>Aantal gaten</t>
  </si>
  <si>
    <t>Število lukenj</t>
  </si>
  <si>
    <t>Antal hål</t>
  </si>
  <si>
    <t>Antal huller</t>
  </si>
  <si>
    <t>Antall hull</t>
  </si>
  <si>
    <t>Broj rupa</t>
  </si>
  <si>
    <t>Nombre de trous pour fixation</t>
  </si>
  <si>
    <t>Numero di fori per fissaggio</t>
  </si>
  <si>
    <t>Počet děr pro upevnění</t>
  </si>
  <si>
    <t>Liczba otworów do mocowania</t>
  </si>
  <si>
    <t>Lyukak száma rögzítéshez</t>
  </si>
  <si>
    <t>Počet otvorov pre upevnenie</t>
  </si>
  <si>
    <t>Aantal gaten voor bevestiging</t>
  </si>
  <si>
    <t>Število lukenj za pritrditev</t>
  </si>
  <si>
    <t>Antal hål för fastsättning</t>
  </si>
  <si>
    <t>Antal huller til fastgørelse</t>
  </si>
  <si>
    <t>Antall hull for festing</t>
  </si>
  <si>
    <t>Broj rupa za pričvršćivanje</t>
  </si>
  <si>
    <t>Sezione di ventilazione</t>
  </si>
  <si>
    <t>Ventilační průřez</t>
  </si>
  <si>
    <t>Przekrój wentylacyjny</t>
  </si>
  <si>
    <t>Szellőző keresztmetszet</t>
  </si>
  <si>
    <t>Vetrací prierez</t>
  </si>
  <si>
    <t>Ventilatie doorsnede</t>
  </si>
  <si>
    <t>Prezračevalni prerez</t>
  </si>
  <si>
    <t>Ventilations tvärsnitt</t>
  </si>
  <si>
    <t>Ventilations tværsnit</t>
  </si>
  <si>
    <t>Ventilasjons tverrsnitt</t>
  </si>
  <si>
    <t>Ventilacijski presjek</t>
  </si>
  <si>
    <t>Sezione di ventilazione nella zona perforata</t>
  </si>
  <si>
    <t>Ventilační průřez v perforované oblasti</t>
  </si>
  <si>
    <t>Przekrój wentylacyjny w perforowanej strefie</t>
  </si>
  <si>
    <t>Szellőző keresztmetszet perforált területen</t>
  </si>
  <si>
    <t>Vetrací prierez v perforovanej oblasti</t>
  </si>
  <si>
    <t>Ventilatie doorsnede in geperforeerd gebied</t>
  </si>
  <si>
    <t>Prezračevalni prerez v perforiranem območju</t>
  </si>
  <si>
    <t>Ventilations tvärsnitt i perforerat område</t>
  </si>
  <si>
    <t>Ventilations tværsnit i perforeret område</t>
  </si>
  <si>
    <t>Ventilasjons tverrsnitt i perforert område</t>
  </si>
  <si>
    <t>Ventilacijski presjek u perforiranom području</t>
  </si>
  <si>
    <t>Filetage M10</t>
  </si>
  <si>
    <t>Filettatura M10</t>
  </si>
  <si>
    <t>Závit M10</t>
  </si>
  <si>
    <t>Gwint M10</t>
  </si>
  <si>
    <t>M10 menet</t>
  </si>
  <si>
    <t>M10 draad</t>
  </si>
  <si>
    <t>Navoj M10</t>
  </si>
  <si>
    <t>M10 gänga</t>
  </si>
  <si>
    <t>M10 gevind</t>
  </si>
  <si>
    <t>M10 gjenger</t>
  </si>
  <si>
    <t>M10 navoj</t>
  </si>
  <si>
    <t>Filetage M10 sans mandrin</t>
  </si>
  <si>
    <t>Filettatura M10 senza mandrino</t>
  </si>
  <si>
    <t>Závit M10 bez trnu</t>
  </si>
  <si>
    <t>Gwint M10 bez trzpienia</t>
  </si>
  <si>
    <t>M10 menet tüske nélkül</t>
  </si>
  <si>
    <t>Závit M10 bez tŕňa</t>
  </si>
  <si>
    <t>M10 draad zonder doorn</t>
  </si>
  <si>
    <t>Navoj M10 brez trna</t>
  </si>
  <si>
    <t>M10 gänga utan dorn</t>
  </si>
  <si>
    <t>M10 gevind uden dorn</t>
  </si>
  <si>
    <t>M10 gjenger uten dorn</t>
  </si>
  <si>
    <t>M10 navoj bez trna</t>
  </si>
  <si>
    <t>Viti a nastro</t>
  </si>
  <si>
    <t>Spojené šrouby</t>
  </si>
  <si>
    <t>Zespolone śruby</t>
  </si>
  <si>
    <t>Szalagra szerelt csavarok</t>
  </si>
  <si>
    <t>Spájkované skrutky</t>
  </si>
  <si>
    <t>Gebundelde schroeven</t>
  </si>
  <si>
    <t>Združeni vijaki</t>
  </si>
  <si>
    <t>Bandskruvar</t>
  </si>
  <si>
    <t>Magasinskruer</t>
  </si>
  <si>
    <t>Spajani vijci</t>
  </si>
  <si>
    <t>Viti a magazino</t>
  </si>
  <si>
    <t>Šrouby v magazínu</t>
  </si>
  <si>
    <t>Śruby w magazynie</t>
  </si>
  <si>
    <t>Szalagcsavarok</t>
  </si>
  <si>
    <t>Skrutky v magazíne</t>
  </si>
  <si>
    <t>Magazijnschroeven</t>
  </si>
  <si>
    <t>Magazinski vijaki</t>
  </si>
  <si>
    <t>Magasinskruvar</t>
  </si>
  <si>
    <t>Magazinski vijci</t>
  </si>
  <si>
    <t>Avvitatore per viti a nastro</t>
  </si>
  <si>
    <t>Šroubovák na spojené šrouby</t>
  </si>
  <si>
    <t>Wkrętak do zespolonych śrub</t>
  </si>
  <si>
    <t>Szalagra szerelt csavarokhoz csavarhúzó</t>
  </si>
  <si>
    <t>Skrutkovač na spájkované skrutky</t>
  </si>
  <si>
    <t>Schroevendraaier voor gebundelde schroeven</t>
  </si>
  <si>
    <t>Vijačnik za združene vijake</t>
  </si>
  <si>
    <t>Skruvmejsel för bandskruvar</t>
  </si>
  <si>
    <t>Skruetrækker til magasinskruer</t>
  </si>
  <si>
    <t>Skrutrekker for magasinskruer</t>
  </si>
  <si>
    <t>Odvijač za spajane vijke</t>
  </si>
  <si>
    <t>Materiale</t>
  </si>
  <si>
    <t>Materiál</t>
  </si>
  <si>
    <t>Materiał</t>
  </si>
  <si>
    <t>Anyag</t>
  </si>
  <si>
    <t>Materiaal</t>
  </si>
  <si>
    <t>Materijal</t>
  </si>
  <si>
    <t>Dati del materiale</t>
  </si>
  <si>
    <t>Materiálová data</t>
  </si>
  <si>
    <t>Dane materiałowe</t>
  </si>
  <si>
    <t>Anyagadatok</t>
  </si>
  <si>
    <t>Materiálové údaje</t>
  </si>
  <si>
    <t>Materiaalgegevens</t>
  </si>
  <si>
    <t>Materialni podatki</t>
  </si>
  <si>
    <t>Materialdata</t>
  </si>
  <si>
    <t>Materialedata</t>
  </si>
  <si>
    <t>Podaci o materijalu</t>
  </si>
  <si>
    <t>Spessore del materiale</t>
  </si>
  <si>
    <t>Tloušťka materiálu</t>
  </si>
  <si>
    <t>Grubość materiału</t>
  </si>
  <si>
    <t>Anyagvastagság</t>
  </si>
  <si>
    <t>Hrúbka materiálu</t>
  </si>
  <si>
    <t>Materiaaldikte</t>
  </si>
  <si>
    <t>Debelina materiala</t>
  </si>
  <si>
    <t>Materialtjocklek</t>
  </si>
  <si>
    <t>Materialetykkelse</t>
  </si>
  <si>
    <t>Materialtykkelse</t>
  </si>
  <si>
    <t>Debljina materijala</t>
  </si>
  <si>
    <t>Grigio scuro opaco</t>
  </si>
  <si>
    <t>Matně tmavě šedá</t>
  </si>
  <si>
    <t>Matowy ciemnoszary</t>
  </si>
  <si>
    <t>Matt sötétszürke</t>
  </si>
  <si>
    <t>Matná tmavosivá</t>
  </si>
  <si>
    <t>Mat donkergrijs</t>
  </si>
  <si>
    <t>Mat temno siva</t>
  </si>
  <si>
    <t>Matt mörkgrå</t>
  </si>
  <si>
    <t>Mat mørkegrå</t>
  </si>
  <si>
    <t>Matt mørkegrå</t>
  </si>
  <si>
    <t>Mat tamno siva</t>
  </si>
  <si>
    <t>Grigio chiaro opaco</t>
  </si>
  <si>
    <t>Matně světle šedá</t>
  </si>
  <si>
    <t>Matowy jasnoszary</t>
  </si>
  <si>
    <t>Matt világosszürke</t>
  </si>
  <si>
    <t>Matná svetlosivá</t>
  </si>
  <si>
    <t>Mat lichtgrijs</t>
  </si>
  <si>
    <t>Mat svetlo siva</t>
  </si>
  <si>
    <t>Matt ljusgrå</t>
  </si>
  <si>
    <t>Mat lys grå</t>
  </si>
  <si>
    <t>Matt lysegrå</t>
  </si>
  <si>
    <t>Mat svijetlo siva</t>
  </si>
  <si>
    <t>Zinco brillante opaco</t>
  </si>
  <si>
    <t>Matně světlý zinek</t>
  </si>
  <si>
    <t>Matowy jasny cynk</t>
  </si>
  <si>
    <t>Matt fényes cink</t>
  </si>
  <si>
    <t>Matná svetlá zinok</t>
  </si>
  <si>
    <t>Mat helder zink</t>
  </si>
  <si>
    <t>Mat svetel cink</t>
  </si>
  <si>
    <t>Matt ljus zink</t>
  </si>
  <si>
    <t>Mat lys zink</t>
  </si>
  <si>
    <t>Matt lys sink</t>
  </si>
  <si>
    <t>Mat svijetli cink</t>
  </si>
  <si>
    <t>Oro maya</t>
  </si>
  <si>
    <t>Maya zlatá</t>
  </si>
  <si>
    <t>Złoto Majów</t>
  </si>
  <si>
    <t>Maya arany</t>
  </si>
  <si>
    <t>Mayazlatá</t>
  </si>
  <si>
    <t>Mayagoud</t>
  </si>
  <si>
    <t>Maya zlata</t>
  </si>
  <si>
    <t>Maya guld</t>
  </si>
  <si>
    <t>Maya gull</t>
  </si>
  <si>
    <t>Maya zlato</t>
  </si>
  <si>
    <t>Sottostruttura metallica</t>
  </si>
  <si>
    <t>Kovová podkonstrukce</t>
  </si>
  <si>
    <t>Podkonstrukcja metalowa</t>
  </si>
  <si>
    <t>Fém alépítmény</t>
  </si>
  <si>
    <t>Kovová podkonštrukcia</t>
  </si>
  <si>
    <t>Metalen onderconstructie</t>
  </si>
  <si>
    <t>Kovinska podkonstrukcija</t>
  </si>
  <si>
    <t>Metall underkonstruktion</t>
  </si>
  <si>
    <t>Metal underkonstruktion</t>
  </si>
  <si>
    <t>Metall underkonstruksjon</t>
  </si>
  <si>
    <t>Metalna podkonstrukcija</t>
  </si>
  <si>
    <t>Quantità minima d'ordine</t>
  </si>
  <si>
    <t>Minimální objednací množství</t>
  </si>
  <si>
    <t>Minimalna ilość zamówienia</t>
  </si>
  <si>
    <t>Minimális rendelési mennyiség</t>
  </si>
  <si>
    <t>Minimálne objednávacie množstvo</t>
  </si>
  <si>
    <t>Minimale bestelhoeveelheid</t>
  </si>
  <si>
    <t>Minimalna količina naročila</t>
  </si>
  <si>
    <t>Minsta beställningsmängd</t>
  </si>
  <si>
    <t>Mindste bestillingsmængde</t>
  </si>
  <si>
    <t>Minimum bestillingsmengde</t>
  </si>
  <si>
    <t>Minimalna količina narudžbe</t>
  </si>
  <si>
    <t>Con nucleo A2</t>
  </si>
  <si>
    <t>S jádrem A2</t>
  </si>
  <si>
    <t>Z rdzeniem A2</t>
  </si>
  <si>
    <t>A2 maggal</t>
  </si>
  <si>
    <t>S jadrom A2</t>
  </si>
  <si>
    <t>Met A2 kern</t>
  </si>
  <si>
    <t>Z jedrom A2</t>
  </si>
  <si>
    <t>Med A2-kärna</t>
  </si>
  <si>
    <t>Med A2-kerne</t>
  </si>
  <si>
    <t>Med A2-kjerne</t>
  </si>
  <si>
    <t>S jezgrom A2</t>
  </si>
  <si>
    <t>Con perla esterna e flangia interna</t>
  </si>
  <si>
    <t>S vnějším korálkem a vnitřním límcem</t>
  </si>
  <si>
    <t>Z zewnętrznym koralikiem i wewnętrznym kołnierzem</t>
  </si>
  <si>
    <t>Külső gyöngy és belső peremmel</t>
  </si>
  <si>
    <t>S vonkajším korálikom a vnútorným lemom</t>
  </si>
  <si>
    <t>Met buitenkraal en binnenflens</t>
  </si>
  <si>
    <t>Z zunanjim perlom in notranjo prirobnico</t>
  </si>
  <si>
    <t>Med yttre pärla och inre fläns</t>
  </si>
  <si>
    <t>Med ydre perle og indre flange</t>
  </si>
  <si>
    <t>Med ytre perle og indre flens</t>
  </si>
  <si>
    <t>S vanjskim perlom i unutarnjim prirubnicom</t>
  </si>
  <si>
    <t>Con nucleo FR</t>
  </si>
  <si>
    <t>S FR jádrem</t>
  </si>
  <si>
    <t>Z rdzeniem FR</t>
  </si>
  <si>
    <t>FR maggal</t>
  </si>
  <si>
    <t>S jadrom FR</t>
  </si>
  <si>
    <t>Met FR-kern</t>
  </si>
  <si>
    <t>Z jedrom FR</t>
  </si>
  <si>
    <t>Med FR-kärna</t>
  </si>
  <si>
    <t>Med FR-kerne</t>
  </si>
  <si>
    <t>Med FR-kjerne</t>
  </si>
  <si>
    <t>S FR jezgrom</t>
  </si>
  <si>
    <t>Avec perforation ronde</t>
  </si>
  <si>
    <t>Con perforazione tonda</t>
  </si>
  <si>
    <t>S kulatým děrováním</t>
  </si>
  <si>
    <t>Z okrągłymi otworami</t>
  </si>
  <si>
    <t>Kerek lyukasztással</t>
  </si>
  <si>
    <t>S okrúhlym dierovaním</t>
  </si>
  <si>
    <t>Met ronde perforatie</t>
  </si>
  <si>
    <t>Z okroglimi perforacijami</t>
  </si>
  <si>
    <t>Med rund perforering</t>
  </si>
  <si>
    <t>S okruglim perforacijama</t>
  </si>
  <si>
    <t>Avec film protecteur</t>
  </si>
  <si>
    <t>Con pellicola protettiva</t>
  </si>
  <si>
    <t>S ochrannou fólií</t>
  </si>
  <si>
    <t>Z folią ochronną</t>
  </si>
  <si>
    <t>Védőfóliával</t>
  </si>
  <si>
    <t>S ochrannou fóliou</t>
  </si>
  <si>
    <t>Met beschermfolie</t>
  </si>
  <si>
    <t>Z zaščitno folijo</t>
  </si>
  <si>
    <t>Med skyddsfilm</t>
  </si>
  <si>
    <t>Med beskyttelsesfilm</t>
  </si>
  <si>
    <t>S zaštitnom folijom</t>
  </si>
  <si>
    <t>Avec film protecteur à l'extérieur</t>
  </si>
  <si>
    <t>Con pellicola protettiva all'esterno</t>
  </si>
  <si>
    <t>S ochrannou fólií na vnější straně</t>
  </si>
  <si>
    <t>Z folią ochronną na zewnątrz</t>
  </si>
  <si>
    <t>Védőfóliával kívül</t>
  </si>
  <si>
    <t>S ochrannou fóliou na vonkajšej strane</t>
  </si>
  <si>
    <t>Met beschermfolie aan de buitenkant</t>
  </si>
  <si>
    <t>Z zaščitno folijo na zunanji strani</t>
  </si>
  <si>
    <t>Med skyddsfilm på utsidan</t>
  </si>
  <si>
    <t>Med beskyttelsesfilm på ydersiden</t>
  </si>
  <si>
    <t>Med beskyttelsesfilm på utsiden</t>
  </si>
  <si>
    <t>S zaštitnom folijom na vanjskoj strani</t>
  </si>
  <si>
    <t>Morsetto centrale</t>
  </si>
  <si>
    <t>Středová svorka</t>
  </si>
  <si>
    <t>Zacisk środkowy</t>
  </si>
  <si>
    <t>Középső bilincs</t>
  </si>
  <si>
    <t>Stredová svorka</t>
  </si>
  <si>
    <t>Middelklem</t>
  </si>
  <si>
    <t>Sredinska objemka</t>
  </si>
  <si>
    <t>Mittenklämma</t>
  </si>
  <si>
    <t>Midterste klemme</t>
  </si>
  <si>
    <t>Midtklemme</t>
  </si>
  <si>
    <t>Središnja stezaljka</t>
  </si>
  <si>
    <t>Morsetto centrale grezzo</t>
  </si>
  <si>
    <t>Středová svorka hladká</t>
  </si>
  <si>
    <t>Zacisk środkowy gładki</t>
  </si>
  <si>
    <t>Középső bilincs sima</t>
  </si>
  <si>
    <t>Stredová svorka hladká</t>
  </si>
  <si>
    <t>Middelklem blank</t>
  </si>
  <si>
    <t>Sredinska objemka neobdelana</t>
  </si>
  <si>
    <t>Mittenklämma blank</t>
  </si>
  <si>
    <t>Midterste klemme blank</t>
  </si>
  <si>
    <t>Midtklemme blank</t>
  </si>
  <si>
    <t>Središnja stezaljka neobrađena</t>
  </si>
  <si>
    <t>Morsetto centrale anodizzato nero</t>
  </si>
  <si>
    <t>Středová svorka černě eloxovaná</t>
  </si>
  <si>
    <t>Zacisk środkowy czarny anodowany</t>
  </si>
  <si>
    <t>Középső bilincs fekete eloxált</t>
  </si>
  <si>
    <t>Stredová svorka čierne eloxovaná</t>
  </si>
  <si>
    <t>Middelklem zwart geanodiseerd</t>
  </si>
  <si>
    <t>Sredinska objemka črno eloksirana</t>
  </si>
  <si>
    <t>Mittenklämma svart anodiserad</t>
  </si>
  <si>
    <t>Midterste klemme sort anodiseret</t>
  </si>
  <si>
    <t>Midtklemme svart anodisert</t>
  </si>
  <si>
    <t>Središnja stezaljka crno eloksirana</t>
  </si>
  <si>
    <t>Colonna centrale</t>
  </si>
  <si>
    <t>Středový sloup</t>
  </si>
  <si>
    <t>Kolumna centralna</t>
  </si>
  <si>
    <t>Központi oszlop</t>
  </si>
  <si>
    <t>Stredový stĺp</t>
  </si>
  <si>
    <t>Centrale kolom</t>
  </si>
  <si>
    <t>Osrednji steber</t>
  </si>
  <si>
    <t>Central pelare</t>
  </si>
  <si>
    <t>Central søjle</t>
  </si>
  <si>
    <t>Sentralsøyle</t>
  </si>
  <si>
    <t>Središnji stup</t>
  </si>
  <si>
    <t>Colonna centrale (profilo tondo)</t>
  </si>
  <si>
    <t>Středový sloup (kulatý profil)</t>
  </si>
  <si>
    <t>Kolumna centralna (profil okrągły)</t>
  </si>
  <si>
    <t>Központi oszlop (kerek profil)</t>
  </si>
  <si>
    <t>Stredový stĺp (okrúhly profil)</t>
  </si>
  <si>
    <t>Centrale kolom (rond profiel)</t>
  </si>
  <si>
    <t>Osrednji steber (okrogel profil)</t>
  </si>
  <si>
    <t>Central pelare (rund profil)</t>
  </si>
  <si>
    <t>Central søjle (rund profil)</t>
  </si>
  <si>
    <t>Sentralsøyle (rund profil)</t>
  </si>
  <si>
    <t>Središnji stup (okrugli profil)</t>
  </si>
  <si>
    <t>Modifica delle piastre di rivestimento</t>
  </si>
  <si>
    <t>Úprava obkladových desek</t>
  </si>
  <si>
    <t>Modyfikacja płyt obramowania</t>
  </si>
  <si>
    <t>Szegélylemezek módosítása</t>
  </si>
  <si>
    <t>Úprava obkladových dosiek</t>
  </si>
  <si>
    <t>Wijziging van trimpanelen</t>
  </si>
  <si>
    <t>Spreminjanje obrobnih plošč</t>
  </si>
  <si>
    <t>Ändring av trimpaneler</t>
  </si>
  <si>
    <t>Ændring af trimplader</t>
  </si>
  <si>
    <t>Endring av trimplater</t>
  </si>
  <si>
    <t>Modifikacija obložnih ploča</t>
  </si>
  <si>
    <t>Protezione anticaduta modulare</t>
  </si>
  <si>
    <t>Modulární ochrana proti pádu</t>
  </si>
  <si>
    <t>Modułowe zabezpieczenie przed upadkiem</t>
  </si>
  <si>
    <t>Moduláris zuhanásgátló</t>
  </si>
  <si>
    <t>Modulárna ochrana proti pádu</t>
  </si>
  <si>
    <t>Modulaire valbeveiliging</t>
  </si>
  <si>
    <t>Modularna zaščita pred padcem</t>
  </si>
  <si>
    <t>Modulärt fallskydd</t>
  </si>
  <si>
    <t>Modulær faldsikring</t>
  </si>
  <si>
    <t>Modulært fallsikringssystem</t>
  </si>
  <si>
    <t>Modularna zaštita od pada</t>
  </si>
  <si>
    <t>Montage dans l'ébrasement</t>
  </si>
  <si>
    <t>Montaggio nello stipite</t>
  </si>
  <si>
    <t>Instalace do špalety</t>
  </si>
  <si>
    <t>Montaż w ościeżnicy</t>
  </si>
  <si>
    <t>Beépítés a keretbe</t>
  </si>
  <si>
    <t>Inštalácia do špalety</t>
  </si>
  <si>
    <t>Montage in de sponning</t>
  </si>
  <si>
    <t>Montaža v okvir</t>
  </si>
  <si>
    <t>Installation i karm</t>
  </si>
  <si>
    <t>Installation i karmen</t>
  </si>
  <si>
    <t>Installasjon i karmen</t>
  </si>
  <si>
    <t>Ugradnja u ostruge</t>
  </si>
  <si>
    <t>Montaggio davanti allo stipite</t>
  </si>
  <si>
    <t>Instalace před špaletu</t>
  </si>
  <si>
    <t>Montaż przed ościeżnicą</t>
  </si>
  <si>
    <t>Beépítés a keret előtt</t>
  </si>
  <si>
    <t>Inštalácia pred špaletu</t>
  </si>
  <si>
    <t>Montage voor de sponning</t>
  </si>
  <si>
    <t>Montaža pred okvirjem</t>
  </si>
  <si>
    <t>Installation framför karmen</t>
  </si>
  <si>
    <t>Installation foran karmen</t>
  </si>
  <si>
    <t>Installasjon foran karmen</t>
  </si>
  <si>
    <t>Ugradnja ispred ostruge</t>
  </si>
  <si>
    <t>Ausilio al montaggio</t>
  </si>
  <si>
    <t>Montážní pomůcka</t>
  </si>
  <si>
    <t>Pomoc montażowa</t>
  </si>
  <si>
    <t>Összeszerelési segédeszköz</t>
  </si>
  <si>
    <t>Montážna pomôcka</t>
  </si>
  <si>
    <t>Montagehulp</t>
  </si>
  <si>
    <t>Pomoč pri montaži</t>
  </si>
  <si>
    <t>Monteringshjälp</t>
  </si>
  <si>
    <t>Monteringshjælp</t>
  </si>
  <si>
    <t>Monteringshjelp</t>
  </si>
  <si>
    <t>Montažna pomoć</t>
  </si>
  <si>
    <t>Ausilio al montaggio per clip antitempesta</t>
  </si>
  <si>
    <t>Montážní pomůcka pro bouřkovou sponu</t>
  </si>
  <si>
    <t>Pomoc montażowa do klipsa przeciwburzowego</t>
  </si>
  <si>
    <t>Összeszerelési segédeszköz viharos biztosító kapocshoz</t>
  </si>
  <si>
    <t>Montážna pomôcka na búrkovú sponu</t>
  </si>
  <si>
    <t>Montagehulp voor stormbevestigingsclip</t>
  </si>
  <si>
    <t>Pomoč pri montaži za nevihtno sponko</t>
  </si>
  <si>
    <t>Monteringshjälp för stormklämma</t>
  </si>
  <si>
    <t>Monteringshjælp til stormclips</t>
  </si>
  <si>
    <t>Monteringshjelp for stormklips</t>
  </si>
  <si>
    <t>Montažna pomoć za olujnu osigurač</t>
  </si>
  <si>
    <t>Aide au montage pour clip anti-tempête pour Siding</t>
  </si>
  <si>
    <t>Ausilio al montaggio per clip antitempesta per Siding</t>
  </si>
  <si>
    <t>Montážní pomůcka pro bouřkovou sponu pro Siding</t>
  </si>
  <si>
    <t>Pomoc montażowa do klipsa przeciwburzowego do Siding</t>
  </si>
  <si>
    <t>Összeszerelési segédeszköz viharos biztosító kapocshoz Sidinghez</t>
  </si>
  <si>
    <t>Montážna pomôcka na búrkovú sponu pre Siding</t>
  </si>
  <si>
    <t>Montagehulp voor stormbevestigingsclip voor Siding</t>
  </si>
  <si>
    <t>Pomoč pri montaži za nevihtno sponko za Siding</t>
  </si>
  <si>
    <t>Monteringshjälp för stormklämma för Siding</t>
  </si>
  <si>
    <t>Monteringshjælp til stormclips for Siding</t>
  </si>
  <si>
    <t>Monteringshjelp for stormklips for Siding</t>
  </si>
  <si>
    <t>Montažna pomoć za olujnu osigurač za Siding</t>
  </si>
  <si>
    <t>Aide au montage pour clip anti-tempête pour Siding.x</t>
  </si>
  <si>
    <t>Ausilio al montaggio per clip antitempesta per Siding.x</t>
  </si>
  <si>
    <t>Montážní pomůcka pro bouřkovou sponu pro Siding.x</t>
  </si>
  <si>
    <t>Pomoc montażowa do klipsa przeciwburzowego do Siding.x</t>
  </si>
  <si>
    <t>Összeszerelési segédeszköz viharos biztosító kapocshoz Siding.x-hez</t>
  </si>
  <si>
    <t>Montážna pomôcka na búrkovú sponu pre Siding.x</t>
  </si>
  <si>
    <t>Montagehulp voor stormbevestigingsclip voor Siding.x</t>
  </si>
  <si>
    <t>Pomoč pri montaži za nevihtno sponko za Siding.x</t>
  </si>
  <si>
    <t>Monteringshjälp för stormklämma för Siding.x</t>
  </si>
  <si>
    <t>Monteringshjælp til stormclips for Siding.x</t>
  </si>
  <si>
    <t>Monteringshjelp for stormklips for Siding.x</t>
  </si>
  <si>
    <t>Montažna pomoć za olujnu osigurač za Siding.x</t>
  </si>
  <si>
    <t>Copertura foro di montaggio</t>
  </si>
  <si>
    <t>Kryt montážního otvoru</t>
  </si>
  <si>
    <t>Osłona otworu montażowego</t>
  </si>
  <si>
    <t>Szerelési furat fedél</t>
  </si>
  <si>
    <t>Kryt montážneho otvoru</t>
  </si>
  <si>
    <t>Montageschotafdekking</t>
  </si>
  <si>
    <t>Pokrov montažne luknje</t>
  </si>
  <si>
    <t>Monteringshåltäcke</t>
  </si>
  <si>
    <t>Monteringshulsdæksel</t>
  </si>
  <si>
    <t>Monteringshullsdeksel</t>
  </si>
  <si>
    <t>Pokrov montažne rupe</t>
  </si>
  <si>
    <t>Verde muschio</t>
  </si>
  <si>
    <t>Mechová zelená</t>
  </si>
  <si>
    <t>Mechowozielony</t>
  </si>
  <si>
    <t>Mohazöld</t>
  </si>
  <si>
    <t>Machová zelená</t>
  </si>
  <si>
    <t>Mosgroen</t>
  </si>
  <si>
    <t>Mah zelena</t>
  </si>
  <si>
    <t>Mossgrön</t>
  </si>
  <si>
    <t>Mosgrøn</t>
  </si>
  <si>
    <t>Mosegrønn</t>
  </si>
  <si>
    <t>Mahovinasto zelena</t>
  </si>
  <si>
    <t>Manicotto</t>
  </si>
  <si>
    <t>Objímka</t>
  </si>
  <si>
    <t>Tuleja</t>
  </si>
  <si>
    <t>Hüvely</t>
  </si>
  <si>
    <t>Rokav</t>
  </si>
  <si>
    <t>Hylsa</t>
  </si>
  <si>
    <t>Spojnica</t>
  </si>
  <si>
    <t>Dado</t>
  </si>
  <si>
    <t>Matice</t>
  </si>
  <si>
    <t>Nakrętka</t>
  </si>
  <si>
    <t>Anya</t>
  </si>
  <si>
    <t>Matica</t>
  </si>
  <si>
    <t>Moer</t>
  </si>
  <si>
    <t>Møtrik</t>
  </si>
  <si>
    <t>Durabilité</t>
  </si>
  <si>
    <t>Sostenibilità</t>
  </si>
  <si>
    <t>Udržitelnost</t>
  </si>
  <si>
    <t>Zrównoważony rozwój</t>
  </si>
  <si>
    <t>Fenntarthatóság</t>
  </si>
  <si>
    <t>Udržateľnosť</t>
  </si>
  <si>
    <t>Duurzaamheid</t>
  </si>
  <si>
    <t>Trajnost</t>
  </si>
  <si>
    <t>Hållbarhet</t>
  </si>
  <si>
    <t>Bæredygtighed</t>
  </si>
  <si>
    <t>Bærekraft</t>
  </si>
  <si>
    <t>Održivost</t>
  </si>
  <si>
    <t>Chiodo</t>
  </si>
  <si>
    <t>Hřebík</t>
  </si>
  <si>
    <t>Gwóźdź</t>
  </si>
  <si>
    <t>Szög</t>
  </si>
  <si>
    <t>Klinec</t>
  </si>
  <si>
    <t>Spijker</t>
  </si>
  <si>
    <t>Žebelj</t>
  </si>
  <si>
    <t>Spik</t>
  </si>
  <si>
    <t>Søm</t>
  </si>
  <si>
    <t>Čavao</t>
  </si>
  <si>
    <t>Chiodo 2,8/25</t>
  </si>
  <si>
    <t>Hřebík 2,8/25</t>
  </si>
  <si>
    <t>Gwóźdź 2,8/25</t>
  </si>
  <si>
    <t>Szög 2,8/25</t>
  </si>
  <si>
    <t>Klinec 2,8/25</t>
  </si>
  <si>
    <t>Spijker 2,8/25</t>
  </si>
  <si>
    <t>Žebelj 2,8/25</t>
  </si>
  <si>
    <t>Spik 2,8/25</t>
  </si>
  <si>
    <t>Søm 2,8/25</t>
  </si>
  <si>
    <t>Spiker 2,8/25</t>
  </si>
  <si>
    <t>Čavao 2,8/25</t>
  </si>
  <si>
    <t>Chiodo 2,8/30</t>
  </si>
  <si>
    <t>Hřebík 2,8/30</t>
  </si>
  <si>
    <t>Gwóźdź 2,8/30</t>
  </si>
  <si>
    <t>Szög 2,8/30</t>
  </si>
  <si>
    <t>Klinec 2,8/30</t>
  </si>
  <si>
    <t>Spijker 2,8/30</t>
  </si>
  <si>
    <t>Žebelj 2,8/30</t>
  </si>
  <si>
    <t>Spik 2,8/30</t>
  </si>
  <si>
    <t>Søm 2,8/30</t>
  </si>
  <si>
    <t>Spiker 2,8/30</t>
  </si>
  <si>
    <t>Čavao 2,8/30</t>
  </si>
  <si>
    <t>Alluminio naturale</t>
  </si>
  <si>
    <t>Přírodní hliník</t>
  </si>
  <si>
    <t>Surowe aluminium</t>
  </si>
  <si>
    <t>Ongekleurd aluminium</t>
  </si>
  <si>
    <t>Naravno aluminij</t>
  </si>
  <si>
    <t>Naturlig aluminium</t>
  </si>
  <si>
    <t>Prirodni aluminij</t>
  </si>
  <si>
    <t>Nu naturel AL 99,5%</t>
  </si>
  <si>
    <t>Naturale nudo AL 99,5%</t>
  </si>
  <si>
    <t>Přírodní nechráněný AL 99,5%</t>
  </si>
  <si>
    <t>Naturalny nieosłonięty AL 99,5%</t>
  </si>
  <si>
    <t>Natúr csupasz AL 99,5%</t>
  </si>
  <si>
    <t>Prírodná holá AL 99,5%</t>
  </si>
  <si>
    <t>Natuurlijke naakt AL 99,5%</t>
  </si>
  <si>
    <t>Naravno gola AL 99,5%</t>
  </si>
  <si>
    <t>Naturlig naken AL 99,5%</t>
  </si>
  <si>
    <t>Naturlig bar AL 99,5%</t>
  </si>
  <si>
    <t>Prirodni goli AL 99,5%</t>
  </si>
  <si>
    <t>Rame nuovo</t>
  </si>
  <si>
    <t>Nová měď</t>
  </si>
  <si>
    <t>Nowa miedź</t>
  </si>
  <si>
    <t>Új réz</t>
  </si>
  <si>
    <t>Nová meď</t>
  </si>
  <si>
    <t>Nieuw koper</t>
  </si>
  <si>
    <t>Novo bakreno</t>
  </si>
  <si>
    <t>Ny koppar</t>
  </si>
  <si>
    <t>Ny kobber</t>
  </si>
  <si>
    <t>Novi bakar</t>
  </si>
  <si>
    <t>Non adhésif</t>
  </si>
  <si>
    <t>Non adesivo</t>
  </si>
  <si>
    <t>Nelepicí</t>
  </si>
  <si>
    <t>Nieprzylepny</t>
  </si>
  <si>
    <t>Nem öntapadó</t>
  </si>
  <si>
    <t>Nelepiace</t>
  </si>
  <si>
    <t>Niet-klevend</t>
  </si>
  <si>
    <t>Nelepljiv</t>
  </si>
  <si>
    <t>Icke-klistrig</t>
  </si>
  <si>
    <t>Ikke-klæbende</t>
  </si>
  <si>
    <t>Ikke-selvklebende</t>
  </si>
  <si>
    <t>Ne-samoljepljivi</t>
  </si>
  <si>
    <t>Držák</t>
  </si>
  <si>
    <t>Uchwyt</t>
  </si>
  <si>
    <t>Lefogó</t>
  </si>
  <si>
    <t>Držiak</t>
  </si>
  <si>
    <t>Klem</t>
  </si>
  <si>
    <t>Držalo</t>
  </si>
  <si>
    <t>Hållare</t>
  </si>
  <si>
    <t>Holder</t>
  </si>
  <si>
    <t>Hold-down</t>
  </si>
  <si>
    <t>Zadržač</t>
  </si>
  <si>
    <t>Rivetto</t>
  </si>
  <si>
    <t>Nýt</t>
  </si>
  <si>
    <t>Nit</t>
  </si>
  <si>
    <t>Szegecs</t>
  </si>
  <si>
    <t>Nýtek</t>
  </si>
  <si>
    <t>Klinknagel</t>
  </si>
  <si>
    <t>Zakovica</t>
  </si>
  <si>
    <t>Nitte</t>
  </si>
  <si>
    <t>Nagle</t>
  </si>
  <si>
    <t>Inox</t>
  </si>
  <si>
    <t>Acciaio inossidabile</t>
  </si>
  <si>
    <t>Nerezová ocel</t>
  </si>
  <si>
    <t>Nerezová oceľ</t>
  </si>
  <si>
    <t>Roestvrij staal</t>
  </si>
  <si>
    <t>Inoks</t>
  </si>
  <si>
    <t>Chiodo scanalato in acciaio inossidabile</t>
  </si>
  <si>
    <t>Nerezový drážkový hřebík</t>
  </si>
  <si>
    <t>Gwoźdź żłobkowany ze stali nierdzewnej</t>
  </si>
  <si>
    <t>Rozsdamentes acél bordás szeg</t>
  </si>
  <si>
    <t>Nerezový ryhovaný klinec</t>
  </si>
  <si>
    <t>RVS groefnagel</t>
  </si>
  <si>
    <t>Inoks žlebičast žebelj</t>
  </si>
  <si>
    <t>Rostfri rillspik</t>
  </si>
  <si>
    <t>Rustfri rillenagel</t>
  </si>
  <si>
    <t>Rustfritt rillespiker</t>
  </si>
  <si>
    <t>Utorni čavao od nehrđajućeg čelika</t>
  </si>
  <si>
    <t>Chiodo scanalato in acciaio inossidabile legato</t>
  </si>
  <si>
    <t>Nerezový drážkový hřebík vázaný</t>
  </si>
  <si>
    <t>Gwoźdź żłobkowany ze stali nierdzewnej związany</t>
  </si>
  <si>
    <t>Rozsdamentes acél bordás szeg kötve</t>
  </si>
  <si>
    <t>Nerezový ryhovaný klinec viazaný</t>
  </si>
  <si>
    <t>RVS groefnagel gebonden</t>
  </si>
  <si>
    <t>Inoks žlebičast žebelj vezan</t>
  </si>
  <si>
    <t>Rostfri rillspik bunden</t>
  </si>
  <si>
    <t>Rustfri rillenagel bundet</t>
  </si>
  <si>
    <t>Rustfritt rillespiker bundet</t>
  </si>
  <si>
    <t>Utorni čavao od nehrđajućeg čelika vezan</t>
  </si>
  <si>
    <t>Vite in acciaio inossidabile con rondella di tenuta</t>
  </si>
  <si>
    <t>Nerezový šroub s těsnicí podložkou</t>
  </si>
  <si>
    <t>Wkręt ze stali nierdzewnej z podkładką uszczelniającą</t>
  </si>
  <si>
    <t>Rozsdamentes acél csavar tömítőalátéttel</t>
  </si>
  <si>
    <t>Nerezová skrutka s tesniacou podložkou</t>
  </si>
  <si>
    <t>RVS schroef met afdichtring</t>
  </si>
  <si>
    <t>Inoks vijak s tesnilnim podložkom</t>
  </si>
  <si>
    <t>Rostfri skruv med tätningsbricka</t>
  </si>
  <si>
    <t>Rustfri skrue med tætningsskive</t>
  </si>
  <si>
    <t>Rustfri skrue med tetningsskive</t>
  </si>
  <si>
    <t>Vijak od nehrđajućeg čelika s brtvom</t>
  </si>
  <si>
    <t>Montaggio scorrevole ad angolo lungo in acciaio inossidabile</t>
  </si>
  <si>
    <t>Dlouhá úhlová posuvná montáž z nerezové oceli</t>
  </si>
  <si>
    <t>Montaż przesuwny z długim kątem ze stali nierdzewnej</t>
  </si>
  <si>
    <t>Rozsdamentes acél hosszú szögletes csúszószerelvény</t>
  </si>
  <si>
    <t>Nerezový dlhý uhlový posuvný úchyt</t>
  </si>
  <si>
    <t>RVS lange hoek schuifmontage</t>
  </si>
  <si>
    <t>Inoks dolga kotna drsna montaža</t>
  </si>
  <si>
    <t>Rostfritt stål långvinkelglidfäste</t>
  </si>
  <si>
    <t>Rustfrit stål lang vinkel glidemontering</t>
  </si>
  <si>
    <t>Rustfritt stål lang vinkelskyvemontering</t>
  </si>
  <si>
    <t>Duga kutna klizna montaža od nehrđajućeg čelika</t>
  </si>
  <si>
    <t>Montaggio scorrevole ad angolo in acciaio inossidabile</t>
  </si>
  <si>
    <t>Úhlová posuvná montáž z nerezové oceli</t>
  </si>
  <si>
    <t>Montaż przesuwny z kątem ze stali nierdzewnej</t>
  </si>
  <si>
    <t>Rozsdamentes acél szögletes csúszószerelvény</t>
  </si>
  <si>
    <t>Nerezový uhlový posuvný úchyt</t>
  </si>
  <si>
    <t>RVS hoeks schuifmontage</t>
  </si>
  <si>
    <t>Inoks kotna drsna montaža</t>
  </si>
  <si>
    <t>Rostfritt stål vinkelglidfäste</t>
  </si>
  <si>
    <t>Rustfrit stål vinkel glidemontering</t>
  </si>
  <si>
    <t>Rustfritt stål vinkelskyvemontering</t>
  </si>
  <si>
    <t>Kutna klizna montaža od nehrđajućeg čelika</t>
  </si>
  <si>
    <t>Alluminio grigio standard</t>
  </si>
  <si>
    <t>Standardní šedý hliník</t>
  </si>
  <si>
    <t>Standardowy szary aluminium</t>
  </si>
  <si>
    <t>Standard szürke alumínium</t>
  </si>
  <si>
    <t>Štandardný šedý hliník</t>
  </si>
  <si>
    <t>Standaard grijs aluminium</t>
  </si>
  <si>
    <t>Standardno sivo aluminij</t>
  </si>
  <si>
    <t>Standard grå aluminium</t>
  </si>
  <si>
    <t>Standardno sivi aluminij</t>
  </si>
  <si>
    <t>Verde menta standard</t>
  </si>
  <si>
    <t>Standardní mátová zeleň</t>
  </si>
  <si>
    <t>Standardowy miętowy zielony</t>
  </si>
  <si>
    <t>Standard menta zöld</t>
  </si>
  <si>
    <t>Štandardná mätová zelená</t>
  </si>
  <si>
    <t>Standaard muntgroen</t>
  </si>
  <si>
    <t>Standardno mint zelena</t>
  </si>
  <si>
    <t>Standard mintgrön</t>
  </si>
  <si>
    <t>Standard mintgrøn</t>
  </si>
  <si>
    <t>Standard mintgrønn</t>
  </si>
  <si>
    <t>Standardna mint zelena</t>
  </si>
  <si>
    <t>Grigio quarzo standard</t>
  </si>
  <si>
    <t>Standardní křemenná šedá</t>
  </si>
  <si>
    <t>Standardowy kwarcowy szary</t>
  </si>
  <si>
    <t>Standard kvarc szürke</t>
  </si>
  <si>
    <t>Štandardná kremeňová sivá</t>
  </si>
  <si>
    <t>Standaard kwartsgrijs</t>
  </si>
  <si>
    <t>Standardno kremenasto siva</t>
  </si>
  <si>
    <t>Standard kvartsgrå</t>
  </si>
  <si>
    <t>Standardno kvarc siva</t>
  </si>
  <si>
    <t>Bianco puro standard</t>
  </si>
  <si>
    <t>Standardní čistě bílá</t>
  </si>
  <si>
    <t>Standardowy czysty biały</t>
  </si>
  <si>
    <t>Standard tiszta fehér</t>
  </si>
  <si>
    <t>Štandardná čistá biela</t>
  </si>
  <si>
    <t>Standaard zuiver wit</t>
  </si>
  <si>
    <t>Standardno čisto bela</t>
  </si>
  <si>
    <t>Standard rent vit</t>
  </si>
  <si>
    <t>Standard ren hvid</t>
  </si>
  <si>
    <t>Standard ren hvit</t>
  </si>
  <si>
    <t>Standardno čista bijela</t>
  </si>
  <si>
    <t>Marrone noce</t>
  </si>
  <si>
    <t>Ořechová hnědá</t>
  </si>
  <si>
    <t>Orzechowy brąz</t>
  </si>
  <si>
    <t>Dióbarna</t>
  </si>
  <si>
    <t>Orechová hnedá</t>
  </si>
  <si>
    <t>Notenbruin</t>
  </si>
  <si>
    <t>Orehovo rjava</t>
  </si>
  <si>
    <t>Nötbrun</t>
  </si>
  <si>
    <t>Nøddebrun</t>
  </si>
  <si>
    <t>Nøttebrun</t>
  </si>
  <si>
    <t>Orahovo smeđa</t>
  </si>
  <si>
    <t>Superficie</t>
  </si>
  <si>
    <t>Povrch</t>
  </si>
  <si>
    <t>Powierzchnia</t>
  </si>
  <si>
    <t>Felület</t>
  </si>
  <si>
    <t>Oppervlak</t>
  </si>
  <si>
    <t>Površina</t>
  </si>
  <si>
    <t>Yta</t>
  </si>
  <si>
    <t>Overflade</t>
  </si>
  <si>
    <t>Overflate</t>
  </si>
  <si>
    <t>Surface lisse</t>
  </si>
  <si>
    <t>Superficie liscia</t>
  </si>
  <si>
    <t>Hladký povrch</t>
  </si>
  <si>
    <t>Gładka powierzchnia</t>
  </si>
  <si>
    <t>Sima felület</t>
  </si>
  <si>
    <t>Glad oppervlak</t>
  </si>
  <si>
    <t>Gladka površina</t>
  </si>
  <si>
    <t>Slät yta</t>
  </si>
  <si>
    <t>Glat overflade</t>
  </si>
  <si>
    <t>Glatt overflate</t>
  </si>
  <si>
    <t>Glatka površina</t>
  </si>
  <si>
    <t>Superficie liscia su richiesta</t>
  </si>
  <si>
    <t>Hladký povrch na vyžádání</t>
  </si>
  <si>
    <t>Gładka powierzchnia na życzenie</t>
  </si>
  <si>
    <t>Sima felület kérésre</t>
  </si>
  <si>
    <t>Hladký povrch na požiadanie</t>
  </si>
  <si>
    <t>Glad oppervlak op aanvraag</t>
  </si>
  <si>
    <t>Gladka površina na zahtevo</t>
  </si>
  <si>
    <t>Slät yta på begäran</t>
  </si>
  <si>
    <t>Glat overflade på forespørgsel</t>
  </si>
  <si>
    <t>Glatt overflate på forespørsel</t>
  </si>
  <si>
    <t>Glatka površina na zahtjev</t>
  </si>
  <si>
    <t>Surfaces</t>
  </si>
  <si>
    <t>Superfici</t>
  </si>
  <si>
    <t>Povrchy</t>
  </si>
  <si>
    <t>Powierzchnie</t>
  </si>
  <si>
    <t>Felületek</t>
  </si>
  <si>
    <t>Oppervlakken</t>
  </si>
  <si>
    <t>Površine</t>
  </si>
  <si>
    <t>Ytor</t>
  </si>
  <si>
    <t>Overflader</t>
  </si>
  <si>
    <t>Overflater</t>
  </si>
  <si>
    <t>Senza fissaggi</t>
  </si>
  <si>
    <t>Bez spojovacích prostředků</t>
  </si>
  <si>
    <t>Bez elementów złącznych</t>
  </si>
  <si>
    <t>Rögzítők nélkül</t>
  </si>
  <si>
    <t>Bez upevňovacích prvkov</t>
  </si>
  <si>
    <t>Zonder bevestigingsmiddelen</t>
  </si>
  <si>
    <t>Brez pritrdilnih elementov</t>
  </si>
  <si>
    <t>Utan fästdon</t>
  </si>
  <si>
    <t>Uden fastgørelsesmidler</t>
  </si>
  <si>
    <t>Uten festemidler</t>
  </si>
  <si>
    <t>Bez učvršćenja</t>
  </si>
  <si>
    <t>Senza connettori incrociati</t>
  </si>
  <si>
    <t>Bez křížových spojek</t>
  </si>
  <si>
    <t>Bez łączników krzyżowych</t>
  </si>
  <si>
    <t>Keresztcsatlakozók nélkül</t>
  </si>
  <si>
    <t>Bez krížových spojok</t>
  </si>
  <si>
    <t>Zonder kruisverbinders</t>
  </si>
  <si>
    <t>Brez križnih spojk</t>
  </si>
  <si>
    <t>Utan korskopplingar</t>
  </si>
  <si>
    <t>Uden krydsforbindelser</t>
  </si>
  <si>
    <t>Uten kryssforbindelser</t>
  </si>
  <si>
    <t>Bez križnih spojeva</t>
  </si>
  <si>
    <t>Senza pellicola protettiva</t>
  </si>
  <si>
    <t>Bez ochranné fólie</t>
  </si>
  <si>
    <t>Bez folii ochronnej</t>
  </si>
  <si>
    <t>Védőfólia nélkül</t>
  </si>
  <si>
    <t>Bez ochrannej fólie</t>
  </si>
  <si>
    <t>Zonder beschermfolie</t>
  </si>
  <si>
    <t>Brez zaščitne folije</t>
  </si>
  <si>
    <t>Utan skyddsfilm</t>
  </si>
  <si>
    <t>Uden beskyttelsesfilm</t>
  </si>
  <si>
    <t>Uten beskyttelsesfilm</t>
  </si>
  <si>
    <t>Bez zaštitne folije</t>
  </si>
  <si>
    <t>Sans rebord et garniture</t>
  </si>
  <si>
    <t>Senza bordo e rivestimento</t>
  </si>
  <si>
    <t>Bez perličky a ozdob</t>
  </si>
  <si>
    <t>Bez koralika i wykończenia</t>
  </si>
  <si>
    <t>Perem és díszítés nélkül</t>
  </si>
  <si>
    <t>Bez perličky a ozdoby</t>
  </si>
  <si>
    <t>Zonder kraal en trim</t>
  </si>
  <si>
    <t>Brez kroglice in obrobe</t>
  </si>
  <si>
    <t>Utan pärla och trim</t>
  </si>
  <si>
    <t>Uden perle og trim</t>
  </si>
  <si>
    <t>Uten perle og trim</t>
  </si>
  <si>
    <t>Bez perli i ukrasa</t>
  </si>
  <si>
    <t>Senza accessori</t>
  </si>
  <si>
    <t>Bez příslušenství</t>
  </si>
  <si>
    <t>Bez akcesoriów</t>
  </si>
  <si>
    <t>Kiegészítők nélkül</t>
  </si>
  <si>
    <t>Bez príslušenstva</t>
  </si>
  <si>
    <t>Zonder accessoires</t>
  </si>
  <si>
    <t>Brez dodatkov</t>
  </si>
  <si>
    <t>Utan tillbehör</t>
  </si>
  <si>
    <t>Uden tilbehør</t>
  </si>
  <si>
    <t>Uten tilbehør</t>
  </si>
  <si>
    <t>Bez dodataka</t>
  </si>
  <si>
    <t>Verde oliva</t>
  </si>
  <si>
    <t>Olivově zelená</t>
  </si>
  <si>
    <t>Oliwkowy zielony</t>
  </si>
  <si>
    <t>Olívazöld</t>
  </si>
  <si>
    <t>Olivovo zelená</t>
  </si>
  <si>
    <t>Olijfgroen</t>
  </si>
  <si>
    <t>Oljčno zelena</t>
  </si>
  <si>
    <t>Olivgrön</t>
  </si>
  <si>
    <t>Olivengrøn</t>
  </si>
  <si>
    <t>Olivengrønn</t>
  </si>
  <si>
    <t>Maslinasto zelena</t>
  </si>
  <si>
    <t>Verde opale</t>
  </si>
  <si>
    <t>Opálově zelená</t>
  </si>
  <si>
    <t>Opalowy zielony</t>
  </si>
  <si>
    <t>Opálzöld</t>
  </si>
  <si>
    <t>Opálovo zelená</t>
  </si>
  <si>
    <t>Opaalgroen</t>
  </si>
  <si>
    <t>Opalno zelena</t>
  </si>
  <si>
    <t>Opalgrön</t>
  </si>
  <si>
    <t>Opalgrøn</t>
  </si>
  <si>
    <t>Opalgrønn</t>
  </si>
  <si>
    <t>Rosso ossido</t>
  </si>
  <si>
    <t>Oxidově červená</t>
  </si>
  <si>
    <t>Tlenkowy czerwony</t>
  </si>
  <si>
    <t>Oxidvörös</t>
  </si>
  <si>
    <t>Oxidová červená</t>
  </si>
  <si>
    <t>Oxyderood</t>
  </si>
  <si>
    <t>Oksidno rdeča</t>
  </si>
  <si>
    <t>Oxidröd</t>
  </si>
  <si>
    <t>Oxidrød</t>
  </si>
  <si>
    <t>Oksidrød</t>
  </si>
  <si>
    <t>Oksidno crvena</t>
  </si>
  <si>
    <t>P.10 antracite</t>
  </si>
  <si>
    <t>P.10 antracit</t>
  </si>
  <si>
    <t>P.10 antracyt</t>
  </si>
  <si>
    <t>P.10 antraciet</t>
  </si>
  <si>
    <t>P.10 antrasitt</t>
  </si>
  <si>
    <t>P.10 marron</t>
  </si>
  <si>
    <t>P.10 marrone</t>
  </si>
  <si>
    <t>P.10 hnědá</t>
  </si>
  <si>
    <t>P.10 brązowy</t>
  </si>
  <si>
    <t>P.10 barna</t>
  </si>
  <si>
    <t>P.10 hnedá</t>
  </si>
  <si>
    <t>P.10 bruin</t>
  </si>
  <si>
    <t>P.10 rjava</t>
  </si>
  <si>
    <t>P.10 brun</t>
  </si>
  <si>
    <t>P.10 smeđa</t>
  </si>
  <si>
    <t>P.10 bronzo</t>
  </si>
  <si>
    <t>P.10 bronzová</t>
  </si>
  <si>
    <t>P.10 brąz</t>
  </si>
  <si>
    <t>P.10 bronz</t>
  </si>
  <si>
    <t>P.10 brons</t>
  </si>
  <si>
    <t>P.10 bronasta</t>
  </si>
  <si>
    <t>P.10 bronse</t>
  </si>
  <si>
    <t>P.10 bronca</t>
  </si>
  <si>
    <t>P.10 grigio scuro</t>
  </si>
  <si>
    <t>P.10 tmavě šedá</t>
  </si>
  <si>
    <t>P.10 ciemnoszary</t>
  </si>
  <si>
    <t>P.10 sötétszürke</t>
  </si>
  <si>
    <t>P.10 tmavošedá</t>
  </si>
  <si>
    <t>P.10 donkergrijs</t>
  </si>
  <si>
    <t>P.10 temno siva</t>
  </si>
  <si>
    <t>P.10 mörkgrå</t>
  </si>
  <si>
    <t>P.10 mørkegrå</t>
  </si>
  <si>
    <t>P.10 mørk grå</t>
  </si>
  <si>
    <t>P.10 tamnosiva</t>
  </si>
  <si>
    <t>P.10 grigio chiaro</t>
  </si>
  <si>
    <t>P.10 světle šedá</t>
  </si>
  <si>
    <t>P.10 jasnoszary</t>
  </si>
  <si>
    <t>P.10 világosszürke</t>
  </si>
  <si>
    <t>P.10 svetlošedá</t>
  </si>
  <si>
    <t>P.10 lichtgrijs</t>
  </si>
  <si>
    <t>P.10 svetlo siva</t>
  </si>
  <si>
    <t>P.10 ljusgrå</t>
  </si>
  <si>
    <t>P.10 lysegrå</t>
  </si>
  <si>
    <t>P.10 lys grå</t>
  </si>
  <si>
    <t>P.10 svijetlosiva</t>
  </si>
  <si>
    <t>P.10 vert mousse</t>
  </si>
  <si>
    <t>P.10 verde muschio</t>
  </si>
  <si>
    <t>P.10 mechová zelená</t>
  </si>
  <si>
    <t>P.10 zielony mech</t>
  </si>
  <si>
    <t>P.10 mohazöld</t>
  </si>
  <si>
    <t>P.10 machovo zelená</t>
  </si>
  <si>
    <t>P.10 mosgroen</t>
  </si>
  <si>
    <t>P.10 mah zelena</t>
  </si>
  <si>
    <t>P.10 mossgrön</t>
  </si>
  <si>
    <t>P.10 mosgrøn</t>
  </si>
  <si>
    <t>P.10 mosegrønn</t>
  </si>
  <si>
    <t>P.10 mahovinastozelena</t>
  </si>
  <si>
    <t>P.10 brun noisette</t>
  </si>
  <si>
    <t>P.10 marrone noce</t>
  </si>
  <si>
    <t>P.10 ořechová hnědá</t>
  </si>
  <si>
    <t>P.10 orzechowy brąz</t>
  </si>
  <si>
    <t>P.10 dióbarna</t>
  </si>
  <si>
    <t>P.10 orechovo hnedá</t>
  </si>
  <si>
    <t>P.10 notenbruin</t>
  </si>
  <si>
    <t>P.10 orehovo rjava</t>
  </si>
  <si>
    <t>P.10 nötbrun</t>
  </si>
  <si>
    <t>P.10 nøddebrun</t>
  </si>
  <si>
    <t>P.10 nøttebrun</t>
  </si>
  <si>
    <t>P.10 orašastosmeđa</t>
  </si>
  <si>
    <t>P.10 rouge oxyde</t>
  </si>
  <si>
    <t>P.10 rosso ossido</t>
  </si>
  <si>
    <t>P.10 oxidová červená</t>
  </si>
  <si>
    <t>P.10 czerwony tlenkowy</t>
  </si>
  <si>
    <t>P.10 oxidvörös</t>
  </si>
  <si>
    <t>P.10 oxidrood</t>
  </si>
  <si>
    <t>P.10 oksidno rdeča</t>
  </si>
  <si>
    <t>P.10 oxidröd</t>
  </si>
  <si>
    <t>P.10 oxidrød</t>
  </si>
  <si>
    <t>P.10 oksidrød</t>
  </si>
  <si>
    <t>P.10 oksidnocrvena</t>
  </si>
  <si>
    <t>P.10 verde patina</t>
  </si>
  <si>
    <t>P.10 patinová zelená</t>
  </si>
  <si>
    <t>P.10 zielony patyna</t>
  </si>
  <si>
    <t>P.10 patinazöld</t>
  </si>
  <si>
    <t>P.10 patinagroen</t>
  </si>
  <si>
    <t>P.10 patinasto zelena</t>
  </si>
  <si>
    <t>P.10 patinagrön</t>
  </si>
  <si>
    <t>P.10 patinagrøn</t>
  </si>
  <si>
    <t>P.10 patina grønn</t>
  </si>
  <si>
    <t>P.10 patinastozelena</t>
  </si>
  <si>
    <t>P.10 bianco prefa</t>
  </si>
  <si>
    <t>P.10 prefa bílá</t>
  </si>
  <si>
    <t>P.10 prefa biały</t>
  </si>
  <si>
    <t>P.10 prefa fehér</t>
  </si>
  <si>
    <t>P.10 prefa biela</t>
  </si>
  <si>
    <t>P.10 prefa wit</t>
  </si>
  <si>
    <t>P.10 prefa bela</t>
  </si>
  <si>
    <t>P.10 prefa vit</t>
  </si>
  <si>
    <t>P.10 prefa hvid</t>
  </si>
  <si>
    <t>P.10 prefa hvit</t>
  </si>
  <si>
    <t>P.10 prefa bijela</t>
  </si>
  <si>
    <t>P.10 qualità</t>
  </si>
  <si>
    <t>P.10 kvalita</t>
  </si>
  <si>
    <t>P.10 jakość</t>
  </si>
  <si>
    <t>P.10 minőség</t>
  </si>
  <si>
    <t>P.10 kwaliteit</t>
  </si>
  <si>
    <t>P.10 kakovost</t>
  </si>
  <si>
    <t>P.10 kvalitet</t>
  </si>
  <si>
    <t>P.10 kvaliteta</t>
  </si>
  <si>
    <t>P.10 argento fumo</t>
  </si>
  <si>
    <t>P.10 kouřově stříbrná</t>
  </si>
  <si>
    <t>P.10 srebrny dym</t>
  </si>
  <si>
    <t>P.10 füst ezüst</t>
  </si>
  <si>
    <t>P.10 dymovo strieborná</t>
  </si>
  <si>
    <t>P.10 rookzilver</t>
  </si>
  <si>
    <t>P.10 dimno srebrna</t>
  </si>
  <si>
    <t>P.10 röksilver</t>
  </si>
  <si>
    <t>P.10 røg sølv</t>
  </si>
  <si>
    <t>P.10 røyk sølv</t>
  </si>
  <si>
    <t>P.10 dimnosrebrna</t>
  </si>
  <si>
    <t>P.10 bianco puro</t>
  </si>
  <si>
    <t>P.10 čistě bílá</t>
  </si>
  <si>
    <t>P.10 czysta biel</t>
  </si>
  <si>
    <t>P.10 tiszta fehér</t>
  </si>
  <si>
    <t>P.10 čisto biela</t>
  </si>
  <si>
    <t>P.10 zuiver wit</t>
  </si>
  <si>
    <t>P.10 čisto bela</t>
  </si>
  <si>
    <t>P.10 rent vit</t>
  </si>
  <si>
    <t>P.10 ren hvid</t>
  </si>
  <si>
    <t>P.10 ren hvit</t>
  </si>
  <si>
    <t>P.10 čista bijela</t>
  </si>
  <si>
    <t>P.10 marrone sabbia</t>
  </si>
  <si>
    <t>P.10 písková hnědá</t>
  </si>
  <si>
    <t>P.10 piaskowy brąz</t>
  </si>
  <si>
    <t>P.10 homokbarna</t>
  </si>
  <si>
    <t>P.10 pieskovo hnedá</t>
  </si>
  <si>
    <t>P.10 zandbruin</t>
  </si>
  <si>
    <t>P.10 peščeno rjava</t>
  </si>
  <si>
    <t>P.10 sandbrun</t>
  </si>
  <si>
    <t>P.10 pješčanosmeđa</t>
  </si>
  <si>
    <t>P.10 nero</t>
  </si>
  <si>
    <t>P.10 černá</t>
  </si>
  <si>
    <t>P.10 czarny</t>
  </si>
  <si>
    <t>P.10 fekete</t>
  </si>
  <si>
    <t>P.10 čierna</t>
  </si>
  <si>
    <t>P.10 zwart</t>
  </si>
  <si>
    <t>P.10 črna</t>
  </si>
  <si>
    <t>P.10 svart</t>
  </si>
  <si>
    <t>P.10 sort</t>
  </si>
  <si>
    <t>P.10 crna</t>
  </si>
  <si>
    <t>P.10 argento metallico</t>
  </si>
  <si>
    <t>P.10 stříbrná metalíza</t>
  </si>
  <si>
    <t>P.10 srebrny metalik</t>
  </si>
  <si>
    <t>P.10 ezüstmetál</t>
  </si>
  <si>
    <t>P.10 strieborná metalíza</t>
  </si>
  <si>
    <t>P.10 zilver metallic</t>
  </si>
  <si>
    <t>P.10 srebrno kovinska</t>
  </si>
  <si>
    <t>P.10 silver metallic</t>
  </si>
  <si>
    <t>P.10 sølv metallic</t>
  </si>
  <si>
    <t>P.10 sølv metallisk</t>
  </si>
  <si>
    <t>P.10 srebrna metalik</t>
  </si>
  <si>
    <t>P.10 grigio pietra</t>
  </si>
  <si>
    <t>P.10 kamenná šedá</t>
  </si>
  <si>
    <t>P.10 kamienny szary</t>
  </si>
  <si>
    <t>P.10 kőszürke</t>
  </si>
  <si>
    <t>P.10 kamenne sivá</t>
  </si>
  <si>
    <t>P.10 steengrijs</t>
  </si>
  <si>
    <t>P.10 kamnito siva</t>
  </si>
  <si>
    <t>P.10 stengrå</t>
  </si>
  <si>
    <t>P.10 sten grå</t>
  </si>
  <si>
    <t>P.10 steingrå</t>
  </si>
  <si>
    <t>P.10 kamenosiva</t>
  </si>
  <si>
    <t>P.10 rosso mattone</t>
  </si>
  <si>
    <t>P.10 cihlová červená</t>
  </si>
  <si>
    <t>P.10 ceglany czerwony</t>
  </si>
  <si>
    <t>P.10 tégla vörös</t>
  </si>
  <si>
    <t>P.10 tehlovo červená</t>
  </si>
  <si>
    <t>P.10 baksteenrood</t>
  </si>
  <si>
    <t>P.10 opečno rdeča</t>
  </si>
  <si>
    <t>P.10 tegelröd</t>
  </si>
  <si>
    <t>P.10 mursten rød</t>
  </si>
  <si>
    <t>P.10 mursteinrød</t>
  </si>
  <si>
    <t>P.10 ciglocrvena</t>
  </si>
  <si>
    <t>P.10 grigio zinco</t>
  </si>
  <si>
    <t>P.10 zinková šedá</t>
  </si>
  <si>
    <t>P.10 cynkowy szary</t>
  </si>
  <si>
    <t>P.10 cinkszürke</t>
  </si>
  <si>
    <t>P.10 zinkovo šedá</t>
  </si>
  <si>
    <t>P.10 zinkgrijs</t>
  </si>
  <si>
    <t>P.10 cink siva</t>
  </si>
  <si>
    <t>P.10 zinkgrå</t>
  </si>
  <si>
    <t>P.10 sinkgrå</t>
  </si>
  <si>
    <t>P.10 cinkosiva</t>
  </si>
  <si>
    <t>Adapté pour tuyau de descente</t>
  </si>
  <si>
    <t>Adatto per tubo di scarico</t>
  </si>
  <si>
    <t>Vhodné pro odtokovou trubku</t>
  </si>
  <si>
    <t>Odpowiednie do rury spustowej</t>
  </si>
  <si>
    <t>Alkalmas lefolyócsőhöz</t>
  </si>
  <si>
    <t>Vhodné pre odtokovú rúru</t>
  </si>
  <si>
    <t>Geschikt voor afvoerpijp</t>
  </si>
  <si>
    <t>Primerno za odtočno cev</t>
  </si>
  <si>
    <t>Passar för avloppsrör</t>
  </si>
  <si>
    <t>Passer til afløbsrør</t>
  </si>
  <si>
    <t>Passer for avløpsrør</t>
  </si>
  <si>
    <t>Prikladno za odvodnu cijev</t>
  </si>
  <si>
    <t>Adatto per tubo HT/KG</t>
  </si>
  <si>
    <t>Vhodné pro HT/KG trubku</t>
  </si>
  <si>
    <t>Odpowiednie do rury HT/KG</t>
  </si>
  <si>
    <t>Alkalmas HT/KG csőhöz</t>
  </si>
  <si>
    <t>Vhodné pre HT/KG rúru</t>
  </si>
  <si>
    <t>Geschikt voor HT/KG-pijp</t>
  </si>
  <si>
    <t>Primerno za HT/KG cev</t>
  </si>
  <si>
    <t>Passar för HT/KG-rör</t>
  </si>
  <si>
    <t>Passer til HT/KG-rør</t>
  </si>
  <si>
    <t>Passer for HT/KG-rør</t>
  </si>
  <si>
    <t>Prikladno za HT/KG cijev</t>
  </si>
  <si>
    <t>Adatto per tubo HT/KG dimensione nominale 110</t>
  </si>
  <si>
    <t>Vhodné pro HT/KG trubku jmenovitá velikost 110</t>
  </si>
  <si>
    <t>Odpowiednie do rury HT/KG nominalny rozmiar 110</t>
  </si>
  <si>
    <t>Alkalmas HT/KG csőhöz névleges méret 110</t>
  </si>
  <si>
    <t>Vhodné pre HT/KG rúru menovitá veľkosť 110</t>
  </si>
  <si>
    <t>Geschikt voor HT/KG-pijp nominale maat 110</t>
  </si>
  <si>
    <t>Primerno za HT/KG cev nazivna velikost 110</t>
  </si>
  <si>
    <t>Passar för HT/KG-rör nominell storlek 110</t>
  </si>
  <si>
    <t>Passer til HT/KG-rør nominelle størrelse 110</t>
  </si>
  <si>
    <t>Passer for HT/KG-rør nominell størrelse 110</t>
  </si>
  <si>
    <t>Prikladno za HT/KG cijev nominalna veličina 110</t>
  </si>
  <si>
    <t>Adapté pour tuyau HT/KG dimension nominale 125</t>
  </si>
  <si>
    <t>Adatto per tubo HT/KG dimensione nominale 125</t>
  </si>
  <si>
    <t>Vhodné pro HT/KG trubku jmenovitá velikost 125</t>
  </si>
  <si>
    <t>Odpowiednie do rury HT/KG nominalny rozmiar 125</t>
  </si>
  <si>
    <t>Alkalmas HT/KG csőhöz névleges méret 125</t>
  </si>
  <si>
    <t>Vhodné pre HT/KG rúru menovitá veľkosť 125</t>
  </si>
  <si>
    <t>Geschikt voor HT/KG-pijp nominale maat 125</t>
  </si>
  <si>
    <t>Primerno za HT/KG cev nazivna velikost 125</t>
  </si>
  <si>
    <t>Passar för HT/KG-rör nominell storlek 125</t>
  </si>
  <si>
    <t>Passer til HT/KG-rør nominelle størrelse 125</t>
  </si>
  <si>
    <t>Passer for HT/KG-rør nominell størrelse 125</t>
  </si>
  <si>
    <t>Prikladno za HT/KG cijev nominalna veličina 125</t>
  </si>
  <si>
    <t>Sistema di sicurezza adatto per impianti solari</t>
  </si>
  <si>
    <t>Vhodný bezpečnostní systém pro solární systémy</t>
  </si>
  <si>
    <t>Odpowiedni system zabezpieczeń dla systemów solarnych</t>
  </si>
  <si>
    <t>Megfelelő biztonsági rendszer napelemes rendszerekhez</t>
  </si>
  <si>
    <t>Vhodný bezpečnostný systém pre solárne systémy</t>
  </si>
  <si>
    <t>Geschikt beveiligingssysteem voor zonne-installaties</t>
  </si>
  <si>
    <t>Ustrezen varnostni sistem za sončne sisteme</t>
  </si>
  <si>
    <t>Passande säkerhetssystem för solsystem</t>
  </si>
  <si>
    <t>Passende sikkerhedssystem til solsystemer</t>
  </si>
  <si>
    <t>Passende sikkerhetssystem for solcelleanlegg</t>
  </si>
  <si>
    <t>Prikladan sigurnosni sustav za solarne sustave</t>
  </si>
  <si>
    <t>Tegola di raccordo</t>
  </si>
  <si>
    <t>Přizpůsobená šindel</t>
  </si>
  <si>
    <t>Dopasowana dachówka</t>
  </si>
  <si>
    <t>Illeszkedő zsindely</t>
  </si>
  <si>
    <t>Prispôsobený šindeľ</t>
  </si>
  <si>
    <t>Passende dakspanen</t>
  </si>
  <si>
    <t>Prilagodljiva skodla</t>
  </si>
  <si>
    <t>Passande takshingel</t>
  </si>
  <si>
    <t>Passende tagshingles</t>
  </si>
  <si>
    <t>Passende takshingel</t>
  </si>
  <si>
    <t>Prilagodljivi šindri</t>
  </si>
  <si>
    <t>Turchese pastello</t>
  </si>
  <si>
    <t>Pastelově tyrkysová</t>
  </si>
  <si>
    <t>Pastelowy turkus</t>
  </si>
  <si>
    <t>Pasztell türkiz</t>
  </si>
  <si>
    <t>Pastelovo tyrkysová</t>
  </si>
  <si>
    <t>Pastel turquoise</t>
  </si>
  <si>
    <t>Pastelno turkizna</t>
  </si>
  <si>
    <t>Pastell turkos</t>
  </si>
  <si>
    <t>Pastel tyrkis</t>
  </si>
  <si>
    <t>Pastell turkis</t>
  </si>
  <si>
    <t>Pastelna tirkizna</t>
  </si>
  <si>
    <t>Agrafes brevetées et clous rainurés</t>
  </si>
  <si>
    <t>Graffette brevettate e chiodi scanalati</t>
  </si>
  <si>
    <t>Patentované sponky a drážkované hřebíky</t>
  </si>
  <si>
    <t>Zszywki patentowe i gwoździe żłobkowane</t>
  </si>
  <si>
    <t>Szabadalmaztatott kapcsok és bordázott szögek</t>
  </si>
  <si>
    <t>Patentované sponky a drážkované klince</t>
  </si>
  <si>
    <t>Gepatenteerde klemmen en gegroefde nagels</t>
  </si>
  <si>
    <t>Patentirane sponke in utorni žeblji</t>
  </si>
  <si>
    <t>Patenterade klämmor och spik med spår</t>
  </si>
  <si>
    <t>Patenterede klips og rillede søm</t>
  </si>
  <si>
    <t>Patenterte klemmer og rillede spiker</t>
  </si>
  <si>
    <t>Patentirane spojnice i nazubljeni čavli</t>
  </si>
  <si>
    <t>Rivet breveté pour bande de rallonge de revêtement</t>
  </si>
  <si>
    <t>Rivetto brevettato per nastro di prolunga del rivestimento</t>
  </si>
  <si>
    <t>Patentní nýt pro prodlužovací pásku na obklady</t>
  </si>
  <si>
    <t>Nity patentowe do taśmy przedłużającej bocznice</t>
  </si>
  <si>
    <t>Szabadalmi szegecs szegélyszalaghoz</t>
  </si>
  <si>
    <t>Patentný nit na predlžovaciu pásku obkladu</t>
  </si>
  <si>
    <t>Gepatenteerde klinknagel voor verlengingsband</t>
  </si>
  <si>
    <t>Patentirani koviček za podaljševalni trak</t>
  </si>
  <si>
    <t>Patenterad nit för sidingsförlängningsband</t>
  </si>
  <si>
    <t>Patenteret nitte til sidingsforlængelsesbånd</t>
  </si>
  <si>
    <t>Patentsplinter for skjøtebånd til kledning</t>
  </si>
  <si>
    <t>Patentna zakovica za produžnu traku obloge</t>
  </si>
  <si>
    <t>N. di protezione del brevetto</t>
  </si>
  <si>
    <t>Patentová ochrana č.</t>
  </si>
  <si>
    <t>Ochrona patentowa nr</t>
  </si>
  <si>
    <t>Szabadalmi védettség sz.</t>
  </si>
  <si>
    <t>Octrooinummer</t>
  </si>
  <si>
    <t>Patentna zaščita št.</t>
  </si>
  <si>
    <t>Patentnummer</t>
  </si>
  <si>
    <t>Patentbeskyttelse nr.</t>
  </si>
  <si>
    <t>Broj patentne zaštite</t>
  </si>
  <si>
    <t>Grigio patina</t>
  </si>
  <si>
    <t>Patinově šedá</t>
  </si>
  <si>
    <t>Patynowy szary</t>
  </si>
  <si>
    <t>Patinás szürke</t>
  </si>
  <si>
    <t>Patinová šedá</t>
  </si>
  <si>
    <t>Patina grijs</t>
  </si>
  <si>
    <t>Patinasto siva</t>
  </si>
  <si>
    <t>Patina grå</t>
  </si>
  <si>
    <t>Verde patina</t>
  </si>
  <si>
    <t>Patinově zelená</t>
  </si>
  <si>
    <t>Patynowa zieleń</t>
  </si>
  <si>
    <t>Patinás zöld</t>
  </si>
  <si>
    <t>Patinová zelená</t>
  </si>
  <si>
    <t>Patina groen</t>
  </si>
  <si>
    <t>Patinasto zelena</t>
  </si>
  <si>
    <t>Patina grön</t>
  </si>
  <si>
    <t>Patina grøn</t>
  </si>
  <si>
    <t>Patina grønn</t>
  </si>
  <si>
    <t>Bianco perla</t>
  </si>
  <si>
    <t>Perlově bílá</t>
  </si>
  <si>
    <t>Perłowa biel</t>
  </si>
  <si>
    <t>Gyöngyház fehér</t>
  </si>
  <si>
    <t>Perleťová biela</t>
  </si>
  <si>
    <t>Parelwit</t>
  </si>
  <si>
    <t>Biserna bela</t>
  </si>
  <si>
    <t>Pärlvitt</t>
  </si>
  <si>
    <t>Perlehvid</t>
  </si>
  <si>
    <t>Perlehvit</t>
  </si>
  <si>
    <t>Biserna bijela</t>
  </si>
  <si>
    <t>Ora di pianificazione</t>
  </si>
  <si>
    <t>Plánovací hodina</t>
  </si>
  <si>
    <t>Godzina planowania</t>
  </si>
  <si>
    <t>Tervezési óra</t>
  </si>
  <si>
    <t>Plánovacia hodina</t>
  </si>
  <si>
    <t>Planningsuur</t>
  </si>
  <si>
    <t>Načrtovalna ura</t>
  </si>
  <si>
    <t>Planeringstimme</t>
  </si>
  <si>
    <t>Planlægningstime</t>
  </si>
  <si>
    <t>Planleggingstime</t>
  </si>
  <si>
    <t>Planiranje sat</t>
  </si>
  <si>
    <t>Piastra</t>
  </si>
  <si>
    <t>Deska</t>
  </si>
  <si>
    <t>Płyta</t>
  </si>
  <si>
    <t>Doska</t>
  </si>
  <si>
    <t>Plošča</t>
  </si>
  <si>
    <t>Platta</t>
  </si>
  <si>
    <t>Ploča</t>
  </si>
  <si>
    <t>Ugello per piastra</t>
  </si>
  <si>
    <t>Tryska na desky</t>
  </si>
  <si>
    <t>Dysza płytkowa</t>
  </si>
  <si>
    <t>Lemez fúvóka</t>
  </si>
  <si>
    <t>Tryska na dosky</t>
  </si>
  <si>
    <t>Plaatmondstuk</t>
  </si>
  <si>
    <t>Šoba za plošče</t>
  </si>
  <si>
    <t>Plattmunstycke</t>
  </si>
  <si>
    <t>Pladedyse</t>
  </si>
  <si>
    <t>Platedyse</t>
  </si>
  <si>
    <t>Mlaznica za ploče</t>
  </si>
  <si>
    <t>Qualità del poliestere</t>
  </si>
  <si>
    <t>Kvalita polyesteru</t>
  </si>
  <si>
    <t>Jakość poliestru</t>
  </si>
  <si>
    <t>Poliészter minőség</t>
  </si>
  <si>
    <t>Polyesterkwaliteit</t>
  </si>
  <si>
    <t>Kakovost poliestra</t>
  </si>
  <si>
    <t>Polyesterkvalitet</t>
  </si>
  <si>
    <t>Kvaliteta poliestera</t>
  </si>
  <si>
    <t>Tubo di scarico PREFA</t>
  </si>
  <si>
    <t>Odtoková trubka PREFA</t>
  </si>
  <si>
    <t>Rura spustowa PREFA</t>
  </si>
  <si>
    <t>PREFA lefolyócső</t>
  </si>
  <si>
    <t>Odtoková rúra PREFA</t>
  </si>
  <si>
    <t>PREFA afvoerpijp</t>
  </si>
  <si>
    <t>PREFA odtočna cev</t>
  </si>
  <si>
    <t>PREFA avloppsrör</t>
  </si>
  <si>
    <t>PREFA afløbsrør</t>
  </si>
  <si>
    <t>PREFA avløpsrør</t>
  </si>
  <si>
    <t>PREFA odvodna cijev</t>
  </si>
  <si>
    <t>Tuyau d'évacuation PREFA avec feuille de protection</t>
  </si>
  <si>
    <t>Tubi di scarico PREFA con pellicola protettiva</t>
  </si>
  <si>
    <t>Odtoková trubka PREFA s ochrannou fólií</t>
  </si>
  <si>
    <t>Rura spustowa PREFA z folią ochronną</t>
  </si>
  <si>
    <t>PREFA védőfóliás lefolyócső</t>
  </si>
  <si>
    <t>Odtoková rúrka PREFA s ochrannou fóliou</t>
  </si>
  <si>
    <t>PREFA afvoerbuis met beschermfolie</t>
  </si>
  <si>
    <t>PREFA odtočna cev z zaščitno folijo</t>
  </si>
  <si>
    <t>PREFA avloppsrör med skyddsfolie</t>
  </si>
  <si>
    <t>PREFA afløbsrør med beskyttelsesfolie</t>
  </si>
  <si>
    <t>PREFA avløpsrør med beskyttelsesfolie</t>
  </si>
  <si>
    <t>PREFA cijev za odvod s zaštitnom folijom</t>
  </si>
  <si>
    <t>Systèmes de toiture et de façade PREFA</t>
  </si>
  <si>
    <t>Sistemi per tetti e facciate PREFA</t>
  </si>
  <si>
    <t>Střešní a fasádní systémy PREFA</t>
  </si>
  <si>
    <t>Systemy dachowe i elewacyjne PREFA</t>
  </si>
  <si>
    <t>PREFA tető- és homlokzati rendszerek</t>
  </si>
  <si>
    <t>PREFA strešné a fasádne systémy</t>
  </si>
  <si>
    <t>PREFA dak- en gevelsystemen</t>
  </si>
  <si>
    <t>PREFA strešni in fasadni sistemi</t>
  </si>
  <si>
    <t>PREFA tak- och fasadsystem</t>
  </si>
  <si>
    <t>PREFA tag- og facadesystemer</t>
  </si>
  <si>
    <t>PREFA tak- og fasadesystemer</t>
  </si>
  <si>
    <t>PREFA krovni i fasadni sustavi</t>
  </si>
  <si>
    <t>Plaque de toiture PREFA</t>
  </si>
  <si>
    <t>Pannelli per tetti PREFA</t>
  </si>
  <si>
    <t>Střešní deska PREFA</t>
  </si>
  <si>
    <t>Płyta dachowa PREFA</t>
  </si>
  <si>
    <t>PREFA tetőlemez</t>
  </si>
  <si>
    <t>PREFA dakplaat</t>
  </si>
  <si>
    <t>PREFA strešna plošča</t>
  </si>
  <si>
    <t>PREFA takplatta</t>
  </si>
  <si>
    <t>PREFA tagplade</t>
  </si>
  <si>
    <t>PREFA takplate</t>
  </si>
  <si>
    <t>PREFA krovna ploča</t>
  </si>
  <si>
    <t>Encadrement PREFA</t>
  </si>
  <si>
    <t>Bordature PREFA</t>
  </si>
  <si>
    <t>Lemování PREFA</t>
  </si>
  <si>
    <t>Obróbka blacharska PREFA</t>
  </si>
  <si>
    <t>PREFA szegély</t>
  </si>
  <si>
    <t>PREFA lemovanie</t>
  </si>
  <si>
    <t>PREFA omranding</t>
  </si>
  <si>
    <t>PREFA obroba</t>
  </si>
  <si>
    <t>PREFA inramning</t>
  </si>
  <si>
    <t>PREFA inddækning</t>
  </si>
  <si>
    <t>PREFA inndekning</t>
  </si>
  <si>
    <t>PREFA obloga</t>
  </si>
  <si>
    <t>Couleurs PREFA</t>
  </si>
  <si>
    <t>Colori PREFA</t>
  </si>
  <si>
    <t>Barvy PREFA</t>
  </si>
  <si>
    <t>Kolory PREFA</t>
  </si>
  <si>
    <t>PREFA színek</t>
  </si>
  <si>
    <t>PREFA farby</t>
  </si>
  <si>
    <t>PREFA kleuren</t>
  </si>
  <si>
    <t>PREFA barve</t>
  </si>
  <si>
    <t>PREFA färger</t>
  </si>
  <si>
    <t>PREFA farver</t>
  </si>
  <si>
    <t>PREFA farger</t>
  </si>
  <si>
    <t>PREFA boje</t>
  </si>
  <si>
    <t>Colori e superfici PREFA</t>
  </si>
  <si>
    <t>Barvy a povrchy PREFA</t>
  </si>
  <si>
    <t>Kolory i powierzchnie PREFA</t>
  </si>
  <si>
    <t>PREFA színek és felületek</t>
  </si>
  <si>
    <t>PREFA farby a povrchové úpravy</t>
  </si>
  <si>
    <t>PREFA kleuren en afwerkingen</t>
  </si>
  <si>
    <t>PREFA barve in površine</t>
  </si>
  <si>
    <t>PREFA färger och ytor</t>
  </si>
  <si>
    <t>PREFA farver og overflader</t>
  </si>
  <si>
    <t>PREFA farger og overflater</t>
  </si>
  <si>
    <t>PREFA boje i površine</t>
  </si>
  <si>
    <t>Assortimento colori PREFA</t>
  </si>
  <si>
    <t>Barevná paleta PREFA</t>
  </si>
  <si>
    <t>Paleta kolorów PREFA</t>
  </si>
  <si>
    <t>PREFA színspektrum</t>
  </si>
  <si>
    <t>PREFA farebná škála</t>
  </si>
  <si>
    <t>PREFA kleurenspectrum</t>
  </si>
  <si>
    <t>PREFA barvni spekter</t>
  </si>
  <si>
    <t>PREFA färgsortiment</t>
  </si>
  <si>
    <t>PREFA farveudvalg</t>
  </si>
  <si>
    <t>PREFA fargeutvalg</t>
  </si>
  <si>
    <t>PREFA asortiman boja</t>
  </si>
  <si>
    <t>Bande de complément de façade PREFA</t>
  </si>
  <si>
    <t>Banda di completamento per facciate PREFA</t>
  </si>
  <si>
    <t>Doplňková páska na fasády PREFA</t>
  </si>
  <si>
    <t>Taśma uzupełniająca do elewacji PREFA</t>
  </si>
  <si>
    <t>PREFA homlokzati kiegészítő szalag</t>
  </si>
  <si>
    <t>PREFA fasádny doplnkový pás</t>
  </si>
  <si>
    <t>PREFA gevelaanvullingsband</t>
  </si>
  <si>
    <t>PREFA dodatni trak za fasade</t>
  </si>
  <si>
    <t>PREFA fasadtillbehörsband</t>
  </si>
  <si>
    <t>PREFA facadeekstrabånd</t>
  </si>
  <si>
    <t>PREFA fasadekompletteringsbånd</t>
  </si>
  <si>
    <t>PREFA traka za proširenje fasade</t>
  </si>
  <si>
    <t>Giunzione PREFA</t>
  </si>
  <si>
    <t>Spára PREFA</t>
  </si>
  <si>
    <t>Fuga PREFA</t>
  </si>
  <si>
    <t>PREFA fuga</t>
  </si>
  <si>
    <t>PREFA spoj</t>
  </si>
  <si>
    <t>PREFA voeg</t>
  </si>
  <si>
    <t>PREFA fog</t>
  </si>
  <si>
    <t>PREFA fuge</t>
  </si>
  <si>
    <t>Formati piccoli PREFA</t>
  </si>
  <si>
    <t>Malé formáty PREFA</t>
  </si>
  <si>
    <t>Małe formaty PREFA</t>
  </si>
  <si>
    <t>PREFA kis formátumok</t>
  </si>
  <si>
    <t>PREFA malé formáty</t>
  </si>
  <si>
    <t>PREFA kleine formaten</t>
  </si>
  <si>
    <t>PREFA mali formati</t>
  </si>
  <si>
    <t>PREFA småformat</t>
  </si>
  <si>
    <t>PREFA små formater</t>
  </si>
  <si>
    <t>PREFA male formate</t>
  </si>
  <si>
    <t>Tecnologia dei prodotti PREFA</t>
  </si>
  <si>
    <t>Technologie výrobků PREFA</t>
  </si>
  <si>
    <t>Technika produktów PREFA</t>
  </si>
  <si>
    <t>PREFA terméktechnika</t>
  </si>
  <si>
    <t>PREFA výrobná technológia</t>
  </si>
  <si>
    <t>PREFA productietechnologie</t>
  </si>
  <si>
    <t>PREFA tehnologija izdelave</t>
  </si>
  <si>
    <t>PREFA produktionsteknik</t>
  </si>
  <si>
    <t>PREFA produktteknik</t>
  </si>
  <si>
    <t>PREFA produktteknologi</t>
  </si>
  <si>
    <t>PREFA tehnologija proizvoda</t>
  </si>
  <si>
    <t>Profili PREFA</t>
  </si>
  <si>
    <t>Profilová lišta PREFA</t>
  </si>
  <si>
    <t>Profil PREFA</t>
  </si>
  <si>
    <t>PREFA profilsín</t>
  </si>
  <si>
    <t>PREFA profilová lišta</t>
  </si>
  <si>
    <t>PREFA profielrail</t>
  </si>
  <si>
    <t>PREFA profilna letev</t>
  </si>
  <si>
    <t>PREFA profilskena</t>
  </si>
  <si>
    <t>PREFA profilskiinne</t>
  </si>
  <si>
    <t>PREFA profilskinne</t>
  </si>
  <si>
    <t>PREFA profilna šina</t>
  </si>
  <si>
    <t>Colla speciale PREFA</t>
  </si>
  <si>
    <t>Speciální lepidlo PREFA</t>
  </si>
  <si>
    <t>Klej specjalny PREFA</t>
  </si>
  <si>
    <t>PREFA speciális ragasztó</t>
  </si>
  <si>
    <t>PREFA špeciálne lepidlo</t>
  </si>
  <si>
    <t>PREFA speciale lijm</t>
  </si>
  <si>
    <t>PREFA posebno lepilo</t>
  </si>
  <si>
    <t>PREFA speciallim</t>
  </si>
  <si>
    <t>PREFA spesiallim</t>
  </si>
  <si>
    <t>PREFA specijalno ljepilo</t>
  </si>
  <si>
    <t>Pannello in alluminio composito PREFABOND</t>
  </si>
  <si>
    <t>Panel PREFABOND z hliníkové kompozitní desky</t>
  </si>
  <si>
    <t>Panel kompozytowy PREFABOND</t>
  </si>
  <si>
    <t>PREFABOND alumínium kompozit panel</t>
  </si>
  <si>
    <t>PREFABOND hliníkový sendvičový panel</t>
  </si>
  <si>
    <t>PREFABOND aluminium sandwichpaneel</t>
  </si>
  <si>
    <t>PREFABOND aluminijasta kompozitna plošča</t>
  </si>
  <si>
    <t>PREFABOND aluminiumkompositpanel</t>
  </si>
  <si>
    <t>PREFABOND aluminium kompositplade</t>
  </si>
  <si>
    <t>PREFABOND aluminium komposittplate</t>
  </si>
  <si>
    <t>PREFABOND aluminijska kompozitna ploča</t>
  </si>
  <si>
    <t>Pannello in alluminio composito PREFABOND con anima A2</t>
  </si>
  <si>
    <t>Panel PREFABOND z hliníkové kompozitní desky s jádrem A2</t>
  </si>
  <si>
    <t>Panel kompozytowy PREFABOND z rdzeniem A2</t>
  </si>
  <si>
    <t>PREFABOND alumínium kompozit panel A2 maggal</t>
  </si>
  <si>
    <t>PREFABOND hliníkový sendvičový panel s jadrom A2</t>
  </si>
  <si>
    <t>PREFABOND aluminium sandwichpaneel met A2-kern</t>
  </si>
  <si>
    <t>PREFABOND aluminijasta kompozitna plošča z A2-jedrom</t>
  </si>
  <si>
    <t>PREFABOND aluminiumkompositpanel med A2-kärna</t>
  </si>
  <si>
    <t>PREFABOND aluminium kompositplade med A2-kerne</t>
  </si>
  <si>
    <t>PREFABOND aluminium komposittplate med A2-kjerne</t>
  </si>
  <si>
    <t>PREFABOND aluminijska kompozitna ploča s A2 jezgrom</t>
  </si>
  <si>
    <t>Pannello in alluminio composito PREFABOND con anima FR</t>
  </si>
  <si>
    <t>Panel PREFABOND z hliníkové kompozitní desky s jádrem FR</t>
  </si>
  <si>
    <t>Panel kompozytowy PREFABOND z rdzeniem FR</t>
  </si>
  <si>
    <t>PREFABOND alumínium kompozit panel FR maggal</t>
  </si>
  <si>
    <t>PREFABOND hliníkový sendvičový panel s jadrom FR</t>
  </si>
  <si>
    <t>PREFABOND aluminium sandwichpaneel met FR-kern</t>
  </si>
  <si>
    <t>PREFABOND aluminijasta kompozitna plošča z FR-jedrom</t>
  </si>
  <si>
    <t>PREFABOND aluminiumkompositpanel med FR-kärna</t>
  </si>
  <si>
    <t>PREFABOND aluminium kompositplade med FR-kerne</t>
  </si>
  <si>
    <t>PREFABOND aluminium komposittplate med FR-kjerne</t>
  </si>
  <si>
    <t>PREFABOND aluminijska kompozitna ploča s FR jezgrom</t>
  </si>
  <si>
    <t>PREFABOND con anima FR</t>
  </si>
  <si>
    <t>PREFABOND s jádrem FR</t>
  </si>
  <si>
    <t>PREFABOND z rdzeniem FR</t>
  </si>
  <si>
    <t>PREFABOND FR maggal</t>
  </si>
  <si>
    <t>PREFABOND s jadrom FR</t>
  </si>
  <si>
    <t>PREFABOND met FR-kern</t>
  </si>
  <si>
    <t>PREFABOND z FR-jedrom</t>
  </si>
  <si>
    <t>PREFABOND med FR-kärna</t>
  </si>
  <si>
    <t>PREFABOND med FR-kerne</t>
  </si>
  <si>
    <t>PREFABOND med FR-kjerne</t>
  </si>
  <si>
    <t>PREFABOND s FR jezgrom</t>
  </si>
  <si>
    <t>Banda di alluminio PREFALZ</t>
  </si>
  <si>
    <t>Hliníkový pás PREFALZ</t>
  </si>
  <si>
    <t>Taśma aluminiowa PREFALZ</t>
  </si>
  <si>
    <t>PREFALZ festett alumínium szalag</t>
  </si>
  <si>
    <t>PREFALZ farebný hliníkový pás</t>
  </si>
  <si>
    <t>PREFALZ gekleurd aluminium band</t>
  </si>
  <si>
    <t>PREFALZ barvni aluminijasti trak</t>
  </si>
  <si>
    <t>PREFALZ färgat aluminiumtejp</t>
  </si>
  <si>
    <t>PREFALZ farvet aluminiumsbånd</t>
  </si>
  <si>
    <t>PREFALZ fargebelagt aluminiumsbånd</t>
  </si>
  <si>
    <t>PREFALZ obojena aluminijska traka</t>
  </si>
  <si>
    <t>Lamiera PREFALZ</t>
  </si>
  <si>
    <t>Plech PREFALZ</t>
  </si>
  <si>
    <t>Blacha PREFALZ</t>
  </si>
  <si>
    <t>PREFALZ lemez</t>
  </si>
  <si>
    <t>PREFALZ plech</t>
  </si>
  <si>
    <t>PREFALZ plaatwerk</t>
  </si>
  <si>
    <t>PREFALZ pločevina</t>
  </si>
  <si>
    <t>PREFALZ plåt</t>
  </si>
  <si>
    <t>PREFALZ plade</t>
  </si>
  <si>
    <t>PREFALZ plate</t>
  </si>
  <si>
    <t>PREFALZ limena ploča</t>
  </si>
  <si>
    <t>Riferimenti PREFA</t>
  </si>
  <si>
    <t>Odkazy PREFA</t>
  </si>
  <si>
    <t>Referencje PREFA</t>
  </si>
  <si>
    <t>PREFA referenciák</t>
  </si>
  <si>
    <t>PREFAREFERENCIE</t>
  </si>
  <si>
    <t>PREFAREFERENTIES</t>
  </si>
  <si>
    <t>PREFAREFERENCE</t>
  </si>
  <si>
    <t>PREFAREFERENSER</t>
  </si>
  <si>
    <t>PREFAREFERENCER</t>
  </si>
  <si>
    <t>PREFAREFERANSER</t>
  </si>
  <si>
    <t>Bianco PREFA</t>
  </si>
  <si>
    <t>Prefabílová bílá</t>
  </si>
  <si>
    <t>Prefabiały biały</t>
  </si>
  <si>
    <t>PREFA fehér</t>
  </si>
  <si>
    <t>Prefa biela</t>
  </si>
  <si>
    <t>Prefa wit</t>
  </si>
  <si>
    <t>Prefa bela</t>
  </si>
  <si>
    <t>Prefavit</t>
  </si>
  <si>
    <t>Prefahvid</t>
  </si>
  <si>
    <t>Prefa hvit</t>
  </si>
  <si>
    <t>PREFA bijela</t>
  </si>
  <si>
    <t>Prezzo su richiesta</t>
  </si>
  <si>
    <t>Cena na dotaz</t>
  </si>
  <si>
    <t>Cena na zapytanie</t>
  </si>
  <si>
    <t>Ár kérésre</t>
  </si>
  <si>
    <t>Cena na požiadanie</t>
  </si>
  <si>
    <t>Prijs op aanvraag</t>
  </si>
  <si>
    <t>Cena na zahtevo</t>
  </si>
  <si>
    <t>Pris vid förfrågan</t>
  </si>
  <si>
    <t>Pris på forespørgsel</t>
  </si>
  <si>
    <t>Pris på forespørsel</t>
  </si>
  <si>
    <t>Cijena na upit</t>
  </si>
  <si>
    <t>Prix et délai de livraison sur demande</t>
  </si>
  <si>
    <t>Prezzo e tempi di consegna su richiesta</t>
  </si>
  <si>
    <t>Cena a dodací lhůta na dotaz</t>
  </si>
  <si>
    <t>Cena i czas dostawy na zapytanie</t>
  </si>
  <si>
    <t>Ár és szállítási idő kérésre</t>
  </si>
  <si>
    <t>Cena a dodacia lehota na požiadanie</t>
  </si>
  <si>
    <t>Prijs en levertijd op aanvraag</t>
  </si>
  <si>
    <t>Cena in dobavni rok na zahtevo</t>
  </si>
  <si>
    <t>Pris och leveranstid vid förfrågan</t>
  </si>
  <si>
    <t>Pris og leveringstid på forespørgsel</t>
  </si>
  <si>
    <t>Pris og leveringstid på forespørsel</t>
  </si>
  <si>
    <t>Cijena i vrijeme isporuke na upit</t>
  </si>
  <si>
    <t>Liste de prix</t>
  </si>
  <si>
    <t>Listino prezzi</t>
  </si>
  <si>
    <t>Ceník</t>
  </si>
  <si>
    <t>Lista cen</t>
  </si>
  <si>
    <t>Árlista</t>
  </si>
  <si>
    <t>Cenník</t>
  </si>
  <si>
    <t>Prijslijst</t>
  </si>
  <si>
    <t>Cenik</t>
  </si>
  <si>
    <t>Prislista</t>
  </si>
  <si>
    <t>Prisliste</t>
  </si>
  <si>
    <t>Cjenik</t>
  </si>
  <si>
    <t>Texte de presse</t>
  </si>
  <si>
    <t>Testo stampa</t>
  </si>
  <si>
    <t>Tiskový materiál</t>
  </si>
  <si>
    <t>Materiał prasowy</t>
  </si>
  <si>
    <t>Sajtóanyag</t>
  </si>
  <si>
    <t>Tlačová správa</t>
  </si>
  <si>
    <t>Persbericht</t>
  </si>
  <si>
    <t>Tiskovno sporočilo</t>
  </si>
  <si>
    <t>Pressmeddelande</t>
  </si>
  <si>
    <t>Pressemeddelelse</t>
  </si>
  <si>
    <t>Pressemelding</t>
  </si>
  <si>
    <t>Tiskovni tekst</t>
  </si>
  <si>
    <t>Prodotto</t>
  </si>
  <si>
    <t>Termék</t>
  </si>
  <si>
    <t>Product</t>
  </si>
  <si>
    <t>Izdelek</t>
  </si>
  <si>
    <t>Proizvod</t>
  </si>
  <si>
    <t>Informazioni sul prodotto</t>
  </si>
  <si>
    <t>Informace o produktu</t>
  </si>
  <si>
    <t>Informacje o produkcie</t>
  </si>
  <si>
    <t>Termékinformáció</t>
  </si>
  <si>
    <t>Produktová informácia</t>
  </si>
  <si>
    <t>Productinformatie</t>
  </si>
  <si>
    <t>Informacije o izdelku</t>
  </si>
  <si>
    <t>Produktinformasjon</t>
  </si>
  <si>
    <t>Informacije o proizvodu</t>
  </si>
  <si>
    <t>Innovazioni di prodotto</t>
  </si>
  <si>
    <t>Produktové inovace</t>
  </si>
  <si>
    <t>Innowacje produktowe</t>
  </si>
  <si>
    <t>Termékinnovációk</t>
  </si>
  <si>
    <t>Produktové inovácie</t>
  </si>
  <si>
    <t>Productinnovaties</t>
  </si>
  <si>
    <t>Inovacije izdelkov</t>
  </si>
  <si>
    <t>Produktinnovationer</t>
  </si>
  <si>
    <t>Produktinnovasjoner</t>
  </si>
  <si>
    <t>Inovacije proizvoda</t>
  </si>
  <si>
    <t>Novità di prodotto</t>
  </si>
  <si>
    <t>Novinka roku</t>
  </si>
  <si>
    <t>Nowość produktowa</t>
  </si>
  <si>
    <t>Újdonság</t>
  </si>
  <si>
    <t>Nový produkt</t>
  </si>
  <si>
    <t>Productnieuw</t>
  </si>
  <si>
    <t>Nov izdelek</t>
  </si>
  <si>
    <t>Produktnyhet</t>
  </si>
  <si>
    <t>Produktnyhed</t>
  </si>
  <si>
    <t>Novost proizvoda</t>
  </si>
  <si>
    <t>Nouveauté produit 2022</t>
  </si>
  <si>
    <t>Novità di prodotto 2022</t>
  </si>
  <si>
    <t>Novinka roku 2022</t>
  </si>
  <si>
    <t>Nowość produktowa 2022</t>
  </si>
  <si>
    <t>2022-es újdonság</t>
  </si>
  <si>
    <t>Nový produkt 2022</t>
  </si>
  <si>
    <t>Productnieuw 2022</t>
  </si>
  <si>
    <t>Nov izdelek 2022</t>
  </si>
  <si>
    <t>Produktnyhet 2022</t>
  </si>
  <si>
    <t>Produktnyhed 2022</t>
  </si>
  <si>
    <t>Novost proizvoda 2022</t>
  </si>
  <si>
    <t>Nouveauté produit 2023</t>
  </si>
  <si>
    <t>Novità di prodotto 2023</t>
  </si>
  <si>
    <t>Novinka roku 2023</t>
  </si>
  <si>
    <t>Nowość produktowa 2023</t>
  </si>
  <si>
    <t>2023-es újdonság</t>
  </si>
  <si>
    <t>Nový produkt 2023</t>
  </si>
  <si>
    <t>Productnieuw 2023</t>
  </si>
  <si>
    <t>Nov izdelek 2023</t>
  </si>
  <si>
    <t>Produktnyhet 2023</t>
  </si>
  <si>
    <t>Produktnyhed 2023</t>
  </si>
  <si>
    <t>Novost proizvoda 2023</t>
  </si>
  <si>
    <t>Novità di prodotto 2024</t>
  </si>
  <si>
    <t>Novinka roku 2024</t>
  </si>
  <si>
    <t>Nowość produktowa 2024</t>
  </si>
  <si>
    <t>2024-es újdonság</t>
  </si>
  <si>
    <t>Nový produkt 2024</t>
  </si>
  <si>
    <t>Productnieuw 2024</t>
  </si>
  <si>
    <t>Nov izdelek 2024</t>
  </si>
  <si>
    <t>Produktnyhet 2024</t>
  </si>
  <si>
    <t>Produktnyhed 2024</t>
  </si>
  <si>
    <t>Novost proizvoda 2024</t>
  </si>
  <si>
    <t>Profilo</t>
  </si>
  <si>
    <t>Profiel</t>
  </si>
  <si>
    <t>Barra profilata</t>
  </si>
  <si>
    <t>Profilová lišta</t>
  </si>
  <si>
    <t>Profilsín</t>
  </si>
  <si>
    <t>Profielrail</t>
  </si>
  <si>
    <t>Profilna letev</t>
  </si>
  <si>
    <t>Profilskena</t>
  </si>
  <si>
    <t>Profilskiinne</t>
  </si>
  <si>
    <t>Profilna šina</t>
  </si>
  <si>
    <t>Connecteur de rail de profil</t>
  </si>
  <si>
    <t>Giunto per barra profilata</t>
  </si>
  <si>
    <t>Spojka profilové lišty</t>
  </si>
  <si>
    <t>Łącznik profilu PREFA</t>
  </si>
  <si>
    <t>Profilsín összekötő</t>
  </si>
  <si>
    <t>Držiak profilovej lišty</t>
  </si>
  <si>
    <t>Profielrailklem</t>
  </si>
  <si>
    <t>Povezovalna profilna letev</t>
  </si>
  <si>
    <t>Profilskenaförbindare</t>
  </si>
  <si>
    <t>Profilskiinneforbinder</t>
  </si>
  <si>
    <t>Profilskiinnefeste</t>
  </si>
  <si>
    <t>Spojnica profilne šine</t>
  </si>
  <si>
    <t>Épaisseur du profil</t>
  </si>
  <si>
    <t>Spessore del profilo</t>
  </si>
  <si>
    <t>Tloušťka profilu</t>
  </si>
  <si>
    <t>Grubość profilu</t>
  </si>
  <si>
    <t>Profilszilárdság</t>
  </si>
  <si>
    <t>Hrúbka profilu</t>
  </si>
  <si>
    <t>Profiel dikte</t>
  </si>
  <si>
    <t>Debelina profila</t>
  </si>
  <si>
    <t>Profilstyrka</t>
  </si>
  <si>
    <t>Profiltykkelse</t>
  </si>
  <si>
    <t>Profildybde</t>
  </si>
  <si>
    <t>Debljina profila</t>
  </si>
  <si>
    <t>Profondità del profilo</t>
  </si>
  <si>
    <t>Hloubka profilu</t>
  </si>
  <si>
    <t>Głębokość profilu</t>
  </si>
  <si>
    <t>Profilszélesség</t>
  </si>
  <si>
    <t>Hĺbka profilu</t>
  </si>
  <si>
    <t>Profiel diepte</t>
  </si>
  <si>
    <t>Globina profila</t>
  </si>
  <si>
    <t>Profildjup</t>
  </si>
  <si>
    <t>Dubina profila</t>
  </si>
  <si>
    <t>Onda del profilo</t>
  </si>
  <si>
    <t>Profilová vlna</t>
  </si>
  <si>
    <t>Fala profilu</t>
  </si>
  <si>
    <t>Profilhullám</t>
  </si>
  <si>
    <t>Vlnitý profil</t>
  </si>
  <si>
    <t>Golvend profiel</t>
  </si>
  <si>
    <t>Profilni val</t>
  </si>
  <si>
    <t>Profilvåg</t>
  </si>
  <si>
    <t>Profilbølge</t>
  </si>
  <si>
    <t>Profilo ondulato e dentato</t>
  </si>
  <si>
    <t>Vlnitý a zubatý profil</t>
  </si>
  <si>
    <t>Profil falisty i zębaty</t>
  </si>
  <si>
    <t>Profilhullám és cikkcakk profil</t>
  </si>
  <si>
    <t>Vlnitý profil a zubatý profil</t>
  </si>
  <si>
    <t>Golvend profiel en zigzagprofiel</t>
  </si>
  <si>
    <t>Profilni val in nazobčani profil</t>
  </si>
  <si>
    <t>Profilvåg och tandprofil</t>
  </si>
  <si>
    <t>Profilbølge og takprofil</t>
  </si>
  <si>
    <t>Profilbølge og sikksakk-profil</t>
  </si>
  <si>
    <t>Profilni val i zupčasti profil</t>
  </si>
  <si>
    <t>Dati del progetto</t>
  </si>
  <si>
    <t>Projektová data</t>
  </si>
  <si>
    <t>Dane projektowe</t>
  </si>
  <si>
    <t>Projekt adatok</t>
  </si>
  <si>
    <t>Projektové údaje</t>
  </si>
  <si>
    <t>Projectgegevens</t>
  </si>
  <si>
    <t>Projektni podatki</t>
  </si>
  <si>
    <t>Projekdata</t>
  </si>
  <si>
    <t>Projektdata</t>
  </si>
  <si>
    <t>Prosjektdata</t>
  </si>
  <si>
    <t>Projektni podaci</t>
  </si>
  <si>
    <t>Verniciatura a polvere</t>
  </si>
  <si>
    <t>Práškové lakování</t>
  </si>
  <si>
    <t>Powłoka proszkowa</t>
  </si>
  <si>
    <t>Porbevonat</t>
  </si>
  <si>
    <t>Práškové lakovanie</t>
  </si>
  <si>
    <t>Poedercoating</t>
  </si>
  <si>
    <t>Praškasto lakiranje</t>
  </si>
  <si>
    <t>Pulverlackering</t>
  </si>
  <si>
    <t>Pulverlakeret</t>
  </si>
  <si>
    <t>Pulverlakkering</t>
  </si>
  <si>
    <t>Praškasto premazivanje</t>
  </si>
  <si>
    <t>Morsetto per parafulmine per tubo quadrato</t>
  </si>
  <si>
    <t>Držák hromosvodu pro čtvercovou trubku</t>
  </si>
  <si>
    <t>Uchwyt odgromowy do rury kwadratowej</t>
  </si>
  <si>
    <t>Négyszögletes cső villámvédelmi kapocs</t>
  </si>
  <si>
    <t>Svorka na bleskozvodné vedenie pre štvorcovú rúrku</t>
  </si>
  <si>
    <t>Bliksembeveiligingsklem voor vierkante buis</t>
  </si>
  <si>
    <t>Sponka za zaščito pred strelami za kvadratno cev</t>
  </si>
  <si>
    <t>Fyrkantsrörsblixtskyddsklämma</t>
  </si>
  <si>
    <t>Firkantet lynafledningsklemme</t>
  </si>
  <si>
    <t>Firkantet lynvernsfeste</t>
  </si>
  <si>
    <t>Stezaljka za kvadratnu cijev za gromobran</t>
  </si>
  <si>
    <t>Morsetto per tubo quadrato</t>
  </si>
  <si>
    <t>Držák pro čtvercovou trubku</t>
  </si>
  <si>
    <t>Uchwyt do rury kwadratowej</t>
  </si>
  <si>
    <t>Négyszögletes cső tartó kapocs</t>
  </si>
  <si>
    <t>Držiak štvorcovej rúrky</t>
  </si>
  <si>
    <t>Vierkante buisklem</t>
  </si>
  <si>
    <t>Držalo za kvadratno cev</t>
  </si>
  <si>
    <t>Fyrkantsrörshållare</t>
  </si>
  <si>
    <t>Firkantet rørklemme</t>
  </si>
  <si>
    <t>Firkantet rørfeste</t>
  </si>
  <si>
    <t>Stezaljka za kvadratnu cijev</t>
  </si>
  <si>
    <t>Serbatoio dell'acqua per tubo quadrato</t>
  </si>
  <si>
    <t>Nádoba na vodu pro čtvercovou trubku</t>
  </si>
  <si>
    <t>Zbiornik na wodę do rury kwadratowej</t>
  </si>
  <si>
    <t>Négyszögletes cső tároló</t>
  </si>
  <si>
    <t>Štvorcový žľab</t>
  </si>
  <si>
    <t>Vierkante buiskom</t>
  </si>
  <si>
    <t>Posoda za kvadratno cev</t>
  </si>
  <si>
    <t>Fyrkantsrörsbehållare</t>
  </si>
  <si>
    <t>Firkantet rørtank</t>
  </si>
  <si>
    <t>Firkantet rørkjel</t>
  </si>
  <si>
    <t>Kotao za kvadratnu cijev</t>
  </si>
  <si>
    <t>Gomito per tubo quadrato 100</t>
  </si>
  <si>
    <t>Koleno pro čtvercovou trubku 100</t>
  </si>
  <si>
    <t>Kolano do rury kwadratowej 100</t>
  </si>
  <si>
    <t>Négyszögletes cső csatlakozó 100</t>
  </si>
  <si>
    <t>Spojka štvorcovej rúrky 100</t>
  </si>
  <si>
    <t>Vierkante buisverbinding 100</t>
  </si>
  <si>
    <t>Kvadratna spojka 100</t>
  </si>
  <si>
    <t>Fyrkantsrörsmuff 100</t>
  </si>
  <si>
    <t>Firkantet rørmuffe 100</t>
  </si>
  <si>
    <t>Spojnica za kvadratnu cijev 100</t>
  </si>
  <si>
    <t>Gomito per tubo quadrato 80</t>
  </si>
  <si>
    <t>Koleno pro čtvercovou trubku 80</t>
  </si>
  <si>
    <t>Kolano do rury kwadratowej 80</t>
  </si>
  <si>
    <t>Négyszögletes cső csatlakozó 80</t>
  </si>
  <si>
    <t>Spojka štvorcovej rúrky 80</t>
  </si>
  <si>
    <t>Vierkante buisverbinding 80</t>
  </si>
  <si>
    <t>Kvadratna spojka 80</t>
  </si>
  <si>
    <t>Fyrkantsrörsmuff 80</t>
  </si>
  <si>
    <t>Firkantet rørmuffe 80</t>
  </si>
  <si>
    <t>Spojnica za kvadratnu cijev 80</t>
  </si>
  <si>
    <t>Cassetta per la raccolta dell'acqua per tubo quadrato</t>
  </si>
  <si>
    <t>Nádrž na vodu pro čtvercovou trubku</t>
  </si>
  <si>
    <t>Koryto na wodę do rury kwadratowej</t>
  </si>
  <si>
    <t>Négyszögletes cső vízgyűjtő doboz</t>
  </si>
  <si>
    <t>Štvorcový zberný kanál</t>
  </si>
  <si>
    <t>Vierkante wateropvangbak</t>
  </si>
  <si>
    <t>Kvadratni zbiralnik vode</t>
  </si>
  <si>
    <t>Fyrkantsrörsvatteninsamlare</t>
  </si>
  <si>
    <t>Firkantet røvvandsopsamler</t>
  </si>
  <si>
    <t>Firkantet rørvannsamler</t>
  </si>
  <si>
    <t>Kvadratna kutija za sakupljanje vode</t>
  </si>
  <si>
    <t>Gruppo sconto</t>
  </si>
  <si>
    <t>Skupina slev</t>
  </si>
  <si>
    <t>Grupa rabatowa</t>
  </si>
  <si>
    <t>Kedvezmény csoport</t>
  </si>
  <si>
    <t>Zľavová skupina</t>
  </si>
  <si>
    <t>Kortingsgroep</t>
  </si>
  <si>
    <t>Skupina popustov</t>
  </si>
  <si>
    <t>Rabattgrupp</t>
  </si>
  <si>
    <t>Skupina za popust</t>
  </si>
  <si>
    <t>Argent fumé</t>
  </si>
  <si>
    <t>Argento fumo</t>
  </si>
  <si>
    <t>Kouřově stříbrná</t>
  </si>
  <si>
    <t>Dymny srebrny</t>
  </si>
  <si>
    <t>Füst ezüst</t>
  </si>
  <si>
    <t>Dymovo strieborná</t>
  </si>
  <si>
    <t>Rooksilver</t>
  </si>
  <si>
    <t>Dima srebro</t>
  </si>
  <si>
    <t>Röksilver</t>
  </si>
  <si>
    <t>Røgsølv</t>
  </si>
  <si>
    <t>Røyksølv</t>
  </si>
  <si>
    <t>Dim srebro</t>
  </si>
  <si>
    <t>Scandola</t>
  </si>
  <si>
    <t>Šupina</t>
  </si>
  <si>
    <t>Łuska</t>
  </si>
  <si>
    <t>Zsindely</t>
  </si>
  <si>
    <t>Škridla v tvare kosoštvorca</t>
  </si>
  <si>
    <t>Ruitvormige dakpan</t>
  </si>
  <si>
    <t>Rhomb</t>
  </si>
  <si>
    <t>Rombe</t>
  </si>
  <si>
    <t>Rhombe</t>
  </si>
  <si>
    <t>Romboid</t>
  </si>
  <si>
    <t>Scandola piccola</t>
  </si>
  <si>
    <t>Malá šupina</t>
  </si>
  <si>
    <t>Mała łuska</t>
  </si>
  <si>
    <t>Kis zsindely</t>
  </si>
  <si>
    <t>Malá škridla v tvare kosoštvorca</t>
  </si>
  <si>
    <t>Kleine ruitvormige dakpan</t>
  </si>
  <si>
    <t>Majhna rhomb</t>
  </si>
  <si>
    <t>Liten rombe</t>
  </si>
  <si>
    <t>Lille rhombe</t>
  </si>
  <si>
    <t>Mali romboid</t>
  </si>
  <si>
    <t>Panno di pulizia</t>
  </si>
  <si>
    <t>Čisticí hadřík</t>
  </si>
  <si>
    <t>Ściereczka czyszcząca</t>
  </si>
  <si>
    <t>Tisztítókendő</t>
  </si>
  <si>
    <t>Čistiaca handrička</t>
  </si>
  <si>
    <t>Reinigingsdoek</t>
  </si>
  <si>
    <t>Krpa za čiščenje</t>
  </si>
  <si>
    <t>Rengöringsduk</t>
  </si>
  <si>
    <t>Rengøringsklud</t>
  </si>
  <si>
    <t>Rengjøringsklut</t>
  </si>
  <si>
    <t>Krpa za čišćenje</t>
  </si>
  <si>
    <t>Bianco puro</t>
  </si>
  <si>
    <t>Čistě bílá</t>
  </si>
  <si>
    <t>Czysta biel</t>
  </si>
  <si>
    <t>Tiszta fehér</t>
  </si>
  <si>
    <t>Čisto biela</t>
  </si>
  <si>
    <t>Zuiver wit</t>
  </si>
  <si>
    <t>Čista bela</t>
  </si>
  <si>
    <t>Ren vit</t>
  </si>
  <si>
    <t>Renhvid</t>
  </si>
  <si>
    <t>Renhvit</t>
  </si>
  <si>
    <t>Čisto bijela</t>
  </si>
  <si>
    <t>Verde reseda</t>
  </si>
  <si>
    <t>Reseda zelená</t>
  </si>
  <si>
    <t>Zieleń rezedy</t>
  </si>
  <si>
    <t>Rezeda zöld</t>
  </si>
  <si>
    <t>Rezedovo zelená</t>
  </si>
  <si>
    <t>Reseda groen</t>
  </si>
  <si>
    <t>Reseda zelena</t>
  </si>
  <si>
    <t>Resedagrön</t>
  </si>
  <si>
    <t>Resedagrøn</t>
  </si>
  <si>
    <t>Resedagrønn</t>
  </si>
  <si>
    <t>Zelena reseda</t>
  </si>
  <si>
    <t>Chiodi a coste</t>
  </si>
  <si>
    <t>Rýhované hřebíky</t>
  </si>
  <si>
    <t>Gwoździe z rowkiem</t>
  </si>
  <si>
    <t>Hornyolt szeg</t>
  </si>
  <si>
    <t>Drážkový klinec</t>
  </si>
  <si>
    <t>Gegroefde spijker</t>
  </si>
  <si>
    <t>Žebelj z utori</t>
  </si>
  <si>
    <t>Räfflad spik</t>
  </si>
  <si>
    <t>Riflet søm</t>
  </si>
  <si>
    <t>Riflet spiker</t>
  </si>
  <si>
    <t>Rebrasti čavao</t>
  </si>
  <si>
    <t>Macchina per zigrinature</t>
  </si>
  <si>
    <t>Rýhovací stroj</t>
  </si>
  <si>
    <t>Maszyna do formowania rowków</t>
  </si>
  <si>
    <t>Bordázó gép</t>
  </si>
  <si>
    <t>Drážkovací stroj</t>
  </si>
  <si>
    <t>Geribbelde machine</t>
  </si>
  <si>
    <t>Stroj za vtiskovanje utorov</t>
  </si>
  <si>
    <t>Räfflade spikmaskin</t>
  </si>
  <si>
    <t>Rillsømmaskine</t>
  </si>
  <si>
    <t>Riflespiker maskin</t>
  </si>
  <si>
    <t>Stroj za rebraste utore</t>
  </si>
  <si>
    <t>Realizzazione della grondaia</t>
  </si>
  <si>
    <t>Provedení okapu</t>
  </si>
  <si>
    <t>Wykonanie rynny</t>
  </si>
  <si>
    <t>Eresz kivitel</t>
  </si>
  <si>
    <t>Odtokové riešenie</t>
  </si>
  <si>
    <t>Gootconstructie</t>
  </si>
  <si>
    <t>Izvedba žleba</t>
  </si>
  <si>
    <t>Rännans utformning</t>
  </si>
  <si>
    <t>Tagrendesystem</t>
  </si>
  <si>
    <t>Renneutforming</t>
  </si>
  <si>
    <t>Izvedba oluka</t>
  </si>
  <si>
    <t>Doccia</t>
  </si>
  <si>
    <t>Okapní žlab</t>
  </si>
  <si>
    <t>Rynna prostokątna</t>
  </si>
  <si>
    <t>Eresz cserép</t>
  </si>
  <si>
    <t>Výtok z žľabu</t>
  </si>
  <si>
    <t>Gootuitloop</t>
  </si>
  <si>
    <t>Izliv</t>
  </si>
  <si>
    <t>Ränndalsplåt</t>
  </si>
  <si>
    <t>Tagrendeindsats</t>
  </si>
  <si>
    <t>Renneband</t>
  </si>
  <si>
    <t>Traka za oluke</t>
  </si>
  <si>
    <t>Rinnendila avec bourrelet et bride (ensemble)</t>
  </si>
  <si>
    <t>Doccia con nervature e bordatura (set)</t>
  </si>
  <si>
    <t>Okapní žlab s výztuhou a límcem (sada)</t>
  </si>
  <si>
    <t>Rynna prostokątna z wygięciem i kołnierzem (zestaw)</t>
  </si>
  <si>
    <t>Eresz cserép hullámmal és szegéllyel (készlet)</t>
  </si>
  <si>
    <t>Výtok z žľabu s rebrom a krytkou (súprava)</t>
  </si>
  <si>
    <t>Gootuitloop met rib en sierlijst (set)</t>
  </si>
  <si>
    <t>Izliv z rebrom in obrobo (set)</t>
  </si>
  <si>
    <t>Ränndalsplåt med kant (set)</t>
  </si>
  <si>
    <t>Tagrendeindsats med rulle og kant (sæt)</t>
  </si>
  <si>
    <t>Renneband med krøll og kant (sett)</t>
  </si>
  <si>
    <t>Traka za oluke s rubom i letvicom (set)</t>
  </si>
  <si>
    <t>Rinnendila sans bourrelet ni bride</t>
  </si>
  <si>
    <t>Doccia senza nervature e bordatura</t>
  </si>
  <si>
    <t>Okapní žlab bez výztuhy a límce</t>
  </si>
  <si>
    <t>Rynna prostokątna bez wygięcia i kołnierza</t>
  </si>
  <si>
    <t>Eresz cserép hullám és szegély nélkül</t>
  </si>
  <si>
    <t>Výtok z žľabu bez rebra a krytky</t>
  </si>
  <si>
    <t>Gootuitloop zonder rib en sierlijst</t>
  </si>
  <si>
    <t>Izliv brez rebra in obrobe</t>
  </si>
  <si>
    <t>Ränndalsplåt utan kant</t>
  </si>
  <si>
    <t>Tagrendeindsats uden rulle og kant</t>
  </si>
  <si>
    <t>Renneband uten krøll og kant</t>
  </si>
  <si>
    <t>Traka za oluke bez ruba i letvice</t>
  </si>
  <si>
    <t>Gancio per grondaia 250</t>
  </si>
  <si>
    <t>Okapní háky 250</t>
  </si>
  <si>
    <t>Haki rynnowe 250</t>
  </si>
  <si>
    <t>Eresz kampó 250</t>
  </si>
  <si>
    <t>Držiak žľabu 250</t>
  </si>
  <si>
    <t>Gootbeugel 250</t>
  </si>
  <si>
    <t>Držalo žleba 250</t>
  </si>
  <si>
    <t>Rännkrok 250</t>
  </si>
  <si>
    <t>Tagrendeholder 250</t>
  </si>
  <si>
    <t>Renkrok 250</t>
  </si>
  <si>
    <t>Kuka za oluk 250</t>
  </si>
  <si>
    <t>Gancio per grondaia 280</t>
  </si>
  <si>
    <t>Okapní háky 280</t>
  </si>
  <si>
    <t>Haki rynnowe 280</t>
  </si>
  <si>
    <t>Eresz kampó 280</t>
  </si>
  <si>
    <t>Držiak žľabu 280</t>
  </si>
  <si>
    <t>Gootbeugel 280</t>
  </si>
  <si>
    <t>Držalo žleba 280</t>
  </si>
  <si>
    <t>Rännkrok 280</t>
  </si>
  <si>
    <t>Tagrendeholder 280</t>
  </si>
  <si>
    <t>Renkrok 280</t>
  </si>
  <si>
    <t>Kuka za oluk 280</t>
  </si>
  <si>
    <t>Gancio per grondaia 333</t>
  </si>
  <si>
    <t>Okapní háky 333</t>
  </si>
  <si>
    <t>Haki rynnowe 333</t>
  </si>
  <si>
    <t>Eresz kampó 333</t>
  </si>
  <si>
    <t>Držiak žľabu 333</t>
  </si>
  <si>
    <t>Gootbeugel 333</t>
  </si>
  <si>
    <t>Držalo žleba 333</t>
  </si>
  <si>
    <t>Rännkrok 333</t>
  </si>
  <si>
    <t>Tagrendeholder 333</t>
  </si>
  <si>
    <t>Renkrok 333</t>
  </si>
  <si>
    <t>Kuka za oluk 333</t>
  </si>
  <si>
    <t>Gancio per grondaia 400</t>
  </si>
  <si>
    <t>Okapní háky 400</t>
  </si>
  <si>
    <t>Haki rynnowe 400</t>
  </si>
  <si>
    <t>Eresz kampó 400</t>
  </si>
  <si>
    <t>Držiak žľabu 400</t>
  </si>
  <si>
    <t>Gootbeugel 400</t>
  </si>
  <si>
    <t>Držalo žleba 400</t>
  </si>
  <si>
    <t>Rännkrok 400</t>
  </si>
  <si>
    <t>Tagrendeholder 400</t>
  </si>
  <si>
    <t>Renkrok 400</t>
  </si>
  <si>
    <t>Kuka za oluk 400</t>
  </si>
  <si>
    <t>Dimensioni del gancio della grondaia</t>
  </si>
  <si>
    <t>Rozměry okapních háků</t>
  </si>
  <si>
    <t>Wymiary haków rynnowych</t>
  </si>
  <si>
    <t>Eresz kampó méretek</t>
  </si>
  <si>
    <t>Rozmery držiakov žľabu</t>
  </si>
  <si>
    <t>Gootbeugel afmetingen</t>
  </si>
  <si>
    <t>Mere držala žleba</t>
  </si>
  <si>
    <t>Rännkrokens mått</t>
  </si>
  <si>
    <t>Mål på tagrendeholder</t>
  </si>
  <si>
    <t>Dimensjoner på renkrok</t>
  </si>
  <si>
    <t>Dimenzije kuka za oluk</t>
  </si>
  <si>
    <t>Chiodo per gancio della grondaia</t>
  </si>
  <si>
    <t>Háček okapního žlabu</t>
  </si>
  <si>
    <t>Kąt haka rynnowego</t>
  </si>
  <si>
    <t>Eresz kampó szög</t>
  </si>
  <si>
    <t>Klinec na držiak žľabu</t>
  </si>
  <si>
    <t>Spijker voor gootbeugel</t>
  </si>
  <si>
    <t>Žebelj za držalo žleba</t>
  </si>
  <si>
    <t>Rännhållarspik</t>
  </si>
  <si>
    <t>Søm til tagrendeholder</t>
  </si>
  <si>
    <t>Spiker til renkrok</t>
  </si>
  <si>
    <t>Čavao za kuku za oluk</t>
  </si>
  <si>
    <t>Raccoglitore di grondaia 250</t>
  </si>
  <si>
    <t>Okapní kotlík 250</t>
  </si>
  <si>
    <t>Wkład rynnowy 250</t>
  </si>
  <si>
    <t>Eresz tároló 250</t>
  </si>
  <si>
    <t>Žľabový lapač 250</t>
  </si>
  <si>
    <t>Gootkom 250</t>
  </si>
  <si>
    <t>Posoda za žleb 250</t>
  </si>
  <si>
    <t>Rännbehållare 250</t>
  </si>
  <si>
    <t>Tagrendetank 250</t>
  </si>
  <si>
    <t>Rennekjel 250</t>
  </si>
  <si>
    <t>Kotao za oluk 250</t>
  </si>
  <si>
    <t>Raccoglitore di grondaia 280</t>
  </si>
  <si>
    <t>Okapní kotlík 280</t>
  </si>
  <si>
    <t>Wkład rynnowy 280</t>
  </si>
  <si>
    <t>Eresz tároló 280</t>
  </si>
  <si>
    <t>Žľabový lapač 280</t>
  </si>
  <si>
    <t>Gootkom 280</t>
  </si>
  <si>
    <t>Posoda za žleb 280</t>
  </si>
  <si>
    <t>Rännbehållare 280</t>
  </si>
  <si>
    <t>Tagrendetank 280</t>
  </si>
  <si>
    <t>Rennekjel 280</t>
  </si>
  <si>
    <t>Kotao za oluk 280</t>
  </si>
  <si>
    <t>Raccoglitore di grondaia 333</t>
  </si>
  <si>
    <t>Okapní kotlík 333</t>
  </si>
  <si>
    <t>Wkład rynnowy 333</t>
  </si>
  <si>
    <t>Eresz tároló 333</t>
  </si>
  <si>
    <t>Žľabový lapač 333</t>
  </si>
  <si>
    <t>Gootkom 333</t>
  </si>
  <si>
    <t>Posoda za žleb 333</t>
  </si>
  <si>
    <t>Rännbehållare 333</t>
  </si>
  <si>
    <t>Tagrendetank 333</t>
  </si>
  <si>
    <t>Rennekjel 333</t>
  </si>
  <si>
    <t>Kotao za oluk 333</t>
  </si>
  <si>
    <t>Raccoglitore di grondaia 400</t>
  </si>
  <si>
    <t>Okapní kotlík 400</t>
  </si>
  <si>
    <t>Wkład rynnowy 400</t>
  </si>
  <si>
    <t>Eresz tároló 400</t>
  </si>
  <si>
    <t>Žľabový lapač 400</t>
  </si>
  <si>
    <t>Gootkom 400</t>
  </si>
  <si>
    <t>Posoda za žleb 400</t>
  </si>
  <si>
    <t>Rännbehållare 400</t>
  </si>
  <si>
    <t>Tagrendetank 400</t>
  </si>
  <si>
    <t>Rennekjel 400</t>
  </si>
  <si>
    <t>Kotao za oluk 400</t>
  </si>
  <si>
    <t>Curva della grondaia</t>
  </si>
  <si>
    <t>Okapní koleno</t>
  </si>
  <si>
    <t>Kolano rynnowe</t>
  </si>
  <si>
    <t>Eresz szög</t>
  </si>
  <si>
    <t>Roh žľabu</t>
  </si>
  <si>
    <t>Goothoek</t>
  </si>
  <si>
    <t>Kotni žleb</t>
  </si>
  <si>
    <t>Tagrendevinkel</t>
  </si>
  <si>
    <t>Rennevinkel</t>
  </si>
  <si>
    <t>Kut za oluk</t>
  </si>
  <si>
    <t>Curva della grondaia 90°</t>
  </si>
  <si>
    <t>Okapní koleno 90°</t>
  </si>
  <si>
    <t>Kolano rynnowe 90°</t>
  </si>
  <si>
    <t>Eresz szög 90°</t>
  </si>
  <si>
    <t>Roh žľabu 90°</t>
  </si>
  <si>
    <t>Goothoek 90°</t>
  </si>
  <si>
    <t>Kotni žleb 90°</t>
  </si>
  <si>
    <t>Tagrendevinkel 90°</t>
  </si>
  <si>
    <t>Rennevinkel 90°</t>
  </si>
  <si>
    <t>Kut za oluk 90°</t>
  </si>
  <si>
    <t>Tubo saldato</t>
  </si>
  <si>
    <t>Svařovaná trubka</t>
  </si>
  <si>
    <t>Falowana rura</t>
  </si>
  <si>
    <t>Hullámos cső</t>
  </si>
  <si>
    <t>Zrolovaná rúrka</t>
  </si>
  <si>
    <t>Gevouwen buis</t>
  </si>
  <si>
    <t>Falčana cev</t>
  </si>
  <si>
    <t>Falsad rör</t>
  </si>
  <si>
    <t>Falset rør</t>
  </si>
  <si>
    <t>Falčana cijev</t>
  </si>
  <si>
    <t>Passage de tuyau</t>
  </si>
  <si>
    <t>Passaggio del tubo</t>
  </si>
  <si>
    <t>Průchod trubkou</t>
  </si>
  <si>
    <t>Przepust przez rurę</t>
  </si>
  <si>
    <t>Cső áthúzás</t>
  </si>
  <si>
    <t>Rúrkový priechod</t>
  </si>
  <si>
    <t>Pijpdoorgang</t>
  </si>
  <si>
    <t>Prehod cevi</t>
  </si>
  <si>
    <t>Rörgenomföring</t>
  </si>
  <si>
    <t>Rørgennemføring</t>
  </si>
  <si>
    <t>Rørføring</t>
  </si>
  <si>
    <t>Provođenje cijevi</t>
  </si>
  <si>
    <t>Ingresso del tubo (conico)</t>
  </si>
  <si>
    <t>Vstup trubky (kuželovitý)</t>
  </si>
  <si>
    <t>Wlot rury (stożkowy)</t>
  </si>
  <si>
    <t>Cső bevezetés (kúpos)</t>
  </si>
  <si>
    <t>Kónický vstup do rúry</t>
  </si>
  <si>
    <t>Conische buisinlaat</t>
  </si>
  <si>
    <t>Konusni nastavek cevi</t>
  </si>
  <si>
    <t>Koniskt rörmunstycke</t>
  </si>
  <si>
    <t>Konisk rørtut</t>
  </si>
  <si>
    <t>Konusni ulaz cijevi</t>
  </si>
  <si>
    <t>Ingresso del tubo Ø 100</t>
  </si>
  <si>
    <t>Vstup trubky Ø 100</t>
  </si>
  <si>
    <t>Wlot rury Ø 100</t>
  </si>
  <si>
    <t>Cső bevezetés Ø 100</t>
  </si>
  <si>
    <t>Vstup do rúry ⌀ 100</t>
  </si>
  <si>
    <t>Buisinlaat ⌀ 100</t>
  </si>
  <si>
    <t>Nastavek cevi ⌀ 100</t>
  </si>
  <si>
    <t>Rörmunstycke ⌀ 100</t>
  </si>
  <si>
    <t>Rørtut ⌀ 100</t>
  </si>
  <si>
    <t>Ulaz cijevi ⌀ 100</t>
  </si>
  <si>
    <t>Ingresso del tubo Ø 120</t>
  </si>
  <si>
    <t>Vstup trubky Ø 120</t>
  </si>
  <si>
    <t>Wlot rury Ø 120</t>
  </si>
  <si>
    <t>Cső bevezetés Ø 120</t>
  </si>
  <si>
    <t>Vstup do rúry ⌀ 120</t>
  </si>
  <si>
    <t>Buisinlaat ⌀ 120</t>
  </si>
  <si>
    <t>Nastavek cevi ⌀ 120</t>
  </si>
  <si>
    <t>Rörmunstycke ⌀ 120</t>
  </si>
  <si>
    <t>Rørtut ⌀ 120</t>
  </si>
  <si>
    <t>Ulaz cijevi ⌀ 120</t>
  </si>
  <si>
    <t>Ingresso del tubo Ø 80</t>
  </si>
  <si>
    <t>Vstup trubky Ø 80</t>
  </si>
  <si>
    <t>Wlot rury Ø 80</t>
  </si>
  <si>
    <t>Cső bevezetés Ø 80</t>
  </si>
  <si>
    <t>Vstup do rúry ⌀ 80</t>
  </si>
  <si>
    <t>Buisinlaat ⌀ 80</t>
  </si>
  <si>
    <t>Nastavek cevi ⌀ 80</t>
  </si>
  <si>
    <t>Rörmunstycke ⌀ 80</t>
  </si>
  <si>
    <t>Rørtut ⌀ 80</t>
  </si>
  <si>
    <t>Ulaz cijevi ⌀ 80</t>
  </si>
  <si>
    <t>Collier de serrage pour tuyau</t>
  </si>
  <si>
    <t>Collare del tubo</t>
  </si>
  <si>
    <t>Objímka trubky</t>
  </si>
  <si>
    <t>Uchwyt rury</t>
  </si>
  <si>
    <t>Csőbilincs</t>
  </si>
  <si>
    <t>Objemka</t>
  </si>
  <si>
    <t>Rörklämma</t>
  </si>
  <si>
    <t>Rørbøjle</t>
  </si>
  <si>
    <t>Rørklemme</t>
  </si>
  <si>
    <t>Stezaljka za cijevi</t>
  </si>
  <si>
    <t>Collare del tubo per scarico</t>
  </si>
  <si>
    <t>Objímka trubky pro odtok</t>
  </si>
  <si>
    <t>Uchwyt rury do odpływu</t>
  </si>
  <si>
    <t>Csőbilincs lefolyóhoz</t>
  </si>
  <si>
    <t>Držiak pre odtokovú rúrku</t>
  </si>
  <si>
    <t>Klem voor afvoerbuis</t>
  </si>
  <si>
    <t>Objemka za odtočno cev</t>
  </si>
  <si>
    <t>Rörklämma för avloppsrör</t>
  </si>
  <si>
    <t>Rørbøjle til afløbsrør</t>
  </si>
  <si>
    <t>Rørklemme for avløpsrør</t>
  </si>
  <si>
    <t>Stezaljka za odvodnu cijev</t>
  </si>
  <si>
    <t>Broche de collier de serrage pour tuyau WDVS</t>
  </si>
  <si>
    <t>Perno del collare per tubo WDVS</t>
  </si>
  <si>
    <t>Čep pro objímku trubky pro WDVS</t>
  </si>
  <si>
    <t>Kolec do uchwytu rury do WDVS</t>
  </si>
  <si>
    <t>Csőbilincs rúd WDVS rögzítőcsavarhoz</t>
  </si>
  <si>
    <t>Držiak pre WDVS-kotvy</t>
  </si>
  <si>
    <t>Klempen voor WDVS-pluggen</t>
  </si>
  <si>
    <t>Trn objemke za WDVS-vložek</t>
  </si>
  <si>
    <t>Rörklämmaspig för WDVS-rörklämma</t>
  </si>
  <si>
    <t>Rørbøjledorn til WDVS-rørbøjetip</t>
  </si>
  <si>
    <t>Rørklemmedorn for WDVS-rørklemtipp</t>
  </si>
  <si>
    <t>Trn za stezaljku cijevi za WDVS tipl</t>
  </si>
  <si>
    <t>Connecteur de tuyau (pour épaisseur : 1,6 mm)</t>
  </si>
  <si>
    <t>Giunto del tubo (spessore: 1,6 mm)</t>
  </si>
  <si>
    <t>Spojka trubky (tloušťka: 1,6 mm)</t>
  </si>
  <si>
    <t>Łącznik rury (grubość: 1,6 mm)</t>
  </si>
  <si>
    <t>Cső összekötő (vastagság: 1,6 mm)</t>
  </si>
  <si>
    <t>Spojka rúry (pre hrúbku: 1,6 mm)</t>
  </si>
  <si>
    <t>Buisverbinder (voor dikte: 1,6 mm)</t>
  </si>
  <si>
    <t>Cevni spoj (za debelino: 1,6 mm)</t>
  </si>
  <si>
    <t>Röranslutning (för tjocklek: 1,6 mm)</t>
  </si>
  <si>
    <t>Rørforbindelse (for tykkelse: 1,6 mm)</t>
  </si>
  <si>
    <t>Spojnica za cijevi (za debljinu: 1,6 mm)</t>
  </si>
  <si>
    <t>Diametro interno</t>
  </si>
  <si>
    <t>Vnitřní průměr</t>
  </si>
  <si>
    <t>Średnica wewnętrzna</t>
  </si>
  <si>
    <t>Belső átmérő</t>
  </si>
  <si>
    <t>Vnútorný priemer rolky</t>
  </si>
  <si>
    <t>Binnen diameter van de rol</t>
  </si>
  <si>
    <t>Notranji premer valja</t>
  </si>
  <si>
    <t>Rullens inre diameter</t>
  </si>
  <si>
    <t>Indre rulleomkreds</t>
  </si>
  <si>
    <t>Indre rulleomkrets</t>
  </si>
  <si>
    <t>Unutarnji promjer role</t>
  </si>
  <si>
    <t>Profilo tondo 50</t>
  </si>
  <si>
    <t>Kulatý profil 50</t>
  </si>
  <si>
    <t>Profil okrągły 50</t>
  </si>
  <si>
    <t>Kör keresztmetszet 50</t>
  </si>
  <si>
    <t>Okrúhly profil 50</t>
  </si>
  <si>
    <t>Rond profiel 50</t>
  </si>
  <si>
    <t>Okrogli profil 50</t>
  </si>
  <si>
    <t>Rundprofil 50</t>
  </si>
  <si>
    <t>Okrugli profil 50</t>
  </si>
  <si>
    <t>Profil rond 50 (90°)</t>
  </si>
  <si>
    <t>Profilo tondo 50 (90°)</t>
  </si>
  <si>
    <t>Kulatý profil 50 (90°)</t>
  </si>
  <si>
    <t>Profil okrągły 50 (90°)</t>
  </si>
  <si>
    <t>Kör keresztmetszet 50 (90°)</t>
  </si>
  <si>
    <t>Okrúhly profil 50 (90°)</t>
  </si>
  <si>
    <t>Rond profiel 50 (90°)</t>
  </si>
  <si>
    <t>Okrogli profil 50 (90°)</t>
  </si>
  <si>
    <t>Rundprofil 50 (90°)</t>
  </si>
  <si>
    <t>Okrugli profil 50 (90°)</t>
  </si>
  <si>
    <t>Profilo tondo 50 (variabile)</t>
  </si>
  <si>
    <t>Kulatý profil 50 (variabilní)</t>
  </si>
  <si>
    <t>Profil okrągły 50 (zmienny)</t>
  </si>
  <si>
    <t>Kör keresztmetszet 50 (változó)</t>
  </si>
  <si>
    <t>Okrúhly profil 50 (Vario)</t>
  </si>
  <si>
    <t>Rond profiel 50 (Vario)</t>
  </si>
  <si>
    <t>Okrogli profil 50 (Vario)</t>
  </si>
  <si>
    <t>Rundprofil 50 (Vario)</t>
  </si>
  <si>
    <t>Okrugli profil 50 (Vario)</t>
  </si>
  <si>
    <t>Profilo tondo 80</t>
  </si>
  <si>
    <t>Kulatý profil 80</t>
  </si>
  <si>
    <t>Profil okrągły 80</t>
  </si>
  <si>
    <t>Kör keresztmetszet 80</t>
  </si>
  <si>
    <t>Okrúhly profil 80</t>
  </si>
  <si>
    <t>Rond profiel 80</t>
  </si>
  <si>
    <t>Okrogli profil 80</t>
  </si>
  <si>
    <t>Rundprofil 80</t>
  </si>
  <si>
    <t>Okrugli profil 80</t>
  </si>
  <si>
    <t>Profil rond 80 (90°)</t>
  </si>
  <si>
    <t>Profilo tondo 80 (90°)</t>
  </si>
  <si>
    <t>Kulatý profil 80 (90°)</t>
  </si>
  <si>
    <t>Profil okrągły 80 (90°)</t>
  </si>
  <si>
    <t>Kör keresztmetszet 80 (90°)</t>
  </si>
  <si>
    <t>Okrúhly profil 80 (90°)</t>
  </si>
  <si>
    <t>Rond profiel 80 (90°)</t>
  </si>
  <si>
    <t>Okrogli profil 80 (90°)</t>
  </si>
  <si>
    <t>Rundprofil 80 (90°)</t>
  </si>
  <si>
    <t>Okrugli profil 80 (90°)</t>
  </si>
  <si>
    <t>Profilo tondo 80 (grande)</t>
  </si>
  <si>
    <t>Kulatý profil 80 (velký)</t>
  </si>
  <si>
    <t>Profil okrągły 80 (duży)</t>
  </si>
  <si>
    <t>Kör keresztmetszet 80 (nagy)</t>
  </si>
  <si>
    <t>Okrúhly profil 80 (veľký)</t>
  </si>
  <si>
    <t>Rond profiel 80 (groot)</t>
  </si>
  <si>
    <t>Okrogli profil 80 (velik)</t>
  </si>
  <si>
    <t>Rundprofil 80 (stor)</t>
  </si>
  <si>
    <t>Okrugli profil 80 (veliki)</t>
  </si>
  <si>
    <t>Profilo tondo 80 (variabile)</t>
  </si>
  <si>
    <t>Kulatý profil 80 (variabilní)</t>
  </si>
  <si>
    <t>Profil okrągły 80 (zmienny)</t>
  </si>
  <si>
    <t>Kör keresztmetszet 80 (változó)</t>
  </si>
  <si>
    <t>Okrúhly profil 80 (Vario)</t>
  </si>
  <si>
    <t>Rond profiel 80 (Vario)</t>
  </si>
  <si>
    <t>Okrogli profil 80 (Vario)</t>
  </si>
  <si>
    <t>Rundprofil 80 (Vario)</t>
  </si>
  <si>
    <t>Okrugli profil 80 (Vario)</t>
  </si>
  <si>
    <t>Morsetto di sicurezza</t>
  </si>
  <si>
    <t>Uchwyt Sailera</t>
  </si>
  <si>
    <t>Sailer bilincs</t>
  </si>
  <si>
    <t>Plachtová svorka</t>
  </si>
  <si>
    <t>Zeilklem</t>
  </si>
  <si>
    <t>Jadralska sponka</t>
  </si>
  <si>
    <t>Seglingsklämma</t>
  </si>
  <si>
    <t>Sejlklemme</t>
  </si>
  <si>
    <t>Stezaljka Sailerklemme</t>
  </si>
  <si>
    <t>Morsetto di sicurezza con foro lungo</t>
  </si>
  <si>
    <t>Sailerklemme s dlouhým otvorem</t>
  </si>
  <si>
    <t>Uchwyt Sailera z długim otworem</t>
  </si>
  <si>
    <t>Sailer bilincs hosszúkás lyukkal</t>
  </si>
  <si>
    <t>Plachtová svorka s dlhým otvorom</t>
  </si>
  <si>
    <t>Zeilklem met lang gat</t>
  </si>
  <si>
    <t>Jadralska sponka z dolgimi luknjami</t>
  </si>
  <si>
    <t>Seglingsklämma med lång hål</t>
  </si>
  <si>
    <t>Sejlklemme med langt hul</t>
  </si>
  <si>
    <t>Sailerklemme med langsgående hull</t>
  </si>
  <si>
    <t>Stezaljka Sailerklemme s duguljastom rupom</t>
  </si>
  <si>
    <t>Ventouse</t>
  </si>
  <si>
    <t>Ventosa</t>
  </si>
  <si>
    <t>Přísavka</t>
  </si>
  <si>
    <t>Przyssawka</t>
  </si>
  <si>
    <t>Szívópohár</t>
  </si>
  <si>
    <t>Prísavka</t>
  </si>
  <si>
    <t>Zuignap</t>
  </si>
  <si>
    <t>Sesalna skodelica</t>
  </si>
  <si>
    <t>Sugkopp</t>
  </si>
  <si>
    <t>Sugekop</t>
  </si>
  <si>
    <t>Sugeskive</t>
  </si>
  <si>
    <t>Usisna čaša</t>
  </si>
  <si>
    <t>Doccia con bordatura</t>
  </si>
  <si>
    <t>Okapní žlab s límcem</t>
  </si>
  <si>
    <t>Rynna prostokątna z kołnierzem</t>
  </si>
  <si>
    <t>Peremes eresz cserép</t>
  </si>
  <si>
    <t>Traka za rub oluka</t>
  </si>
  <si>
    <t>Bande de bordure rainurée</t>
  </si>
  <si>
    <t>Striscia del bordo</t>
  </si>
  <si>
    <t>Žlabová lišta</t>
  </si>
  <si>
    <t>Listwa z rowkami</t>
  </si>
  <si>
    <t>Peremes csík bordázott</t>
  </si>
  <si>
    <t>Drážkovaný výtok z žľabu</t>
  </si>
  <si>
    <t>Geribbelde gootuitloop</t>
  </si>
  <si>
    <t>Utorni izliv</t>
  </si>
  <si>
    <t>Räfflad ränndalsplåt</t>
  </si>
  <si>
    <t>Riflet tagrendeindsats</t>
  </si>
  <si>
    <t>Riflet renneband</t>
  </si>
  <si>
    <t>Rebrasta traka za rub</t>
  </si>
  <si>
    <t>Strisce e raccordi</t>
  </si>
  <si>
    <t>Lišty a zakončení</t>
  </si>
  <si>
    <t>Listwy łączeniowe i zakończenia</t>
  </si>
  <si>
    <t>Szegélycsík és záróelemek</t>
  </si>
  <si>
    <t>Lemovacia lišta a ukončovacie prvky</t>
  </si>
  <si>
    <t>Geribbelde gootuitloop en uiteinden</t>
  </si>
  <si>
    <t>Utorni izliv in zaključki</t>
  </si>
  <si>
    <t>Räfflad ränndalsplåt och ändstycken</t>
  </si>
  <si>
    <t>Riflet tagrendeindsats og endestykker</t>
  </si>
  <si>
    <t>Riflet renneband og endestykker</t>
  </si>
  <si>
    <t>Rebrasta traka i završeci</t>
  </si>
  <si>
    <t>Beige savana</t>
  </si>
  <si>
    <t>Savana béžová</t>
  </si>
  <si>
    <t>Beż sawanny</t>
  </si>
  <si>
    <t>Szavannabeige</t>
  </si>
  <si>
    <t>Savanne beige</t>
  </si>
  <si>
    <t>Savana bež</t>
  </si>
  <si>
    <t>Savannbeige</t>
  </si>
  <si>
    <t>Savannebeige</t>
  </si>
  <si>
    <t>Bež savana</t>
  </si>
  <si>
    <t>Longueur des toitures</t>
  </si>
  <si>
    <t>Lunghezza delle strisce</t>
  </si>
  <si>
    <t>Délka střihu</t>
  </si>
  <si>
    <t>Sávhossz</t>
  </si>
  <si>
    <t>Dĺžka pásu</t>
  </si>
  <si>
    <t>Lengte van de plaat</t>
  </si>
  <si>
    <t>Dolžina pločevine</t>
  </si>
  <si>
    <t>Plåtbredd</t>
  </si>
  <si>
    <t>Pladebredde</t>
  </si>
  <si>
    <t>Platebredde</t>
  </si>
  <si>
    <t>Duljina ploče</t>
  </si>
  <si>
    <t>Fuga d'ombra</t>
  </si>
  <si>
    <t>Stínová spára</t>
  </si>
  <si>
    <t>Fuga cienia</t>
  </si>
  <si>
    <t>Árnyékfuga</t>
  </si>
  <si>
    <t>Tieniaca drážka</t>
  </si>
  <si>
    <t>Schaduwlijn</t>
  </si>
  <si>
    <t>Senca reže</t>
  </si>
  <si>
    <t>Skuggfuge</t>
  </si>
  <si>
    <t>Skyggespor</t>
  </si>
  <si>
    <t>Skyggesprekk</t>
  </si>
  <si>
    <t>Sjena fuga</t>
  </si>
  <si>
    <t>Collegamento della guida</t>
  </si>
  <si>
    <t>Spojovací lišta</t>
  </si>
  <si>
    <t>Złącze szynowe</t>
  </si>
  <si>
    <t>Sínszabályzó</t>
  </si>
  <si>
    <t>Spojka koľajníc</t>
  </si>
  <si>
    <t>Railsverbinder</t>
  </si>
  <si>
    <t>Povezovalnik tirnic</t>
  </si>
  <si>
    <t>Skensförbindare</t>
  </si>
  <si>
    <t>Skinneforbinder</t>
  </si>
  <si>
    <t>Spojnica šine</t>
  </si>
  <si>
    <t>Papier de verre</t>
  </si>
  <si>
    <t>Carta abrasiva</t>
  </si>
  <si>
    <t>Brusný papír</t>
  </si>
  <si>
    <t>Papier ścierny</t>
  </si>
  <si>
    <t>Csiszolópapír</t>
  </si>
  <si>
    <t>Brúsny papier</t>
  </si>
  <si>
    <t>Schuurpapier</t>
  </si>
  <si>
    <t>Brusni papir</t>
  </si>
  <si>
    <t>Sandpapper</t>
  </si>
  <si>
    <t>Sandpapir</t>
  </si>
  <si>
    <t>Protezione neve</t>
  </si>
  <si>
    <t>Sněhová ochrana</t>
  </si>
  <si>
    <t>Zabezpieczenie przeciwśnieżne</t>
  </si>
  <si>
    <t>Hóvédelem</t>
  </si>
  <si>
    <t>Ochrana proti snehu</t>
  </si>
  <si>
    <t>Sneeuwbeveiliging</t>
  </si>
  <si>
    <t>Zaščita pred snegom</t>
  </si>
  <si>
    <t>Snöskydd</t>
  </si>
  <si>
    <t>Snebeskyttelse</t>
  </si>
  <si>
    <t>Snøbeskyttelse</t>
  </si>
  <si>
    <t>Zaštita od snijega</t>
  </si>
  <si>
    <t>Arrêt-neige pour plaque de toiture et losange de toit 29 × 29</t>
  </si>
  <si>
    <t>Fermaneve per pannelli da tetto e scandole 29 × 29</t>
  </si>
  <si>
    <t>Omezovač sněhu pro střešní desku a střešní šindel 29 × 29</t>
  </si>
  <si>
    <t>Ogranicznik śniegu do płyty dachowej i łuski dachowej 29 × 29</t>
  </si>
  <si>
    <t>Hóvédő tetőlaphoz és tetőcseréphez 29 × 29</t>
  </si>
  <si>
    <t>Snežná ochrana pre strešnú dosku a strešnú škridlu 29 × 29</t>
  </si>
  <si>
    <t>Sneeuwbeveiliging voor dakplaat en ruitvormige dakpan 29×29</t>
  </si>
  <si>
    <t>Zaščita pred snegom za strešno ploščo in romb 29×29</t>
  </si>
  <si>
    <t>Snöskydd för takplatta och romb 29×29</t>
  </si>
  <si>
    <t>Snefanger til tagplade og rhombe 29×29</t>
  </si>
  <si>
    <t>Snøstopper for takplate og rombe 29×29</t>
  </si>
  <si>
    <t>Zaštitnik od snijega za krovnu ploču i romboid 29×29</t>
  </si>
  <si>
    <t>Arrêt-neige pour losange de toit 44 × 44</t>
  </si>
  <si>
    <t>Fermaneve per scandole 44 × 44</t>
  </si>
  <si>
    <t>Omezovač sněhu pro střešní šindel 44 × 44</t>
  </si>
  <si>
    <t>Ogranicznik śniegu do łuski dachowej 44 × 44</t>
  </si>
  <si>
    <t>Hóvédő tetőcseréphez 44 × 44</t>
  </si>
  <si>
    <t>Snežná ochrana pre strešnú škridlu 44 × 44</t>
  </si>
  <si>
    <t>Sneeuwbeveiliging voor ruitvormige dakpan 44×44</t>
  </si>
  <si>
    <t>Zaščita pred snegom za romb 44×44</t>
  </si>
  <si>
    <t>Snöskydd för romb 44×44</t>
  </si>
  <si>
    <t>Snefanger til rhombe 44×44</t>
  </si>
  <si>
    <t>Snøstopper for rombe 44×44</t>
  </si>
  <si>
    <t>Zaštitnik od snijega za romboid 44×44</t>
  </si>
  <si>
    <t>Fermaneve per R.16, FX.12 e DS.19</t>
  </si>
  <si>
    <t>Omezovač sněhu pro R.16, FX.12 a DS.19</t>
  </si>
  <si>
    <t>Ogranicznik śniegu do R.16, FX.12 i DS.19</t>
  </si>
  <si>
    <t>Hóvédő R.16, FX.12 és DS.19 számára</t>
  </si>
  <si>
    <t>Snežná ochrana pre R.16, FX.12 a DS.19</t>
  </si>
  <si>
    <t>Sneeuwbeveiliging voor R.16, FX.12 en DS.19</t>
  </si>
  <si>
    <t>Zaščita pred snegom za R.16, FX.12 in DS.19</t>
  </si>
  <si>
    <t>Snöskydd för R.16, FX.12 och DS.19</t>
  </si>
  <si>
    <t>Snefanger til R.16, FX.12 og DS.19</t>
  </si>
  <si>
    <t>Snøstopper for R.16, FX.12 og DS.19</t>
  </si>
  <si>
    <t>Zaštitnik od snijega za R.16, FX.12 i DS.19</t>
  </si>
  <si>
    <t>Copertura del foro per rivestimenti con profondità del profilo di 22 mm</t>
  </si>
  <si>
    <t>Krycí panel pro obklady s hloubkou profilu 22 mm</t>
  </si>
  <si>
    <t>Osłona otworów do sidingów o głębokości profilu 22 mm</t>
  </si>
  <si>
    <t>Lyukfedő takarólemez sidingekhez 22 mm profilmélységgel</t>
  </si>
  <si>
    <t>Dierovacia krytka pre obklady s profilovou hĺbkou 22 mm</t>
  </si>
  <si>
    <t>Knipbescherming voor zijdelen met profiel diepte 22 mm</t>
  </si>
  <si>
    <t>Pokrov za izrezovanje za stranske z globino profila 22 mm</t>
  </si>
  <si>
    <t>Snittskydd för sidings med profildjup 22 mm</t>
  </si>
  <si>
    <t>Snitplade til sidings med profildybde 22 mm</t>
  </si>
  <si>
    <t>Snittplate for sidings med profildybde 22 mm</t>
  </si>
  <si>
    <t>Rubna traka za siding s dubinom profila 22 mm</t>
  </si>
  <si>
    <t>Copertura del foro per rivestimenti con profondità del profilo di 32 mm</t>
  </si>
  <si>
    <t>Krycí panel pro obklady s hloubkou profilu 32 mm</t>
  </si>
  <si>
    <t>Osłona otworów do sidingów o głębokości profilu 32 mm</t>
  </si>
  <si>
    <t>Lyukfedő takarólemez sidingekhez 32 mm profilmélységgel</t>
  </si>
  <si>
    <t>Dierovacia krytka pre obklady s profilovou hĺbkou 32 mm</t>
  </si>
  <si>
    <t>Knipbescherming voor zijdelen met profiel diepte 32 mm</t>
  </si>
  <si>
    <t>Pokrov za izrezovanje za stranske z globino profila 32 mm</t>
  </si>
  <si>
    <t>Snittskydd för sidings med profildjup 32 mm</t>
  </si>
  <si>
    <t>Snitplade til sidings med profildybde 32 mm</t>
  </si>
  <si>
    <t>Snittplate for sidings med profildybde 32 mm</t>
  </si>
  <si>
    <t>Rubna traka za siding s dubinom profila 32 mm</t>
  </si>
  <si>
    <t>Vite</t>
  </si>
  <si>
    <t>Šroub</t>
  </si>
  <si>
    <t>Śruba</t>
  </si>
  <si>
    <t>Csavar</t>
  </si>
  <si>
    <t>Skrutka</t>
  </si>
  <si>
    <t>Schroef</t>
  </si>
  <si>
    <t>Vijak</t>
  </si>
  <si>
    <t>Skruv</t>
  </si>
  <si>
    <t>Skrue</t>
  </si>
  <si>
    <t>Trou de vis</t>
  </si>
  <si>
    <t>Foro per vite</t>
  </si>
  <si>
    <t>Šroubový otvor</t>
  </si>
  <si>
    <t>Otwór śrubowy</t>
  </si>
  <si>
    <t>Csavarfurat</t>
  </si>
  <si>
    <t>Otvor pre skrutku</t>
  </si>
  <si>
    <t>Schroefgat</t>
  </si>
  <si>
    <t>Luknja za vijak</t>
  </si>
  <si>
    <t>Skruvhål</t>
  </si>
  <si>
    <t>Skruehul</t>
  </si>
  <si>
    <t>Skruehull</t>
  </si>
  <si>
    <t>Rupica za vijak</t>
  </si>
  <si>
    <t>Pellicola protettiva</t>
  </si>
  <si>
    <t>Ochranná fólie</t>
  </si>
  <si>
    <t>Folia ochronna</t>
  </si>
  <si>
    <t>Védőfólia</t>
  </si>
  <si>
    <t>Ochranná fólia</t>
  </si>
  <si>
    <t>Beschermfolie</t>
  </si>
  <si>
    <t>Zaščitna folija</t>
  </si>
  <si>
    <t>Skyddsfolie</t>
  </si>
  <si>
    <t>Beskyttelsesfolie</t>
  </si>
  <si>
    <t>Zaštitna folija</t>
  </si>
  <si>
    <t>Film de protection extérieur</t>
  </si>
  <si>
    <t>Pellicola protettiva esterna</t>
  </si>
  <si>
    <t>Vnější ochranná fólie</t>
  </si>
  <si>
    <t>Folia ochronna zewnętrzna</t>
  </si>
  <si>
    <t>Külső védőfólia</t>
  </si>
  <si>
    <t>Ochranná fólia na vonkajšej strane</t>
  </si>
  <si>
    <t>Beschermfolie buiten</t>
  </si>
  <si>
    <t>Zaščitna folija zunaj</t>
  </si>
  <si>
    <t>Skyddsfolie utvändigt</t>
  </si>
  <si>
    <t>Beskyttelsesfolie udvendig</t>
  </si>
  <si>
    <t>Beskyttelsesfolie utvendig</t>
  </si>
  <si>
    <t>Zaštitna folija izvana</t>
  </si>
  <si>
    <t>Vernice protettiva</t>
  </si>
  <si>
    <t>Ochranný lak</t>
  </si>
  <si>
    <t>Lakier ochronny</t>
  </si>
  <si>
    <t>Védőlak</t>
  </si>
  <si>
    <t>Beschermlak</t>
  </si>
  <si>
    <t>Zaščitni lak</t>
  </si>
  <si>
    <t>Skyddslack</t>
  </si>
  <si>
    <t>Beskyttelseslak</t>
  </si>
  <si>
    <t>Beskyttelseslakk</t>
  </si>
  <si>
    <t>Zaštitni lak</t>
  </si>
  <si>
    <t>Nero</t>
  </si>
  <si>
    <t>Černá</t>
  </si>
  <si>
    <t>Czarny</t>
  </si>
  <si>
    <t>Fekete</t>
  </si>
  <si>
    <t>Čierna</t>
  </si>
  <si>
    <t>Zwart</t>
  </si>
  <si>
    <t>Črna</t>
  </si>
  <si>
    <t>Svart</t>
  </si>
  <si>
    <t>Sort</t>
  </si>
  <si>
    <t>Crna</t>
  </si>
  <si>
    <t>Grigio nero</t>
  </si>
  <si>
    <t>Černá šedá</t>
  </si>
  <si>
    <t>Czarno-szary</t>
  </si>
  <si>
    <t>Fekete-szürke</t>
  </si>
  <si>
    <t>Čierna šedá</t>
  </si>
  <si>
    <t>Zwartgrijs</t>
  </si>
  <si>
    <t>Črno siva</t>
  </si>
  <si>
    <t>Svartgrå</t>
  </si>
  <si>
    <t>Sortgrå</t>
  </si>
  <si>
    <t>Crno siva</t>
  </si>
  <si>
    <t>Zapuštěná hlava šroubu</t>
  </si>
  <si>
    <t>Śruba z łbem stożkowym</t>
  </si>
  <si>
    <t>Süllyesztett fejű csavar</t>
  </si>
  <si>
    <t>Zapustená skrutka</t>
  </si>
  <si>
    <t>Verzinkte schroef</t>
  </si>
  <si>
    <t>Vgreznjeni vijak</t>
  </si>
  <si>
    <t>Försänkt skruv</t>
  </si>
  <si>
    <t>Forsænket skrue</t>
  </si>
  <si>
    <t>Senkhodeskrue</t>
  </si>
  <si>
    <t>Vijak s ravnom glavom</t>
  </si>
  <si>
    <t>Gancio di sicurezza per tetto secondo EN 517-B SDH INDUSTRY 31</t>
  </si>
  <si>
    <t>Bezpečnostní střešní hák podle EN 517-B SDH INDUSTRY 31</t>
  </si>
  <si>
    <t>Hak dachowy zgodny z EN 517-B SDH INDUSTRY 31</t>
  </si>
  <si>
    <t>Biztonsági tetőkampó EN 517-B SDH INDUSTRY 31 szerint</t>
  </si>
  <si>
    <t>Bezpečnostný strešný hák podľa EN 517-B SDH INDUSTRY 31</t>
  </si>
  <si>
    <t>Veiligheidshaak voor dak volgens EN 517-B SDH INDUSTRY 31</t>
  </si>
  <si>
    <t>Varnostni kavelj za streho po EN 517-B SDH INDUSTRY 31</t>
  </si>
  <si>
    <t>Säkerhetstakkrok enligt EN 517-B SDH INDUSTRY 31</t>
  </si>
  <si>
    <t>Sikkerhedstagkrog i henhold til EN 517-B SDH INDUSTRY 31</t>
  </si>
  <si>
    <t>Sikkerhets takhake i henhold til EN 517-B SDH INDUSTRY 31</t>
  </si>
  <si>
    <t>Sigurnosna kuka za krov prema EN 517-B SDH INDUSTRY 31</t>
  </si>
  <si>
    <t>Crochet de sécurité pour toit SDH 41</t>
  </si>
  <si>
    <t>Gancio di sicurezza per tetto SDH 41</t>
  </si>
  <si>
    <t>Bezpečnostní střešní hák SDH 41</t>
  </si>
  <si>
    <t>Hak dachowy SDH 41</t>
  </si>
  <si>
    <t>Biztonsági tetőkampó SDH 41</t>
  </si>
  <si>
    <t>Bezpečnostný strešný hák SDH 41</t>
  </si>
  <si>
    <t>Veiligheidshaak voor dak SDH 41</t>
  </si>
  <si>
    <t>Varnostni kavelj za streho SDH 41</t>
  </si>
  <si>
    <t>Säkerhetstakkrok SDH 41</t>
  </si>
  <si>
    <t>Sikkerhedstagkrog SDH 41</t>
  </si>
  <si>
    <t>Sikkerhets takhake SDH 41</t>
  </si>
  <si>
    <t>Sigurnosna kuka za krov SDH 41</t>
  </si>
  <si>
    <t>Vis de sécurité</t>
  </si>
  <si>
    <t>Vite di sicurezza</t>
  </si>
  <si>
    <t>Zajišťovací šroub</t>
  </si>
  <si>
    <t>Śruba zabezpieczająca</t>
  </si>
  <si>
    <t>Biztonsági csavar</t>
  </si>
  <si>
    <t>Bezpečnostná skrutka</t>
  </si>
  <si>
    <t>Veiligheidsschroef</t>
  </si>
  <si>
    <t>Varnostni vijak</t>
  </si>
  <si>
    <t>Säkerhetsskruv</t>
  </si>
  <si>
    <t>Sikkerhedsskrue</t>
  </si>
  <si>
    <t>Sikringsskrue</t>
  </si>
  <si>
    <t>Sigurnosni vijak</t>
  </si>
  <si>
    <t>Système de sécurité</t>
  </si>
  <si>
    <t>Sistema di sicurezza</t>
  </si>
  <si>
    <t>Zabezpečovací systém</t>
  </si>
  <si>
    <t>System zabezpieczeń</t>
  </si>
  <si>
    <t>Biztonsági rendszer</t>
  </si>
  <si>
    <t>Bezpečnostný systém</t>
  </si>
  <si>
    <t>Beveiligingssysteem</t>
  </si>
  <si>
    <t>Varnostni sistem</t>
  </si>
  <si>
    <t>Säkerhetssystem</t>
  </si>
  <si>
    <t>Sikringssystem</t>
  </si>
  <si>
    <t>Sigurnosni sustav</t>
  </si>
  <si>
    <t>Superficie visibile</t>
  </si>
  <si>
    <t>Pohledová plocha</t>
  </si>
  <si>
    <t>Powierzchnia widoczna</t>
  </si>
  <si>
    <t>Látható felület</t>
  </si>
  <si>
    <t>Viditeľná plocha</t>
  </si>
  <si>
    <t>Zichtvlak</t>
  </si>
  <si>
    <t>Vidna površina</t>
  </si>
  <si>
    <t>Siktfält</t>
  </si>
  <si>
    <t>Synlig overflade</t>
  </si>
  <si>
    <t>Synlig overflate</t>
  </si>
  <si>
    <t>Vidljiva površina</t>
  </si>
  <si>
    <t>Lato visibile</t>
  </si>
  <si>
    <t>Pohledová strana</t>
  </si>
  <si>
    <t>Strona widoczna</t>
  </si>
  <si>
    <t>Látható oldal</t>
  </si>
  <si>
    <t>Viditeľná strana</t>
  </si>
  <si>
    <t>Zichtzijde</t>
  </si>
  <si>
    <t>Vidna stran</t>
  </si>
  <si>
    <t>Siktssida</t>
  </si>
  <si>
    <t>Synlig side</t>
  </si>
  <si>
    <t>Vidljiva strana</t>
  </si>
  <si>
    <t>Rivestimento perforato</t>
  </si>
  <si>
    <t>Děrované obklady</t>
  </si>
  <si>
    <t>Siding perforowany</t>
  </si>
  <si>
    <t>Perforált siding</t>
  </si>
  <si>
    <t>Perforovaný obklad</t>
  </si>
  <si>
    <t>Geperforeerde zijplaat</t>
  </si>
  <si>
    <t>Perforirana obloga</t>
  </si>
  <si>
    <t>Perforerad beklädnad</t>
  </si>
  <si>
    <t>Perforeret beklædning</t>
  </si>
  <si>
    <t>Perforert kledning</t>
  </si>
  <si>
    <t>Perforirani siding</t>
  </si>
  <si>
    <t>Bardage perforé avec joint d'ombre</t>
  </si>
  <si>
    <t>Rivestimento perforato con fuga d'ombra</t>
  </si>
  <si>
    <t>Děrované obklady se stínovou spárou</t>
  </si>
  <si>
    <t>Siding perforowany z fugą cienia</t>
  </si>
  <si>
    <t>Perforált siding árnyékfugával</t>
  </si>
  <si>
    <t>Perforovaný obklad s tieniacou drážkou</t>
  </si>
  <si>
    <t>Geperforeerde zijplaat met schaduwvoeg</t>
  </si>
  <si>
    <t>Perforirana obloga s senčno režo</t>
  </si>
  <si>
    <t>Perforerad beklädnad med skugga</t>
  </si>
  <si>
    <t>Perforeret beklædning med skyggeffekt</t>
  </si>
  <si>
    <t>Perforert kledning med skyggesprekk</t>
  </si>
  <si>
    <t>Perforirani siding sa sjenom</t>
  </si>
  <si>
    <t>Siding.X lisse avec pli en X</t>
  </si>
  <si>
    <t>Rivestimento liscio Siding.X con angolo X</t>
  </si>
  <si>
    <t>Hladký obklad Siding.X s X-kantem</t>
  </si>
  <si>
    <t>Siding.X gładki z X-krawędzią</t>
  </si>
  <si>
    <t>Siding.X sima X-peremmel</t>
  </si>
  <si>
    <t>Siding.X hladký s X-hranou</t>
  </si>
  <si>
    <t>Siding.X glad met X-vouw</t>
  </si>
  <si>
    <t>Siding.X gladek z X-zarezo</t>
  </si>
  <si>
    <t>Siding.X slät med X-kantning</t>
  </si>
  <si>
    <t>Siding.X glat med X-fold</t>
  </si>
  <si>
    <t>Siding.X glatt med X-bretting</t>
  </si>
  <si>
    <t>Siding.X glatko s X-savijanjem</t>
  </si>
  <si>
    <t>Rivestimenti perforati</t>
  </si>
  <si>
    <t>Sidingi perforowane</t>
  </si>
  <si>
    <t>Perforált sidingek</t>
  </si>
  <si>
    <t>Perforované obklady</t>
  </si>
  <si>
    <t>Geperforeerde zijpanelen</t>
  </si>
  <si>
    <t>Perforirani stranski</t>
  </si>
  <si>
    <t>Perforerade sidings</t>
  </si>
  <si>
    <t>Perforerede beklædninger</t>
  </si>
  <si>
    <t>Metallico argento</t>
  </si>
  <si>
    <t>Stříbrná metalíza</t>
  </si>
  <si>
    <t>Metaliczne srebro</t>
  </si>
  <si>
    <t>Ezüstmetál</t>
  </si>
  <si>
    <t>Strieborný kovový lesk</t>
  </si>
  <si>
    <t>Zilvermetallic</t>
  </si>
  <si>
    <t>Srebrna kovina</t>
  </si>
  <si>
    <t>Silvermetallic</t>
  </si>
  <si>
    <t>Sølvmetallic</t>
  </si>
  <si>
    <t>Sølvmetallisk</t>
  </si>
  <si>
    <t>Srebrna metalik</t>
  </si>
  <si>
    <t>Ginocchio del basamento</t>
  </si>
  <si>
    <t>Kolano cokołowe</t>
  </si>
  <si>
    <t>Talpcső</t>
  </si>
  <si>
    <t>Podstavec</t>
  </si>
  <si>
    <t>Sockelkrök</t>
  </si>
  <si>
    <t>Sokkelfald</t>
  </si>
  <si>
    <t>Sokkelkne</t>
  </si>
  <si>
    <t>Koljeno baze</t>
  </si>
  <si>
    <t>Ginocchio del basamento, estensione: 30 mm</t>
  </si>
  <si>
    <t>Soklové koleno, výsuv: 30 mm</t>
  </si>
  <si>
    <t>Kolano cokołowe, wysięg: 30 mm</t>
  </si>
  <si>
    <t>Talpcső kilépéssel: 30 mm</t>
  </si>
  <si>
    <t>Podstavec s výstupom: 30 mm</t>
  </si>
  <si>
    <t>Sokkelbocht uitlading: 30 mm</t>
  </si>
  <si>
    <t>Podnožje koleno dolžina: 30 mm</t>
  </si>
  <si>
    <t>Sockelkrök utskärning: 30 mm</t>
  </si>
  <si>
    <t>Sokkelfald med udsparing: 30 mm</t>
  </si>
  <si>
    <t>Sokkelkne utladning: 30 mm</t>
  </si>
  <si>
    <t>Koljeno baze izlaz: 30 mm</t>
  </si>
  <si>
    <t>Ginocchio del basamento, estensione: 60 mm</t>
  </si>
  <si>
    <t>Soklové koleno, výsuv: 60 mm</t>
  </si>
  <si>
    <t>Kolano cokołowe, wysięg: 60 mm</t>
  </si>
  <si>
    <t>Talpcső kilépéssel: 60 mm</t>
  </si>
  <si>
    <t>Podstavec s výstupom: 60 mm</t>
  </si>
  <si>
    <t>Sokkelbocht uitlading: 60 mm</t>
  </si>
  <si>
    <t>Podnožje koleno dolžina: 60 mm</t>
  </si>
  <si>
    <t>Sockelkrök utskärning: 60 mm</t>
  </si>
  <si>
    <t>Sokkelfald med udsparing: 60 mm</t>
  </si>
  <si>
    <t>Sokkelkne utladning: 60 mm</t>
  </si>
  <si>
    <t>Koljeno baze izlaz: 60 mm</t>
  </si>
  <si>
    <t>Profil de socle</t>
  </si>
  <si>
    <t>Profilo del basamento</t>
  </si>
  <si>
    <t>Soklový profil</t>
  </si>
  <si>
    <t>Profil cokołowy</t>
  </si>
  <si>
    <t>Talp profil</t>
  </si>
  <si>
    <t>Profil podstavca</t>
  </si>
  <si>
    <t>Sokkelprofiel</t>
  </si>
  <si>
    <t>Podnožni profil</t>
  </si>
  <si>
    <t>Sokkelprofil</t>
  </si>
  <si>
    <t>Profil baze</t>
  </si>
  <si>
    <t>Supporto solare</t>
  </si>
  <si>
    <t>Solární držák</t>
  </si>
  <si>
    <t>Uchwyt solarny</t>
  </si>
  <si>
    <t>Napelem tartó</t>
  </si>
  <si>
    <t>Solárny držiak</t>
  </si>
  <si>
    <t>Zonnepaneelhouder</t>
  </si>
  <si>
    <t>Solarna držala</t>
  </si>
  <si>
    <t>Solfångarhållare</t>
  </si>
  <si>
    <t>Solfangerholder</t>
  </si>
  <si>
    <t>Držač solarnih panela</t>
  </si>
  <si>
    <t>Supporto solare Fix</t>
  </si>
  <si>
    <t>Solární držák Fix</t>
  </si>
  <si>
    <t>Uchwyt solarny Fix</t>
  </si>
  <si>
    <t>Napelem tartó Fix</t>
  </si>
  <si>
    <t>Solárny držiak Fix</t>
  </si>
  <si>
    <t>Zonnepaneelhouder Fix</t>
  </si>
  <si>
    <t>Solarna držala Fix</t>
  </si>
  <si>
    <t>Solfångarhållare Fix</t>
  </si>
  <si>
    <t>Solfangerholder Fix</t>
  </si>
  <si>
    <t>Držač solarnih panela Fix</t>
  </si>
  <si>
    <t>Supporto solare Fix 120 su travi senza supporto</t>
  </si>
  <si>
    <t>Solární držák Fix 120 na krokve bez držáku</t>
  </si>
  <si>
    <t>Uchwyt solarny Fix 120 na krokwiach bez wspornika</t>
  </si>
  <si>
    <t>Napelem tartó Fix 120 gerendákhoz keresztrúd nélkül</t>
  </si>
  <si>
    <t>Solárny držiak Fix 120 na trámy bez spojky</t>
  </si>
  <si>
    <t>Zonnepaneelhouder Fix 120 op balk zonder verbindingsrail</t>
  </si>
  <si>
    <t>Solarna držala Fix 120 na nosilcu brez povezovalnika</t>
  </si>
  <si>
    <t>Solfångarhållare Fix 120 på sparre utan förbindelse</t>
  </si>
  <si>
    <t>Solfangerholder Fix 120 på spær uden forbindelse</t>
  </si>
  <si>
    <t>Solfangerholder Fix 120 på sperre uten feste</t>
  </si>
  <si>
    <t>Držač solarnih panela Fix 120 na gredi bez spojnice</t>
  </si>
  <si>
    <t>Supporto solare Fix 220 su travi senza supporto</t>
  </si>
  <si>
    <t>Solární držák Fix 220 na krokve bez držáku</t>
  </si>
  <si>
    <t>Uchwyt solarny Fix 220 na krokwiach bez wspornika</t>
  </si>
  <si>
    <t>Napelem tartó Fix 220 gerendákhoz keresztrúd nélkül</t>
  </si>
  <si>
    <t>Solárny držiak Fix 220 na trámy bez spojky</t>
  </si>
  <si>
    <t>Zonnepaneelhouder Fix 220 op balk zonder verbindingsrail</t>
  </si>
  <si>
    <t>Solarna držala Fix 220 na nosilcu brez povezovalnika</t>
  </si>
  <si>
    <t>Solfångarhållare Fix 220 på sparre utan förbindelse</t>
  </si>
  <si>
    <t>Solfangerholder Fix 220 på spær uden forbindelse</t>
  </si>
  <si>
    <t>Solfangerholder Fix 220 på sperre uten feste</t>
  </si>
  <si>
    <t>Držač solarnih panela Fix 220 na gredi bez spojnice</t>
  </si>
  <si>
    <t>Supporto solare Fix avvitato su almeno 30 mm di assito senza supporto</t>
  </si>
  <si>
    <t>Solární držák Fix přišroubovaný na minimálně 30 mm bednění bez držáku</t>
  </si>
  <si>
    <t>Uchwyt solarny Fix przykręcony na co najmniej 30 mm deskowaniu bez wspornika</t>
  </si>
  <si>
    <t>Napelem tartó Fix minimum 30 mm deszkához keresztrúd nélkül</t>
  </si>
  <si>
    <t>Solárny držiak Fix na minimálne 30 mm dosky bez spojky</t>
  </si>
  <si>
    <t>Zonnepaneelhouder Fix op minimaal 30 mm beplating zonder verbindingsrail</t>
  </si>
  <si>
    <t>Solarna držala Fix na vsaj 30 mm ploščo brez povezovalnika</t>
  </si>
  <si>
    <t>Solfångarhållare Fix på minst 30 mm panel utan förbindelse</t>
  </si>
  <si>
    <t>Solfangerholder Fix på mindst 30 mm forskalling uden forbindelse</t>
  </si>
  <si>
    <t>Solfangerholder Fix montert på minst 30 mm forskaling uten feste</t>
  </si>
  <si>
    <t>Držač solarnih panela Fix na minimalno 30 mm oplatnoj ploči bez spojnice</t>
  </si>
  <si>
    <t>Supporto solare con cappuccio</t>
  </si>
  <si>
    <t>Solární držák s krytkou</t>
  </si>
  <si>
    <t>Uchwyt solarny z osłoną</t>
  </si>
  <si>
    <t>Napelem tartó fedéllel</t>
  </si>
  <si>
    <t>Solárny držiak s krytkou</t>
  </si>
  <si>
    <t>Zonnepaneelhouder met afdekking</t>
  </si>
  <si>
    <t>Solarna držala z zaščitnim pokrovom</t>
  </si>
  <si>
    <t>Solfångarhållare med lock</t>
  </si>
  <si>
    <t>Solfangerholder med dæksel</t>
  </si>
  <si>
    <t>Solfangerholder med deksel</t>
  </si>
  <si>
    <t>Držač solarnih panela s poklopcem</t>
  </si>
  <si>
    <t>Supporto solare Prefalz Vario senza supporto</t>
  </si>
  <si>
    <t>Solární držák Prefalz Vario bez držáku</t>
  </si>
  <si>
    <t>Uchwyt solarny Prefalz Vario bez wspornika</t>
  </si>
  <si>
    <t>Napelem tartó Prefalz Vario keresztrúd nélkül</t>
  </si>
  <si>
    <t>Solárny držiak Prefalz Vario bez spojky</t>
  </si>
  <si>
    <t>Zonnepaneelhouder Prefalz Vario zonder verbindingsrail</t>
  </si>
  <si>
    <t>Solarna držala Prefalz Vario brez povezovalnika</t>
  </si>
  <si>
    <t>Solfångarhållare Prefalz Vario utan förbindelse</t>
  </si>
  <si>
    <t>Solfangerholder Prefalz Vario uden forbindelse</t>
  </si>
  <si>
    <t>Solfangerholder Prefalz Vario uten feste</t>
  </si>
  <si>
    <t>Držač solarnih panela Prefalz Vario bez spojnice</t>
  </si>
  <si>
    <t>Supporto solare Sunny speciale per la scanalatura del pannello del tetto</t>
  </si>
  <si>
    <t>Solární držák Sunny speciální pro drážku střešní desky</t>
  </si>
  <si>
    <t>Uchwyt solarny Sunny specjalny dla rowka blachodachówki</t>
  </si>
  <si>
    <t>Napelem tartó Sunny speciális tetőlemezhézagnál</t>
  </si>
  <si>
    <t>Solárny držiak Sunny špeciál pre strešnú dosku</t>
  </si>
  <si>
    <t>Zonnepaneelhouder Sunny Special voor dakplaat groef</t>
  </si>
  <si>
    <t>Solarna držala Sunny Special za strešno ploščo</t>
  </si>
  <si>
    <t>Solfångarhållare Sunny Special för takplatta</t>
  </si>
  <si>
    <t>Solfangerholder Sunny Special til tagplade</t>
  </si>
  <si>
    <t>Solfangerholder Sunny spesial for takplatekanal</t>
  </si>
  <si>
    <t>Specijalni solarni držač Sunny za oluk</t>
  </si>
  <si>
    <t>Supporto solare Vario</t>
  </si>
  <si>
    <t>Solární držák Vario</t>
  </si>
  <si>
    <t>Uchwyt solarny Vario</t>
  </si>
  <si>
    <t>Napelem tartó Vario</t>
  </si>
  <si>
    <t>Solárny držiak Vario</t>
  </si>
  <si>
    <t>Zonnepaneelhouder Vario</t>
  </si>
  <si>
    <t>Solarna držala Vario</t>
  </si>
  <si>
    <t>Solfångarhållare Vario</t>
  </si>
  <si>
    <t>Solfangerholder Vario</t>
  </si>
  <si>
    <t>Držač solarnih panela Vario</t>
  </si>
  <si>
    <t>Supporto solare Vario 120 su travi senza supporto</t>
  </si>
  <si>
    <t>Solární držák Vario 120 na krokve bez držáku</t>
  </si>
  <si>
    <t>Uchwyt solarny Vario 120 na krokwiach bez wspornika</t>
  </si>
  <si>
    <t>Napelem tartó Vario 120 gerendákhoz keresztrúd nélkül</t>
  </si>
  <si>
    <t>Solárny držiak Vario 120 na trámy bez spojky</t>
  </si>
  <si>
    <t>Zonnepaneelhouder Vario 120 op balk zonder verbindingsrail</t>
  </si>
  <si>
    <t>Solarna držala Vario 120 na nosilcu brez povezovalnika</t>
  </si>
  <si>
    <t>Solfångarhållare Vario 120 på sparre utan förbindelse</t>
  </si>
  <si>
    <t>Solfangerholder Vario 120 på spær uden forbindelse</t>
  </si>
  <si>
    <t>Solfangerholder Vario 120 på sperre uten feste</t>
  </si>
  <si>
    <t>Držač solarnih panela Vario 120 na gredi bez spojnice</t>
  </si>
  <si>
    <t>Supporto solare Vario 220 su travi senza supporto</t>
  </si>
  <si>
    <t>Solární držák Vario 220 na krokve bez držáku</t>
  </si>
  <si>
    <t>Uchwyt solarny Vario 220 na krokwiach bez wspornika</t>
  </si>
  <si>
    <t>Napelem tartó Vario 220 gerendákhoz keresztrúd nélkül</t>
  </si>
  <si>
    <t>Solárny držiak Vario 220 na trámy bez spojky</t>
  </si>
  <si>
    <t>Zonnepaneelhouder Vario 220 op balk zonder verbindingsrail</t>
  </si>
  <si>
    <t>Solarna držala Vario 220 na nosilcu brez povezovalnika</t>
  </si>
  <si>
    <t>Solfångarhållare Vario 220 på sparre utan förbindelse</t>
  </si>
  <si>
    <t>Solfangerholder Vario 220 på spær uden forbindelse</t>
  </si>
  <si>
    <t>Solfangerholder Vario 220 på sperre uten feste</t>
  </si>
  <si>
    <t>Držač solarnih panela Vario 220 na gredi bez spojnice</t>
  </si>
  <si>
    <t>Supporto solare Vario avvitato su almeno 30 mm di assito senza supporto</t>
  </si>
  <si>
    <t>Solární držák Vario přišroubovaný na minimálně 30 mm bednění bez držáku</t>
  </si>
  <si>
    <t>Uchwyt solarny Vario przykręcony na co najmniej 30 mm deskowaniu bez wspornika</t>
  </si>
  <si>
    <t>Napelem tartó Vario minimum 30 mm deszkához keresztrúd nélkül</t>
  </si>
  <si>
    <t>Solárny držiak Vario na minimálne 30 mm dosky bez spojky</t>
  </si>
  <si>
    <t>Zonnepaneelhouder Vario op minimaal 30 mm beplating zonder verbindingsrail</t>
  </si>
  <si>
    <t>Solarna držala Vario na vsaj 30 mm ploščo brez povezovalnika</t>
  </si>
  <si>
    <t>Solfångarhållare Vario på minst 30 mm panel utan förbindelse</t>
  </si>
  <si>
    <t>Solfangerholder Vario på mindst 30 mm forskalling uden forbindelse</t>
  </si>
  <si>
    <t>Solfangerholder Vario montert på minst 30 mm forskaling uten feste</t>
  </si>
  <si>
    <t>Držač solarnih panela Vario na minimalno 30 mm oplatnoj ploči bez spojnice</t>
  </si>
  <si>
    <t>Sistema di montaggio solare</t>
  </si>
  <si>
    <t>Solární montážní systém</t>
  </si>
  <si>
    <t>System montażu solarnego</t>
  </si>
  <si>
    <t>Napelem rögzítési rendszer</t>
  </si>
  <si>
    <t>Montážny systém pre solárne panely</t>
  </si>
  <si>
    <t>Zonnemontagesysteem</t>
  </si>
  <si>
    <t>Sistem za montažo sončne energije</t>
  </si>
  <si>
    <t>Solmonteringssystem</t>
  </si>
  <si>
    <t>Solarmonteringssystem</t>
  </si>
  <si>
    <t>Sustav za montažu solarnih panela</t>
  </si>
  <si>
    <t>Système solaire</t>
  </si>
  <si>
    <t>Sistema solare</t>
  </si>
  <si>
    <t>Solární systém</t>
  </si>
  <si>
    <t>System solarny</t>
  </si>
  <si>
    <t>Napelem rendszer</t>
  </si>
  <si>
    <t>Solárny systém</t>
  </si>
  <si>
    <t>Zonnesysteem</t>
  </si>
  <si>
    <t>Solarni sistem</t>
  </si>
  <si>
    <t>Solsystem</t>
  </si>
  <si>
    <t>Solarni sustav</t>
  </si>
  <si>
    <t>Produzione speciale di scanalature nelle travi di contenimento</t>
  </si>
  <si>
    <t>Speciální výroba výřezů v uzavíracích trámech</t>
  </si>
  <si>
    <t>Specjalne wykonanie wycięć w belkach zamykających</t>
  </si>
  <si>
    <t>Speciális gyártás gátgerendákhoz</t>
  </si>
  <si>
    <t>Špeciálna výroba výrezov pre hrádzové nosníky</t>
  </si>
  <si>
    <t>Speciale bewerking van gleuven voor barrière balken</t>
  </si>
  <si>
    <t>Posebna izdelava utorov za pregradni nosilec</t>
  </si>
  <si>
    <t>Specialproduktion av fräsningar för dammbalkar</t>
  </si>
  <si>
    <t>Specialproduktion af fræsninger til tværbjælker</t>
  </si>
  <si>
    <t>Spesialbestilling for fresing av tverrbjelker</t>
  </si>
  <si>
    <t>Posebna narudžba za izradu utora u poprečnim gredama</t>
  </si>
  <si>
    <t>Largeur spéciale de construction</t>
  </si>
  <si>
    <t>Larghezza speciale</t>
  </si>
  <si>
    <t>Speciální šířka</t>
  </si>
  <si>
    <t>Specjalna szerokość</t>
  </si>
  <si>
    <t>Speciális szélesség</t>
  </si>
  <si>
    <t>Špeciálna šírka</t>
  </si>
  <si>
    <t>Speciale breedte</t>
  </si>
  <si>
    <t>Posebna širina</t>
  </si>
  <si>
    <t>Specialbredd</t>
  </si>
  <si>
    <t>Specialbredde</t>
  </si>
  <si>
    <t>Spesialbredde</t>
  </si>
  <si>
    <t>Entrée de tuyau spéciale</t>
  </si>
  <si>
    <t>Entrata del tubo speciale</t>
  </si>
  <si>
    <t>Speciální vstup trubky</t>
  </si>
  <si>
    <t>Specjalne wejście rury</t>
  </si>
  <si>
    <t>Speciális csőbevezető</t>
  </si>
  <si>
    <t>Špeciálny vstup do rúry</t>
  </si>
  <si>
    <t>Speciale buisinlaat</t>
  </si>
  <si>
    <t>Posebna izvedba cevi</t>
  </si>
  <si>
    <t>Specialrörgenomföring</t>
  </si>
  <si>
    <t>Specialrørgennemføring</t>
  </si>
  <si>
    <t>Spesial rørinnføring</t>
  </si>
  <si>
    <t>Poseban ulaz cijevi</t>
  </si>
  <si>
    <t>Angolo speciale</t>
  </si>
  <si>
    <t>Speciální úhel</t>
  </si>
  <si>
    <t>Specjalny kąt</t>
  </si>
  <si>
    <t>Speciális szög</t>
  </si>
  <si>
    <t>Špeciálny uhol</t>
  </si>
  <si>
    <t>Speciale hoek</t>
  </si>
  <si>
    <t>Poseben kot</t>
  </si>
  <si>
    <t>Specialvinkel</t>
  </si>
  <si>
    <t>Spesialvinkel</t>
  </si>
  <si>
    <t>Poseban kut</t>
  </si>
  <si>
    <t>Altri materiali</t>
  </si>
  <si>
    <t>Ostatní materiály</t>
  </si>
  <si>
    <t>Inne materiały</t>
  </si>
  <si>
    <t>Egyéb anyagok</t>
  </si>
  <si>
    <t>Iné materiály</t>
  </si>
  <si>
    <t>Overige materialen</t>
  </si>
  <si>
    <t>Drugi materiali</t>
  </si>
  <si>
    <t>Övriga material</t>
  </si>
  <si>
    <t>Andre materialer</t>
  </si>
  <si>
    <t>Drugi materijali</t>
  </si>
  <si>
    <t>Altro</t>
  </si>
  <si>
    <t>Ostatní</t>
  </si>
  <si>
    <t>Inne</t>
  </si>
  <si>
    <t>Egyéb</t>
  </si>
  <si>
    <t>Ostatné</t>
  </si>
  <si>
    <t>Overig</t>
  </si>
  <si>
    <t>Drugo</t>
  </si>
  <si>
    <t>Övrigt</t>
  </si>
  <si>
    <t>Andet</t>
  </si>
  <si>
    <t>Annet</t>
  </si>
  <si>
    <t>Ostalo</t>
  </si>
  <si>
    <t>Altro accessorio</t>
  </si>
  <si>
    <t>Ostatní příslušenství</t>
  </si>
  <si>
    <t>Inne akcesoria</t>
  </si>
  <si>
    <t>Egyéb tartozékok</t>
  </si>
  <si>
    <t>Ostatné príslušenstvo</t>
  </si>
  <si>
    <t>Overige accessoires</t>
  </si>
  <si>
    <t>Drugi dodatki</t>
  </si>
  <si>
    <t>Övrigt tillbehör</t>
  </si>
  <si>
    <t>Andet tilbehør</t>
  </si>
  <si>
    <t>Annet tilbehør</t>
  </si>
  <si>
    <t>Ostali dodaci</t>
  </si>
  <si>
    <t>Rationalisation de la gamme</t>
  </si>
  <si>
    <t>Aggiornamento dell'assortimento</t>
  </si>
  <si>
    <t>Aktualizace produktů</t>
  </si>
  <si>
    <t>Aktualizacja produktów</t>
  </si>
  <si>
    <t>Termékek frissítése</t>
  </si>
  <si>
    <t>Prečistenie sortimentu</t>
  </si>
  <si>
    <t>Opruiming</t>
  </si>
  <si>
    <t>Čiščenje sortimenta</t>
  </si>
  <si>
    <t>Sortimentsrensning</t>
  </si>
  <si>
    <t>Sortimentrydning</t>
  </si>
  <si>
    <t>Sortimentsrengjøring</t>
  </si>
  <si>
    <t>Ograničenje asortimana</t>
  </si>
  <si>
    <t>Morsetto con vite esagonale (montaggio a filo nella spalletta)</t>
  </si>
  <si>
    <t>Napínák s šestihranným šroubem (rovná montáž do ostění)</t>
  </si>
  <si>
    <t>Zacisk z śrubą sześciokątną (płaski montaż we wnęce)</t>
  </si>
  <si>
    <t>Hatlapfejű csavarral ellátott bilincs (síkba szerelt a fülkében)</t>
  </si>
  <si>
    <t>Napínacia svorka s šesťhrannou skrutkou (zapustená montáž do špalety)</t>
  </si>
  <si>
    <t>Spanelement met zeskantschroef (vlakke montage in kozijn)</t>
  </si>
  <si>
    <t>Napenjalni del s šestrobo glavo (poravnana montaža v okvirju)</t>
  </si>
  <si>
    <t>Spännklämma med sexkantskruv (flush montering i öppning)</t>
  </si>
  <si>
    <t>Spændestykke med sekskantsskrue (flush montering i omramning)</t>
  </si>
  <si>
    <t>Spennstykke med sekskantskrue (flush montering i omramming)</t>
  </si>
  <si>
    <t>Napinjač s vijčanim šesterokutom (montaža u ravnini s rubom)</t>
  </si>
  <si>
    <t>Morsetto con manopola a stella (montaggio a filo nella spalletta)</t>
  </si>
  <si>
    <t>Napínák s hvězdicovým knoflíkem (rovná montáž do ostění)</t>
  </si>
  <si>
    <t>Zacisk z gwiazdką (płaski montaż we wnęce)</t>
  </si>
  <si>
    <t>Csillagfejű csavarral ellátott bilincs (síkba szerelt a fülkében)</t>
  </si>
  <si>
    <t>Napínacia svorka s hviezdicovou hlavou (zapustená montáž do špalety)</t>
  </si>
  <si>
    <t>Spanelement met sterknop (vlakke montage in kozijn)</t>
  </si>
  <si>
    <t>Napenjalni del z zvezdasto ročico (poravnana montaža v okvirju)</t>
  </si>
  <si>
    <t>Spännklämma med stjärnhandtag (flush montering i öppning)</t>
  </si>
  <si>
    <t>Spændestykke med stjernehåndtag (flush montering i omramning)</t>
  </si>
  <si>
    <t>Spennstykke med stjernehåndtak (flush montering i omramming)</t>
  </si>
  <si>
    <t>Napinjač s zvjezdastom ručkom (montaža u ravnini s rubom)</t>
  </si>
  <si>
    <t>Tensione</t>
  </si>
  <si>
    <t>Napětí</t>
  </si>
  <si>
    <t>Napięcie</t>
  </si>
  <si>
    <t>Feszültség</t>
  </si>
  <si>
    <t>Napätie</t>
  </si>
  <si>
    <t>Napetost</t>
  </si>
  <si>
    <t>Spänning</t>
  </si>
  <si>
    <t>Spænding</t>
  </si>
  <si>
    <t>Spenning</t>
  </si>
  <si>
    <t>Napon</t>
  </si>
  <si>
    <t>Foret spécial</t>
  </si>
  <si>
    <t>Trapano speciale</t>
  </si>
  <si>
    <t>Speciální vrták</t>
  </si>
  <si>
    <t>Wiertło specjalne</t>
  </si>
  <si>
    <t>Speciális fúró</t>
  </si>
  <si>
    <t>Špeciálny vrták</t>
  </si>
  <si>
    <t>Speciale boor</t>
  </si>
  <si>
    <t>Poseben vrtalni stroj</t>
  </si>
  <si>
    <t>Specialborr</t>
  </si>
  <si>
    <t>Specialbor</t>
  </si>
  <si>
    <t>Spesialbor</t>
  </si>
  <si>
    <t>Specijalno svrdlo</t>
  </si>
  <si>
    <t>Foret spécial pour sous-structure en aluminium</t>
  </si>
  <si>
    <t>Trapano speciale per sottostruttura in alluminio</t>
  </si>
  <si>
    <t>Speciální vrták pro hliníkovou konstrukci</t>
  </si>
  <si>
    <t>Wiertło specjalne do konstrukcji aluminiowej</t>
  </si>
  <si>
    <t>Speciális fúró alumínium alépítményhez</t>
  </si>
  <si>
    <t>Špeciálny vrták pre hliníkové konštrukcie</t>
  </si>
  <si>
    <t>Speciale boor voor aluminium constructie</t>
  </si>
  <si>
    <t>Poseben vrtalni stroj za aluminijasto konstrukcijo</t>
  </si>
  <si>
    <t>Specialborr för aluminium underkonstruktion</t>
  </si>
  <si>
    <t>Specialbor til aluminium underkonstruktion</t>
  </si>
  <si>
    <t>Spesialbor for aluminium underkonstruksjon</t>
  </si>
  <si>
    <t>Specijalno svrdlo za metalnu podkonstrukciju</t>
  </si>
  <si>
    <t>Trapano speciale per sottostruttura in legno</t>
  </si>
  <si>
    <t>Speciální vrták pro dřevěnou konstrukci</t>
  </si>
  <si>
    <t>Wiertło specjalne do konstrukcji drewnianej</t>
  </si>
  <si>
    <t>Speciális fúró fa alépítményhez</t>
  </si>
  <si>
    <t>Špeciálny vrták pre drevené konštrukcie</t>
  </si>
  <si>
    <t>Speciale boor voor houten constructie</t>
  </si>
  <si>
    <t>Poseben vrtalni stroj za leseno konstrukcijo</t>
  </si>
  <si>
    <t>Specialborr för trä underkonstruktion</t>
  </si>
  <si>
    <t>Specialbor til træ underkonstruktion</t>
  </si>
  <si>
    <t>Spesialbor for tre underkonstruksjon</t>
  </si>
  <si>
    <t>Specijalno svrdlo za drvenu podkonstrukciju</t>
  </si>
  <si>
    <t>Vite speciale</t>
  </si>
  <si>
    <t>Speciální šroub</t>
  </si>
  <si>
    <t>Śruba specjalna</t>
  </si>
  <si>
    <t>Speciális csavar</t>
  </si>
  <si>
    <t>Špeciálna skrutka</t>
  </si>
  <si>
    <t>Speciale schroef</t>
  </si>
  <si>
    <t>Posebni vijak</t>
  </si>
  <si>
    <t>Specialskruv</t>
  </si>
  <si>
    <t>Specialskrue</t>
  </si>
  <si>
    <t>Spesialskrue</t>
  </si>
  <si>
    <t>Specijalni vijak</t>
  </si>
  <si>
    <t>Speciální šroub pro hliníkovou konstrukci</t>
  </si>
  <si>
    <t>Śruba specjalna do konstrukcji aluminiowej</t>
  </si>
  <si>
    <t>Speciális csavar alumínium alépítményhez</t>
  </si>
  <si>
    <t>Špeciálna skrutka pre hliníkové konštrukcie</t>
  </si>
  <si>
    <t>Speciale schroef voor aluminium constructie</t>
  </si>
  <si>
    <t>Posebni vijak za aluminijasto konstrukcijo</t>
  </si>
  <si>
    <t>Specialskruv för aluminium underkonstruktion</t>
  </si>
  <si>
    <t>Specialskrue til aluminium underkonstruktion</t>
  </si>
  <si>
    <t>Spesialskrue for aluminium underkonstruksjon</t>
  </si>
  <si>
    <t>Specijalni vijak za metalnu podkonstrukciju</t>
  </si>
  <si>
    <t>Speciální šroub pro dřevěnou konstrukci</t>
  </si>
  <si>
    <t>Śruba specjalna do konstrukcji drewnianej</t>
  </si>
  <si>
    <t>Speciális csavar fa alépítményhez</t>
  </si>
  <si>
    <t>Špeciálna skrutka pre drevené konštrukcie</t>
  </si>
  <si>
    <t>Speciale schroef voor houten constructie</t>
  </si>
  <si>
    <t>Posebni vijak za leseno konstrukcijo</t>
  </si>
  <si>
    <t>Specialskruv för trä underkonstruktion</t>
  </si>
  <si>
    <t>Specialskrue til træ underkonstruktion</t>
  </si>
  <si>
    <t>Spesialskrue for tre underkonstruksjon</t>
  </si>
  <si>
    <t>Specijalni vijak za drvenu podkonstrukciju</t>
  </si>
  <si>
    <t>Speciální šroub pro ocelovou konstrukci</t>
  </si>
  <si>
    <t>Speciális csavar acél alépítményhez</t>
  </si>
  <si>
    <t>Špeciálna skrutka pre oceľové konštrukcie</t>
  </si>
  <si>
    <t>Speciale schroef voor stalen constructie</t>
  </si>
  <si>
    <t>Posebni vijak za jekleno konstrukcijo</t>
  </si>
  <si>
    <t>Specialskruv för stål underkonstruktion</t>
  </si>
  <si>
    <t>Specialskrue til stål underkonstruktion</t>
  </si>
  <si>
    <t>Spesialskrue for stål underkonstruksjon</t>
  </si>
  <si>
    <t>Specijalni vijak za čeličnu podkonstrukciju</t>
  </si>
  <si>
    <t>Vis spéciale M6×60 mm</t>
  </si>
  <si>
    <t>Vite speciale M6×60 mm</t>
  </si>
  <si>
    <t>Speciální šroub M6×60 mm</t>
  </si>
  <si>
    <t>Śruba specjalna M6×60 mm</t>
  </si>
  <si>
    <t>Speciális csavar M6×60 mm</t>
  </si>
  <si>
    <t>Špeciálna skrutka M6×60 mm</t>
  </si>
  <si>
    <t>Speciale schroef M6×60 mm</t>
  </si>
  <si>
    <t>Posebni vijak M6×60 mm</t>
  </si>
  <si>
    <t>Specialskruv M6×60 mm</t>
  </si>
  <si>
    <t>Specialskrue M6×60 mm</t>
  </si>
  <si>
    <t>Spesialskrue M6×60 mm</t>
  </si>
  <si>
    <t>Specijalni vijak M6×60 mm</t>
  </si>
  <si>
    <t>Trapano a spirale HSS</t>
  </si>
  <si>
    <t>Spirálový vrták HSS</t>
  </si>
  <si>
    <t>Wiertło spiralne HSS</t>
  </si>
  <si>
    <t>Spirálfúró HSS</t>
  </si>
  <si>
    <t>Špirálový vrták HSS</t>
  </si>
  <si>
    <t>HSS spiraalboor</t>
  </si>
  <si>
    <t>Spiralni vrtalnik HSS</t>
  </si>
  <si>
    <t>Spiralborr HSS</t>
  </si>
  <si>
    <t>Spiralbor HSS</t>
  </si>
  <si>
    <t>Spiralno svrdlo HSS</t>
  </si>
  <si>
    <t>Trapano a spirale HSS Smart Step</t>
  </si>
  <si>
    <t>Spirálový vrták HSS Smart Step</t>
  </si>
  <si>
    <t>Wiertło spiralne HSS Smart Step</t>
  </si>
  <si>
    <t>Spirálfúró HSS Smart Step</t>
  </si>
  <si>
    <t>Špirálový vrták HSS Smart Step</t>
  </si>
  <si>
    <t>HSS spiraalboor Smart Step</t>
  </si>
  <si>
    <t>Spiralni vrtalnik HSS Smart Step</t>
  </si>
  <si>
    <t>Spiralborr HSS Smart Step</t>
  </si>
  <si>
    <t>Spiralbor HSS Smart Step</t>
  </si>
  <si>
    <t>Spiralno svrdlo HSS Smart Step</t>
  </si>
  <si>
    <t>Acciaio</t>
  </si>
  <si>
    <t>Ocel</t>
  </si>
  <si>
    <t>Stal</t>
  </si>
  <si>
    <t>Acél</t>
  </si>
  <si>
    <t>Oceľ</t>
  </si>
  <si>
    <t>Staal</t>
  </si>
  <si>
    <t>Jeklo</t>
  </si>
  <si>
    <t>Stål</t>
  </si>
  <si>
    <t>Čelik</t>
  </si>
  <si>
    <t>Tubo verticale</t>
  </si>
  <si>
    <t>Stojanová trubka</t>
  </si>
  <si>
    <t>Rura stojaka</t>
  </si>
  <si>
    <t>Állványcső</t>
  </si>
  <si>
    <t>Stojacia rúrka</t>
  </si>
  <si>
    <t>Standpijp</t>
  </si>
  <si>
    <t>Stojna cev</t>
  </si>
  <si>
    <t>Stångrör</t>
  </si>
  <si>
    <t>Stangrør</t>
  </si>
  <si>
    <t>Okvirna cijev</t>
  </si>
  <si>
    <t>Plaque de départ</t>
  </si>
  <si>
    <t>Piastra di partenza</t>
  </si>
  <si>
    <t>Startovací deska</t>
  </si>
  <si>
    <t>Płyta startowa</t>
  </si>
  <si>
    <t>Indítólap</t>
  </si>
  <si>
    <t>Začiatočná doska</t>
  </si>
  <si>
    <t>Startplaat</t>
  </si>
  <si>
    <t>Začetna plošča</t>
  </si>
  <si>
    <t>Startplatta</t>
  </si>
  <si>
    <t>Startplade</t>
  </si>
  <si>
    <t>Startplate</t>
  </si>
  <si>
    <t>Startna ploča</t>
  </si>
  <si>
    <t>Piastra di partenza per scandole 20 × 20</t>
  </si>
  <si>
    <t>Startovací deska pro střešní šindel 20 × 20</t>
  </si>
  <si>
    <t>Płyta startowa dla łuski dachowej 20 × 20</t>
  </si>
  <si>
    <t>Indítólap tetőcseréphez 20 × 20</t>
  </si>
  <si>
    <t>Začiatočná doska pre strešnú škridlu 20 × 20</t>
  </si>
  <si>
    <t>Startplaat voor ruitvormige dakpan 20×20</t>
  </si>
  <si>
    <t>Začetna plošča za romb 20×20</t>
  </si>
  <si>
    <t>Startplatta för romb 20×20</t>
  </si>
  <si>
    <t>Startplade til rhombe 20×20</t>
  </si>
  <si>
    <t>Startplate for rombe 20×20</t>
  </si>
  <si>
    <t>Startna ploča za romboid 20×20</t>
  </si>
  <si>
    <t>Piastra di partenza per scandole 29 × 29</t>
  </si>
  <si>
    <t>Startovací deska pro střešní šindel 29 × 29</t>
  </si>
  <si>
    <t>Płyta startowa dla łuski dachowej 29 × 29</t>
  </si>
  <si>
    <t>Indítólap tetőcseréphez 29 × 29</t>
  </si>
  <si>
    <t>Začiatočná doska pre strešnú škridlu 29 × 29</t>
  </si>
  <si>
    <t>Startplaat voor ruitvormige dakpan 29×29</t>
  </si>
  <si>
    <t>Začetna plošča za romb 29×29</t>
  </si>
  <si>
    <t>Startplatta för romb 29×29</t>
  </si>
  <si>
    <t>Startplade til rhombe 29×29</t>
  </si>
  <si>
    <t>Startplate for rombe 29×29</t>
  </si>
  <si>
    <t>Startna ploča za romboid 29×29</t>
  </si>
  <si>
    <t>Profilo di partenza</t>
  </si>
  <si>
    <t>Startovací profil</t>
  </si>
  <si>
    <t>Profil startowy</t>
  </si>
  <si>
    <t>Indítóprofil</t>
  </si>
  <si>
    <t>Začiatočný profil</t>
  </si>
  <si>
    <t>Startprofiel</t>
  </si>
  <si>
    <t>Začetni profil</t>
  </si>
  <si>
    <t>Startni profil</t>
  </si>
  <si>
    <t>Listello sovrapposto</t>
  </si>
  <si>
    <t>Překrývací lišta</t>
  </si>
  <si>
    <t>Listwa przyszybowa</t>
  </si>
  <si>
    <t>Csatlakozóprofil</t>
  </si>
  <si>
    <t>Inschuiflijst</t>
  </si>
  <si>
    <t>Ploščat pokrov</t>
  </si>
  <si>
    <t>Innerskydd</t>
  </si>
  <si>
    <t>Indvendigt overtræk</t>
  </si>
  <si>
    <t>Innvendig overlegg</t>
  </si>
  <si>
    <t>Klizni pokrov</t>
  </si>
  <si>
    <t>Sistemi di aggraffatura a doppia aggraffatura</t>
  </si>
  <si>
    <t>Střešní systémy se stojatou drážkou</t>
  </si>
  <si>
    <t>Systemy falcowe</t>
  </si>
  <si>
    <t>Állóvarratos rendszerek</t>
  </si>
  <si>
    <t>Systémy so stojatou drážkou</t>
  </si>
  <si>
    <t>Staande naadsysteem</t>
  </si>
  <si>
    <t>Stoji falc sistem</t>
  </si>
  <si>
    <t>Stående falssystem</t>
  </si>
  <si>
    <t>Stående falsesystemer</t>
  </si>
  <si>
    <t>Sustavi za falčanje</t>
  </si>
  <si>
    <t>Grigio pietra</t>
  </si>
  <si>
    <t>Kamenná šedá</t>
  </si>
  <si>
    <t>Kamienna szarość</t>
  </si>
  <si>
    <t>Kőszürke</t>
  </si>
  <si>
    <t>Kamenná sivá</t>
  </si>
  <si>
    <t>Steen grijs</t>
  </si>
  <si>
    <t>Kamena siva</t>
  </si>
  <si>
    <t>Stengrå</t>
  </si>
  <si>
    <t>Steingrå</t>
  </si>
  <si>
    <t>Siva kamen</t>
  </si>
  <si>
    <t>Gancio per grondaia</t>
  </si>
  <si>
    <t>Okapový hák</t>
  </si>
  <si>
    <t>Hak okapowy</t>
  </si>
  <si>
    <t>Deszkaléc kampó</t>
  </si>
  <si>
    <t>Hák na čelnú dosku</t>
  </si>
  <si>
    <t>Dakgoothaken</t>
  </si>
  <si>
    <t>Kavelj za okrasno desko</t>
  </si>
  <si>
    <t>Konsol för framkantbräda</t>
  </si>
  <si>
    <t>Krog til forkantbræt</t>
  </si>
  <si>
    <t>Krok for forkantbord</t>
  </si>
  <si>
    <t>Kuka za rub</t>
  </si>
  <si>
    <t>Gancio per grondaia per grondaia</t>
  </si>
  <si>
    <t>Okapový hák pro žlab</t>
  </si>
  <si>
    <t>Hak okapowy do rynny</t>
  </si>
  <si>
    <t>Deszkaléc kampó ereszcsatornához</t>
  </si>
  <si>
    <t>Hák na čelnú dosku pre žľab</t>
  </si>
  <si>
    <t>Dakgoothaken voor vierkante goot</t>
  </si>
  <si>
    <t>Kavelj za okrasno desko za kvadratni žleb</t>
  </si>
  <si>
    <t>Konsol för framkantbräda för fyrkantig ränna</t>
  </si>
  <si>
    <t>Krog til forkantbræt til firkantet tagrende</t>
  </si>
  <si>
    <t>Krok for forkantbord for firkantet renne</t>
  </si>
  <si>
    <t>Kuka za rub za kvadratni oluk</t>
  </si>
  <si>
    <t>Placca di giunzione</t>
  </si>
  <si>
    <t>Spojovací deska</t>
  </si>
  <si>
    <t>Kształtowanie połączeń</t>
  </si>
  <si>
    <t>Csatlakozási kialakítás</t>
  </si>
  <si>
    <t>Koncová úprava</t>
  </si>
  <si>
    <t>Naad</t>
  </si>
  <si>
    <t>Svetsfog</t>
  </si>
  <si>
    <t>Svejsefuge</t>
  </si>
  <si>
    <t>Sveisefuge</t>
  </si>
  <si>
    <t>Izrada spoja</t>
  </si>
  <si>
    <t>Pannello di giunzione</t>
  </si>
  <si>
    <t>Spojovací tabule</t>
  </si>
  <si>
    <t>Csatlakozólemez</t>
  </si>
  <si>
    <t>Spojovacia doska</t>
  </si>
  <si>
    <t>Verbindingstaart</t>
  </si>
  <si>
    <t>Zvarni spoj</t>
  </si>
  <si>
    <t>Svetsförening</t>
  </si>
  <si>
    <t>Svejseforbindelse</t>
  </si>
  <si>
    <t>Sveisekontakt</t>
  </si>
  <si>
    <t>Profilo estruso</t>
  </si>
  <si>
    <t>Lisovaný profil</t>
  </si>
  <si>
    <t>Profil wytłaczany</t>
  </si>
  <si>
    <t>Extrudált profil</t>
  </si>
  <si>
    <t>Geëxtrudeerd profiel</t>
  </si>
  <si>
    <t>Ekstrudirani profil</t>
  </si>
  <si>
    <t>Strängpressad profil</t>
  </si>
  <si>
    <t>Ekstruderet profil</t>
  </si>
  <si>
    <t>Ekstrudert profil</t>
  </si>
  <si>
    <t>Lunghezza del pezzo</t>
  </si>
  <si>
    <t>Délka kusu</t>
  </si>
  <si>
    <t>Długość kawałka</t>
  </si>
  <si>
    <t>Hossz</t>
  </si>
  <si>
    <t>Dĺžka kusu</t>
  </si>
  <si>
    <t>Lengte van het stuk</t>
  </si>
  <si>
    <t>Dolžina kosa</t>
  </si>
  <si>
    <t>Stycklängd</t>
  </si>
  <si>
    <t>Styklængde</t>
  </si>
  <si>
    <t>Stykklengde</t>
  </si>
  <si>
    <t>Duljina komada</t>
  </si>
  <si>
    <t>Trapano a gradini</t>
  </si>
  <si>
    <t>Stupňovitý vrták</t>
  </si>
  <si>
    <t>Wiertło stopniowe</t>
  </si>
  <si>
    <t>Lépcsős fúró</t>
  </si>
  <si>
    <t>Stupňový vrták</t>
  </si>
  <si>
    <t>Trapboor</t>
  </si>
  <si>
    <t>Stopničasti vrtalni stroj</t>
  </si>
  <si>
    <t>Stegborr</t>
  </si>
  <si>
    <t>Trappebor</t>
  </si>
  <si>
    <t>Stepenasto svrdlo</t>
  </si>
  <si>
    <t>Clip antitempesta per rivestimenti 500 e 600</t>
  </si>
  <si>
    <t>Klip proti bouři pro obklady 500 a 600</t>
  </si>
  <si>
    <t>Klips zabezpieczający przed wichurami dla sidingów 500 i 600</t>
  </si>
  <si>
    <t>Viharálló klipsz Siding 500 és 600 számára</t>
  </si>
  <si>
    <t>Klip na zabezpečenie proti vetru pre Siding 500 a 600</t>
  </si>
  <si>
    <t>Stormbeveiligingsclip voor Siding 500 en 600</t>
  </si>
  <si>
    <t>Stormproof sponka za Siding 500 in 600</t>
  </si>
  <si>
    <t>Stormsäkert klämma för sidings 500 och 600</t>
  </si>
  <si>
    <t>Stormsikringsklemme til kledning 500 og 600</t>
  </si>
  <si>
    <t>Stormsikring for kledning 500 og 600</t>
  </si>
  <si>
    <t>Sigurnosna kopča za siding 500 i 600</t>
  </si>
  <si>
    <t>Raccordo saldato</t>
  </si>
  <si>
    <t>Svařovaný dřík</t>
  </si>
  <si>
    <t>Spawany trzpień</t>
  </si>
  <si>
    <t>Hegesztett csonk</t>
  </si>
  <si>
    <t>Zvarený nástavec</t>
  </si>
  <si>
    <t>Ingelaste uitloop</t>
  </si>
  <si>
    <t>Varjen izliv</t>
  </si>
  <si>
    <t>Svetsat utlopp</t>
  </si>
  <si>
    <t>Svejset indløb</t>
  </si>
  <si>
    <t>Sveiset innløp</t>
  </si>
  <si>
    <t>Ugradna cijev zavarena</t>
  </si>
  <si>
    <t>Raccordo saldato con flangia adesiva</t>
  </si>
  <si>
    <t>Svařovaný dřík s lepicí přírubou</t>
  </si>
  <si>
    <t>Spawany trzpień z klejącym kołnierzem</t>
  </si>
  <si>
    <t>Ragasztóperemmel ellátott csonk</t>
  </si>
  <si>
    <t>Nástavec s lepiacou prírubou</t>
  </si>
  <si>
    <t>Ingelaste uitloop met kleefrand</t>
  </si>
  <si>
    <t>Varjen izliv z lepilnim prirobnico</t>
  </si>
  <si>
    <t>Svetsat utlopp med limfläns</t>
  </si>
  <si>
    <t>Svejset indløb med limflange</t>
  </si>
  <si>
    <t>Sveiset innløp med limflens</t>
  </si>
  <si>
    <t>Ugradna cijev s ljepilnom prirubnicom</t>
  </si>
  <si>
    <t>Explication des symboles</t>
  </si>
  <si>
    <t>Spiegazione dei simboli</t>
  </si>
  <si>
    <t>Vysvětlivky symbolů</t>
  </si>
  <si>
    <t>Objaśnienia symboli</t>
  </si>
  <si>
    <t>Jelmagyarázat</t>
  </si>
  <si>
    <t>Vysvetlenie symbolov</t>
  </si>
  <si>
    <t>Symboolverklaring</t>
  </si>
  <si>
    <t>Pojasnitev simbolov</t>
  </si>
  <si>
    <t>Symbolförklaring</t>
  </si>
  <si>
    <t>Symbolforklaring</t>
  </si>
  <si>
    <t>Objašnjenje simbola</t>
  </si>
  <si>
    <t>Sistema</t>
  </si>
  <si>
    <t>Systém</t>
  </si>
  <si>
    <t>Rendszer</t>
  </si>
  <si>
    <t>Systeem</t>
  </si>
  <si>
    <t>Sistem</t>
  </si>
  <si>
    <t>Sustav</t>
  </si>
  <si>
    <t>Pannello</t>
  </si>
  <si>
    <t>Tábla</t>
  </si>
  <si>
    <t>Plecha</t>
  </si>
  <si>
    <t>Tábla lemez</t>
  </si>
  <si>
    <t>Limena ploča</t>
  </si>
  <si>
    <t>Lamiera forata di qualità in poliestere</t>
  </si>
  <si>
    <t>Děrovaný plech s polyesterovou kvalitou</t>
  </si>
  <si>
    <t>Blacha perforowana o jakości poliestrowej</t>
  </si>
  <si>
    <t>Lyuggatott tábla poliészter minőségben</t>
  </si>
  <si>
    <t>Dierovaná doska v polyesterovej kvalite</t>
  </si>
  <si>
    <t>Geperforeerde plaat in polyesterkwaliteit</t>
  </si>
  <si>
    <t>Pločevina z luknjami v poliester kakovosti</t>
  </si>
  <si>
    <t>Plåt med hål i polyestergenkvalitet</t>
  </si>
  <si>
    <t>Plade med huller i polyestergenkvalitet</t>
  </si>
  <si>
    <t>Plate med hull i polyesterkvalitet</t>
  </si>
  <si>
    <t>Limena ploča u kvaliteti poliestera</t>
  </si>
  <si>
    <t>Profilo a tasca (angolare)</t>
  </si>
  <si>
    <t>Kapsový profil (úhelník)</t>
  </si>
  <si>
    <t>Profil kieszeniowy (kątownik mocujący)</t>
  </si>
  <si>
    <t>Zsebprofil (tartószög)</t>
  </si>
  <si>
    <t>Profil vrecka (držací uholník)</t>
  </si>
  <si>
    <t>Zakprofiel (steun)</t>
  </si>
  <si>
    <t>Žepni profil (nosilec)</t>
  </si>
  <si>
    <t>Ficka profil (fästhake)</t>
  </si>
  <si>
    <t>Lommeprofil (fastgørelseskrog)</t>
  </si>
  <si>
    <t>Lommeprofil (festekrok)</t>
  </si>
  <si>
    <t>Džepni profil (kutni nosač)</t>
  </si>
  <si>
    <t>Profilo a tasca per ondulato (punzonato)</t>
  </si>
  <si>
    <t>Kapsový profil pro vlnitý plech (vysekávaný)</t>
  </si>
  <si>
    <t>Profil kieszeniowy do profilu falistego (wykrawany)</t>
  </si>
  <si>
    <t>Zsebprofil hullámprofilhoz (préselt)</t>
  </si>
  <si>
    <t>Profil vrecka pre profilovú vlnu (lisovaný)</t>
  </si>
  <si>
    <t>Zakprofiel voor golfprofiel (gebogen)</t>
  </si>
  <si>
    <t>Žepni profil za valoviti profil (upognjen)</t>
  </si>
  <si>
    <t>Ficka profil för vågprofil (vikt)</t>
  </si>
  <si>
    <t>Lommeprofil til bølgeprofil (foldet)</t>
  </si>
  <si>
    <t>Lommeprofil for bølgeprofil (brettet)</t>
  </si>
  <si>
    <t>Džepni profil za profilni val (savijen)</t>
  </si>
  <si>
    <t>Profils en U</t>
  </si>
  <si>
    <t>Profili a tasca</t>
  </si>
  <si>
    <t>Kapsové profily</t>
  </si>
  <si>
    <t>Profile kieszeniowe</t>
  </si>
  <si>
    <t>Zsebprofilok</t>
  </si>
  <si>
    <t>Profily vreciek</t>
  </si>
  <si>
    <t>Zakprofielen</t>
  </si>
  <si>
    <t>Žepni profili</t>
  </si>
  <si>
    <t>Fickaprofiler</t>
  </si>
  <si>
    <t>Lommeprofiler</t>
  </si>
  <si>
    <t>Džepni profili</t>
  </si>
  <si>
    <t>Blu colomba</t>
  </si>
  <si>
    <t>Holubí modrá</t>
  </si>
  <si>
    <t>Gołębi błękit</t>
  </si>
  <si>
    <t>Galambkék</t>
  </si>
  <si>
    <t>Holubičia modrá</t>
  </si>
  <si>
    <t>Duivenblauw</t>
  </si>
  <si>
    <t>Golobje modra</t>
  </si>
  <si>
    <t>Duvblå</t>
  </si>
  <si>
    <t>Dueblå</t>
  </si>
  <si>
    <t>Plava tirkizna</t>
  </si>
  <si>
    <t>Rail Taurus sur petits formats PREFA</t>
  </si>
  <si>
    <t>Taurus-Rail su piccoli formati PREFA</t>
  </si>
  <si>
    <t>Taurus-Rail na malé formáty PREFA</t>
  </si>
  <si>
    <t>Taurus-Rail do małych formatów PREFA</t>
  </si>
  <si>
    <t>Taurus-Rail PREFA kis formátumokhoz</t>
  </si>
  <si>
    <t>Taurus-Rail na PREFA malých formátoch</t>
  </si>
  <si>
    <t>Taurus-Rail op PREFA kleine formaten</t>
  </si>
  <si>
    <t>Taurus-Rail na PREFA majhnih formatih</t>
  </si>
  <si>
    <t>Taurus-Rail på PREFA småformat</t>
  </si>
  <si>
    <t>Taurus-Rail på PREFA små formater</t>
  </si>
  <si>
    <t>Taurus-Rail na PREFA malim formatima</t>
  </si>
  <si>
    <t>Informazioni tecniche</t>
  </si>
  <si>
    <t>Technické informace</t>
  </si>
  <si>
    <t>Informacje techniczne</t>
  </si>
  <si>
    <t>Műszaki információk</t>
  </si>
  <si>
    <t>Technické informácie</t>
  </si>
  <si>
    <t>Technische informatie</t>
  </si>
  <si>
    <t>Tehnične informacije</t>
  </si>
  <si>
    <t>Teknisk information</t>
  </si>
  <si>
    <t>Teknisk informasjon</t>
  </si>
  <si>
    <t>Tehničke informacije</t>
  </si>
  <si>
    <t>Profondità/Larghezza/Altezza</t>
  </si>
  <si>
    <t>Hloubka/Šířka/Výška</t>
  </si>
  <si>
    <t>Głębokość/Szerokość/Wysokość</t>
  </si>
  <si>
    <t>Mélység/Szélesség/Magasság</t>
  </si>
  <si>
    <t>Hĺbka/Šírka/Výška</t>
  </si>
  <si>
    <t>Diepte/breedte/hoogte</t>
  </si>
  <si>
    <t>Globina/širina/višina</t>
  </si>
  <si>
    <t>Djup/bredd/höjd</t>
  </si>
  <si>
    <t>Dybde/bredde/højde</t>
  </si>
  <si>
    <t>Dybde/bredde/høyde</t>
  </si>
  <si>
    <t>Dubina/širina/visina</t>
  </si>
  <si>
    <t>Butée de profondeur</t>
  </si>
  <si>
    <t>Battuta</t>
  </si>
  <si>
    <t>Doraz</t>
  </si>
  <si>
    <t>Ogranicznik głębokości</t>
  </si>
  <si>
    <t>Mélységütköző</t>
  </si>
  <si>
    <t>Hĺbkový doraz</t>
  </si>
  <si>
    <t>Diepte-aanslag</t>
  </si>
  <si>
    <t>Globinski omejevalnik</t>
  </si>
  <si>
    <t>Djupstopp</t>
  </si>
  <si>
    <t>Dybdeanslag</t>
  </si>
  <si>
    <t>Graničnik dubine</t>
  </si>
  <si>
    <t>Battuta per trapano a gradini</t>
  </si>
  <si>
    <t>Doraz pro stupňovitý vrták</t>
  </si>
  <si>
    <t>Ogranicznik głębokości do wiertła stopniowego</t>
  </si>
  <si>
    <t>Mélységütköző lépcsős fúróhoz</t>
  </si>
  <si>
    <t>Hĺbkový doraz pre stupňové vrtáky</t>
  </si>
  <si>
    <t>Diepte-aanslag voor trapboor</t>
  </si>
  <si>
    <t>Globinski omejevalnik za stopničasti vrtalni stroj</t>
  </si>
  <si>
    <t>Djupstopp för stegborr</t>
  </si>
  <si>
    <t>Dybdeanslag til trappebor</t>
  </si>
  <si>
    <t>Dybdeanslag for trappebor</t>
  </si>
  <si>
    <t>Graničnik dubine za stepenasta svrdla</t>
  </si>
  <si>
    <t>Turchese</t>
  </si>
  <si>
    <t>Tyrkysová</t>
  </si>
  <si>
    <t>Turkusowy</t>
  </si>
  <si>
    <t>Türkizkék</t>
  </si>
  <si>
    <t>Tyrkysová modrá</t>
  </si>
  <si>
    <t>Turkooisblauw</t>
  </si>
  <si>
    <t>Turkizno modra</t>
  </si>
  <si>
    <t>Turkosblå</t>
  </si>
  <si>
    <t>Turkisblå</t>
  </si>
  <si>
    <t>Tourelles &amp; Auvents</t>
  </si>
  <si>
    <t>Torri e tettoie</t>
  </si>
  <si>
    <t>Věže a markýzy</t>
  </si>
  <si>
    <t>Baszty i daszki</t>
  </si>
  <si>
    <t>Bástyák és tornyok</t>
  </si>
  <si>
    <t>Veže a prístrešky</t>
  </si>
  <si>
    <t>Daken en luifels</t>
  </si>
  <si>
    <t>Strehe in nadstreški</t>
  </si>
  <si>
    <t>Torn och baldakiner</t>
  </si>
  <si>
    <t>Tårne og baldakiner</t>
  </si>
  <si>
    <t>Tårn og baldakiner</t>
  </si>
  <si>
    <t>Tornjevi i nadstrešnice</t>
  </si>
  <si>
    <t>Staffa per grondaia in alluminio</t>
  </si>
  <si>
    <t>Překlad pro hliníkový okap</t>
  </si>
  <si>
    <t>Nakładka na rynnę aluminiową</t>
  </si>
  <si>
    <t>Átvezetés alumínium ereszcsatornához</t>
  </si>
  <si>
    <t>Prekrytie pre hliníkový odkvap</t>
  </si>
  <si>
    <t>Overbrugging voor aluminium dakgoot</t>
  </si>
  <si>
    <t>Prekrivna palica za aluminijasti žleb</t>
  </si>
  <si>
    <t>Överbåge för aluminiumränna</t>
  </si>
  <si>
    <t>Overbøjle til aluminiumtagrende</t>
  </si>
  <si>
    <t>Overbøyle for aluminiumrenne</t>
  </si>
  <si>
    <t>Prekrivač za aluminijski oluk</t>
  </si>
  <si>
    <t>Passaggio da quadrato a rotondo</t>
  </si>
  <si>
    <t>Přechod z hranatého na kulatý</t>
  </si>
  <si>
    <t>Przejście z kwadratowego na okrągły</t>
  </si>
  <si>
    <t>Átmenet szögletesből kerekre</t>
  </si>
  <si>
    <t>Prechod zo štvorcového na okrúhly</t>
  </si>
  <si>
    <t>Overgang van vierkant naar rond</t>
  </si>
  <si>
    <t>Prehod iz kvadratnega v okrogli</t>
  </si>
  <si>
    <t>Övergång från fyrkantig till rund</t>
  </si>
  <si>
    <t>Overgang fra firkantet til rundt</t>
  </si>
  <si>
    <t>Overgang fra firkantet til rund</t>
  </si>
  <si>
    <t>Prijelaz s kvadratnog na okrugli</t>
  </si>
  <si>
    <t>Profilo di copertura</t>
  </si>
  <si>
    <t>Překrývací profil</t>
  </si>
  <si>
    <t>Nakładka na profil</t>
  </si>
  <si>
    <t>Átfedő profil</t>
  </si>
  <si>
    <t>Prekryvný profil</t>
  </si>
  <si>
    <t>Overliggend profiel</t>
  </si>
  <si>
    <t>Prekrivna letvica</t>
  </si>
  <si>
    <t>Överliggande list</t>
  </si>
  <si>
    <t>Overliggerliste</t>
  </si>
  <si>
    <t>Overliggende list</t>
  </si>
  <si>
    <t>Pokrovna letvica</t>
  </si>
  <si>
    <t>Non lavorato</t>
  </si>
  <si>
    <t>Neupravené</t>
  </si>
  <si>
    <t>Nieobrobione</t>
  </si>
  <si>
    <t>Kezeletlen</t>
  </si>
  <si>
    <t>Neopracované</t>
  </si>
  <si>
    <t>Onbehandeld</t>
  </si>
  <si>
    <t>Neobdelano</t>
  </si>
  <si>
    <t>Obehandlad</t>
  </si>
  <si>
    <t>Ubehandlet</t>
  </si>
  <si>
    <t>Neobrađeno</t>
  </si>
  <si>
    <t>Bordure universelle</t>
  </si>
  <si>
    <t>Rivestimento universale</t>
  </si>
  <si>
    <t>Univerzální obložení</t>
  </si>
  <si>
    <t>Uniwersalne okładziny</t>
  </si>
  <si>
    <t>Univerzális burkolat</t>
  </si>
  <si>
    <t>Univerzálne obloženie</t>
  </si>
  <si>
    <t>Universele bekleding</t>
  </si>
  <si>
    <t>Univerzalna obloga</t>
  </si>
  <si>
    <t>Universalinpassning</t>
  </si>
  <si>
    <t>Universalindfatning</t>
  </si>
  <si>
    <t>Universalfeste</t>
  </si>
  <si>
    <t>Univerzalni priključak</t>
  </si>
  <si>
    <t>Bordure universelle (2 pièces)</t>
  </si>
  <si>
    <t>Rivestimento universale (a due pezzi)</t>
  </si>
  <si>
    <t>Univerzální obložení (dvoudílné)</t>
  </si>
  <si>
    <t>Uniwersalne okładziny (dwuczęściowe)</t>
  </si>
  <si>
    <t>Univerzális burkolat (kétrészes)</t>
  </si>
  <si>
    <t>Univerzálne obloženie (dvojdielne)</t>
  </si>
  <si>
    <t>Universele bekleding (tweezijdig)</t>
  </si>
  <si>
    <t>Univerzalna obloga (dvodelna)</t>
  </si>
  <si>
    <t>Universalinpassning (tvådelad)</t>
  </si>
  <si>
    <t>Universalindfatning (2-delt)</t>
  </si>
  <si>
    <t>Universalfeste (2-delt)</t>
  </si>
  <si>
    <t>Univerzalni priključak (dvodijelni)</t>
  </si>
  <si>
    <t>Plaque de sous-couche pour DS.19 et losange de toit 44×44</t>
  </si>
  <si>
    <t>Piastra di supporto per DS.19 e losanga da tetto 44 × 44</t>
  </si>
  <si>
    <t>Podkladová deska pro DS.19 a střešní šindel 44 × 44</t>
  </si>
  <si>
    <t>Płyta podkładowa do DS.19 i dachówki 44 × 44</t>
  </si>
  <si>
    <t>Alátétlemez DS.19 és tetőcseréphez 44 × 44</t>
  </si>
  <si>
    <t>Podkladová doska pre DS.19 a strešný kosoštvorec 44 × 44</t>
  </si>
  <si>
    <t>Onderplaat voor DS.19 en dakruit 44 × 44</t>
  </si>
  <si>
    <t>Podložna plošča za DS.19 in strešni romb 44 × 44</t>
  </si>
  <si>
    <t>Underläggsplatta för DS.19 och takromben 44 × 44</t>
  </si>
  <si>
    <t>Underlagsplade til DS.19 og tagrhomb 44 × 44</t>
  </si>
  <si>
    <t>Underlagsplate for DS.19 og takdiamanter 44 × 44</t>
  </si>
  <si>
    <t>Podložna ploča za DS.19 i krovni romb 44 × 44</t>
  </si>
  <si>
    <t>Profilo a U</t>
  </si>
  <si>
    <t>U-profil</t>
  </si>
  <si>
    <t>U-profiel</t>
  </si>
  <si>
    <t>Profilo a U 25</t>
  </si>
  <si>
    <t>U-profil 25</t>
  </si>
  <si>
    <t>U-profiel 25</t>
  </si>
  <si>
    <t>Profilo a U 50</t>
  </si>
  <si>
    <t>U-profil 50</t>
  </si>
  <si>
    <t>U-profiel 50</t>
  </si>
  <si>
    <t>Profilo a U 80</t>
  </si>
  <si>
    <t>U-profil 80</t>
  </si>
  <si>
    <t>U-profiel 80</t>
  </si>
  <si>
    <t>Pannello composito</t>
  </si>
  <si>
    <t>Kompozitní deska</t>
  </si>
  <si>
    <t>Płyta kompozytowa</t>
  </si>
  <si>
    <t>Kompozit lemez</t>
  </si>
  <si>
    <t>Kompozitná doska</t>
  </si>
  <si>
    <t>Composietplaat</t>
  </si>
  <si>
    <t>Kompozitna plošča</t>
  </si>
  <si>
    <t>Kompositplatta</t>
  </si>
  <si>
    <t>Kompositplade</t>
  </si>
  <si>
    <t>Komposittplate</t>
  </si>
  <si>
    <t>Kompozitna ploča</t>
  </si>
  <si>
    <t>Pannelli compositi</t>
  </si>
  <si>
    <t>Kompozitní desky</t>
  </si>
  <si>
    <t>Płyty kompozytowe</t>
  </si>
  <si>
    <t>Kompozit lemezek</t>
  </si>
  <si>
    <t>Kompozitné dosky</t>
  </si>
  <si>
    <t>Composietplaten</t>
  </si>
  <si>
    <t>Kompozitne plošče</t>
  </si>
  <si>
    <t>Kompositplattor</t>
  </si>
  <si>
    <t>Kompositplader</t>
  </si>
  <si>
    <t>Komposittplater</t>
  </si>
  <si>
    <t>Kompozitne ploče</t>
  </si>
  <si>
    <t>Montaggio nascosto</t>
  </si>
  <si>
    <t>Skrytá montáž</t>
  </si>
  <si>
    <t>Ukryty montaż</t>
  </si>
  <si>
    <t>Rejtett szerelés</t>
  </si>
  <si>
    <t>Verborgen montage</t>
  </si>
  <si>
    <t>Skrita montaža</t>
  </si>
  <si>
    <t>Dold montering</t>
  </si>
  <si>
    <t>Skjult montering</t>
  </si>
  <si>
    <t>Skrivena montaža</t>
  </si>
  <si>
    <t>Revêtu</t>
  </si>
  <si>
    <t>Rivestito</t>
  </si>
  <si>
    <t>Opláštěné</t>
  </si>
  <si>
    <t>Obudowany</t>
  </si>
  <si>
    <t>Burkolt</t>
  </si>
  <si>
    <t>Obložené</t>
  </si>
  <si>
    <t>Bekleed</t>
  </si>
  <si>
    <t>Obloženo</t>
  </si>
  <si>
    <t>Klädd</t>
  </si>
  <si>
    <t>Kledd</t>
  </si>
  <si>
    <t>Unità di confezionamento</t>
  </si>
  <si>
    <t>Jednostka opakowania</t>
  </si>
  <si>
    <t>Csomagegység</t>
  </si>
  <si>
    <t>Verpakkingseenheid</t>
  </si>
  <si>
    <t>Embalažna enota</t>
  </si>
  <si>
    <t>Förpackningsenhet</t>
  </si>
  <si>
    <t>Emballasjenhet</t>
  </si>
  <si>
    <t>Jedinica za pakiranje</t>
  </si>
  <si>
    <t>Unità di calcolo</t>
  </si>
  <si>
    <t>Účetní jednotka</t>
  </si>
  <si>
    <t>Jednostka rozliczeniowa</t>
  </si>
  <si>
    <t>Elszámolási egység</t>
  </si>
  <si>
    <t>Účtovná jednotka</t>
  </si>
  <si>
    <t>Afrekeningseenheid</t>
  </si>
  <si>
    <t>Obračunska enota</t>
  </si>
  <si>
    <t>Avräkningsenhet</t>
  </si>
  <si>
    <t>Afregningsenhed</t>
  </si>
  <si>
    <t>Avregningsenhet</t>
  </si>
  <si>
    <t>Obračunska jedinica</t>
  </si>
  <si>
    <t>Scarto</t>
  </si>
  <si>
    <t>Odpad</t>
  </si>
  <si>
    <t>Odpady</t>
  </si>
  <si>
    <t>Hulladék</t>
  </si>
  <si>
    <t>Afval</t>
  </si>
  <si>
    <t>Odpadki</t>
  </si>
  <si>
    <t>Spill</t>
  </si>
  <si>
    <t>Afsnit</t>
  </si>
  <si>
    <t>Avskjær</t>
  </si>
  <si>
    <t>Otpaci</t>
  </si>
  <si>
    <t>Galvanisé</t>
  </si>
  <si>
    <t>Zincato</t>
  </si>
  <si>
    <t>Pozinkované</t>
  </si>
  <si>
    <t>Cynkowana</t>
  </si>
  <si>
    <t>Horganyzott</t>
  </si>
  <si>
    <t>Gegalvaniseerd</t>
  </si>
  <si>
    <t>Pocinkano</t>
  </si>
  <si>
    <t>Galvaniserad</t>
  </si>
  <si>
    <t>Galvaniseret</t>
  </si>
  <si>
    <t>Galvanisert</t>
  </si>
  <si>
    <t>Pocinčano</t>
  </si>
  <si>
    <t>Acciaio zincato</t>
  </si>
  <si>
    <t>Pozinkovaná ocel</t>
  </si>
  <si>
    <t>Stal ocynkowana</t>
  </si>
  <si>
    <t>Horganyzott acél</t>
  </si>
  <si>
    <t>Pozinkovaná oceľ</t>
  </si>
  <si>
    <t>Gegalvaniseerd staal</t>
  </si>
  <si>
    <t>Pocinkano jeklo</t>
  </si>
  <si>
    <t>Galvaniserat stål</t>
  </si>
  <si>
    <t>Galvaniseret stål</t>
  </si>
  <si>
    <t>Galvanisert stål</t>
  </si>
  <si>
    <t>Pocinčani čelik</t>
  </si>
  <si>
    <t>Rete antipiccione</t>
  </si>
  <si>
    <t>Síť proti ptákům</t>
  </si>
  <si>
    <t>Siatka przeciw ptakom</t>
  </si>
  <si>
    <t>Madárvédő háló</t>
  </si>
  <si>
    <t>Sieť proti vtákom</t>
  </si>
  <si>
    <t>Vogelweringsnet</t>
  </si>
  <si>
    <t>Mreža za zaščito pred pticami</t>
  </si>
  <si>
    <t>Fågelskyddsnät</t>
  </si>
  <si>
    <t>Fuglenet</t>
  </si>
  <si>
    <t>Fuglenett</t>
  </si>
  <si>
    <t>Mreža za zaštitu ptica</t>
  </si>
  <si>
    <t>Coffrage complet</t>
  </si>
  <si>
    <t>Rivestimento completo</t>
  </si>
  <si>
    <t>Celkový obklad</t>
  </si>
  <si>
    <t>Pełne okładziny</t>
  </si>
  <si>
    <t>Teljes burkolat</t>
  </si>
  <si>
    <t>Plné obloženie</t>
  </si>
  <si>
    <t>Volledige bekleding</t>
  </si>
  <si>
    <t>Polna obloga</t>
  </si>
  <si>
    <t>Full beklädnad</t>
  </si>
  <si>
    <t>Fuld beklædning</t>
  </si>
  <si>
    <t>Full foring</t>
  </si>
  <si>
    <t>Puna oplata</t>
  </si>
  <si>
    <t>Pré-percer</t>
  </si>
  <si>
    <t>Pre-foratura</t>
  </si>
  <si>
    <t>Předvrtání</t>
  </si>
  <si>
    <t>Wstępne wiercenie</t>
  </si>
  <si>
    <t>Előfúrás</t>
  </si>
  <si>
    <t>Predvŕtanie</t>
  </si>
  <si>
    <t>Voorboren</t>
  </si>
  <si>
    <t>Predvrtanje</t>
  </si>
  <si>
    <t>Förborrning</t>
  </si>
  <si>
    <t>Forboring</t>
  </si>
  <si>
    <t>Forbore</t>
  </si>
  <si>
    <t>Predbušivanje</t>
  </si>
  <si>
    <t>Lato anteriore</t>
  </si>
  <si>
    <t>Přední strana</t>
  </si>
  <si>
    <t>Przednia strona</t>
  </si>
  <si>
    <t>Elülső oldal</t>
  </si>
  <si>
    <t>Predná strana</t>
  </si>
  <si>
    <t>Voorkant</t>
  </si>
  <si>
    <t>Sprednja stran</t>
  </si>
  <si>
    <t>Prednja strana</t>
  </si>
  <si>
    <t>Morsetto modulare preassemblato</t>
  </si>
  <si>
    <t>Předmontovaný modulový svěrka</t>
  </si>
  <si>
    <t>Wstępnie zmontowany moduł</t>
  </si>
  <si>
    <t>Előre szerelt modulkötés</t>
  </si>
  <si>
    <t>Predmontovaná modulová svorka</t>
  </si>
  <si>
    <t>Voorgemonteerde moduleklem</t>
  </si>
  <si>
    <t>Predmontirana modularna sponka</t>
  </si>
  <si>
    <t>Förmonterad modulklämma</t>
  </si>
  <si>
    <t>Formonteret modulklip</t>
  </si>
  <si>
    <t>Ferdig montert modulklips</t>
  </si>
  <si>
    <t>Predmontirana modulna stezaljka</t>
  </si>
  <si>
    <t>Brun noix</t>
  </si>
  <si>
    <t>Noce marrone</t>
  </si>
  <si>
    <t>Walnootbruin</t>
  </si>
  <si>
    <t>Oreh rjava</t>
  </si>
  <si>
    <t>Valnötsbrun</t>
  </si>
  <si>
    <t>Valnødbrun</t>
  </si>
  <si>
    <t>Valnøttbrun</t>
  </si>
  <si>
    <t>Orah smeđa</t>
  </si>
  <si>
    <t>Supporto a parete</t>
  </si>
  <si>
    <t>Nástěnný držák</t>
  </si>
  <si>
    <t>Uchwyty ścienne</t>
  </si>
  <si>
    <t>Fali rögzítő</t>
  </si>
  <si>
    <t>Stenový držiak</t>
  </si>
  <si>
    <t>Wandbevestiging</t>
  </si>
  <si>
    <t>Stenski nosilec</t>
  </si>
  <si>
    <t>Väggfäste</t>
  </si>
  <si>
    <t>Vægbeslag</t>
  </si>
  <si>
    <t>Veggfeste</t>
  </si>
  <si>
    <t>Zidni nosač</t>
  </si>
  <si>
    <t>Profilo a parete</t>
  </si>
  <si>
    <t>Nástěnný profil</t>
  </si>
  <si>
    <t>Profil ścienny</t>
  </si>
  <si>
    <t>Falprofil</t>
  </si>
  <si>
    <t>Stenový profil</t>
  </si>
  <si>
    <t>Wandprofiel</t>
  </si>
  <si>
    <t>Stenski profil</t>
  </si>
  <si>
    <t>Väggprofil</t>
  </si>
  <si>
    <t>Vægprofil</t>
  </si>
  <si>
    <t>Veggprofil</t>
  </si>
  <si>
    <t>Zidni profil</t>
  </si>
  <si>
    <t>Tegola da parete 29 × 29</t>
  </si>
  <si>
    <t>Nástěnný šindel 29 × 29</t>
  </si>
  <si>
    <t>Płytka ścienna 29 × 29</t>
  </si>
  <si>
    <t>Falra szerelhető csempe 29 × 29</t>
  </si>
  <si>
    <t>Stenová škridla 29 × 29</t>
  </si>
  <si>
    <t>Wandtegel 29 × 29</t>
  </si>
  <si>
    <t>Stenska plošča 29 × 29</t>
  </si>
  <si>
    <t>Väggplatta 29 × 29</t>
  </si>
  <si>
    <t>Vægplade 29 × 29</t>
  </si>
  <si>
    <t>Veggflis 29 × 29</t>
  </si>
  <si>
    <t>Zidna pločica 29 × 29</t>
  </si>
  <si>
    <t>Tegola da parete XL</t>
  </si>
  <si>
    <t>Nástěnný šindel XL</t>
  </si>
  <si>
    <t>Ścienna łupek XL</t>
  </si>
  <si>
    <t>Fali palatető XL</t>
  </si>
  <si>
    <t>Nástenná bridlica XL</t>
  </si>
  <si>
    <t>Wandschali XL</t>
  </si>
  <si>
    <t>Stenska šindra XL</t>
  </si>
  <si>
    <t>Väggskiffer XL</t>
  </si>
  <si>
    <t>Vægskifer XL</t>
  </si>
  <si>
    <t>Veggflis XL</t>
  </si>
  <si>
    <t>Zidna šindra XL</t>
  </si>
  <si>
    <t>Isolamento termico</t>
  </si>
  <si>
    <t>Izolacja termiczna</t>
  </si>
  <si>
    <t>Hőszigetelés</t>
  </si>
  <si>
    <t>Tepelná izolácia</t>
  </si>
  <si>
    <t>Thermische isolatie</t>
  </si>
  <si>
    <t>Toplotna izolacija</t>
  </si>
  <si>
    <t>Värmeisolering</t>
  </si>
  <si>
    <t>Termisk isolering</t>
  </si>
  <si>
    <t>Termisk isolasjon</t>
  </si>
  <si>
    <t>Toplinska izolacija</t>
  </si>
  <si>
    <t>Collecteur d'eau pour tube carré</t>
  </si>
  <si>
    <t>Raccoglitore d'acqua per tubo quadrato</t>
  </si>
  <si>
    <t>Sběrač vody pro čtvercový potrubí</t>
  </si>
  <si>
    <t>Odbiornik wody dla kwadratowej rury</t>
  </si>
  <si>
    <t>Vízgyűjtő négyzet alakú csőhöz</t>
  </si>
  <si>
    <t>Zberač vody pre štvorcovú rúru</t>
  </si>
  <si>
    <t>Waterverzamelaar voor vierkante buis</t>
  </si>
  <si>
    <t>Zbiralnik vode za kvadratno cev</t>
  </si>
  <si>
    <t>Vattensamlare för fyrkantigt rör</t>
  </si>
  <si>
    <t>Vandsamler til kvadratrør</t>
  </si>
  <si>
    <t>Vannsamlere for kvadratisk rør</t>
  </si>
  <si>
    <t>Sakupljač vode za četvrtasti cijev</t>
  </si>
  <si>
    <t>Tassello per tubo WDVS</t>
  </si>
  <si>
    <t>WDVS trubkový upínák</t>
  </si>
  <si>
    <t>Zacisk rurowy WDVS</t>
  </si>
  <si>
    <t>WDVS csőbilincs</t>
  </si>
  <si>
    <t>WDVS rúrová objímka</t>
  </si>
  <si>
    <t>WDVS-buisklem</t>
  </si>
  <si>
    <t>WDVS cevna objemka</t>
  </si>
  <si>
    <t>WDVS-rörklämma</t>
  </si>
  <si>
    <t>WDVS-rørdobbeltklip</t>
  </si>
  <si>
    <t>WDVS-rørklemmedobbel</t>
  </si>
  <si>
    <t>Spojni tipl za WDVS cijevne stezaljke</t>
  </si>
  <si>
    <t>Plaque coulissante angulaire</t>
  </si>
  <si>
    <t>Morsetto angolare scorrevole</t>
  </si>
  <si>
    <t>Kluzný úhelník</t>
  </si>
  <si>
    <t>Zacisk przesuwny</t>
  </si>
  <si>
    <t>Sarokcsúsztató bilincs</t>
  </si>
  <si>
    <t>Rohová šmykľavá svorka</t>
  </si>
  <si>
    <t>Hoekschuifklem</t>
  </si>
  <si>
    <t>Kotna drsna sponka</t>
  </si>
  <si>
    <t>Vinkelskjutklämma</t>
  </si>
  <si>
    <t>Vinkelskydebeslag</t>
  </si>
  <si>
    <t>Skråklips</t>
  </si>
  <si>
    <t>Kosi klizni nosač</t>
  </si>
  <si>
    <t>Joint debout angulaire</t>
  </si>
  <si>
    <t>Morsetto angolare per cucitura in piedi</t>
  </si>
  <si>
    <t>Rohový svěrka pro stojatý šev</t>
  </si>
  <si>
    <t>Zacisk narożny do szwu stojącego</t>
  </si>
  <si>
    <t>Sarokzáró bilincs álló varráshoz</t>
  </si>
  <si>
    <t>Rohová svorka na stojatý šev</t>
  </si>
  <si>
    <t>Hoekvergrendeling voor staande naad</t>
  </si>
  <si>
    <t>Kotna sponka za stoječi šiv</t>
  </si>
  <si>
    <t>Vinkellås för stående söm</t>
  </si>
  <si>
    <t>Vinkellås til stående fals</t>
  </si>
  <si>
    <t>Skråklemme for stående søm</t>
  </si>
  <si>
    <t>Kosi nosač za stojeće spojeve</t>
  </si>
  <si>
    <t>Bordo</t>
  </si>
  <si>
    <t>Hrana</t>
  </si>
  <si>
    <t>Krawędź</t>
  </si>
  <si>
    <t>Szél</t>
  </si>
  <si>
    <t>Hranica</t>
  </si>
  <si>
    <t>Rand</t>
  </si>
  <si>
    <t>Rob</t>
  </si>
  <si>
    <t>Kant</t>
  </si>
  <si>
    <t>Kantsikring</t>
  </si>
  <si>
    <t>Rub</t>
  </si>
  <si>
    <t>Bordo e copertura</t>
  </si>
  <si>
    <t>Hrana a krytina</t>
  </si>
  <si>
    <t>Krawędź i osłona</t>
  </si>
  <si>
    <t>Szél és takaró</t>
  </si>
  <si>
    <t>Hranica a prekrytie</t>
  </si>
  <si>
    <t>Rand en dekking</t>
  </si>
  <si>
    <t>Rob in pokrov</t>
  </si>
  <si>
    <t>Kant och täckning</t>
  </si>
  <si>
    <t>Kantsikring og dækning</t>
  </si>
  <si>
    <t>Kant og dekke</t>
  </si>
  <si>
    <t>Rub i poklopac</t>
  </si>
  <si>
    <t>Profilo a zigzag</t>
  </si>
  <si>
    <t>Cik-cak profil</t>
  </si>
  <si>
    <t>Profil zygzakowaty</t>
  </si>
  <si>
    <t>Cikkcakk profil</t>
  </si>
  <si>
    <t>Cikcak profil</t>
  </si>
  <si>
    <t>Zigzag-profiel</t>
  </si>
  <si>
    <t>Zickzack-profil</t>
  </si>
  <si>
    <t>Zigzag-profil</t>
  </si>
  <si>
    <t>Sikk-sakk-profil</t>
  </si>
  <si>
    <t>Valoviti profil</t>
  </si>
  <si>
    <t>Rosso mattone</t>
  </si>
  <si>
    <t>Cihlově červená</t>
  </si>
  <si>
    <t>Ceglasty czerwony</t>
  </si>
  <si>
    <t>Téglavörös</t>
  </si>
  <si>
    <t>Tehlová červená</t>
  </si>
  <si>
    <t>Baksteenrood</t>
  </si>
  <si>
    <t>Opečnato rdeča</t>
  </si>
  <si>
    <t>Tegelröd</t>
  </si>
  <si>
    <t>Teglrød</t>
  </si>
  <si>
    <t>Crveno cigla</t>
  </si>
  <si>
    <t>Grigio zinco</t>
  </si>
  <si>
    <t>Zinková šedá</t>
  </si>
  <si>
    <t>Cynkowy szary</t>
  </si>
  <si>
    <t>Cinkszürke</t>
  </si>
  <si>
    <t>Zinkgrijs</t>
  </si>
  <si>
    <t>Cinkovo siva</t>
  </si>
  <si>
    <t>Zinkgrå</t>
  </si>
  <si>
    <t>Sinkgrå</t>
  </si>
  <si>
    <t>Cink siva</t>
  </si>
  <si>
    <t>Grigio stagno</t>
  </si>
  <si>
    <t>Cínová šedá</t>
  </si>
  <si>
    <t>Cyna szary</t>
  </si>
  <si>
    <t>Ónszürke</t>
  </si>
  <si>
    <t>Tin grijs</t>
  </si>
  <si>
    <t>Kositrno siva</t>
  </si>
  <si>
    <t>Tenn grå</t>
  </si>
  <si>
    <t>Tin grå</t>
  </si>
  <si>
    <t>Tinngrå</t>
  </si>
  <si>
    <t>Limeta siva</t>
  </si>
  <si>
    <t>Per fissare Taurus-Rail su formati piccoli PREFA</t>
  </si>
  <si>
    <t>Pro upevnění Taurus-Rail na malé formáty PREFA</t>
  </si>
  <si>
    <t>Do mocowania Taurus-Rail na małych formatach PREFA</t>
  </si>
  <si>
    <t>Taurus-Rail rögzítéséhez PREFA kis formátumú</t>
  </si>
  <si>
    <t>Na upevnenie Taurus-Rail na PREFA malé formáty</t>
  </si>
  <si>
    <t>Voor bevestiging van Taurus-Rail op PREFA kleine formaten</t>
  </si>
  <si>
    <t>Za pritrditev Taurus-Rail na PREFA majhne formate</t>
  </si>
  <si>
    <t>För fastsättning av Taurus-Rail på PREFA små format</t>
  </si>
  <si>
    <t>Til fastgørelse af Taurus-Rail på PREFA små formater</t>
  </si>
  <si>
    <t>For å feste Taurus-Rail på PREFA små formater</t>
  </si>
  <si>
    <t>Za pričvršćivanje Taurus-Rail na PREFA male formate</t>
  </si>
  <si>
    <t>Rohrreduzierung</t>
  </si>
  <si>
    <t>Pipe reduction</t>
  </si>
  <si>
    <t>Réduction de tuyau</t>
  </si>
  <si>
    <t>Riduzione del tubo</t>
  </si>
  <si>
    <t>Redukce potrubí</t>
  </si>
  <si>
    <t>Redukcja rury</t>
  </si>
  <si>
    <t>Csőszűkítés</t>
  </si>
  <si>
    <t>Redukcia potrubia</t>
  </si>
  <si>
    <t>Pijpreductie</t>
  </si>
  <si>
    <t>Redukcija cevi</t>
  </si>
  <si>
    <t>Rörreduktion</t>
  </si>
  <si>
    <t>Rørreduktion</t>
  </si>
  <si>
    <t>Rørreduksjon</t>
  </si>
  <si>
    <t>Redukcija cijevi</t>
  </si>
  <si>
    <t>Solar Mittelklemme PREFALZ</t>
  </si>
  <si>
    <t>Solar middle clamp PREFALZ</t>
  </si>
  <si>
    <t>Pince intermédiaire solaire PREFALZ</t>
  </si>
  <si>
    <t>Morsetto centrale solare PREFALZ</t>
  </si>
  <si>
    <t>Solární středová svorka PREFALZ</t>
  </si>
  <si>
    <t>Środkowy uchwyt solarny PREFALZ</t>
  </si>
  <si>
    <t>Középső napelem rögzítő PREFALZ</t>
  </si>
  <si>
    <t>Solárna stredová svorka PREFALZ</t>
  </si>
  <si>
    <t>Zonnepaneelklem midden PREFALZ</t>
  </si>
  <si>
    <t>Sredinski solarni sponka PREFALZ</t>
  </si>
  <si>
    <t>Solarklämma mitten PREFALZ</t>
  </si>
  <si>
    <t>Solarmidterklemme PREFALZ</t>
  </si>
  <si>
    <t>Solar midtklemme PREFALZ</t>
  </si>
  <si>
    <t>Solarni srednji stezaljka PREFALZ</t>
  </si>
  <si>
    <t>Modulabrutschsicherung PREFALZ</t>
  </si>
  <si>
    <t>Module slip guard PREFALZ</t>
  </si>
  <si>
    <t>Dispositif antidérapant pour module PREFALZ</t>
  </si>
  <si>
    <t>Sistema anti-scivolo per moduli PREFALZ</t>
  </si>
  <si>
    <t>Zajištění proti sklouznutí modulu PREFALZ</t>
  </si>
  <si>
    <t>Zabezpieczenie przed zsunięciem modułu PREFALZ</t>
  </si>
  <si>
    <t>Modul csúszásgátló PREFALZ</t>
  </si>
  <si>
    <t>Ochrana proti skĺznutiu modulu PREFALZ</t>
  </si>
  <si>
    <t>Antislip beveiliging voor module PREFALZ</t>
  </si>
  <si>
    <t>Zaščita modula proti zdrsu PREFALZ</t>
  </si>
  <si>
    <t>Modulsäkring mot glidning PREFALZ</t>
  </si>
  <si>
    <t>Modulsikringsbeslag PREFALZ</t>
  </si>
  <si>
    <t>Modulglidesikring PREFALZ</t>
  </si>
  <si>
    <t>Osigurač modula protiv klizanja PREFALZ</t>
  </si>
  <si>
    <t>Variante A</t>
  </si>
  <si>
    <t>variant A</t>
  </si>
  <si>
    <t>variante A</t>
  </si>
  <si>
    <t>Varianta A</t>
  </si>
  <si>
    <t>Wariant A</t>
  </si>
  <si>
    <t>A. változat</t>
  </si>
  <si>
    <t>variant A</t>
  </si>
  <si>
    <t>Variant A</t>
  </si>
  <si>
    <t>Različica A</t>
  </si>
  <si>
    <t>Varijanta A</t>
  </si>
  <si>
    <t>Variante B</t>
  </si>
  <si>
    <t>variant B</t>
  </si>
  <si>
    <t>Varianta B</t>
  </si>
  <si>
    <t>Wariant B</t>
  </si>
  <si>
    <t>Variant B</t>
  </si>
  <si>
    <t>Različica B</t>
  </si>
  <si>
    <t>Varijanta B</t>
  </si>
  <si>
    <t>Eine Rohrreduzierung ist normativ nicht zulässig</t>
  </si>
  <si>
    <t>A pipe reduction is not permitted by standards.</t>
  </si>
  <si>
    <t>Une réduction de tuyau n'est pas autorisée par les normes.</t>
  </si>
  <si>
    <t>Una riduzione del tubo non è consentita dalle normative.</t>
  </si>
  <si>
    <t>Redukce potrubí není podle normativ povolena.</t>
  </si>
  <si>
    <t>Redukcja rury nie jest dozwolona według norm.</t>
  </si>
  <si>
    <t>Csőcsökkentés nem engedélyezett a szabványok szerint.</t>
  </si>
  <si>
    <t>Zmenšenie potrubia nie je povolené podľa noriem.</t>
  </si>
  <si>
    <t>Een buisreductie is niet toegestaan volgens de normen.</t>
  </si>
  <si>
    <t>Zmanjšanje cevi ni dovoljeno po normativih.</t>
  </si>
  <si>
    <t>En rörreduktion är inte tillåten enligt normerna.</t>
  </si>
  <si>
    <t>En rørreducering er ikke tilladt ifølge normerne.</t>
  </si>
  <si>
    <t>En rørreduksjon er ikke tillatt i henhold til standardene.</t>
  </si>
  <si>
    <t>Smanjenje cijevi nije dopušteno prema normama.</t>
  </si>
  <si>
    <t>Ød1 (innen)</t>
  </si>
  <si>
    <t>Ød1 (inside)</t>
  </si>
  <si>
    <t>Ød1 (intérieur)</t>
  </si>
  <si>
    <t>Ød1 (interno)</t>
  </si>
  <si>
    <t>Ød1 (vnitřní)</t>
  </si>
  <si>
    <t>Ød1 (wewnętrzny)</t>
  </si>
  <si>
    <t>Ød1 (belső)</t>
  </si>
  <si>
    <t>Ød1 (vnútorný)</t>
  </si>
  <si>
    <t>Ød1 (binnen)</t>
  </si>
  <si>
    <t>Ød1 (notranji)</t>
  </si>
  <si>
    <t>Ød1 (inre)</t>
  </si>
  <si>
    <t>Ød1 (indvendig)</t>
  </si>
  <si>
    <t>Ød1 (innvendig)</t>
  </si>
  <si>
    <t>Ød1 (unutarnji)</t>
  </si>
  <si>
    <t>Ød2 (außen)</t>
  </si>
  <si>
    <t>Ød2 (outside)</t>
  </si>
  <si>
    <t>Ød2 (extérieur)</t>
  </si>
  <si>
    <t>Ød2 (esterno)</t>
  </si>
  <si>
    <t>Ød2 (vnější)</t>
  </si>
  <si>
    <t>Ød2 (zewnętrzny)</t>
  </si>
  <si>
    <t>Ød2 (külső)</t>
  </si>
  <si>
    <t>Ød2 (vonkajší)</t>
  </si>
  <si>
    <t>Ød2 (buiten)</t>
  </si>
  <si>
    <t>Ød2 (zunanji)</t>
  </si>
  <si>
    <t>Ød2 (yttre)</t>
  </si>
  <si>
    <t>Ød2 (udvendig)</t>
  </si>
  <si>
    <t>Ød2 (utvendig)</t>
  </si>
  <si>
    <t>Ød2 (vanjski)</t>
  </si>
  <si>
    <t>Ød2 (außen) zu groß</t>
  </si>
  <si>
    <t>Ød2 (outside) too large</t>
  </si>
  <si>
    <t>Ød2 (extérieur) trop grand</t>
  </si>
  <si>
    <t>Ød2 (esterno) troppo grande</t>
  </si>
  <si>
    <t>Ød2 (vnější) příliš velký</t>
  </si>
  <si>
    <t>Ød2 (zewnętrzny) za duży</t>
  </si>
  <si>
    <t>Ød2 (külső) túl nagy</t>
  </si>
  <si>
    <t>Ød2 (vonkajší) príliš veľký</t>
  </si>
  <si>
    <t>Ød2 (buiten) te groot</t>
  </si>
  <si>
    <t>Ød2 (zunanji) prevelik</t>
  </si>
  <si>
    <t>Ød2 (yttre) för stort</t>
  </si>
  <si>
    <t>Ød2 (udvendig) for stort</t>
  </si>
  <si>
    <t>Ød2 (utvendig) for stor</t>
  </si>
  <si>
    <t>Ød2 (vanjski) prevelik</t>
  </si>
  <si>
    <t>Falzonal</t>
  </si>
  <si>
    <t>Falzonal 0,7x600mm</t>
  </si>
  <si>
    <t>Falzonal 0,8x600mm</t>
  </si>
  <si>
    <t>Falzonal 0,7x1.200mm (für Zusatzverblechungen)</t>
  </si>
  <si>
    <t>Falzonal 0,7x1.200mm (for additional flashings)</t>
  </si>
  <si>
    <t>Falzonal 0,7x1.200mm (pour raccordements complémentaires)</t>
  </si>
  <si>
    <t>Falzonal 0,7x1.200mm (per lattonerie)</t>
  </si>
  <si>
    <t>Falzonal 0,7x1.200mm (na výrobu oplechování)</t>
  </si>
  <si>
    <t>Falzonal 0,7x1.200mm (do wykończeń)</t>
  </si>
  <si>
    <t>Falzonal 0,7x1.200mm (kiegészítő bádogos szerkezetekhez)</t>
  </si>
  <si>
    <t>Falzonal 0,7x1.200mm (na výrobu oplechovania)</t>
  </si>
  <si>
    <t>Falzonal 0,7x1.200mm (voor aanvullend plaatwerk)</t>
  </si>
  <si>
    <t>Falzonal 0,7x1.200mm (za dopolnjevanje)</t>
  </si>
  <si>
    <t>Falzonal 0,7x1.200mm (för kompletterande plåtarbeten)</t>
  </si>
  <si>
    <t>Falzonal 0,7x1.200mm (til ekstra inddækning)</t>
  </si>
  <si>
    <t>Falzonal 0,7x1.200mm (for tilleggsbeslag)</t>
  </si>
  <si>
    <t>Falzonal 0,7x1.200mm (za dodatne limove)</t>
  </si>
  <si>
    <t>Falzonal 0,8x1.200mm (für Zusatzverblechungen)</t>
  </si>
  <si>
    <t>Falzonal 0,8x1.200mm (for additional flashings)</t>
  </si>
  <si>
    <t>Falzonal 0,8x1.200mm (pour raccordements complémentaires)</t>
  </si>
  <si>
    <t>Falzonal 0,8x1.200mm (per lattonerie)</t>
  </si>
  <si>
    <t>Falzonal 0,8x1.200mm (na výrobu oplechování)</t>
  </si>
  <si>
    <t>Falzonal 0,8x1.200mm (do wykończeń)</t>
  </si>
  <si>
    <t>Falzonal 0,8x1.200mm (kiegészítő bádogos szerkezetekhez)</t>
  </si>
  <si>
    <t>Falzonal 0,8x1.200mm (na výrobu oplechovania)</t>
  </si>
  <si>
    <t>Falzonal 0,8x1.200mm (voor aanvullend plaatwerk)</t>
  </si>
  <si>
    <t>Falzonal 0,8x1.200mm (za dopolnjevanje)</t>
  </si>
  <si>
    <t>Falzonal 0,8x1.200mm (för kompletterande plåtarbeten)</t>
  </si>
  <si>
    <t>Falzonal 0,8x1.200mm (til ekstra inddækning)</t>
  </si>
  <si>
    <t>Falzonal 0,8x1.200mm (for tilleggsbeslag)</t>
  </si>
  <si>
    <t>Falzonal 0,8x1.200mm (za dodatne limove)</t>
  </si>
  <si>
    <t>*) beinhaltet 50 mm Sicherheit</t>
  </si>
  <si>
    <t>*) includes 50mm security</t>
  </si>
  <si>
    <t>*) Marge de sécurité 50 mm</t>
  </si>
  <si>
    <t>*) include una sicurezza da 50 mm</t>
  </si>
  <si>
    <t>*) včetně 50mm zabezpečení</t>
  </si>
  <si>
    <t>*) zawiera zabezpieczenie 50 mm</t>
  </si>
  <si>
    <t>*) 50 mm-es biztonságot tartalmaz</t>
  </si>
  <si>
    <t>*) obsahuje 50 mm zabezpečenie</t>
  </si>
  <si>
    <t>*) inclusief 50 mm beveiliging</t>
  </si>
  <si>
    <t>*) vključuje varnost 50 mm</t>
  </si>
  <si>
    <t>*) inkluderar 50 mm säkerhet</t>
  </si>
  <si>
    <t>*) inkluderer 50 mm sikkerhed</t>
  </si>
  <si>
    <t>*) inkluderer 50 mm sikkerhet</t>
  </si>
  <si>
    <t>*) uključuje sigurnost od 50 mm</t>
  </si>
  <si>
    <t>(Top edge of recess - top edge of stop beam)</t>
  </si>
  <si>
    <t>(Bord supérieur de l'évidement - bord supérieur du batardeau)</t>
  </si>
  <si>
    <t>(Bordo superiore della rientranza - bordo superiore della trave di arresto)</t>
  </si>
  <si>
    <t>(Horní hrana vybrání - horní hrana dorazového nosníku)</t>
  </si>
  <si>
    <t>(Górna krawędź wnęki - górna krawędź belki ograniczającej)</t>
  </si>
  <si>
    <t>(A bemélyedés felső széle - az ütközőgerenda felső széle)</t>
  </si>
  <si>
    <t>(Horný okraj vybrania - horný okraj dorazového nosníka)</t>
  </si>
  <si>
    <t>(Bovenrand uitsparing - bovenrand aanslagbalk)</t>
  </si>
  <si>
    <t>(Zgornji rob vdolbine - zgornji rob zavornega nosilca)</t>
  </si>
  <si>
    <t>(Övre kant av urtaget - övre kant av stoppbalk)</t>
  </si>
  <si>
    <t>(Overkant af fordybning - øverste kant af stopbjælke)</t>
  </si>
  <si>
    <t>(Toppkant av utsparing - øvre kant av stoppbjelke)</t>
  </si>
  <si>
    <t>(Gornji rub udubljenja - gornji rub granične grede)</t>
  </si>
  <si>
    <t>(Top edge of lintel - top edge of stop beam)</t>
  </si>
  <si>
    <t>(Bord supérieur du linteau - bord supérieur du batardeau)</t>
  </si>
  <si>
    <t>(Bordo superiore architrave - bordo superiore trave di battuta)</t>
  </si>
  <si>
    <t>(Horní hrana překladu - horní hrana dorazového trámu)</t>
  </si>
  <si>
    <t>(Górna krawędź nadproża - górna krawędź belki ograniczającej)</t>
  </si>
  <si>
    <t>(A szemöldök felső széle - az ütközőgerenda felső széle)</t>
  </si>
  <si>
    <t>(Horná hrana prekladu - horná hrana dorazového nosníka)</t>
  </si>
  <si>
    <t>(Bovenrand latei - bovenrand aanslagbalk)</t>
  </si>
  <si>
    <t>(Zgornji rob preklade - zgornji rob omejevalne grede)</t>
  </si>
  <si>
    <t>(Övre kant av överliggare - övre kant av stoppbalk)</t>
  </si>
  <si>
    <t>(Overkant af overligger - øverste kant af stopbjælke)</t>
  </si>
  <si>
    <t>(Overkant av overligger - øvre kant av stoppbjelke)</t>
  </si>
  <si>
    <t>(Gornji rub nadvoja - gornji rub granične grede)</t>
  </si>
  <si>
    <t>Nachweis Schneehaken:</t>
  </si>
  <si>
    <t>Proof of Snow Hooks:</t>
  </si>
  <si>
    <t>Preuve de crochets à neige :</t>
  </si>
  <si>
    <t>Prova di ganci per neve:</t>
  </si>
  <si>
    <t>Důkaz o sněhových háčcích:</t>
  </si>
  <si>
    <t>Dowód haków śnieżnych:</t>
  </si>
  <si>
    <t>Havas kampók bizonyítéka:</t>
  </si>
  <si>
    <t>Dôkaz o snehových háčikoch:</t>
  </si>
  <si>
    <t>Bewijs van sneeuwhaken:</t>
  </si>
  <si>
    <t>Dokaz o snežnih kavljičih:</t>
  </si>
  <si>
    <t>Bevis på snöankare:</t>
  </si>
  <si>
    <t>Bevis for snekroge:</t>
  </si>
  <si>
    <t>Bevis på snøkroker:</t>
  </si>
  <si>
    <t>Dokaz o snježnim kukama:</t>
  </si>
  <si>
    <t>Nachweis Stange:</t>
  </si>
  <si>
    <t>Proof rod:</t>
  </si>
  <si>
    <t>Barre de preuve :</t>
  </si>
  <si>
    <t>Asta di prova:</t>
  </si>
  <si>
    <t>Důkazní tyč:</t>
  </si>
  <si>
    <t>Pręt dowodowy:</t>
  </si>
  <si>
    <t>Bizonyító rúd:</t>
  </si>
  <si>
    <t>Dôkazová tyč:</t>
  </si>
  <si>
    <t>Bewijsstang:</t>
  </si>
  <si>
    <t>Dokazna palica:</t>
  </si>
  <si>
    <t>Bevisstav:</t>
  </si>
  <si>
    <t>Bevisstang:</t>
  </si>
  <si>
    <t>Dokazni štap:</t>
  </si>
  <si>
    <t>Nachweis Sailerklemme (doppelt)</t>
  </si>
  <si>
    <t>Proof two-pipe seam clamp</t>
  </si>
  <si>
    <t>Preuve bride double</t>
  </si>
  <si>
    <t>Prova Piastra fermaneve a doppio tubo</t>
  </si>
  <si>
    <t>Důkaz Svěrka trubky sněhové zábrany dvojitá</t>
  </si>
  <si>
    <t>Bizonyíték kétcsöves hófogótartó</t>
  </si>
  <si>
    <t>Dôkaz dvojitá svorka rúrky zachytávača snehu</t>
  </si>
  <si>
    <t>Bewijs Sailerklem dubbel</t>
  </si>
  <si>
    <t>Dokaz dvojno držalo</t>
  </si>
  <si>
    <t>Bevis sailer-klämma dubbel</t>
  </si>
  <si>
    <t>Bevis sailer-klemme dobbelt</t>
  </si>
  <si>
    <t>Bevis Obujmica (dvostruka)</t>
  </si>
  <si>
    <t>Nachweis Sailerklemme (einfach)</t>
  </si>
  <si>
    <t>Proof one-pipe seam clamp</t>
  </si>
  <si>
    <t>Preuve bride simple</t>
  </si>
  <si>
    <t>Prova Piastra fermaneve a tubo singolo</t>
  </si>
  <si>
    <t>Důkaz Svěrka trubky sněhové zábrany jednoduchá</t>
  </si>
  <si>
    <t>Bizonyíték egycsöves hófogótartó</t>
  </si>
  <si>
    <t>Dôkaz jednoduchá svorka rúrky zachytávača snehu</t>
  </si>
  <si>
    <t>Bewijs Sailerklem enkel</t>
  </si>
  <si>
    <t>Dokaz enojno držalo</t>
  </si>
  <si>
    <t>Bevis sailer-klämma enkel</t>
  </si>
  <si>
    <t>Bevis sailer-klemme enkelt</t>
  </si>
  <si>
    <t>Bevis Obujmica (jednostruka)</t>
  </si>
  <si>
    <t>Seehöhe: (lt. Norm Berechnung nur bis 1500m zulässig)</t>
  </si>
  <si>
    <t>Altitude: (according to standard calculation only allowed up to 1500m)</t>
  </si>
  <si>
    <t>Altitude : (selon le calcul normal, seulement jusqu'à 1500 m autorisé)</t>
  </si>
  <si>
    <t>Altitudine: (secondo il calcolo standard consentito solo fino a 1500m)</t>
  </si>
  <si>
    <t>Nadmořská výška: (dle normy je výpočet povolen pouze do 1500 m)</t>
  </si>
  <si>
    <t>Wysokość: (zgodnie z obliczeniami normy dozwolona tylko do 1500 m)</t>
  </si>
  <si>
    <t>Tengerszint feletti magasság: (a szabvány számítás szerint csak 1500 m-ig engedélyezett)</t>
  </si>
  <si>
    <t>Nadmorská výška: (podľa normy je výpočet povolený len do 1500 m)</t>
  </si>
  <si>
    <t>Hoogte: (volgens normberekening alleen toegestaan tot 1500 m)</t>
  </si>
  <si>
    <t>Nadmorska višina: (po standardnem izračunu dovoljeno samo do 1500 m)</t>
  </si>
  <si>
    <t>Höjd över havet: (enligt standardberäkning endast tillåtet upp till 1500 m)</t>
  </si>
  <si>
    <t>Højde over havet: (ifølge standardberegning kun tilladt op til 1500 m)</t>
  </si>
  <si>
    <t>Høyde over havet: (ifølge standardberegning kun tillatt opp til 1500 m)</t>
  </si>
  <si>
    <t>Nadmorska visina: (prema normi izračun dopušten samo do 1500 m)</t>
  </si>
  <si>
    <t>(e = berechnete Einflusslänge)</t>
  </si>
  <si>
    <t>(e = calculated influence length)</t>
  </si>
  <si>
    <t>(e = longueur d'influence calculée)</t>
  </si>
  <si>
    <t>(e = lunghezza di influenza calcolata)</t>
  </si>
  <si>
    <t>(e = vypočítaná délka vlivu)</t>
  </si>
  <si>
    <t>(e = obliczona długość wpływu)</t>
  </si>
  <si>
    <t>(e = számított hatáshossz)</t>
  </si>
  <si>
    <t>(e = vypočítaná dĺžka vplyvu)</t>
  </si>
  <si>
    <t>(e = berekende invloedslengte)</t>
  </si>
  <si>
    <t>(e = izračunana vplivna dolžina)</t>
  </si>
  <si>
    <t>(e = beräknad influenslängd)</t>
  </si>
  <si>
    <t>(e = beregnet indflydelseslængde)</t>
  </si>
  <si>
    <t>(e = beregnet påvirkningslengde)</t>
  </si>
  <si>
    <t>(e = izračunata duljina utjecaja)</t>
  </si>
  <si>
    <t>(lr = Restlänge)</t>
  </si>
  <si>
    <t>(lr = remaining length)</t>
  </si>
  <si>
    <t>(lr = longueur restante)</t>
  </si>
  <si>
    <t>(lr = lunghezza residua)</t>
  </si>
  <si>
    <t>(lr = zbytková délka)</t>
  </si>
  <si>
    <t>(lr = długość pozostała)</t>
  </si>
  <si>
    <t>(lr = maradék hossz)</t>
  </si>
  <si>
    <t>(lr = zvyšná dĺžka)</t>
  </si>
  <si>
    <t>(lr = resterende lengte)</t>
  </si>
  <si>
    <t>(lr = preostala dolžina)</t>
  </si>
  <si>
    <t xml:space="preserve"> (lr = återstående längd)</t>
  </si>
  <si>
    <t>(lr = resterende længde)</t>
  </si>
  <si>
    <t>(lr = gjenværende lengde)</t>
  </si>
  <si>
    <t>(lr = preostala duljina)</t>
  </si>
  <si>
    <t>Mit Verwendung des PREFA Berechnungstools nehmen Sie die folgenden Hinweise zustimmend zur Kenntnis:</t>
  </si>
  <si>
    <t>By using the PREFA calculation tool, you acknowledge the following notes.</t>
  </si>
  <si>
    <t>En utilisant l'outil de calcul PREFA, vous reconnaissez les indications suivantes.</t>
  </si>
  <si>
    <t>Utilizzando lo strumento di calcolo PREFA, riconoscete le seguenti indicazioni.</t>
  </si>
  <si>
    <t>Použitím výpočetního nástroje PREFA berete na vědomí následující upozornění.</t>
  </si>
  <si>
    <t>Korzystając z narzędzia kalkulacyjnego PREFA, przyjmujesz do wiadomości następujące uwagi.</t>
  </si>
  <si>
    <t>A PREFA számítási eszköz használatával tudomásul veszi az alábbi megjegyzéseket.</t>
  </si>
  <si>
    <t>Použitím nástroja na výpočet PREFA beriete na vedomie nasledujúce upozornenia.</t>
  </si>
  <si>
    <t>Door gebruik te maken van de PREFA-berekeningstool, erkent u de volgende opmerkingen.</t>
  </si>
  <si>
    <t>Z uporabo orodja za izračun PREFA potrjujete naslednja navodila.</t>
  </si>
  <si>
    <t>Genom att använda PREFA-beräkningsverktyget godkänner du följande anmärkningar.</t>
  </si>
  <si>
    <t>Ved brug af PREFA-beregningsværktøjet anerkender du følgende bemærkninger.</t>
  </si>
  <si>
    <t>Ved bruk av PREFA-beregningsverktøyet erkjenner du følgende merknader.</t>
  </si>
  <si>
    <t>Korištenjem alata za izračun PREFA, prihvaćate sljedeće napomene.</t>
  </si>
  <si>
    <t>PREFA bietet dem Fachmann ein kostenloses Tool für die Berechnung der PREFA Schneeschutzsysteme.</t>
  </si>
  <si>
    <t>PREFA offers professionals a free tool for calculating the PREFA snow protection systems.</t>
  </si>
  <si>
    <t>PREFA offre aux professionnels un outil gratuit pour le calcul des systèmes de protection contre la neige PREFA.</t>
  </si>
  <si>
    <t>PREFA offre ai professionisti uno strumento gratuito per il calcolo dei sistemi di protezione dalla neve PREFA.</t>
  </si>
  <si>
    <t>PREFA nabízí odborníkům bezplatný nástroj pro výpočet systému ochrany proti sněhu PREFA.</t>
  </si>
  <si>
    <t>PREFA oferuje specjalistom bezpłatne narzędzie do obliczania systemów ochrony przed śniegiem PREFA.</t>
  </si>
  <si>
    <t>A PREFA ingyenes eszközt kínál a szakemberek számára a PREFA hófogó rendszerek számításához.</t>
  </si>
  <si>
    <t>PREFA ponúka odborníkom bezplatný nástroj na výpočet systému ochrany proti snehu PREFA.</t>
  </si>
  <si>
    <t>PREFA biedt vakmensen een gratis tool voor het berekenen van de PREFA sneeuwbeschermingssystemen.</t>
  </si>
  <si>
    <t>PREFA strokovnjakom ponuja brezplačno orodje za izračun sistemov za zaščito pred snegom PREFA.</t>
  </si>
  <si>
    <t>PREFA erbjuder yrkesverksamma ett gratis verktyg för beräkning av PREFA snöskyddssystem.</t>
  </si>
  <si>
    <t>PREFA tilbyder fagfolk et gratis værktøj til beregning af PREFA snebeskyttelsessystemer.</t>
  </si>
  <si>
    <t>PREFA tilbyr fagfolk et gratis verktøy for beregning av PREFA snøbeskyttelsessystemer.</t>
  </si>
  <si>
    <t>PREFA nudi stručnjacima besplatni alat za izračunavanje sustava zaštite od snijega PREFA.</t>
  </si>
  <si>
    <t>Das Berechnungstool ermittelt in Abhängigkeit der Schneelast, der Objektdaten und der ausgewählten Produkte das erforderliche Schneestopper Verlegeschema bzw. die maximal zulässigen Abstände der Schneefangsysteme für Sattel-, Pult- und Walmdächer.</t>
  </si>
  <si>
    <t>The calculation tool determines the required snow guard installation pattern or the maximum allowable distances of the snow protection systems for gable, monopitch, and hip roofs, based on snow load, project data, and selected products.</t>
  </si>
  <si>
    <t>L'outil de calcul détermine le schéma de pose requis pour les arrêts de neige ou les distances maximales autorisées des systèmes de protection contre la neige pour les toits à deux pans, monopentes et à quatre pans, en fonction de la charge de neige, des données du projet et des produits sélectionnés.</t>
  </si>
  <si>
    <t>Lo strumento di calcolo determina lo schema di posa richiesto per i fermaneve o le distanze massime consentite dei sistemi di protezione dalla neve per tetti a falda, a una falda e a padiglione, in base al carico di neve, ai dati del progetto e ai prodotti selezionati.</t>
  </si>
  <si>
    <t>Výpočetní nástroj určuje potřebný vzor pokládky sněhových zábran nebo maximální povolené vzdálenosti systému ochrany proti sněhu pro sedlové, pultové a valbové střechy na základě zatížení sněhem, údajů o objektu a vybraných produktů.</t>
  </si>
  <si>
    <t>Narzędzie obliczeniowe określa wymagany schemat instalacji ograniczników śniegu lub maksymalne dopuszczalne odległości systemów ochrony przed śniegiem dla dachów dwuspadowych, jednospadowych i czterospadowych, w zależności od obciążenia śniegiem, danych dotyczących obiektu i wybranych produktów.</t>
  </si>
  <si>
    <t>A számítási eszköz meghatározza a hófogó telepítési mintázatát vagy a hófogó rendszerek megengedett maximális távolságait a nyeregtetők, félnyeregtetők és sátortetők esetében a hórakodás, az objektum adatai és a kiválasztott termékek alapján.</t>
  </si>
  <si>
    <t>Výpočtový nástroj určuje požadovanú schému inštalácie snehových zábran alebo maximálne prípustné vzdialenosti snehových ochranných systémov pre sedlové, pultové a valbové strechy, na základe zaťaženia snehom, údajov o objekte a vybraných produktov.</t>
  </si>
  <si>
    <t>De berekeningstool bepaalt, op basis van de sneeuwbelasting, projectgegevens en geselecteerde producten, het vereiste installatiepatroon van de sneeuwstoppen of de maximaal toegestane afstanden voor de sneeuwbeschermingssystemen bij zadeldaken, lessenaarsdaken en schilddaken.</t>
  </si>
  <si>
    <t>Orodje za izračun določa potreben vzorec namestitve snegolovov ali največje dovoljene razdalje zaščitnih sistemov proti snegu za dvokapne, enokapne in štirikapne strehe, glede na obremenitev snega, podatke o objektu in izbrane izdelke.</t>
  </si>
  <si>
    <t>Beräkningsverktyget bestämmer, baserat på snöbelastning, projektdata och valda produkter, det nödvändiga monteringsmönstret för snöhinder eller de maximala tillåtna avstånden för snöskyddssystem på sadeltak, pulpettak och valmade tak.</t>
  </si>
  <si>
    <t>Beregningværktøjet bestemmer, baseret på snebelastning, projektdata og udvalgte produkter, det nødvendige installationsmønster for snefangere eller de maksimalt tilladte afstande for snebeskyttelsessystemerne til saddeltage, pulttage og valmede tage.</t>
  </si>
  <si>
    <t>Beregningverktøyet bestemmer, basert på snølast, prosjektdata og valgte produkter, det nødvendige installasjonsmønsteret for snøfangere eller de maksimalt tillatte avstandene for snøbeskyttelsessystemer på saltak, pulttak og valmtak.</t>
  </si>
  <si>
    <t>Alat za izračun određuje potreban uzorak postavljanja zaustavljača snijega ili maksimalno dopuštene udaljenosti sustava zaštite od snijega za dvovodne, jednovodne i četverovodne krovove, ovisno o opterećenju snijegom, podacima o objektu i odabranim proizvodima.</t>
  </si>
  <si>
    <t>Das Berechnungstool berücksichtigt die Anforderungen folgender Normen:</t>
  </si>
  <si>
    <t>The calculation tool takes into account the requirements of the following standards:</t>
  </si>
  <si>
    <t>L'outil de calcul prend en compte les exigences des normes suivantes :</t>
  </si>
  <si>
    <t>Lo strumento di calcolo tiene conto dei requisiti delle seguenti norme:</t>
  </si>
  <si>
    <t>Výpočetní nástroj bere v úvahu požadavky následujících norem:</t>
  </si>
  <si>
    <t>Narzędzie obliczeniowe uwzględnia wymagania następujących norm:</t>
  </si>
  <si>
    <t>A számítási eszköz figyelembe veszi a következő szabványok előírásait:</t>
  </si>
  <si>
    <t>Výpočtový nástroj zohľadňuje požiadavky nasledujúcich noriem:</t>
  </si>
  <si>
    <t>De berekeningstool houdt rekening met de vereisten van de volgende normen:</t>
  </si>
  <si>
    <t>Orodje za izračun upošteva zahteve naslednjih standardov:</t>
  </si>
  <si>
    <t>Beräkningsverktyget tar hänsyn till kraven i följande standarder:</t>
  </si>
  <si>
    <t>Beregningværktøjet tager hensyn til kravene i følgende standarder:</t>
  </si>
  <si>
    <t>Beregningverktøyet tar hensyn til kravene i følgende standarder:</t>
  </si>
  <si>
    <t>Alat za izračun uzima u obzir zahtjeve sljedećih normi:</t>
  </si>
  <si>
    <t>Die Berechnungsergebnisse sind nur für das von den Eingabedaten erfasste Objekt heranzuziehen.</t>
  </si>
  <si>
    <t>The calculation results are only to be used for the object covered by the data provided.</t>
  </si>
  <si>
    <t>Les résultats de calcul doivent être utilisés uniquement pour l'objet couvert par les données d'entrée.</t>
  </si>
  <si>
    <t>I risultati del calcolo devono essere applicati solo all'oggetto coperto dai dati di input.</t>
  </si>
  <si>
    <t>Výsledky výpočtu se použijí pouze na objekt zahrnutý ve vstupních datech.</t>
  </si>
  <si>
    <t>A számítási eredményeket kizárólag a bemeneti adatok által lefedett objektumra kell alkalmazni.</t>
  </si>
  <si>
    <t>Výsledky výpočtov sa vzťahujú iba na objekt pokrytý vstupnými údajmi.</t>
  </si>
  <si>
    <t>De berekeningsresultaten mogen alleen worden toegepast op het object dat door de invoergegevens wordt gedekt.</t>
  </si>
  <si>
    <t>Rezultate izračuna je treba uporabiti samo za objekt, zajet z vhodnimi podatki.</t>
  </si>
  <si>
    <t>Beräkningsresultaten ska endast användas för det objekt som omfattas av indata.</t>
  </si>
  <si>
    <t>Beregningsresultaterne skal kun anvendes på det objekt, der er dækket af inputdataene.</t>
  </si>
  <si>
    <t>Beregningene gjelder kun for objektet som omfattes av inndataene.</t>
  </si>
  <si>
    <t>Rezultati izračuna trebaju se koristiti samo za objekt obuhvaćen ulaznim podacima.</t>
  </si>
  <si>
    <t>Besonderheiten wie Schneeverwehungen, außergewöhnliche Windlasten, Höhensprünge oder Aufbauten sind im Berechnungstool nicht berücksichtigt.</t>
  </si>
  <si>
    <t>Special features such as snowdrifts, extraordinary wind loads, height jumps, or structures are not considered in the calculation tool.</t>
  </si>
  <si>
    <t>Des particularités telles que des congères, des charges de vent extraordinaires, des sauts de hauteur ou des constructions ne sont pas prises en compte dans l’outil de calcul.</t>
  </si>
  <si>
    <t>Caratteristiche particolari come cumuli di neve, carichi di vento straordinari, salti di altezza o strutture non sono considerati nello strumento di calcolo.</t>
  </si>
  <si>
    <t>Zvláštnosti, jako jsou sněhové závěje, mimořádná zatížení větrem, výškové rozdíly nebo nástavby, nejsou ve výpočtovém nástroji zohledněny.</t>
  </si>
  <si>
    <t>Szczególne cechy, takie jak zaspy śnieżne, niezwykłe obciążenia wiatrem, różnice wysokości lub nadbudowy, nie są uwzględnione w narzędziu kalkulacyjnym.</t>
  </si>
  <si>
    <t>Olyan sajátosságok, mint a hófúvások, rendkívüli szélterhelések, magasságkülönbségek vagy felépítmények nincsenek figyelembe véve a számítási eszközben.</t>
  </si>
  <si>
    <t>Špecifiká, ako sú snehové záveje, mimoriadne zaťaženia vetrom, výškové rozdiely alebo nadstavby, nie sú v nástroji na výpočet zohľadnené.</t>
  </si>
  <si>
    <t>Bijzonderheden zoals sneeuwophopingen, buitengewone windbelastingen, hoogteverschillen of opbouwen zijn niet meegenomen in de berekeningstool.</t>
  </si>
  <si>
    <t>Posebnosti, kot so snežni nanosi, izjemne obremenitve zaradi vetra, višinske razlike ali nadgradnje, v orodju za izračun niso upoštevane.</t>
  </si>
  <si>
    <t>Särskilda förhållanden som snödrivor, extraordinära vindlaster, höjdskillnader eller uppbyggnader beaktas inte i beräkningsverktyget.</t>
  </si>
  <si>
    <t>Særlige forhold som snefygning, ekstraordinære vindbelastninger, højdespring eller opbygninger er ikke medregnet i beregningsværktøjet.</t>
  </si>
  <si>
    <t>Særtrekk som snøfokk, ekstraordinære vindlaster, høydeforskjeller eller påbygg er ikke tatt med i beregningsverktøyet.</t>
  </si>
  <si>
    <t>Posebnosti poput snježnih nanosa, izvanrednih opterećenja vjetrom, visinskih razlika ili nadogradnji nisu uzete u obzir u alatu za izračun.</t>
  </si>
  <si>
    <t>Bei besonderen konstruktiven Dachanforderungen sowie bei Objekten, die besonderen Schnee- und Windlasten ausgesetzt sein können, ist eine individuelle Berechnung durch einen Statiker oder Fachplaner unerlässlich.</t>
  </si>
  <si>
    <t>For specific structural roof requirements and for buildings that may be exposed to special snow and wind loads, an individual calculation by a structural engineer or specialist planner is essential.</t>
  </si>
  <si>
    <t>Pour des exigences particulières en matière de structure de toiture, ainsi que pour les bâtiments pouvant être exposés à des charges de neige et de vent particulières, un calcul individuel par un ingénieur en structure ou un planificateur spécialisé est indispensable.</t>
  </si>
  <si>
    <t>Per particolari esigenze strutturali del tetto e per edifici che potrebbero essere esposti a carichi speciali di neve e vento, è essenziale un calcolo individuale da parte di un ingegnere strutturale o di un progettista specializzato.</t>
  </si>
  <si>
    <t>U zvláštních konstrukčních požadavků na střechy a u objektů, které mohou být vystaveny zvláštním sněhovým a větrným zatížením, je nezbytný individuální výpočet statikem nebo odborným projektantem.</t>
  </si>
  <si>
    <t>W przypadku specjalnych wymagań konstrukcyjnych dotyczących dachu oraz obiektów, które mogą być narażone na szczególne obciążenia śniegiem i wiatrem, indywidualne obliczenia przez inżyniera budowlanego lub specjalistę są niezbędne.</t>
  </si>
  <si>
    <t>Különleges tetőszerkezeti követelmények, valamint olyan épületek esetén, amelyek különleges hó- és szélterhelésnek lehetnek kitéve, elengedhetetlen az egyedi számítás statikus vagy szakértő tervező által.</t>
  </si>
  <si>
    <t>Pri špeciálnych konštrukčných požiadavkách na strechu, ako aj pri objektoch, ktoré môžu byť vystavené špecifickému zaťaženiu snehom a vetrom, je nevyhnutný individuálny výpočet statikom alebo odborným projektantom.</t>
  </si>
  <si>
    <t>Bij bijzondere constructieve dakvereisten en voor gebouwen die mogelijk blootstaan aan speciale sneeuw- en windbelasting is een individuele berekening door een bouwkundig ingenieur of specialistisch planner noodzakelijk.</t>
  </si>
  <si>
    <t>Pri posebnih konstrukcijskih zahtevah za strehe in objektih, ki so lahko izpostavljeni posebnim snežnim in vetrovnim obremenitvam, je nujen individualni izračun s strani statika ali strokovnega načrtovalca.</t>
  </si>
  <si>
    <t>Vid särskilda konstruktionskrav för tak och för byggnader som kan utsättas för speciella snö- och vindlaster är en individuell beräkning av en konstruktör eller specialistplanerare nödvändig.</t>
  </si>
  <si>
    <t>Ved særlige konstruktionskrav til tage samt for bygninger, der kan udsættes for specielle sne- og vindbelastninger, er en individuel beregning af en ingeniør eller specialplanlægger afgørende.</t>
  </si>
  <si>
    <t>Ved spesielle konstruksjonskrav til tak og for bygninger som kan bli utsatt for spesielle snø- og vindbelastninger, er en individuell beregning av en ingeniør eller spesialist avgjørende.</t>
  </si>
  <si>
    <t>Za posebne konstrukcijske zahtjeve krova te za objekte koji mogu biti izloženi posebnim opterećenjima od snijega i vjetra, neophodan je individualni proračun od strane statičara ili stručnog projektanta.</t>
  </si>
  <si>
    <t>Die Verwendung des PREFA Berechnungstools entbindet nicht von der Beachtung der Mindestdachneigungen sowie der PREFA Verlegerichtlinien und Montagehinweise.</t>
  </si>
  <si>
    <t>The use of the PREFA calculation tool does not exempt you from observing the minimum roof slopes as well as the PREFA installation guidelines and assembly instructions.</t>
  </si>
  <si>
    <t>L'utilisation de l'outil de calcul PREFA ne dispense pas de respecter les pentes minimales des toits ainsi que les directives de pose et les instructions de montage de PREFA.</t>
  </si>
  <si>
    <t>L'uso dello strumento di calcolo PREFA non esonera dall'osservanza delle pendenze minime del tetto, nonché delle linee guida di posa e delle istruzioni di montaggio PREFA.</t>
  </si>
  <si>
    <t>Použití výpočetního nástroje PREFA nezbavuje povinnosti dodržovat minimální sklony střechy, směrnice pro pokládku a montážní pokyny PREFA.</t>
  </si>
  <si>
    <t>Korzystanie z narzędzia do obliczeń PREFA nie zwalnia z obowiązku przestrzegania minimalnych nachyleń dachu oraz wytycznych montażowych i instrukcji PREFA.</t>
  </si>
  <si>
    <t>A PREFA számítási eszköz használata nem mentesíti a minimális tetőhajlások, valamint a PREFA lerakási irányelvek és szerelési utasítások betartása alól.</t>
  </si>
  <si>
    <t>Použitie výpočtového nástroja PREFA neoslobodzuje od dodržiavania minimálnych sklonov striech, ako aj smerníc pre pokládku a montážnych pokynov PREFA.</t>
  </si>
  <si>
    <t>Het gebruik van de PREFA-berekeningstool ontslaat u niet van het naleven van de minimale dakhellingen en de PREFA-verwerkingsrichtlijnen en montage-instructies.</t>
  </si>
  <si>
    <t>Uporaba orodja za izračun PREFA ne odvezuje od upoštevanja minimalnih naklonov strehe ter smernic za polaganje in navodil za montažo PREFA.</t>
  </si>
  <si>
    <t>Användningen av PREFA-beräkningsverktyget befriar inte från att följa de minimala taklutningarna samt PREFAs installationsriktlinjer och monteringsanvisningar.</t>
  </si>
  <si>
    <t>Brugen af PREFA-beregningsværktøjet fritager ikke fra overholdelse af minimumstaghældningerne samt PREFAs lægningsretningslinjer og monteringsanvisninger.</t>
  </si>
  <si>
    <t>Bruken av PREFA-beregningsverktøyet fritar ikke fra å overholde minimumstakvinkler og PREFAs retningslinjer for legging og monteringsanvisninger.</t>
  </si>
  <si>
    <t>Korištenje PREFA alata za izračun ne oslobađa obveze pridržavanja minimalnih nagiba krova kao ni PREFA smjernica za polaganje i uputa za montažu.</t>
  </si>
  <si>
    <t>Obwohl das Berechnungstool von PREFA mit größtmöglicher Sorgfalt erstellt wurde, können die Berechnungsergebnisse zufolge der individuellen konstruktiven und witterungsbedingten Besonderheiten jedes Dachs und möglicher fehlerhafter Eingabe der Berechnungsgrundlagen nur unverbindliche Empfehlungen darstellen.</t>
  </si>
  <si>
    <t>Although the PREFA calculation tool was created with the greatest care, the calculation results can only be considered non-binding recommendations due to the individual structural and weather-related characteristics of each roof and possible incorrect entry of the calculation parameters.</t>
  </si>
  <si>
    <t>Bien que l'outil de calcul PREFA ait été créé avec le plus grand soin, les résultats de calcul ne peuvent être considérés que comme des recommandations non contraignantes en raison des particularités structurelles et climatiques propres à chaque toit et des éventuelles erreurs de saisie des paramètres de calcul.</t>
  </si>
  <si>
    <t>Sebbene lo strumento di calcolo PREFA sia stato creato con la massima cura, i risultati del calcolo possono essere considerati solo raccomandazioni non vincolanti a causa delle caratteristiche strutturali e climatiche individuali di ogni tetto e dell'eventuale inserimento errato dei parametri di calcolo.</t>
  </si>
  <si>
    <t>Ačkoli byl výpočetní nástroj PREFA vytvořen s maximální pečlivostí, výsledky výpočtů mohou představovat pouze nezávazná doporučení kvůli individuálním konstrukčním a povětrnostním zvláštnostem každé střechy a možným chybným vstupům výpočtových parametrů.</t>
  </si>
  <si>
    <t>Mimo że narzędzie do obliczeń PREFA zostało stworzone z największą starannością, wyniki obliczeń mogą stanowić jedynie niewiążące rekomendacje z uwagi na indywidualne cechy konstrukcyjne i pogodowe każdego dachu oraz możliwe błędne wprowadzenie parametrów obliczeniowych.</t>
  </si>
  <si>
    <t>Annak ellenére, hogy a PREFA számítási eszközt a legnagyobb gondossággal készítették el, a számítási eredmények csak nem kötelező érvényű ajánlásokként értelmezhetők, figyelembe véve az egyes tetők egyedi szerkezeti és időjárási sajátosságait, valamint az esetleges hibás paramétermegadást.</t>
  </si>
  <si>
    <t>Aj keď bol výpočtový nástroj PREFA vytvorený s maximálnou starostlivosťou, výsledky výpočtov môžu predstavovať len nezáväzné odporúčania v dôsledku individuálnych konštrukčných a poveternostných zvláštností každej strechy a možného nesprávneho zadania výpočtových parametrov.</t>
  </si>
  <si>
    <t>Hoewel de PREFA-berekeningstool met de grootste zorg is ontwikkeld, kunnen de berekeningsresultaten slechts als niet-bindende aanbevelingen worden beschouwd vanwege de individuele constructieve en weersgebonden kenmerken van elk dak en mogelijke fouten bij het invoeren van de berekeningsparameters.</t>
  </si>
  <si>
    <t>Čeprav je bilo orodje za izračun PREFA ustvarjeno z največjo skrbnostjo, lahko rezultati izračuna predstavljajo le nezavezujoča priporočila zaradi individualnih konstruktivnih in vremenskih značilnosti vsake strehe in možnih napak pri vnosu izračunskih parametrov.</t>
  </si>
  <si>
    <t>Trots att PREFA-beräkningsverktyget har skapats med största omsorg, kan beräkningsresultaten endast anses vara icke-bindande rekommendationer på grund av de individuella konstruktions- och väderrelaterade egenskaperna hos varje tak och möjliga felaktiga inmatningar av beräkningsparametrarna.</t>
  </si>
  <si>
    <t>PREFA-beregningsværktøjet er lavet med største omhu, kan beregningsresultaterne kun betragtes som uforpligtende anbefalinger på grund af de individuelle konstruktions- og vejrmæssige egenskaber ved hvert tag samt mulige fejl i indtastningen af beregningsparametre.</t>
  </si>
  <si>
    <t>Selv om PREFA-beregningsverktøyet er laget med største omhu, kan beregningsresultatene kun anses som ikke-bindende anbefalinger på grunn av de individuelle konstruksjons- og værrelaterte egenskapene til hvert tak og mulige feil i innskriving av beregningsparametere.</t>
  </si>
  <si>
    <t>Iako je PREFA alat za izračun izrađen s najvećom pažnjom, rezultati izračuna mogu se smatrati samo neobvezujućim preporukama zbog individualnih konstruktivnih i vremenskih posebnosti svakog krova i mogućih pogrešnih unosa parametara za izračun.</t>
  </si>
  <si>
    <t>Die Gültigkeit dieses Dokumentes endet mit 31.12.2025</t>
  </si>
  <si>
    <t>This document is valid until 31 December 2025</t>
  </si>
  <si>
    <t>La validité du présent document expire le 31/12/2025</t>
  </si>
  <si>
    <t>Documento valido fino al 31.12.2025</t>
  </si>
  <si>
    <t>Platnost tohoto dokumentu končí k 31.12.2025</t>
  </si>
  <si>
    <t>Niniejszy dokument jest ważny do dnia 31.12.2025 r.</t>
  </si>
  <si>
    <t>Jelen dokumentum 2025 12.31-ig érvényes</t>
  </si>
  <si>
    <t>Platnosť tohto dokumentu končí 31. 12. 2025</t>
  </si>
  <si>
    <t>De geldigheid van dit document eindigt op 31-12-2025</t>
  </si>
  <si>
    <t>Ta dokument je veljaven do 31. 12. 2025.</t>
  </si>
  <si>
    <t>Detta dokument upphör att gälla 2025-12-31</t>
  </si>
  <si>
    <t>Gyldigheden af dette dokument ophører 31.12.2025</t>
  </si>
  <si>
    <t>Dette dokumentet er gyldig til 31.12.2025</t>
  </si>
  <si>
    <t>Valjanost ovog dokumenta prestaje s 31.12.2025.</t>
  </si>
  <si>
    <t>ID-Nr.:</t>
  </si>
  <si>
    <t>ID-No.:</t>
  </si>
  <si>
    <t>ID-Nr:</t>
  </si>
  <si>
    <t>ID-N.:</t>
  </si>
  <si>
    <t>ID-č.:</t>
  </si>
  <si>
    <t>ID-nr:</t>
  </si>
  <si>
    <t>ID-sz.:</t>
  </si>
  <si>
    <t>ID-Nr.</t>
  </si>
  <si>
    <t>ID-št.:</t>
  </si>
  <si>
    <t>ID-br.:</t>
  </si>
  <si>
    <t>Mit der Nutzung des Tools zur Schneeschutzberechnung erkennen Sie die Allgemeinen Geschäftsbedingungen (AGB) der PREFA Aluminiumprodukte GmbH in ihrer jeweils gültigen Fassung an.</t>
  </si>
  <si>
    <t>By using the snow protection calculation tool, you acknowledge and agree to the Terms and Conditions (T&amp;Cs) of PREFA Aluminiumprodukte GmbH in their current version.</t>
  </si>
  <si>
    <t>En utilisant l'outil de calcul de protection contre la neige, vous reconnaissez et acceptez les Conditions Générales (CG) de PREFA Aluminiumprodukte GmbH dans leur version en vigueur.</t>
  </si>
  <si>
    <t>Utilizzando lo strumento per il calcolo della protezione contro la neve, accettate i Termini e Condizioni (T&amp;C) di PREFA Aluminiumprodukte GmbH nella loro versione attuale.</t>
  </si>
  <si>
    <t>Používáním nástroje pro výpočet ochrany proti sněhu souhlasíte s Obchodními podmínkami společnosti PREFA Aluminiumprodukte GmbH v jejich aktuálním znění.</t>
  </si>
  <si>
    <t>Korzystając z narzędzia do obliczania ochrony przed śniegiem, akceptujesz Regulamin PREFA Aluminiumprodukte GmbH w jego aktualnej wersji.</t>
  </si>
  <si>
    <t>A hóvédelmi kalkulátor használatával elfogadja a PREFA Aluminiumprodukte GmbH mindenkor érvényes Általános Szerződési Feltételeit (ÁSZF).</t>
  </si>
  <si>
    <t>Používaním nástroja na výpočet ochrany proti snehu súhlasíte s Obchodnými podmienkami spoločnosti PREFA Aluminiumprodukte GmbH v ich aktuálnom znení.</t>
  </si>
  <si>
    <t>Door gebruik te maken van de sneeuwbeschermingscalculator erkent en accepteert u de Algemene Voorwaarden (AV) van PREFA Aluminiumprodukte GmbH in de huidige versie.</t>
  </si>
  <si>
    <t>Z uporabo orodja za izračun zaščite pred snegom priznavate in sprejemate Splošne pogoje poslovanja (SPP) družbe PREFA Aluminiumprodukte GmbH v njihovi veljavni različici.</t>
  </si>
  <si>
    <t>Genom att använda verktyget för snöskyddsberäkning godkänner du de Allmänna Villkoren (AV) för PREFA Aluminiumprodukte GmbH i dess aktuella version.</t>
  </si>
  <si>
    <t>Ved brug af værktøjet til beregning af snebeskyttelse accepterer du de Almindelige Forretningsbetingelser (AFB) for PREFA Aluminiumprodukte GmbH i deres gældende version.</t>
  </si>
  <si>
    <t>Ved å bruke verktøyet for snøbeskyttelsesberegning aksepterer du de Generelle Vilkårene (GV) til PREFA Aluminiumprodukte GmbH i sin gjeldende versjon.</t>
  </si>
  <si>
    <t>Korištenjem alata za izračun zaštite od snijega prihvaćate Opće uvjete poslovanja (OU) tvrtke PREFA Aluminiumprodukte GmbH u njihovoj važećoj verziji.</t>
  </si>
  <si>
    <t>Bitte lesen Sie die AGB sorgfältig durch, bevor Sie das Tool verwenden.</t>
  </si>
  <si>
    <t>Please read the T&amp;Cs carefully before using the tool.</t>
  </si>
  <si>
    <t>Veuillez lire attentivement les CG avant d'utiliser l'outil.</t>
  </si>
  <si>
    <t>Vi preghiamo di leggere attentamente i T&amp;C prima di utilizzare lo strumento.</t>
  </si>
  <si>
    <t>Přečtěte si prosím Obchodní podmínky pozorně, než začnete nástroj používat.</t>
  </si>
  <si>
    <t>Prosimy o dokładne zapoznanie się z Regulaminem przed użyciem narzędzia.</t>
  </si>
  <si>
    <t>Kérjük, hogy a kalkulátor használata előtt figyelmesen olvassa el az ÁSZF-et.</t>
  </si>
  <si>
    <t>Pred použitím nástroja si prosím dôkladne prečítajte Obchodné podmienky.</t>
  </si>
  <si>
    <t>Lees de AV zorgvuldig door voordat u de tool gebruikt.</t>
  </si>
  <si>
    <t>Prosimo, natančno preberite SPP, preden uporabite orodje.</t>
  </si>
  <si>
    <t>Läs noggrant igenom AV innan du använder verktyget.</t>
  </si>
  <si>
    <t>Læs venligst AFB grundigt, før du bruger værktøjet.</t>
  </si>
  <si>
    <t>Les GV nøye før du bruker verktøyet.</t>
  </si>
  <si>
    <t>Molimo pročitajte OU pažljivo prije korištenja alata.</t>
  </si>
  <si>
    <t>Die AGB sind auf der PREFA-Website einsehbar und stehen dort zum Download bereit.</t>
  </si>
  <si>
    <t>The T&amp;Cs can be viewed on the PREFA website and are available for download there.</t>
  </si>
  <si>
    <t>Les CG peuvent être consultées sur le site Web de PREFA et sont disponibles en téléchargement.</t>
  </si>
  <si>
    <t>I T&amp;C sono consultabili sul sito web di PREFA e sono disponibili per il download.</t>
  </si>
  <si>
    <t>Obchodní podmínky jsou k dispozici na webových stránkách PREFA a lze je tam stáhnout.</t>
  </si>
  <si>
    <t>Regulamin jest dostępny na stronie internetowej PREFA i można go pobrać.</t>
  </si>
  <si>
    <t>Az ÁSZF elérhető a PREFA weboldalán, és ott letölthető.</t>
  </si>
  <si>
    <t>Obchodné podmienky sú dostupné na webovej stránke PREFA a je možné ich tam stiahnuť.</t>
  </si>
  <si>
    <t>De AV zijn te raadplegen op de PREFA-website en daar te downloaden.</t>
  </si>
  <si>
    <t>SPP so na voljo na spletni strani PREFA in jih je mogoče prenesti.</t>
  </si>
  <si>
    <t>AV finns tillgängliga på PREFAs webbplats och kan laddas ner där.</t>
  </si>
  <si>
    <t>AFB kan ses på PREFA's hjemmeside og kan downloades der.</t>
  </si>
  <si>
    <t>GV er tilgjengelige på PREFAs nettside og kan lastes ned der.</t>
  </si>
  <si>
    <t>OU su dostupni na web stranici PREFA i mogu se preuzeti tamo.</t>
  </si>
  <si>
    <t>Basisdaten:</t>
  </si>
  <si>
    <t>Basic data:</t>
  </si>
  <si>
    <t>Données de base:</t>
  </si>
  <si>
    <t>Dati di base:</t>
  </si>
  <si>
    <t>Základní údaje:</t>
  </si>
  <si>
    <t>Dane podstawowe:</t>
  </si>
  <si>
    <t>Alapadatok:</t>
  </si>
  <si>
    <t>Základné údaje:</t>
  </si>
  <si>
    <t>Basisgegevens:</t>
  </si>
  <si>
    <t>Osnovni podatki:</t>
  </si>
  <si>
    <t>Grunddata:</t>
  </si>
  <si>
    <t>Grunnleggende data:</t>
  </si>
  <si>
    <t>Osnovni podaci:</t>
  </si>
  <si>
    <t>Breitengrad [°]:</t>
  </si>
  <si>
    <t>Latitude [°]:</t>
  </si>
  <si>
    <t>Latitudine [°]:</t>
  </si>
  <si>
    <t>Zeměpisná šířka [°]:</t>
  </si>
  <si>
    <t>Szerokość geograficzna [°]:</t>
  </si>
  <si>
    <t>Szélességi fok [°]:</t>
  </si>
  <si>
    <t>Zemepisná šírka [°]:</t>
  </si>
  <si>
    <t>Breedtegraad [°]:</t>
  </si>
  <si>
    <t>Zemljepisna širina [°]:</t>
  </si>
  <si>
    <t>Latitud [°]:</t>
  </si>
  <si>
    <t>Breddegrad [°]:</t>
  </si>
  <si>
    <t>Geografska širina [°]:</t>
  </si>
  <si>
    <t>Längengrad [°]:</t>
  </si>
  <si>
    <t>Longitude [°]:</t>
  </si>
  <si>
    <t>Longitudine [°]:</t>
  </si>
  <si>
    <t>Zeměpisná délka [°]:</t>
  </si>
  <si>
    <t>Długość geograficzna [°]:</t>
  </si>
  <si>
    <t>Hosszúsági fok [°]:</t>
  </si>
  <si>
    <t>Zemepisná dĺžka [°]:</t>
  </si>
  <si>
    <t>Lengtegraad [°]:</t>
  </si>
  <si>
    <t>Zemljepisna dolžina [°]:</t>
  </si>
  <si>
    <t>Longitud [°]:</t>
  </si>
  <si>
    <t>Længdegrad [°]:</t>
  </si>
  <si>
    <t>Lengdegrad [°]:</t>
  </si>
  <si>
    <t>Geografska dužina [°]:</t>
  </si>
  <si>
    <t>Strahlungsdatenbank:</t>
  </si>
  <si>
    <t>Solar radiation database:</t>
  </si>
  <si>
    <t>Base de données de rayonnement solaire:</t>
  </si>
  <si>
    <t>Database di radiazione solare:</t>
  </si>
  <si>
    <t>Databáze slunečního záření:</t>
  </si>
  <si>
    <t>Baza danych promieniowania słonecznego:</t>
  </si>
  <si>
    <t>Napsugárzási adatbázis:</t>
  </si>
  <si>
    <t>Databáza slnečného žiarenia:</t>
  </si>
  <si>
    <t>Zonnestralingdatabase:</t>
  </si>
  <si>
    <t>Baza podatkov o sončnem sevanju:</t>
  </si>
  <si>
    <t>Solstrålningsdatabas:</t>
  </si>
  <si>
    <t>Solstrålingsdatabase:</t>
  </si>
  <si>
    <t>Baza podataka o sunčevom zračenju:</t>
  </si>
  <si>
    <t>Systemverlust:</t>
  </si>
  <si>
    <t>System loss:</t>
  </si>
  <si>
    <t>Perte du système:</t>
  </si>
  <si>
    <t>Perdita di sistema:</t>
  </si>
  <si>
    <t>Systémová ztráta:</t>
  </si>
  <si>
    <t>Strata systemowa:</t>
  </si>
  <si>
    <t>Rendszerveszteség:</t>
  </si>
  <si>
    <t>Systémová strata:</t>
  </si>
  <si>
    <t>Systeemverlies:</t>
  </si>
  <si>
    <t>Sistemskih izgub:</t>
  </si>
  <si>
    <t>Systemförlust:</t>
  </si>
  <si>
    <t>Systemtab:</t>
  </si>
  <si>
    <t>Systemtap:</t>
  </si>
  <si>
    <t>Gubitak sustava:</t>
  </si>
  <si>
    <t>Simulationsergebnisse:</t>
  </si>
  <si>
    <t>Simulation results:</t>
  </si>
  <si>
    <t>Résultats de simulation:</t>
  </si>
  <si>
    <t>Risultati della simulazione:</t>
  </si>
  <si>
    <t>Výsledky simulace:</t>
  </si>
  <si>
    <t>Wyniki symulacji:</t>
  </si>
  <si>
    <t>Szimuláció eredményei:</t>
  </si>
  <si>
    <t>Výsledky simulácie:</t>
  </si>
  <si>
    <t>Simulatieresultaten:</t>
  </si>
  <si>
    <t>Rezultati simulacije:</t>
  </si>
  <si>
    <t>Simuleringsresultat:</t>
  </si>
  <si>
    <t>Simuleringsresultater:</t>
  </si>
  <si>
    <t>Installierte Leistung [kWp]:</t>
  </si>
  <si>
    <t>Installed capacity [kWp]:</t>
  </si>
  <si>
    <t>Capacité installée [kWp]:</t>
  </si>
  <si>
    <t>Potenza installata [kWp]:</t>
  </si>
  <si>
    <t>Instalovaný výkon [kWp]:</t>
  </si>
  <si>
    <t>Zainstalowana moc [kWp]:</t>
  </si>
  <si>
    <t>Telepített teljesítmény [kWp]:</t>
  </si>
  <si>
    <t>Inštalovaný výkon [kWp]:</t>
  </si>
  <si>
    <t>Geïnstalleerd vermogen [kWp]:</t>
  </si>
  <si>
    <t>Nameščena moč [kWp]:</t>
  </si>
  <si>
    <t>Installerad kapacitet [kWp]:</t>
  </si>
  <si>
    <t>Installeret kapacitet [kWp]:</t>
  </si>
  <si>
    <t>Installert kapasitet [kWp]:</t>
  </si>
  <si>
    <t>Instalirana snaga [kWp]:</t>
  </si>
  <si>
    <t>Ausrichtung [°]:</t>
  </si>
  <si>
    <t>Orientation [°]:</t>
  </si>
  <si>
    <t>Orientamento [°]:</t>
  </si>
  <si>
    <t>Orientace [°]:</t>
  </si>
  <si>
    <t>Orientacja [°]:</t>
  </si>
  <si>
    <t>Tájolás [°]:</t>
  </si>
  <si>
    <t>Orientácia [°]:</t>
  </si>
  <si>
    <t>Oriëntatie [°]:</t>
  </si>
  <si>
    <t>Orientacija [°]:</t>
  </si>
  <si>
    <t>Orientering [°]:</t>
  </si>
  <si>
    <t>Orijentacija [°]:</t>
  </si>
  <si>
    <t>PV Energieproduktion [kWh]:</t>
  </si>
  <si>
    <t>PV energy production [kWh]:</t>
  </si>
  <si>
    <t>Production d'énergie PV [kWh]:</t>
  </si>
  <si>
    <t>Produzione di energia PV [kWh]:</t>
  </si>
  <si>
    <t>Produkce energie PV [kWh]:</t>
  </si>
  <si>
    <t>Produkcja energii PV [kWh]:</t>
  </si>
  <si>
    <t>PV energiatermelés [kWh]:</t>
  </si>
  <si>
    <t>Produkcia PV energie [kWh]:</t>
  </si>
  <si>
    <t>PV-energieproductie [kWh]:</t>
  </si>
  <si>
    <t>PV proizvodnja energije [kWh]:</t>
  </si>
  <si>
    <t>PV-energiproduktion [kWh]:</t>
  </si>
  <si>
    <t>PV-energiproduksjon [kWh]:</t>
  </si>
  <si>
    <t>Einstrahlung [kWh/m²]:</t>
  </si>
  <si>
    <t>Solar irradiation [kWh/m²]:</t>
  </si>
  <si>
    <t>Irradiation solaire [kWh/m²]:</t>
  </si>
  <si>
    <t>Irraggiamento solare [kWh/m²]:</t>
  </si>
  <si>
    <t>Solární záření [kWh/m²]:</t>
  </si>
  <si>
    <t>Promieniowanie słoneczne [kWh/m²]:</t>
  </si>
  <si>
    <t>Besugárzás [kWh/m²]:</t>
  </si>
  <si>
    <t>Slnečné žiarenie [kWh/m²]:</t>
  </si>
  <si>
    <t>Zonnestraling [kWh/m²]:</t>
  </si>
  <si>
    <t>Sončno sevanje [kWh/m²]:</t>
  </si>
  <si>
    <t>Solinstrålning [kWh/m²]:</t>
  </si>
  <si>
    <t>Solindstråling [kWh/m²]:</t>
  </si>
  <si>
    <t>Solinnstråling [kWh/m²]:</t>
  </si>
  <si>
    <t>Sunčevo zračenje [kWh/m²]:</t>
  </si>
  <si>
    <t>kWh je kWp [kWh]:</t>
  </si>
  <si>
    <t>kWh per kWp [kWh]:</t>
  </si>
  <si>
    <t>kWh par kWp [kWh]:</t>
  </si>
  <si>
    <t>kWh na kWp [kWh]:</t>
  </si>
  <si>
    <t>kWh kWp-enként [kWh]:</t>
  </si>
  <si>
    <t>kWh pr. kWp [kWh]:</t>
  </si>
  <si>
    <t>kWh po kWp [kWh]:</t>
  </si>
  <si>
    <t>monatlicher PV Ertrag [E] und Einstrahlung [I]</t>
  </si>
  <si>
    <t>Monthly PV yield [E] and irradiation [I]:</t>
  </si>
  <si>
    <t>Production PV mensuelle [E] et irradiation [I]:</t>
  </si>
  <si>
    <t>Rendimento mensile PV [E] e irraggiamento [I]:</t>
  </si>
  <si>
    <t>Měsíční výnos PV [E] a solární záření [I]:</t>
  </si>
  <si>
    <t>Miesięczny uzysk PV [E] i promieniowanie [I]:</t>
  </si>
  <si>
    <t>Havi PV hozam [E] és besugárzás [I]:</t>
  </si>
  <si>
    <t>Mesačný PV výnos [E] a slnečné žiarenie [I]:</t>
  </si>
  <si>
    <t>Maandelijkse PV-opbrengst [E] en zonnestraling [I]:</t>
  </si>
  <si>
    <t>Mesečni PV izplen [E] in sončno sevanje [I]:</t>
  </si>
  <si>
    <t>Månatlig PV-avkastning [E] och solinstrålning [I]:</t>
  </si>
  <si>
    <t>Månedlig PV-ydelse [E] og solindstråling [I]:</t>
  </si>
  <si>
    <t>Månedlig PV-utbytte [E] og solinnstråling [I]:</t>
  </si>
  <si>
    <t>Mjesečni PV prinos [E] i sunčevo zračenje [I]:</t>
  </si>
  <si>
    <t>Januar</t>
  </si>
  <si>
    <t>January</t>
  </si>
  <si>
    <t>Janvier</t>
  </si>
  <si>
    <t>Gennaio</t>
  </si>
  <si>
    <t>Leden</t>
  </si>
  <si>
    <t>Styczeń</t>
  </si>
  <si>
    <t>Január</t>
  </si>
  <si>
    <t>Januari</t>
  </si>
  <si>
    <t>Siječanj</t>
  </si>
  <si>
    <t>Jänner</t>
  </si>
  <si>
    <t>Februar</t>
  </si>
  <si>
    <t>February</t>
  </si>
  <si>
    <t>Février</t>
  </si>
  <si>
    <t>Febbraio</t>
  </si>
  <si>
    <t>Únor</t>
  </si>
  <si>
    <t>Luty</t>
  </si>
  <si>
    <t>Február</t>
  </si>
  <si>
    <t>Februari</t>
  </si>
  <si>
    <t>Veljača</t>
  </si>
  <si>
    <t>März</t>
  </si>
  <si>
    <t>March</t>
  </si>
  <si>
    <t>Mars</t>
  </si>
  <si>
    <t>Marzo</t>
  </si>
  <si>
    <t>Březen</t>
  </si>
  <si>
    <t>Marzec</t>
  </si>
  <si>
    <t>Március</t>
  </si>
  <si>
    <t>Marec</t>
  </si>
  <si>
    <t>Maart</t>
  </si>
  <si>
    <t>Marts</t>
  </si>
  <si>
    <t>Ožujak</t>
  </si>
  <si>
    <t>April</t>
  </si>
  <si>
    <t>Avril</t>
  </si>
  <si>
    <t>Aprile</t>
  </si>
  <si>
    <t>Duben</t>
  </si>
  <si>
    <t>Kwiecień</t>
  </si>
  <si>
    <t>Április</t>
  </si>
  <si>
    <t>Apríl</t>
  </si>
  <si>
    <t>Travanj</t>
  </si>
  <si>
    <t>Mai</t>
  </si>
  <si>
    <t>May</t>
  </si>
  <si>
    <t>Maggio</t>
  </si>
  <si>
    <t>Květen</t>
  </si>
  <si>
    <t>Maj</t>
  </si>
  <si>
    <t>Május</t>
  </si>
  <si>
    <t>Máj</t>
  </si>
  <si>
    <t>Mei</t>
  </si>
  <si>
    <t>Svibanj</t>
  </si>
  <si>
    <t>Juni</t>
  </si>
  <si>
    <t>June</t>
  </si>
  <si>
    <t>Juin</t>
  </si>
  <si>
    <t>Giugno</t>
  </si>
  <si>
    <t>Červen</t>
  </si>
  <si>
    <t>Czerwiec</t>
  </si>
  <si>
    <t>Június</t>
  </si>
  <si>
    <t>Jún</t>
  </si>
  <si>
    <t>Junij</t>
  </si>
  <si>
    <t>Lipanj</t>
  </si>
  <si>
    <t>Juli</t>
  </si>
  <si>
    <t>July</t>
  </si>
  <si>
    <t>Juillet</t>
  </si>
  <si>
    <t>Luglio</t>
  </si>
  <si>
    <t>Červenec</t>
  </si>
  <si>
    <t>Lipiec</t>
  </si>
  <si>
    <t>Július</t>
  </si>
  <si>
    <t>Júl</t>
  </si>
  <si>
    <t>Julij</t>
  </si>
  <si>
    <t>Srpanj</t>
  </si>
  <si>
    <t>August</t>
  </si>
  <si>
    <t>Août</t>
  </si>
  <si>
    <t>Agosto</t>
  </si>
  <si>
    <t>Srpen</t>
  </si>
  <si>
    <t>Sierpień</t>
  </si>
  <si>
    <t>Augusztus</t>
  </si>
  <si>
    <t>Augustus</t>
  </si>
  <si>
    <t>Avgust</t>
  </si>
  <si>
    <t>Augusti</t>
  </si>
  <si>
    <t>Kolovoz</t>
  </si>
  <si>
    <t>September</t>
  </si>
  <si>
    <t>Septembre</t>
  </si>
  <si>
    <t>Settembre</t>
  </si>
  <si>
    <t>Září</t>
  </si>
  <si>
    <t>Wrzesień</t>
  </si>
  <si>
    <t>Szeptember</t>
  </si>
  <si>
    <t>Rujan</t>
  </si>
  <si>
    <t>Oktober</t>
  </si>
  <si>
    <t>October</t>
  </si>
  <si>
    <t>Octobre</t>
  </si>
  <si>
    <t>Ottobre</t>
  </si>
  <si>
    <t>Říjen</t>
  </si>
  <si>
    <t>Październik</t>
  </si>
  <si>
    <t>Október</t>
  </si>
  <si>
    <t>Listopad</t>
  </si>
  <si>
    <t>November</t>
  </si>
  <si>
    <t>Novembre</t>
  </si>
  <si>
    <t>Studeni</t>
  </si>
  <si>
    <t>Dezember</t>
  </si>
  <si>
    <t>December</t>
  </si>
  <si>
    <t>Décembre</t>
  </si>
  <si>
    <t>Dicembre</t>
  </si>
  <si>
    <t>Prosinec</t>
  </si>
  <si>
    <t>Grudzień</t>
  </si>
  <si>
    <t>Desember</t>
  </si>
  <si>
    <t>Prosinac</t>
  </si>
  <si>
    <t>Monat</t>
  </si>
  <si>
    <t>Month</t>
  </si>
  <si>
    <t>Mois</t>
  </si>
  <si>
    <t>Mese</t>
  </si>
  <si>
    <t>Měsíc</t>
  </si>
  <si>
    <t>Miesiąc</t>
  </si>
  <si>
    <t>Hónap</t>
  </si>
  <si>
    <t>Mesiac</t>
  </si>
  <si>
    <t>Maand</t>
  </si>
  <si>
    <t>Mesec</t>
  </si>
  <si>
    <t>Månad</t>
  </si>
  <si>
    <t>Måned</t>
  </si>
  <si>
    <t>Mjesec</t>
  </si>
  <si>
    <t>PV- Ertragsschätzung</t>
  </si>
  <si>
    <t>PV yield estimate</t>
  </si>
  <si>
    <t>Estimation du rendement PV</t>
  </si>
  <si>
    <t>Stima del rendimento PV</t>
  </si>
  <si>
    <t>Odhad výnosu PV</t>
  </si>
  <si>
    <t>Szacunkowy uzysk PV</t>
  </si>
  <si>
    <t>PV hozambecslés</t>
  </si>
  <si>
    <t>PV-opbrengstschatting</t>
  </si>
  <si>
    <t>Ocenjeni PV izplen</t>
  </si>
  <si>
    <t>PV-avkastningsuppskattning</t>
  </si>
  <si>
    <t>PV-ydelsesestimat</t>
  </si>
  <si>
    <t>PV-ytelsesestimat</t>
  </si>
  <si>
    <t>Procjena PV prinosa</t>
  </si>
  <si>
    <t>Modulfläche:</t>
  </si>
  <si>
    <t>Module area:</t>
  </si>
  <si>
    <t>Surface du module :</t>
  </si>
  <si>
    <t>Area del modulo:</t>
  </si>
  <si>
    <t>Plocha modulu:</t>
  </si>
  <si>
    <t>Powierzchnia modułu:</t>
  </si>
  <si>
    <t>Modul területe:</t>
  </si>
  <si>
    <t>Moduleoppervlak:</t>
  </si>
  <si>
    <t>Površina modula:</t>
  </si>
  <si>
    <t>Modularea:</t>
  </si>
  <si>
    <t>Modulareal:</t>
  </si>
  <si>
    <t>gesamt</t>
  </si>
  <si>
    <t>Całkowity</t>
  </si>
  <si>
    <t>Összesen</t>
  </si>
  <si>
    <t>Celkovo</t>
  </si>
  <si>
    <t>Skupaj</t>
  </si>
  <si>
    <t>Samlet</t>
  </si>
  <si>
    <t>Die Ergebnisse sind durch eine Modellrechnung der Seite https://re.jrc.ec.europa.eu/pvg_tools/en/ ermittelt worden. Die tatsächlichen Erträge der Solarstromanlage können aufgrund von Schwankungen des Wetters, der Wirkungsgrade von Modulen und Wechselrichtern sowie anderer Faktoren abweichen.</t>
  </si>
  <si>
    <t>The results have been determined through a model calculation from the website https://re.jrc.ec.europa.eu/pvg_tools/en/. The actual yields of the solar power system may vary due to fluctuations in weather, module and inverter efficiencies, and other factors.</t>
  </si>
  <si>
    <t>Les résultats ont été déterminés à l'aide d'un calcul modélisé sur le site https://re.jrc.ec.europa.eu/pvg_tools/en/. Les rendements réels de l'installation solaire peuvent varier en raison des fluctuations météorologiques, des rendements des modules et des onduleurs, ainsi que d'autres facteurs.</t>
  </si>
  <si>
    <t>I risultati sono stati determinati attraverso un calcolo modellato dal sito https://re.jrc.ec.europa.eu/pvg_tools/en/. I rendimenti effettivi dell'impianto fotovoltaico possono variare a causa delle fluttuazioni meteorologiche, dei rendimenti dei moduli e degli inverter, nonché di altri fattori.</t>
  </si>
  <si>
    <t>Výsledky byly stanoveny pomocí modelového výpočtu na webu https://re.jrc.ec.europa.eu/pvg_tools/en/. Skutečné výnosy solárního systému se mohou lišit kvůli výkyvům počasí, účinnosti modulů a měničů a dalším faktorům.</t>
  </si>
  <si>
    <t>Wyniki zostały określone na podstawie obliczeń modelowych na stronie https://re.jrc.ec.europa.eu/pvg_tools/en/. Rzeczywiste uzyski systemu fotowoltaicznego mogą się różnić z powodu wahań pogodowych, sprawności modułów i falowników oraz innych czynników.</t>
  </si>
  <si>
    <t>Az eredményeket a https://re.jrc.ec.europa.eu/pvg_tools/en/ weboldalon végzett modellezett számítás alapján határozták meg. A napelemes rendszer tényleges hozamai eltérhetnek az időjárás, a modulok és az inverterek hatásfokának, valamint más tényezők ingadozása miatt.</t>
  </si>
  <si>
    <t>Výsledky boli stanovené pomocou modelového výpočtu na stránke https://re.jrc.ec.europa.eu/pvg_tools/en/. Skutočné výnosy solárneho systému sa môžu líšiť v dôsledku výkyvov počasia, účinnosti modulov a meničov a ďalších faktorov.</t>
  </si>
  <si>
    <t>De resultaten zijn bepaald door middel van een modelberekening op de website https://re.jrc.ec.europa.eu/pvg_tools/en/. De werkelijke opbrengsten van het zonnestroomsysteem kunnen variëren als gevolg van schommelingen in het weer, de efficiëntie van modules en omvormers, en andere factoren.</t>
  </si>
  <si>
    <t>Rezultati so bili določeni z modelnim izračunom na spletni strani https://re.jrc.ec.europa.eu/pvg_tools/en/. Dejanski izpleni solarnega sistema se lahko razlikujejo zaradi nihanj vremena, učinkovitosti modulov in pretvornikov ter drugih dejavnikov.</t>
  </si>
  <si>
    <t>Resultaten har bestämts genom en modellberäkning på webbplatsen https://re.jrc.ec.europa.eu/pvg_tools/en/. De faktiska avkastningarna från solcellsanläggningen kan variera på grund av väderfluktuationer, modulers och växelriktarnas verkningsgrader samt andra faktorer.</t>
  </si>
  <si>
    <t>Resultaterne er blevet bestemt ved en modelberegning fra hjemmesiden https://re.jrc.ec.europa.eu/pvg_tools/en/. De faktiske ydelser af solcelleanlægget kan variere på grund af vejrudsving, effektiviteten af moduler og invertere samt andre faktorer.</t>
  </si>
  <si>
    <t>Resultatene er bestemt gjennom en modellberegning fra nettsiden https://re.jrc.ec.europa.eu/pvg_tools/en/. De faktiske ytelsene til solenergisystemet kan variere på grunn av værforhold, effektiviteten til moduler og omformere, samt andre faktorer.</t>
  </si>
  <si>
    <t>Rezultati su utvrđeni modelskim izračunom s web stranice https://re.jrc.ec.europa.eu/pvg_tools/en/. Stvarni prinosi solarnog sustava mogu varirati zbog vremenskih oscilacija, učinkovitosti modula i pretvarača te drugih čimbenika.</t>
  </si>
  <si>
    <t>Dammbalken 25/200 Sonderlänge exkl. Dichtung, (Stangenware)</t>
  </si>
  <si>
    <t>barrier panel 25/200 special length excl. seal, drilled and deburred</t>
  </si>
  <si>
    <t>batardeau 25/200, longueur personnalisée, fourni sans joint, percé et ébavuré</t>
  </si>
  <si>
    <t>sponda 25/200 lunghezza fuori standard, esclusa guarnizione, forato e sbavato</t>
  </si>
  <si>
    <t>Hrázní blok 25/200, bez těsnění, zvláštní délka, vrtaný, bez otřepů</t>
  </si>
  <si>
    <t>Belka zapory 25/200 długość specjalna bez uszczelki, nawiercona i okrawana</t>
  </si>
  <si>
    <t>Gátgerenda 25/200 tömítés nélkül, egyedi hosszméretben, furatolt és sorjázott</t>
  </si>
  <si>
    <t>Hradidlo 25/200, neštandardná dĺžka, bez tesnenia, navŕtaný a odhrotovaný</t>
  </si>
  <si>
    <t>Dambalk 25/200 aangepaste lengte excl. afdichting, geboord en afgebraamd</t>
  </si>
  <si>
    <t>Zajezitvena lamela 25/200, posebna dolžina, brez tesnila, z izvrtinami in posnetimi robovi</t>
  </si>
  <si>
    <t>DÄMMBALK 25/200 speciallängd exkl. tätning, borrad och avgradad</t>
  </si>
  <si>
    <t>Dæmningsbjælker 25/200 speciallængde ekskl. tætning, forboret og afgratet</t>
  </si>
  <si>
    <t>FLOMSIKRINGSELEMENT 25/200 spesiallengde ekskl. tetning, boret og avgradet</t>
  </si>
  <si>
    <t>Daska brane 25/200 posebna duljina bez brtve, bušen i s obrađenim rubovima</t>
  </si>
  <si>
    <t>Dammbalken 50/150 Sonderlänge exkl. Dichtung, (Stangenware)</t>
  </si>
  <si>
    <t>barrier panel 50/150 special length excl. seal, drilled and deburred</t>
  </si>
  <si>
    <t>batardeau 50/150, longueur personnalisée, fourni sans joint, percé et ébavuré</t>
  </si>
  <si>
    <t>sponda 50/150 lunghezza fuori standard, esclusa guarnizione, forato e sbavato</t>
  </si>
  <si>
    <t>Hrázní blok 50/150, bez těsnění, zvláštní délka, vrtaný, bez otřepů</t>
  </si>
  <si>
    <t>Belka zapory 50/150 długość specjalna bez uszczelki, nawiercona i okrawana</t>
  </si>
  <si>
    <t>Gátgerenda 50/150 tömítés nélkül, egyedi hosszméretben, furatolt és sorjázott</t>
  </si>
  <si>
    <t>Hradidlo 50/150, neštandardná dĺžka, bez tesnenia, navŕtaný a odhrotovaný</t>
  </si>
  <si>
    <t>Dambalk 50/150 aangepaste lengte excl. afdichting, geboord en afgebraamd</t>
  </si>
  <si>
    <t>Zajezitvena lamela 50/150, posebna dolžina, brez tesnila, z izvrtinami in posnetimi robovi</t>
  </si>
  <si>
    <t>DÄMMBALK 50/150 speciallängd exkl. tätning, borrad och avgradad</t>
  </si>
  <si>
    <t>Dæmningsbjælker 50/150 speciallængde ekskl. tætning, forboret og afgratet</t>
  </si>
  <si>
    <t>FLOMSIKRINGSELEMENT 50/150 spesiallengde ekskl. tetning, boret og avgradet</t>
  </si>
  <si>
    <t>Daska brane 50/150 posebna duljina bez brtve, bušen i s obrađenim rubovima</t>
  </si>
  <si>
    <t>Dammbalken 50/200 Sonderlänge exkl. Dichtung, (Stangenware)</t>
  </si>
  <si>
    <t>barrier panel 50/200 special length excl. seal, drilled and deburred</t>
  </si>
  <si>
    <t>batardeau 50/200, longueur personnalisée, fourni sans joint, percé et ébavuré</t>
  </si>
  <si>
    <t>sponda 50/200 lunghezza fuori standard, esclusa guarnizione, forato e sbavato</t>
  </si>
  <si>
    <t>Hrázní blok 50/200, bez těsnění, zvláštní délka, vrtaný, bez otřepů</t>
  </si>
  <si>
    <t>Belka zapory 50/200 długość specjalna bez uszczelki, nawiercona i okrawana</t>
  </si>
  <si>
    <t>Gátgerenda 50/200 tömítés nélkül, egyedi hosszméretben, furatolt és sorjázott</t>
  </si>
  <si>
    <t>Hradidlo 50/200, neštandardná dĺžka, bez tesnenia, navŕtaný a odhrotovaný</t>
  </si>
  <si>
    <t>Dambalk 50/200 aangepaste lengte excl. afdichting, geboord en afgebraamd</t>
  </si>
  <si>
    <t>Zajezitvena lamela 50/200, posebna dolžina, brez tesnila, z izvrtinami in posnetimi robovi</t>
  </si>
  <si>
    <t>DÄMMBALK 50/200 speciallängd exkl. tätning, borrad och avgradad</t>
  </si>
  <si>
    <t>Dæmningsbjælker 50/200 speciallængde ekskl. tætning, forboret og afgratet</t>
  </si>
  <si>
    <t>FLOMSIKRINGSELEMENT 50/200 spesiallengde ekskl. tetning, boret og avgradet</t>
  </si>
  <si>
    <t>Daska brane 50/200 posebna duljina bez brtve, bušen i s obrađenim rubovima</t>
  </si>
  <si>
    <t>Dammbalken 80/200 Sonderlänge exkl. Dichtung, (Stangenware)</t>
  </si>
  <si>
    <t>barrier panel 80/200 special length excl. seal, drilled and deburred</t>
  </si>
  <si>
    <t>batardeau 80/200, longueur personnalisée, fourni sans joint, percé et ébavuré</t>
  </si>
  <si>
    <t>sponda 80/200 lunghezza fuori standard, esclusa guarnizione, forato e sbavato</t>
  </si>
  <si>
    <t>Hrázní blok 80/200 bez těsnění, zvláštní délka, vrtaný, bez otřepů</t>
  </si>
  <si>
    <t>Belka zapory 80/200 długość specjalna bez uszczelki, nawiercona i okrawana</t>
  </si>
  <si>
    <t>Gátgerenda 80/200 tömítés nélkül, egyedi hosszméretben, furatolt és sorjázott</t>
  </si>
  <si>
    <t>Hradidlo 80/200, neštandardná dĺžka, bez tesnenia, navŕtaný a odhrotovaný</t>
  </si>
  <si>
    <t>Dambalk 80/200 aangepaste lengte excl. afdichting, geboord en afgebraamd</t>
  </si>
  <si>
    <t>Zajezitvena lamela 80/200, posebna dolžina brez tesnila, z izvrtinami in posnetimi robovi</t>
  </si>
  <si>
    <t>DÄMMBALK 80/200 speciallängd exkl. tätning, borrad och avgradad</t>
  </si>
  <si>
    <t>Dæmningsbjælker 80/200 speciallængde ekskl. tætning, forboret og afgratet</t>
  </si>
  <si>
    <t>FLOMSIKRINGSELEMENT 80/200 spesiallengde ekskl. tetning, boret og avgradet</t>
  </si>
  <si>
    <t>Daska brane 80/200 posebna duljina bez brtve, bušen i s obrađenim rubovima</t>
  </si>
  <si>
    <t>Stangenware</t>
  </si>
  <si>
    <t>Bar stock</t>
  </si>
  <si>
    <t>Barres métalliques</t>
  </si>
  <si>
    <t>Barre metalliche</t>
  </si>
  <si>
    <t>Tyčový materiál</t>
  </si>
  <si>
    <t>Materiał prętowy</t>
  </si>
  <si>
    <t>Rúdanyag</t>
  </si>
  <si>
    <t>Staafmateriaal</t>
  </si>
  <si>
    <t>Palice</t>
  </si>
  <si>
    <t>Stångmaterial</t>
  </si>
  <si>
    <t>Stangmateriale</t>
  </si>
  <si>
    <t>Šipkasti materijal</t>
  </si>
  <si>
    <t>Die Gültigkeit dieses Dokumentes endet mit 31.01.2026</t>
  </si>
  <si>
    <t>This document is valid until 31 January 2026</t>
  </si>
  <si>
    <t>La validité du présent document expire le 31/01/2026</t>
  </si>
  <si>
    <t>Documento valido fino al 31.01.2026</t>
  </si>
  <si>
    <t>Platnost tohoto dokumentu končí k 31.01.2026</t>
  </si>
  <si>
    <t>Niniejszy dokument jest ważny do dnia 31.01.2026 r.</t>
  </si>
  <si>
    <t>Jelen dokumentum 2026 01.31-ig érvényes</t>
  </si>
  <si>
    <t>Platnosť tohto dokumentu končí 31. 01. 2026</t>
  </si>
  <si>
    <t>De geldigheid van dit document eindigt op 31-01-2026</t>
  </si>
  <si>
    <t>Ta dokument je veljaven do 31. 01. 2026.</t>
  </si>
  <si>
    <t>Detta dokument upphör att gälla 2026-01-31</t>
  </si>
  <si>
    <t>Gyldigheden af dette dokument ophører 31.01.2026</t>
  </si>
  <si>
    <t>Dette dokumentet er gyldig til 31.01.2026</t>
  </si>
  <si>
    <t>Valjanost ovog dokumenta prestaje s 31.01.2026.</t>
  </si>
  <si>
    <t>Hinweis: Siding 500 und 600 sind nicht mit Siding 138, 200, 300 oder 400 kombinierbar auf Grund verschiedener Aufbauhöhen (32mm und 22mm)!</t>
  </si>
  <si>
    <t>Note: Siding 500 and 600 cannot be combined with Siding 138, 200, 300, or 400 due to different construction heights (32mm and 22mm)!</t>
  </si>
  <si>
    <t>Remarque: Le Siding 500 et 600 ne peuvent pas être combinés avec le Siding 138, 200, 300 ou 400 en raison de différentes hauteurs de construction (32 mm et 22 mm) !</t>
  </si>
  <si>
    <t>Nota: Il rivestimento Siding 500 e 600 non può essere combinato con Siding 138, 200, 300 o 400 a causa delle diverse altezze di costruzione (32 mm e 22 mm)!</t>
  </si>
  <si>
    <t>Upozornění: Siding 500 a 600 nelze kombinovat se Siding 138, 200, 300 nebo 400 kvůli rozdílným stavebním výškám (32 mm a 22 mm)!</t>
  </si>
  <si>
    <t>Uwaga: Siding 500 i 600 nie mogą być łączone z Siding 138, 200, 300 lub 400 z powodu różnych wysokości konstrukcyjnych (32 mm i 22 mm)!</t>
  </si>
  <si>
    <t>Figyelem: Az 500-as és 600-as burkolat nem kombinálható a 138-as, 200-as, 300-as vagy 400-as burkolattal a különböző építési magasságok miatt (32 mm és 22 mm)!</t>
  </si>
  <si>
    <t>Upozornenie: Siding 500 a 600 nie je možné kombinovať so Siding 138, 200, 300 alebo 400 kvôli rôznym stavebným výškam (32 mm a 22 mm)!</t>
  </si>
  <si>
    <t>Let op: Siding 500 en 600 kunnen niet worden gecombineerd met Siding 138, 200, 300 of 400 vanwege verschillende opbouwhoogtes (32 mm en 22 mm)!</t>
  </si>
  <si>
    <t>Opomba: Oblogi Siding 500 in 600 ni mogoče kombinirati z oblogami Siding 138, 200, 300 ali 400 zaradi različnih gradbenih višin (32 mm in 22 mm)!</t>
  </si>
  <si>
    <t>Observera: Siding 500 och 600 kan inte kombineras med Siding 138, 200, 300 eller 400 på grund av olika byggnadshöjder (32 mm och 22 mm)!</t>
  </si>
  <si>
    <t>Bemærk: Siding 500 og 600 kan ikke kombineres med Siding 138, 200, 300 eller 400 på grund af forskellige konstruktionshøjder (32 mm og 22 mm)!</t>
  </si>
  <si>
    <t>Merk: Siding 500 og 600 kan ikke kombineres med Siding 138, 200, 300 eller 400 på grunn av forskjellige konstruksjonshøyder (32 mm og 22 mm)!</t>
  </si>
  <si>
    <t>Napomena: Siding 500 i 600 nisu kompatibilni sa Siding 138, 200, 300 ili 400 zbog različitih građevinskih visina (32 mm i 22 mm)!</t>
  </si>
  <si>
    <t>Fassadenergänzungstafelbleche 0,70 x 708 x 2000mm</t>
  </si>
  <si>
    <t>Façade extension sheet metal 0.70 x 708 x 2000 mm</t>
  </si>
  <si>
    <t>Panneaux de tôle d'extension de façade 0,70 x 708 x 2000 mm</t>
  </si>
  <si>
    <t>Lamiere di estensione per facciata 0,70 x 708 x 2000 mm</t>
  </si>
  <si>
    <t>Fasádní doplňkové plechy 0,70 x 708 x 2000mm</t>
  </si>
  <si>
    <t>Blachy uzupełniające elewację 0,70 x 708 x 2000mm</t>
  </si>
  <si>
    <t>Homlokzati kiegészítő lemezek 0,70 x 708 x 2000mm</t>
  </si>
  <si>
    <t>Doplnkové fasádne plechy 0,70 x 708 x 2000mm</t>
  </si>
  <si>
    <t>Geveluitbreidingsplaten 0,70 x 708 x 2000mm</t>
  </si>
  <si>
    <t>Plošče za fasadno dopolnitev 0,70 x 708 x 2000mm</t>
  </si>
  <si>
    <t>Fasadtilläggsplåtar 0,70 x 708 x 2000mm</t>
  </si>
  <si>
    <t>Facadeforlængelsesplader 0,70 x 708 x 2000mm</t>
  </si>
  <si>
    <t>Fasadeforlengelsesplater 0,70 x 708 x 2000mm</t>
  </si>
  <si>
    <t>Ploče za proširenje fasade 0,70 x 708 x 2000mm</t>
  </si>
  <si>
    <t>Fassadenergänzungstafelbleche 0,70 x 1000 x 2000mm</t>
  </si>
  <si>
    <t>Façade extension sheet metal 0.70 x 1000 x 2000 mm</t>
  </si>
  <si>
    <t>Panneaux de tôle d'extension de façade 0,70 x 1000 x 2000 mm</t>
  </si>
  <si>
    <t>Lamiere di estensione per facciata 0,70 x 1000 x 2000 mm</t>
  </si>
  <si>
    <t>Fasádní doplňkové plechy 0,70 x 1000 x 2000mm</t>
  </si>
  <si>
    <t>Blachy uzupełniające elewację 0,70 x 1000 x 2000mm</t>
  </si>
  <si>
    <t>Homlokzati kiegészítő lemezek 0,70 x 1000 x 2000mm</t>
  </si>
  <si>
    <t>Doplnkové fasádne plechy 0,70 x 1000 x 2000mm</t>
  </si>
  <si>
    <t>Geveluitbreidingsplaten 0,70 x 1000 x 2000mm</t>
  </si>
  <si>
    <t>Plošče za fasadno dopolnitev 0,70 x 1000 x 2000mm</t>
  </si>
  <si>
    <t>Fasadtilläggsplåtar 0,70 x 1000 x 2000mm</t>
  </si>
  <si>
    <t>Facadeforlængelsesplader 0,70 x 1000 x 2000mm</t>
  </si>
  <si>
    <t>Fasadeforlengelsesplater 0,70 x 1000 x 2000mm</t>
  </si>
  <si>
    <t>Ploče za proširenje fasade 0,70 x 1000 x 2000mm</t>
  </si>
  <si>
    <t>Fassadenergänzungstafelbleche 0,70 x 1200 x 2000mm</t>
  </si>
  <si>
    <t>Façade extension sheet metal 0.70 x 1200 x 2000 mm</t>
  </si>
  <si>
    <t>Panneaux de tôle d'extension de façade 0,70 x 1200 x 2000 mm</t>
  </si>
  <si>
    <t>Lamiere di estensione per facciata 0,70 x 1200 x 2000 mm</t>
  </si>
  <si>
    <t>Fasádní doplňkové plechy 0,70 x 1200 x 2000mm</t>
  </si>
  <si>
    <t>Blachy uzupełniające elewację 0,70 x 1200 x 2000mm</t>
  </si>
  <si>
    <t>Homlokzati kiegészítő lemezek 0,70 x 1200 x 2000mm</t>
  </si>
  <si>
    <t>Doplnkové fasádne plechy 0,70 x 1200 x 2000mm</t>
  </si>
  <si>
    <t>Geveluitbreidingsplaten 0,70 x 1200 x 2000mm</t>
  </si>
  <si>
    <t>Plošče za fasadno dopolnitev 0,70 x 1200 x 2000mm</t>
  </si>
  <si>
    <t>Fasadtilläggsplåtar 0,70 x 1200 x 2000mm</t>
  </si>
  <si>
    <t>Facadeforlængelsesplader 0,70 x 1200 x 2000mm</t>
  </si>
  <si>
    <t>Fasadeforlengelsesplater 0,70 x 1200 x 2000mm</t>
  </si>
  <si>
    <t>Ploče za proširenje fasade 0,70 x 1200 x 2000mm</t>
  </si>
  <si>
    <t>(Mindestabnahme: 5 Tafeln)</t>
  </si>
  <si>
    <t>(Minimum order: 5 sheets)</t>
  </si>
  <si>
    <t>(Commande minimum: 5 panneaux)</t>
  </si>
  <si>
    <t>(Quantità minima: 5 pannelli)</t>
  </si>
  <si>
    <t>(Minimální odběr: 5 plechů)</t>
  </si>
  <si>
    <t>(Minimalne zamówienie: 5 arkuszy)</t>
  </si>
  <si>
    <t>(Minimális rendelés: 5 lemez)</t>
  </si>
  <si>
    <t>(Minimálny odber: 5 tabúľ)</t>
  </si>
  <si>
    <t>(Minimale afname: 5 platen)</t>
  </si>
  <si>
    <t>(Minimalno naročilo: 5 plošč)</t>
  </si>
  <si>
    <t>(Minsta beställning: 5 plåtar)</t>
  </si>
  <si>
    <t>(Minimumsordre: 5 plader)</t>
  </si>
  <si>
    <t>(Minimumsbestilling: 5 plater)</t>
  </si>
  <si>
    <t>(Minimalna narudžba: 5 ploča)</t>
  </si>
  <si>
    <t>Bitte nur auszufüllen wenn Einzellängen bestellt werden! Wird ein Verlegeplan erstellt füllt PREFA hier aus.</t>
  </si>
  <si>
    <t>Please only fill this out if individual lengths are ordered! If a laying plan is created, PREFA will fill this out.</t>
  </si>
  <si>
    <t>Veuillez remplir cela uniquement si des longueurs individuelles sont commandées ! Si un plan de pose est établi, PREFA le remplira.</t>
  </si>
  <si>
    <t>Si prega di compilare questo solo se vengono ordinate lunghezze singole! Se viene redatto un piano di posa, PREFA lo compilerà.</t>
  </si>
  <si>
    <t>Vyplňte pouze v případě objednání jednotlivých délek! Pokud je vytvořen instalační plán, PREFA to zde vyplní.</t>
  </si>
  <si>
    <t>Proszę wypełnić tylko wtedy, gdy zamawiane są pojedyncze długości! Jeśli zostanie stworzony plan montażu, PREFA wypełni tę sekcję.</t>
  </si>
  <si>
    <t>Csak akkor töltse ki, ha egyedi hosszakat rendel! Ha telepítési terv készül, itt a PREFA tölti ki.</t>
  </si>
  <si>
    <t>Vyplňte iba v prípade, že sa objednávajú jednotlivé dĺžky! Ak je vytvorený montážny plán, PREFA to tu vyplní.</t>
  </si>
  <si>
    <t>Vul dit alleen in als afzonderlijke lengtes worden besteld! Als er een legplan wordt gemaakt, vult PREFA dit hier in.</t>
  </si>
  <si>
    <t>Prosimo, izpolnite samo, če so naročene posamezne dolžine! Če je pripravljen načrt polaganja, ga tukaj izpolni PREFA.</t>
  </si>
  <si>
    <t>Fyll endast i om enskilda längder beställs! Om en installationsplan skapas fyller PREFA i här.</t>
  </si>
  <si>
    <t>Udfyld kun, hvis der bestilles enkelttænger! Hvis der udarbejdes en lægningsplan, udfylder PREFA her.</t>
  </si>
  <si>
    <t>Vennligst fyll ut kun hvis individuelle lengder bestilles! Hvis en leggeplan utarbeides, vil PREFA fylle ut her.</t>
  </si>
  <si>
    <t>Ispunite samo ako se naručuju pojedinačne duljine! Ako se izrađuje plan postavljanja, PREFA će ovdje popuniti.</t>
  </si>
  <si>
    <t>Fachhandel für Angebots- und Auftragsabwicklung:</t>
  </si>
  <si>
    <t>Specialized trade for offer and order processing</t>
  </si>
  <si>
    <t>Commerce spécialisé pour le traitement des offres et des commandes</t>
  </si>
  <si>
    <t>Commercio specializzato per l'elaborazione di offerte e ordini</t>
  </si>
  <si>
    <t>Odborný obchod pro zpracování nabídek a zakázek</t>
  </si>
  <si>
    <t>Handel specjalistyczny do obsługi ofert i zamówień</t>
  </si>
  <si>
    <t>Szakkereskedelem ajánlat- és megrendelésfeldolgozáshoz</t>
  </si>
  <si>
    <t>Špecializovaný obchod na spracovanie ponúk a objednávok</t>
  </si>
  <si>
    <t>Gespecialiseerde handel voor offerte- en orderverwerking</t>
  </si>
  <si>
    <t>Specializirana trgovina za obdelavo ponudb in naročil</t>
  </si>
  <si>
    <t>Specialiserad handel för offert- och orderhantering</t>
  </si>
  <si>
    <t>Specialiseret handel til tilbuds- og ordrebehandling</t>
  </si>
  <si>
    <t>Spesialisert handel for tilbuds- og ordrehåndtering</t>
  </si>
  <si>
    <t>Specijalizirana trgovina za obradu ponuda i narudžbi</t>
  </si>
  <si>
    <t>Projekt:</t>
  </si>
  <si>
    <t>Project</t>
  </si>
  <si>
    <t>Projet</t>
  </si>
  <si>
    <t>Progetto</t>
  </si>
  <si>
    <t>Projekt</t>
  </si>
  <si>
    <t>Prosjekt</t>
  </si>
  <si>
    <t>Fachfirma:</t>
  </si>
  <si>
    <t>Specialized company</t>
  </si>
  <si>
    <t>Entreprise spécialisée</t>
  </si>
  <si>
    <t>Azienda specializzata</t>
  </si>
  <si>
    <t>Specializovaná firma</t>
  </si>
  <si>
    <t>Firma specjalistyczna</t>
  </si>
  <si>
    <t>Szakvállalat</t>
  </si>
  <si>
    <t>Špecializovaná firma</t>
  </si>
  <si>
    <t>Gespecialiseerd bedrijf</t>
  </si>
  <si>
    <t>Specializirano podjetje</t>
  </si>
  <si>
    <t>Specialiserat företag</t>
  </si>
  <si>
    <t>Specialiseret virksomhed</t>
  </si>
  <si>
    <t>Spesialisert firma</t>
  </si>
  <si>
    <t>Specijalizirana tvrtka</t>
  </si>
  <si>
    <t>P.10 Prefabronze</t>
  </si>
  <si>
    <t>P.10 Préfabronze</t>
  </si>
  <si>
    <t>P.10 Prefabbronzo</t>
  </si>
  <si>
    <t>P.10 Prefabronz</t>
  </si>
  <si>
    <t>P.10 Prefabronse</t>
  </si>
  <si>
    <t>P.10 Prefabronca</t>
  </si>
  <si>
    <t>Kleinmengenzuschlag unter 10m²:</t>
  </si>
  <si>
    <t>Small quantity surcharge under 10m²:</t>
  </si>
  <si>
    <t>Supplément pour petite quantité en dessous de 10m² :</t>
  </si>
  <si>
    <t>Supplemento per piccole quantità sotto i 10m²:</t>
  </si>
  <si>
    <t>Příplatek za malé množství pod 10m²:</t>
  </si>
  <si>
    <t>Dopłata za małą ilość poniżej 10m²:</t>
  </si>
  <si>
    <t>Kis mennyiségi felár 10m² alatt:</t>
  </si>
  <si>
    <t>Príplatok za malé množstvo pod 10m²:</t>
  </si>
  <si>
    <t>Toeslag voor kleine hoeveelheden onder 10m²:</t>
  </si>
  <si>
    <t>Doplačilo za majhne količine pod 10m²:</t>
  </si>
  <si>
    <t>Tillägg för små kvantiteter under 10m²:</t>
  </si>
  <si>
    <t>Tillæg for små mængder under 10m²:</t>
  </si>
  <si>
    <t>Tillegg for små mengder under 10m²:</t>
  </si>
  <si>
    <t>Dodatak za male količine ispod 10m²:</t>
  </si>
  <si>
    <t>Standard</t>
  </si>
  <si>
    <t>Szabvány</t>
  </si>
  <si>
    <t>Štandard</t>
  </si>
  <si>
    <t>zum Eindrehen</t>
  </si>
  <si>
    <t>inserted</t>
  </si>
  <si>
    <t>inséré</t>
  </si>
  <si>
    <t>inserito</t>
  </si>
  <si>
    <t>vloženo</t>
  </si>
  <si>
    <t>wstawiony</t>
  </si>
  <si>
    <t>beillesztve</t>
  </si>
  <si>
    <t>vložené</t>
  </si>
  <si>
    <t>ingevoegd</t>
  </si>
  <si>
    <t>vstavljeno</t>
  </si>
  <si>
    <t>infogat</t>
  </si>
  <si>
    <t>indsat</t>
  </si>
  <si>
    <t>satt inn</t>
  </si>
  <si>
    <t>umetnuto</t>
  </si>
  <si>
    <t>verriegelbar</t>
  </si>
  <si>
    <t>lockable</t>
  </si>
  <si>
    <t>verrouillable</t>
  </si>
  <si>
    <t>bloccabile</t>
  </si>
  <si>
    <t>uzamykatelný</t>
  </si>
  <si>
    <t>zamykalny</t>
  </si>
  <si>
    <t>zárható</t>
  </si>
  <si>
    <t>uzamykateľný</t>
  </si>
  <si>
    <t>vergrendelbaar</t>
  </si>
  <si>
    <t>zaklenljiv</t>
  </si>
  <si>
    <t>låsbar</t>
  </si>
  <si>
    <t>zaključavajući</t>
  </si>
  <si>
    <t>Gewünschte Eingabe</t>
  </si>
  <si>
    <t>Desired input</t>
  </si>
  <si>
    <t>Entrée souhaitée</t>
  </si>
  <si>
    <t>Input desiderato</t>
  </si>
  <si>
    <t>Požadovaný vstup</t>
  </si>
  <si>
    <t>Żądane dane wejściowe</t>
  </si>
  <si>
    <t>Kívánt bemenet</t>
  </si>
  <si>
    <t>Gewenste invoer</t>
  </si>
  <si>
    <t>Želeni vnos</t>
  </si>
  <si>
    <t>Önskad inmatning</t>
  </si>
  <si>
    <t>Ønsket input</t>
  </si>
  <si>
    <t>Ønsket inndata</t>
  </si>
  <si>
    <t>Željeni unos</t>
  </si>
  <si>
    <t>statisch in Ordnung</t>
  </si>
  <si>
    <t>Static OK</t>
  </si>
  <si>
    <t>Statique en ordre</t>
  </si>
  <si>
    <t>Statica OK</t>
  </si>
  <si>
    <t>Statický v pořádku</t>
  </si>
  <si>
    <t>Statyczne OK</t>
  </si>
  <si>
    <t>Statikus rendben van</t>
  </si>
  <si>
    <t>Statický v poriadku</t>
  </si>
  <si>
    <t>Statisch OK</t>
  </si>
  <si>
    <t>Statično v redu</t>
  </si>
  <si>
    <t>Statisk OK</t>
  </si>
  <si>
    <t>Statično u redu</t>
  </si>
  <si>
    <t>statisch nicht in Ordnung</t>
  </si>
  <si>
    <t>Static not OK</t>
  </si>
  <si>
    <t>Statique pas en ordre</t>
  </si>
  <si>
    <t>Statica non OK</t>
  </si>
  <si>
    <t>Statický není v pořádku</t>
  </si>
  <si>
    <t>Statyczne nie OK</t>
  </si>
  <si>
    <t>Statikus nincs rendben</t>
  </si>
  <si>
    <t>Statický nie je v poriadku</t>
  </si>
  <si>
    <t>Statisch niet OK</t>
  </si>
  <si>
    <t>Statično ni v redu</t>
  </si>
  <si>
    <t>Statisk inte OK</t>
  </si>
  <si>
    <t>Statisk ikke OK</t>
  </si>
  <si>
    <t>Statično nije u redu</t>
  </si>
  <si>
    <t>Auswahl</t>
  </si>
  <si>
    <r>
      <t xml:space="preserve">p10 silbermetallic </t>
    </r>
    <r>
      <rPr>
        <b/>
        <sz val="11"/>
        <color theme="1"/>
        <rFont val="Calibri"/>
        <family val="2"/>
      </rPr>
      <t>↑</t>
    </r>
  </si>
  <si>
    <r>
      <t xml:space="preserve">p10 rauchsilber </t>
    </r>
    <r>
      <rPr>
        <b/>
        <sz val="11"/>
        <color theme="1"/>
        <rFont val="Calibri"/>
        <family val="2"/>
      </rPr>
      <t>↑</t>
    </r>
  </si>
  <si>
    <t>(4,5 × 25 mm; 200 Stk./Pkt)</t>
  </si>
  <si>
    <t>(4.5 × 25 mm; 200 pcs/pkg)</t>
  </si>
  <si>
    <t>(4,5 × 25 mm; 200 pcs/pqt)</t>
  </si>
  <si>
    <t>(4,5 × 25 mm; 200 pz/conf)</t>
  </si>
  <si>
    <t>(4,5 × 25 mm; 200 ks/bal)</t>
  </si>
  <si>
    <t>(4,5 × 25 mm; 200 szt/opak)</t>
  </si>
  <si>
    <t>(4,5 × 25 mm; 200 db/cs)</t>
  </si>
  <si>
    <t>(4,5 × 25 mm; 200 st/plt)</t>
  </si>
  <si>
    <t>(4,5 × 25 mm; 200 kos/pak)</t>
  </si>
  <si>
    <t>(4,5 × 25 mm; 200 st/fp)</t>
  </si>
  <si>
    <t>(4,5 × 25 mm; 200 stk/pak)</t>
  </si>
  <si>
    <t>(4,5 × 25 mm; 200 stk/pk)</t>
  </si>
  <si>
    <t>(4,5 × 25 mm; 200 kom/pak)</t>
  </si>
  <si>
    <t>(4,5 × 25 mm; 200 Stk./Pkt; blank)</t>
  </si>
  <si>
    <t>(4.5 × 25 mm; 200 pcs/pkg; plain)</t>
  </si>
  <si>
    <t>(4,5 × 25 mm; 200 pcs/pqt; brut</t>
  </si>
  <si>
    <t>(4,5 × 25 mm; 200 pz/conf; grezzo)</t>
  </si>
  <si>
    <t>(4,5 × 25 mm; 200 ks/bal; bez povrchu)</t>
  </si>
  <si>
    <t>(4,5 × 25 mm; 200 szt/opak; surowy)</t>
  </si>
  <si>
    <t>(4,5 × 25 mm; 200 db/cs; natúr)</t>
  </si>
  <si>
    <t>(4,5 × 25 mm; 200 ks/bal; bez úpravy)</t>
  </si>
  <si>
    <t>(4,5 × 25 mm; 200 st/plt; blank)</t>
  </si>
  <si>
    <t>(4,5 × 25 mm; 200 kos/pak; surovo)</t>
  </si>
  <si>
    <t>(4,5 × 25 mm; 200 st/fp; obehandlad)</t>
  </si>
  <si>
    <t>(4,5 × 25 mm; 200 stk/pak; rå)</t>
  </si>
  <si>
    <t>(4,5 × 25 mm; 200 stk/pk; ubehandlet)</t>
  </si>
  <si>
    <t>(4,5 × 25 mm; 200 kom/pak; neobrađeno)</t>
  </si>
  <si>
    <t>modell</t>
  </si>
  <si>
    <t>glatt / stucco</t>
  </si>
  <si>
    <t>7/7; 7/9; 7/11</t>
  </si>
  <si>
    <t>7/14; 7/16</t>
  </si>
  <si>
    <t>9/7; 9/9; 9/11</t>
  </si>
  <si>
    <t>9/14; 9/16</t>
  </si>
  <si>
    <t>11/7; 11/9; 11/11; 11/14; 11/16</t>
  </si>
  <si>
    <t>13/7; 13/9; 13/14</t>
  </si>
  <si>
    <t>Universaleinfassung (2-teilig); stucco; ⌀ 40–120 mm</t>
  </si>
  <si>
    <t>universal vent pipe cover (two parts), stucco, Ø 40–120 mm</t>
  </si>
  <si>
    <t>raccordement universel (deux éléments) ; stucco; ⌀ 40-120 mm</t>
  </si>
  <si>
    <t>Conversa universale, 2pezzi, goffrata, per tubi Ø 40 - 120 mm</t>
  </si>
  <si>
    <t>Univerzální prostup 2 dílný, stucco, Ø 40 - 120 mm</t>
  </si>
  <si>
    <t>element uniwersalny wentylacyjny dwuczęściowy, stucco, Ø 40–120 mm</t>
  </si>
  <si>
    <t>univerzális kivezető elem, 2-részes, stukkó, Ø 40 - 120 mm</t>
  </si>
  <si>
    <t>univerzálny prestupový prvok, 2 dielny, stucco, Ø 40 - 120 mm</t>
  </si>
  <si>
    <t>universele omlijsting 2-delig, stucco, Ø 40 - 120 mm</t>
  </si>
  <si>
    <t>univerzalna dvodelna prehodna plošča, stucco premer 40 - 120 mm</t>
  </si>
  <si>
    <t>universalinfattning i två delar, stuckatur, Ø 40-120 mm</t>
  </si>
  <si>
    <t>indfatningsplade todelt, stucco, Ø 40 - 120 mm</t>
  </si>
  <si>
    <t>universalinnfatning 2-delt, stucco, Ø 40 - 120 mm</t>
  </si>
  <si>
    <t>Univerzalni opšav (2-dijelni); stucco; ⌀ 40–120 mm</t>
  </si>
  <si>
    <t>Flashing plate for FX.12; smooth; ⌀ 80–125 mm</t>
  </si>
  <si>
    <t>Plaque d'encadrement pour FX.12; lisse; ⌀ 80–125 mm</t>
  </si>
  <si>
    <t>Piastra di raccordo per FX.12; liscia; ⌀ 80–125 mm</t>
  </si>
  <si>
    <t>Lemovací deska pro FX.12; hladká; ⌀ 80–125 mm</t>
  </si>
  <si>
    <t>Płyta obróbkowa do FX.12; gładka; ⌀ 80–125 mm</t>
  </si>
  <si>
    <t>Szegélylemez FX.12-hez; sima; ⌀ 80–125 mm</t>
  </si>
  <si>
    <t>Lemovacia doska pre FX.12; hladká; ⌀ 80–125 mm</t>
  </si>
  <si>
    <t>Afwerkingsplaat voor FX.12; glad; ⌀ 80–125 mm</t>
  </si>
  <si>
    <t>Plošča za obrobo za FX.12; gladka; ⌀ 80–125 mm</t>
  </si>
  <si>
    <t>Inpassningsplatta för FX.12; slät; ⌀ 80–125 mm</t>
  </si>
  <si>
    <t>Inddækningsplade til FX.12; glat; ⌀ 80–125 mm</t>
  </si>
  <si>
    <t>Innrammingsplate for FX.12; glatt; ⌀ 80–125 mm</t>
  </si>
  <si>
    <t>Obloga ploča za FX.12; glatka; ⌀ 80–125 mm</t>
  </si>
  <si>
    <t>Einfassungsplatte für FX.12; glatt; ⌀ 80–125 mm</t>
  </si>
  <si>
    <t>Einfassungsplatte für Dachplatte R.16; Stucco; ⌀ 80–125 mm</t>
  </si>
  <si>
    <t>Flashing plate for roof panel R.16; stucco; ⌀ 80–125 mm</t>
  </si>
  <si>
    <t>Plaque d'encadrement pour panneau de toit R.16; stucco; ⌀ 80–125 mm</t>
  </si>
  <si>
    <t>Piastra di raccordo per pannello R.16; stucco; ⌀ 80–125 mm</t>
  </si>
  <si>
    <t>Lemovací deska pro střešní panel R.16; stucco; ⌀ 80–125 mm</t>
  </si>
  <si>
    <t>Płyta obróbkowa do panela dachowego R.16; stucco; ⌀ 80–125 mm</t>
  </si>
  <si>
    <t>Szegélylemez R.16 tetőpanelhez; stucco; ⌀ 80–125 mm</t>
  </si>
  <si>
    <t>Lemovacia doska pre strešný panel R.16; stucco; ⌀ 80–125 mm</t>
  </si>
  <si>
    <t>Afwerkingsplaat voor dakpaneel R.16; stucco; ⌀ 80–125 mm</t>
  </si>
  <si>
    <t>Plošča za obrobo za strešno ploščo R.16; stucco; ⌀ 80–125 mm</t>
  </si>
  <si>
    <t>Inpassningsplatta för takpanel R.16; stucco; ⌀ 80–125 mm</t>
  </si>
  <si>
    <t>Inddækningsplade til tagpanel R.16; stucco; ⌀ 80–125 mm</t>
  </si>
  <si>
    <t>Innrammingsplate for takpanel R.16; stucco; ⌀ 80–125 mm</t>
  </si>
  <si>
    <t>Obloga ploča za R.16 krovnu ploču; stucco; ⌀ 80–125 mm</t>
  </si>
  <si>
    <t>Ziegel-/Oxydrot</t>
  </si>
  <si>
    <t>Froschmaulluke glatt für FX.12 groß</t>
  </si>
  <si>
    <t>Frog-mouth vent, smooth, for FX.12, large</t>
  </si>
  <si>
    <t>Chatière lisse pour FX.12, grande</t>
  </si>
  <si>
    <t>Bocchetta aerazione liscia per FX.12, grande</t>
  </si>
  <si>
    <t>Odvětrávací otvor hladký pro FX.12, velký</t>
  </si>
  <si>
    <t>Wywietrznik gładki dla FX.12, duży</t>
  </si>
  <si>
    <t>Szellőzőnyílás sima FX.12-hez, nagy</t>
  </si>
  <si>
    <t>Odvetrávacia mriežka hladká pre FX.12, veľká</t>
  </si>
  <si>
    <t>verluchtingskap met kikkerbekluik glad voor dakschindel 420 x 240 mm
Ventilatiediameter ca. 30 cm²</t>
  </si>
  <si>
    <t>Prezračevalna odprtina gladka za FX.12, velika</t>
  </si>
  <si>
    <t>Ventilation, slät, för FX.12, stor</t>
  </si>
  <si>
    <t>Udluftning glat til FX.12, stor</t>
  </si>
  <si>
    <t>Ventilasjon, glatt, for FX.12, stor</t>
  </si>
  <si>
    <t>Otvor za ventilaciju gladak za FX.12, velik</t>
  </si>
  <si>
    <t>Froschmaulluke glatt für FX.12 klein</t>
  </si>
  <si>
    <t>Frog-mouth vent, smooth, for FX.12, small</t>
  </si>
  <si>
    <t>Chatière lisse pour FX.12, petite</t>
  </si>
  <si>
    <t>Bocchetta aerazione liscia per FX.12, piccola</t>
  </si>
  <si>
    <t>Odvětrávací otvor hladký pro FX.12, malý</t>
  </si>
  <si>
    <t>Wywietrznik gładki dla FX.12, mały</t>
  </si>
  <si>
    <t>Szellőzőnyílás sima FX.12-hez, kicsi</t>
  </si>
  <si>
    <t>Odvetrávacia mriežka hladká pre FX.12, malá</t>
  </si>
  <si>
    <t>Prezračevalna odprtina gladka za FX.12, majhna</t>
  </si>
  <si>
    <t>Ventilation, slät, för FX.12, liten</t>
  </si>
  <si>
    <t>Udluftning glat til FX.12, lille</t>
  </si>
  <si>
    <t>Ventilasjon, glatt, for FX.12, liten</t>
  </si>
  <si>
    <t>Otvor za ventilaciju gladak za FX.12, malen</t>
  </si>
  <si>
    <t>P10 Prefabronze</t>
  </si>
  <si>
    <t>auswahl</t>
  </si>
  <si>
    <t>Magazinschrauber für Hafte geschraubt; exkl. Akkus und Ladegerät</t>
  </si>
  <si>
    <t>Magazinschrauber für Hafte geschraubt; inkl. Akkus und Ladegerät</t>
  </si>
  <si>
    <t>Magazine screwdriver for clips screwed; including batteries and charger</t>
  </si>
  <si>
    <t>Magazine screwdriver for clips screwed; excluding batteries and charger</t>
  </si>
  <si>
    <t>Tournevis de magazine pour pattes de fixation vissé; incluant les piles et le chargeur</t>
  </si>
  <si>
    <t>Tournevis de magazine pour pattes de fixation vissé; excluant les piles et le chargeur</t>
  </si>
  <si>
    <t>Avvitatore con caricatore viti per Graffette avvitate; incluse batterie e caricabatterie</t>
  </si>
  <si>
    <t>Avvitatore con caricatore viti per Graffette avvitate; escluse batterie e caricabatterie</t>
  </si>
  <si>
    <t>Časopisový šroubovák pro příponky šroubovaný; včetně baterií a nabíječky</t>
  </si>
  <si>
    <t>Časopisový šroubovák pro příponky šroubovaný; bez baterií a nabíječky</t>
  </si>
  <si>
    <t>Śrubokręt magazynowy do Zaczep przykręcony; w tym baterie i ładowarka</t>
  </si>
  <si>
    <t>Śrubokręt magazynowy do Zaczep przykręcony; bez baterii i ładowarki</t>
  </si>
  <si>
    <t>Magazin csavarhúzóhoz Hafter becsavart; akkumulátorokkal és töltővel együtt</t>
  </si>
  <si>
    <t>Magazin csavarhúzóhoz Hafter becsavart; akkumulátorok és töltő nélkül</t>
  </si>
  <si>
    <t>Magazínový skrutkovač pre príponky skrutkovaný; vrátane batérií a nabíjačky</t>
  </si>
  <si>
    <t>Magazínový skrutkovač pre príponky skrutkovaný; bez batérií a nabíjačky</t>
  </si>
  <si>
    <t>Magazineschroevendraaier voor Schachten vastgeschroefd; inclusief batterijen en oplader</t>
  </si>
  <si>
    <t>Magazineschroevendraaier voor Schachten vastgeschroefd; exclusief batterijen en oplader</t>
  </si>
  <si>
    <t>Vijak za revijo za Pritrditev privezan z vijaki; vključno z baterijami in polnilnikom</t>
  </si>
  <si>
    <t>Vijak za revijo za Pritrditev privezan z vijaki; brez baterij in polnilnika</t>
  </si>
  <si>
    <t>Magasinskruvdragare för fästen skruvad; inklusive batterier och laddare</t>
  </si>
  <si>
    <t>Magasinskruvdragare för fästen skruvad; exklusive batterier och laddare</t>
  </si>
  <si>
    <t>Magasinskruetrækker til Hæftning skruet; inklusive batterier og oplader</t>
  </si>
  <si>
    <t>Magasinskruetrækker til Hæftning skruet; eksklusive batterier og oplader</t>
  </si>
  <si>
    <t>Magasinskruetrekker for Hefte skrudd; inkludert batterier og lader</t>
  </si>
  <si>
    <t>Magasinskruetrekker for Hefte skrudd; uten batterier og lader</t>
  </si>
  <si>
    <t>Magazinski odvijač za Učvršćivači sjeban; uključujući baterije i punjač</t>
  </si>
  <si>
    <t>Magazinski odvijač za Učvršćivači sjeban; bez baterija i punjača</t>
  </si>
  <si>
    <t>4,5 x 25 mm</t>
  </si>
  <si>
    <t>4,5 x 30 mm</t>
  </si>
  <si>
    <t>4,5x30mm</t>
  </si>
  <si>
    <t>4,5x25mm</t>
  </si>
  <si>
    <t>Ø6mm x 282mm</t>
  </si>
  <si>
    <t>Klebeeinfassung für Falzdächer (⌀ 50–80 mm)</t>
  </si>
  <si>
    <t>bonded vent pipe cover for standing seam roofs (⌀ 50–80 mm)</t>
  </si>
  <si>
    <t>raccordement de ventilation à coller pour toitures à joints debout (⌀ 50-80 mm)</t>
  </si>
  <si>
    <t>Conversa per torretta aerazione, da incollare, per coperture aggraffate Ø 50-80 mm</t>
  </si>
  <si>
    <t>Nalepovací prostup pro falcované střechy Ø 50-80 mm</t>
  </si>
  <si>
    <t>Uchwyt przeklejany do dachów na rąbek stojący ⌀ 50–80 mm</t>
  </si>
  <si>
    <t>átvezető elem korcolt fedéshez ragasztós Ø 50-80 mm</t>
  </si>
  <si>
    <t>nalepovací prestupový prvok pre falcované strechy Ø 50-80 mm</t>
  </si>
  <si>
    <t>hechtingomlijsting voor felsdaken ⌀ 50 – 80 mm</t>
  </si>
  <si>
    <t>obroba za lepljenje za zgibne strehe Ø50-80</t>
  </si>
  <si>
    <t>liminfattning för falsade tak ⌀ 50-80 mm</t>
  </si>
  <si>
    <t>klæbeindfatning til falstage ⌀ 50-80 mm</t>
  </si>
  <si>
    <t>limt innfatning for falsede tak ⌀ 50-80 mm</t>
  </si>
  <si>
    <t>Lijepljena podloga za falcane krovove (⌀ 50–80 mm)</t>
  </si>
  <si>
    <t>Klebeeinfassung für Falzdächer (⌀ 80–120 mm)</t>
  </si>
  <si>
    <t>bonded vent pipe cover for standing seam roofs (⌀ 80–120 mm)</t>
  </si>
  <si>
    <t>raccordement de ventilation à coller pour toitures à joints debout (⌀ 80-120 mm)</t>
  </si>
  <si>
    <t>Conversa per torretta aerazione, da incollare, per coperture aggraffate Ø 80-120 mm</t>
  </si>
  <si>
    <t>Nalepovací prostup pro falcované střechy Ø 80-120 mm</t>
  </si>
  <si>
    <t>Uchwyt przeklejany do dachów na rąbek stojący ⌀ 80–120 mm</t>
  </si>
  <si>
    <t>átvezető elem korcolt fedéshez ragasztós Ø 80-120 mm</t>
  </si>
  <si>
    <t>nalepovací prestupový prvok pre falcované strechy Ø 80-120 mm</t>
  </si>
  <si>
    <t>hechtingomlijsting voor felsdaken ⌀ 80 – 120 mm</t>
  </si>
  <si>
    <t>obroba za lepljenje za zgibne strehe Ø80-120</t>
  </si>
  <si>
    <t>liminfattning för falsade tak ⌀ 80-120 mm</t>
  </si>
  <si>
    <t>klæbeindfatning til falstage ⌀ 80-120 mm</t>
  </si>
  <si>
    <t>limt innfatning for falsede tak ⌀ 80-120 mm</t>
  </si>
  <si>
    <t>Lijepljena podloga za falcane krovove (⌀ 80–120 mm)</t>
  </si>
  <si>
    <t>Dachlukendeckel (Nennmaß: 600mm x 600mm)</t>
  </si>
  <si>
    <t>Roof hatch cover (nominal dimension: 600mm x 600mm)</t>
  </si>
  <si>
    <t>Couvercle de trappe de toit (dimension nominale : 600mm x 600mm)</t>
  </si>
  <si>
    <t>Coperchio del lucernario (dimensione nominale: 600mm x 600mm)</t>
  </si>
  <si>
    <t>Kryt střešního poklopu (jmenovitý rozměr: 600mm x 600mm)</t>
  </si>
  <si>
    <t>Pokrywa włazu dachowego (wymiary nominalne: 600mm x 600mm)</t>
  </si>
  <si>
    <t>Tetőnyílás fedél (névleges méret: 600mm x 600mm)</t>
  </si>
  <si>
    <t>Kryt strešného poklopu (menovitý rozmer: 600mm x 600mm)</t>
  </si>
  <si>
    <t>Dakluikdeksel (nominale afmeting: 600mm x 600mm)</t>
  </si>
  <si>
    <t>Pokrov strešnega jaška (nominalna dimenzija: 600mm x 600mm)</t>
  </si>
  <si>
    <t>Takluckans lock (nominell dimension: 600mm x 600mm)</t>
  </si>
  <si>
    <t>Tagluke låg (nominelle dimension: 600mm x 600mm)</t>
  </si>
  <si>
    <t>Takluke deksel (nominelle dimensjon: 600mm x 600mm)</t>
  </si>
  <si>
    <t>Poklopac krovnog otvora (nominalna dimenzija: 600mm x 600mm)</t>
  </si>
  <si>
    <t>(Mindestabnahme: 25 Tafeln)</t>
  </si>
  <si>
    <t>(Minimum order: 25 sheets)</t>
  </si>
  <si>
    <t>(Commande minimum: 25 panneaux)</t>
  </si>
  <si>
    <t>(Quantità minima: 25 pannelli)</t>
  </si>
  <si>
    <t>(Minimální odběr: 25 plechů)</t>
  </si>
  <si>
    <t>(Minimalne zamówienie: 25 arkuszy)</t>
  </si>
  <si>
    <t>(Minimális rendelés: 25 lemez)</t>
  </si>
  <si>
    <t>(Minimálny odber: 25 tabúľ)</t>
  </si>
  <si>
    <t>(Minimale afname: 25 platen)</t>
  </si>
  <si>
    <t>(Minimalno naročilo: 25 plošč)</t>
  </si>
  <si>
    <t>(Minsta beställning: 25 plåtar)</t>
  </si>
  <si>
    <t>(Minimumsordre: 25 plader)</t>
  </si>
  <si>
    <t>(Minimumsbestilling: 25 plater)</t>
  </si>
  <si>
    <t>(Minimalna narudžba: 25 ploča)</t>
  </si>
  <si>
    <t>100 ⌀ × 2950 mm</t>
  </si>
  <si>
    <t>100 ⌀ × 2950 mm</t>
  </si>
  <si>
    <t>ø100 x 2950 mm</t>
  </si>
  <si>
    <t>100 ø x 2950 mm</t>
  </si>
  <si>
    <t>⌀ 100 × 2950 mm</t>
  </si>
  <si>
    <t>100 ø × 2950 mm</t>
  </si>
  <si>
    <t>ziegelrot</t>
  </si>
  <si>
    <t>oxydrot</t>
  </si>
  <si>
    <t>zinkgrau</t>
  </si>
  <si>
    <t>silbermetallic</t>
  </si>
  <si>
    <t>naturblank</t>
  </si>
  <si>
    <t>k</t>
  </si>
  <si>
    <t>54 x 78 - 05/07</t>
  </si>
  <si>
    <t>54 x 98 - 05/09</t>
  </si>
  <si>
    <t>54 x 118 - 05/11</t>
  </si>
  <si>
    <t>65 x 98 - 06/09</t>
  </si>
  <si>
    <t>65 x 118 - 06/11</t>
  </si>
  <si>
    <t>65 x 140 - 06/14</t>
  </si>
  <si>
    <t>74 x 78 - 07/07</t>
  </si>
  <si>
    <t>74 x 98 - 07/09</t>
  </si>
  <si>
    <t>74 x 118 - 07/11</t>
  </si>
  <si>
    <t>74 x 140 - 07/14</t>
  </si>
  <si>
    <t>74 x 160 - 07/16</t>
  </si>
  <si>
    <t>94 x 78 - 09/07</t>
  </si>
  <si>
    <t>94 x 98 - 09/09</t>
  </si>
  <si>
    <t>94 x 118 - 09/11</t>
  </si>
  <si>
    <t>94 x 140 - 09/14</t>
  </si>
  <si>
    <t>94 x 160 - 09/16</t>
  </si>
  <si>
    <t>114 x 78 - 11/07</t>
  </si>
  <si>
    <t>114 x 98 - 11/09</t>
  </si>
  <si>
    <t>114 x 118 - 11/11</t>
  </si>
  <si>
    <t>114 x 140 - 11/14</t>
  </si>
  <si>
    <t>114 x 160 - 11/16</t>
  </si>
  <si>
    <t>134 x 78 - 13/07</t>
  </si>
  <si>
    <t>134 x 98 - 13/09</t>
  </si>
  <si>
    <t>134 x 140 - 13/14</t>
  </si>
  <si>
    <t>BITTE WÄHLEN</t>
  </si>
  <si>
    <t>550 x 774 - Q55/78</t>
  </si>
  <si>
    <t>550 x 974 - Q55/98</t>
  </si>
  <si>
    <t>550 x 1.174 - Q55/118</t>
  </si>
  <si>
    <t>660 x 974 - Q66/98</t>
  </si>
  <si>
    <t>660 x 1.174 - Q66/118</t>
  </si>
  <si>
    <t>660 x 1.394 - Q66/140</t>
  </si>
  <si>
    <t>780 x 774 - Q78/78</t>
  </si>
  <si>
    <t>780 x 974 - Q78/98</t>
  </si>
  <si>
    <t>780 x 1.174 - Q78/118</t>
  </si>
  <si>
    <t>780 x 1.394 - Q78/140</t>
  </si>
  <si>
    <t>780 x 1.596 - Q78/160</t>
  </si>
  <si>
    <t>940 x 774 - Q94/78</t>
  </si>
  <si>
    <t>940 x 974 - Q94/98</t>
  </si>
  <si>
    <t>940 x 1.174 - Q94/118</t>
  </si>
  <si>
    <t>940 x 1.394 - Q94/140</t>
  </si>
  <si>
    <t>940 x 1.596 - Q94/160</t>
  </si>
  <si>
    <t>940 x 1.796 - Q94/180</t>
  </si>
  <si>
    <t>1.140 x 774 - Q114/78</t>
  </si>
  <si>
    <t>1.140 x 974 - Q114/98</t>
  </si>
  <si>
    <t>1.140 x 1.174 - Q114/118</t>
  </si>
  <si>
    <t>1.140 x 1.394 - Q114/140</t>
  </si>
  <si>
    <t>1.140 x 1.596 - Q114/160</t>
  </si>
  <si>
    <t>1.140 x 1.796 - Q114/180</t>
  </si>
  <si>
    <t>1.340 x 774 - Q134/78</t>
  </si>
  <si>
    <t>1.340 x 974 - Q134/98</t>
  </si>
  <si>
    <t>1.340 x 1.174 - Q134/118</t>
  </si>
  <si>
    <t>1.340 x 1.394 - Q134/140</t>
  </si>
  <si>
    <t>1.340 x 1.596 - Q134/160</t>
  </si>
  <si>
    <t>Ablaufdiension</t>
  </si>
  <si>
    <t>400x100</t>
  </si>
  <si>
    <t>Rinnen Dimension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</si>
</sst>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0.00000000000000"/>
    <numFmt numFmtId="165" formatCode="000000"/>
  </numFmts>
  <fonts count="60">
    <font>
      <sz val="11"/>
      <color theme="1"/>
      <name val="Calibri"/>
      <family val="2"/>
      <scheme val="minor"/>
    </font>
    <font>
      <sz val="11"/>
      <color theme="1"/>
      <name val="Arial"/>
      <family val="2"/>
    </font>
    <font>
      <b/>
      <sz val="22"/>
      <color rgb="FFFF0000"/>
      <name val="Arial"/>
      <family val="2"/>
    </font>
    <font>
      <sz val="10"/>
      <color theme="1"/>
      <name val="Arial"/>
      <family val="2"/>
    </font>
    <font>
      <b/>
      <sz val="11"/>
      <color theme="1"/>
      <name val="Arial"/>
      <family val="2"/>
    </font>
    <font>
      <sz val="9"/>
      <color theme="1"/>
      <name val="Arial"/>
      <family val="2"/>
    </font>
    <font>
      <sz val="11"/>
      <color theme="0"/>
      <name val="Arial"/>
      <family val="2"/>
    </font>
    <font>
      <sz val="10"/>
      <name val="Slimbach LT"/>
    </font>
    <font>
      <sz val="10"/>
      <color theme="0"/>
      <name val="Arial"/>
      <family val="2"/>
    </font>
    <font>
      <b/>
      <u/>
      <sz val="9"/>
      <color theme="1"/>
      <name val="Arial"/>
      <family val="2"/>
    </font>
    <font>
      <b/>
      <sz val="9"/>
      <color theme="1"/>
      <name val="Arial"/>
      <family val="2"/>
    </font>
    <font>
      <sz val="11"/>
      <name val="Arial"/>
      <family val="2"/>
    </font>
    <font>
      <sz val="11"/>
      <name val="Calibri"/>
      <family val="2"/>
      <scheme val="minor"/>
    </font>
    <font>
      <sz val="9"/>
      <name val="Slimbach LT"/>
    </font>
    <font>
      <sz val="9"/>
      <color theme="0"/>
      <name val="Arial"/>
      <family val="2"/>
    </font>
    <font>
      <b/>
      <u/>
      <sz val="9"/>
      <color theme="0"/>
      <name val="Arial"/>
      <family val="2"/>
    </font>
    <font>
      <sz val="11"/>
      <color theme="1"/>
      <name val="Arial Narrow"/>
      <family val="2"/>
    </font>
    <font>
      <sz val="13"/>
      <color theme="1"/>
      <name val="Calibri"/>
      <family val="2"/>
      <scheme val="minor"/>
    </font>
    <font>
      <sz val="13"/>
      <color theme="0"/>
      <name val="Calibri"/>
      <family val="2"/>
      <scheme val="minor"/>
    </font>
    <font>
      <sz val="13"/>
      <name val="Calibri"/>
      <family val="2"/>
      <scheme val="minor"/>
    </font>
    <font>
      <sz val="13"/>
      <color theme="0" tint="-0.34998626667073579"/>
      <name val="Calibri"/>
      <family val="2"/>
      <scheme val="minor"/>
    </font>
    <font>
      <b/>
      <sz val="13"/>
      <color theme="1"/>
      <name val="Calibri"/>
      <family val="2"/>
      <scheme val="minor"/>
    </font>
    <font>
      <b/>
      <u/>
      <sz val="13"/>
      <color theme="1"/>
      <name val="Calibri"/>
      <family val="2"/>
      <scheme val="minor"/>
    </font>
    <font>
      <sz val="11"/>
      <color theme="1"/>
      <name val="Calibri"/>
      <family val="2"/>
    </font>
    <font>
      <sz val="11"/>
      <color theme="0" tint="-0.34998626667073579"/>
      <name val="Calibri"/>
      <family val="2"/>
      <scheme val="minor"/>
    </font>
    <font>
      <sz val="8"/>
      <color theme="1"/>
      <name val="Calibri"/>
      <family val="2"/>
      <scheme val="minor"/>
    </font>
    <font>
      <sz val="9"/>
      <name val="Arial"/>
      <family val="2"/>
    </font>
    <font>
      <sz val="9"/>
      <color rgb="FFFF0000"/>
      <name val="Arial"/>
      <family val="2"/>
    </font>
    <font>
      <b/>
      <sz val="10"/>
      <name val="Slimbach LT"/>
    </font>
    <font>
      <b/>
      <sz val="9"/>
      <name val="Arial"/>
      <family val="2"/>
    </font>
    <font>
      <sz val="10"/>
      <color theme="0"/>
      <name val="Calibri"/>
      <family val="2"/>
      <scheme val="minor"/>
    </font>
    <font>
      <sz val="11"/>
      <color theme="0"/>
      <name val="Calibri"/>
      <family val="2"/>
      <scheme val="minor"/>
    </font>
    <font>
      <sz val="10"/>
      <color rgb="FFFF0000"/>
      <name val="Arial"/>
      <family val="2"/>
    </font>
    <font>
      <sz val="10"/>
      <name val="Arial"/>
      <family val="2"/>
    </font>
    <font>
      <vertAlign val="superscript"/>
      <sz val="11"/>
      <color indexed="8"/>
      <name val="Arial"/>
      <family val="2"/>
    </font>
    <font>
      <sz val="11"/>
      <color indexed="8"/>
      <name val="Arial"/>
      <family val="2"/>
    </font>
    <font>
      <sz val="11"/>
      <color rgb="FF000000"/>
      <name val="Arial"/>
      <family val="2"/>
    </font>
    <font>
      <vertAlign val="superscript"/>
      <sz val="11"/>
      <color rgb="FF000000"/>
      <name val="Arial"/>
      <family val="2"/>
    </font>
    <font>
      <vertAlign val="subscript"/>
      <sz val="11"/>
      <name val="Arial"/>
      <family val="2"/>
    </font>
    <font>
      <vertAlign val="subscript"/>
      <sz val="11"/>
      <color theme="1"/>
      <name val="Arial"/>
      <family val="2"/>
    </font>
    <font>
      <b/>
      <sz val="9"/>
      <color indexed="81"/>
      <name val="Segoe UI"/>
      <family val="2"/>
    </font>
    <font>
      <sz val="11"/>
      <color theme="1"/>
      <name val="Calibri"/>
      <family val="2"/>
      <scheme val="minor"/>
    </font>
    <font>
      <sz val="13"/>
      <color rgb="FFFF0000"/>
      <name val="Calibri"/>
      <family val="2"/>
      <scheme val="minor"/>
    </font>
    <font>
      <sz val="8"/>
      <name val="Calibri"/>
      <family val="2"/>
      <scheme val="minor"/>
    </font>
    <font>
      <sz val="13"/>
      <color theme="1" tint="4.9989318521683403E-2"/>
      <name val="Calibri"/>
      <family val="2"/>
      <scheme val="minor"/>
    </font>
    <font>
      <sz val="11"/>
      <color rgb="FFFF0000"/>
      <name val="Arial"/>
      <family val="2"/>
    </font>
    <font>
      <sz val="11"/>
      <color rgb="FF00B0F0"/>
      <name val="Arial"/>
      <family val="2"/>
    </font>
    <font>
      <sz val="11"/>
      <name val="Calibri"/>
      <family val="2"/>
    </font>
    <font>
      <vertAlign val="superscript"/>
      <sz val="11"/>
      <color theme="1"/>
      <name val="Arial"/>
      <family val="2"/>
    </font>
    <font>
      <sz val="11"/>
      <color rgb="FFFFFF00"/>
      <name val="Arial"/>
      <family val="2"/>
    </font>
    <font>
      <vertAlign val="subscript"/>
      <sz val="11"/>
      <color rgb="FF000000"/>
      <name val="Arial"/>
      <family val="2"/>
    </font>
    <font>
      <sz val="11"/>
      <color theme="1"/>
      <name val="Aptos Narrow"/>
      <family val="2"/>
    </font>
    <font>
      <sz val="13"/>
      <color theme="1"/>
      <name val="Aptos Narrow"/>
      <family val="2"/>
    </font>
    <font>
      <sz val="13"/>
      <color theme="1"/>
      <name val="Calibri"/>
      <family val="2"/>
    </font>
    <font>
      <sz val="10"/>
      <color rgb="FF000000"/>
      <name val="Arial"/>
      <family val="2"/>
    </font>
    <font>
      <b/>
      <sz val="11"/>
      <color theme="1"/>
      <name val="Calibri"/>
      <family val="2"/>
      <scheme val="minor"/>
    </font>
    <font>
      <b/>
      <sz val="11"/>
      <color theme="1"/>
      <name val="Calibri"/>
      <family val="2"/>
    </font>
    <font>
      <sz val="11"/>
      <color theme="0" tint="-0.14999847407452621"/>
      <name val="Calibri"/>
      <family val="2"/>
      <scheme val="minor"/>
    </font>
    <font>
      <sz val="14"/>
      <color theme="1"/>
      <name val="Aptos"/>
      <family val="2"/>
    </font>
    <font>
      <sz val="11"/>
      <color theme="2" tint="-0.249977111117893"/>
      <name val="Arial"/>
      <family val="2"/>
    </font>
  </fonts>
  <fills count="34">
    <fill>
      <patternFill patternType="none"/>
    </fill>
    <fill>
      <patternFill patternType="gray125"/>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rgb="FFFE62D5"/>
        <bgColor indexed="64"/>
      </patternFill>
    </fill>
    <fill>
      <patternFill patternType="solid">
        <fgColor rgb="FF66FF99"/>
        <bgColor indexed="64"/>
      </patternFill>
    </fill>
    <fill>
      <patternFill patternType="solid">
        <fgColor rgb="FFB07BD7"/>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FFD5FF"/>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C4D79B"/>
        <bgColor indexed="64"/>
      </patternFill>
    </fill>
    <fill>
      <patternFill patternType="solid">
        <fgColor theme="8" tint="0.59999389629810485"/>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top/>
      <bottom style="dotted">
        <color auto="1"/>
      </bottom>
      <diagonal/>
    </border>
    <border>
      <left/>
      <right/>
      <top style="dotted">
        <color auto="1"/>
      </top>
      <bottom/>
      <diagonal/>
    </border>
    <border>
      <left/>
      <right/>
      <top style="medium">
        <color indexed="64"/>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hair">
        <color indexed="64"/>
      </right>
      <top style="medium">
        <color indexed="64"/>
      </top>
      <bottom style="thin">
        <color indexed="64"/>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top style="thin">
        <color theme="0" tint="-0.34998626667073579"/>
      </top>
      <bottom/>
      <diagonal/>
    </border>
    <border>
      <left/>
      <right style="thin">
        <color indexed="64"/>
      </right>
      <top style="thin">
        <color theme="0" tint="-0.34998626667073579"/>
      </top>
      <bottom/>
      <diagonal/>
    </border>
    <border>
      <left/>
      <right style="hair">
        <color indexed="64"/>
      </right>
      <top/>
      <bottom/>
      <diagonal/>
    </border>
    <border>
      <left style="thin">
        <color auto="1"/>
      </left>
      <right style="thin">
        <color auto="1"/>
      </right>
      <top/>
      <bottom/>
      <diagonal/>
    </border>
    <border>
      <left/>
      <right style="hair">
        <color indexed="64"/>
      </right>
      <top/>
      <bottom style="thin">
        <color indexed="64"/>
      </bottom>
      <diagonal/>
    </border>
    <border>
      <left/>
      <right style="hair">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auto="1"/>
      </top>
      <bottom style="thin">
        <color auto="1"/>
      </bottom>
      <diagonal/>
    </border>
    <border>
      <left/>
      <right style="medium">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auto="1"/>
      </left>
      <right style="medium">
        <color auto="1"/>
      </right>
      <top/>
      <bottom style="medium">
        <color auto="1"/>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hair">
        <color indexed="64"/>
      </left>
      <right/>
      <top style="medium">
        <color indexed="64"/>
      </top>
      <bottom style="thin">
        <color indexed="64"/>
      </bottom>
      <diagonal/>
    </border>
    <border>
      <left style="hair">
        <color indexed="64"/>
      </left>
      <right/>
      <top style="medium">
        <color indexed="64"/>
      </top>
      <bottom/>
      <diagonal/>
    </border>
    <border>
      <left style="medium">
        <color indexed="64"/>
      </left>
      <right style="thin">
        <color indexed="64"/>
      </right>
      <top/>
      <bottom/>
      <diagonal/>
    </border>
    <border>
      <left style="hair">
        <color indexed="64"/>
      </left>
      <right/>
      <top/>
      <bottom style="thin">
        <color indexed="64"/>
      </bottom>
      <diagonal/>
    </border>
    <border>
      <left style="hair">
        <color indexed="64"/>
      </left>
      <right style="hair">
        <color indexed="64"/>
      </right>
      <top style="hair">
        <color indexed="64"/>
      </top>
      <bottom style="hair">
        <color indexed="64"/>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style="thin">
        <color auto="1"/>
      </bottom>
      <diagonal/>
    </border>
    <border>
      <left style="medium">
        <color indexed="64"/>
      </left>
      <right style="dashed">
        <color auto="1"/>
      </right>
      <top style="thin">
        <color auto="1"/>
      </top>
      <bottom style="dashed">
        <color auto="1"/>
      </bottom>
      <diagonal/>
    </border>
    <border>
      <left style="dashed">
        <color auto="1"/>
      </left>
      <right style="medium">
        <color indexed="64"/>
      </right>
      <top style="thin">
        <color auto="1"/>
      </top>
      <bottom style="dashed">
        <color auto="1"/>
      </bottom>
      <diagonal/>
    </border>
    <border>
      <left style="medium">
        <color indexed="64"/>
      </left>
      <right style="dashed">
        <color auto="1"/>
      </right>
      <top style="dashed">
        <color auto="1"/>
      </top>
      <bottom style="dashed">
        <color auto="1"/>
      </bottom>
      <diagonal/>
    </border>
    <border>
      <left style="dashed">
        <color auto="1"/>
      </left>
      <right style="medium">
        <color indexed="64"/>
      </right>
      <top style="dashed">
        <color auto="1"/>
      </top>
      <bottom style="dashed">
        <color auto="1"/>
      </bottom>
      <diagonal/>
    </border>
    <border>
      <left style="medium">
        <color indexed="64"/>
      </left>
      <right style="dashed">
        <color auto="1"/>
      </right>
      <top style="dashed">
        <color auto="1"/>
      </top>
      <bottom style="thin">
        <color auto="1"/>
      </bottom>
      <diagonal/>
    </border>
    <border>
      <left style="dashed">
        <color auto="1"/>
      </left>
      <right style="medium">
        <color indexed="64"/>
      </right>
      <top style="dashed">
        <color auto="1"/>
      </top>
      <bottom style="thin">
        <color auto="1"/>
      </bottom>
      <diagonal/>
    </border>
    <border>
      <left style="medium">
        <color indexed="64"/>
      </left>
      <right style="dashed">
        <color auto="1"/>
      </right>
      <top style="dashed">
        <color auto="1"/>
      </top>
      <bottom style="medium">
        <color indexed="64"/>
      </bottom>
      <diagonal/>
    </border>
    <border>
      <left style="dashed">
        <color auto="1"/>
      </left>
      <right style="dashed">
        <color auto="1"/>
      </right>
      <top style="dashed">
        <color auto="1"/>
      </top>
      <bottom style="medium">
        <color indexed="64"/>
      </bottom>
      <diagonal/>
    </border>
    <border>
      <left style="dashed">
        <color auto="1"/>
      </left>
      <right style="medium">
        <color indexed="64"/>
      </right>
      <top style="dashed">
        <color auto="1"/>
      </top>
      <bottom style="medium">
        <color indexed="64"/>
      </bottom>
      <diagonal/>
    </border>
    <border>
      <left style="medium">
        <color indexed="64"/>
      </left>
      <right/>
      <top style="medium">
        <color indexed="64"/>
      </top>
      <bottom/>
      <diagonal/>
    </border>
    <border>
      <left/>
      <right style="thick">
        <color indexed="64"/>
      </right>
      <top style="medium">
        <color indexed="64"/>
      </top>
      <bottom/>
      <diagonal/>
    </border>
    <border>
      <left style="medium">
        <color indexed="64"/>
      </left>
      <right/>
      <top/>
      <bottom style="medium">
        <color indexed="64"/>
      </bottom>
      <diagonal/>
    </border>
    <border>
      <left/>
      <right style="thick">
        <color indexed="64"/>
      </right>
      <top/>
      <bottom style="medium">
        <color indexed="64"/>
      </bottom>
      <diagonal/>
    </border>
    <border>
      <left/>
      <right style="medium">
        <color auto="1"/>
      </right>
      <top style="medium">
        <color indexed="64"/>
      </top>
      <bottom/>
      <diagonal/>
    </border>
    <border>
      <left/>
      <right style="medium">
        <color auto="1"/>
      </right>
      <top/>
      <bottom style="medium">
        <color auto="1"/>
      </bottom>
      <diagonal/>
    </border>
    <border>
      <left style="thick">
        <color indexed="64"/>
      </left>
      <right/>
      <top style="medium">
        <color indexed="64"/>
      </top>
      <bottom/>
      <diagonal/>
    </border>
    <border>
      <left style="thick">
        <color indexed="64"/>
      </left>
      <right/>
      <top/>
      <bottom style="medium">
        <color auto="1"/>
      </bottom>
      <diagonal/>
    </border>
    <border>
      <left style="thick">
        <color indexed="64"/>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style="medium">
        <color indexed="64"/>
      </bottom>
      <diagonal/>
    </border>
    <border>
      <left style="thick">
        <color indexed="64"/>
      </left>
      <right/>
      <top/>
      <bottom/>
      <diagonal/>
    </border>
    <border>
      <left style="thick">
        <color indexed="64"/>
      </left>
      <right style="thin">
        <color indexed="64"/>
      </right>
      <top/>
      <bottom style="thick">
        <color indexed="64"/>
      </bottom>
      <diagonal/>
    </border>
    <border>
      <left/>
      <right/>
      <top/>
      <bottom style="thick">
        <color indexed="64"/>
      </bottom>
      <diagonal/>
    </border>
    <border>
      <left style="thin">
        <color indexed="64"/>
      </left>
      <right style="thin">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medium">
        <color indexed="64"/>
      </top>
      <bottom style="thick">
        <color indexed="64"/>
      </bottom>
      <diagonal/>
    </border>
    <border>
      <left/>
      <right/>
      <top style="medium">
        <color indexed="64"/>
      </top>
      <bottom style="thick">
        <color indexed="64"/>
      </bottom>
      <diagonal/>
    </border>
    <border>
      <left/>
      <right style="medium">
        <color auto="1"/>
      </right>
      <top style="thin">
        <color auto="1"/>
      </top>
      <bottom/>
      <diagonal/>
    </border>
    <border>
      <left/>
      <right style="thick">
        <color indexed="64"/>
      </right>
      <top style="thin">
        <color indexed="64"/>
      </top>
      <bottom style="thin">
        <color indexed="64"/>
      </bottom>
      <diagonal/>
    </border>
  </borders>
  <cellStyleXfs count="2">
    <xf numFmtId="0" fontId="0" fillId="0" borderId="0"/>
    <xf numFmtId="44" fontId="41" fillId="0" borderId="0" applyFont="0" applyFill="0" applyBorder="0" applyAlignment="0" applyProtection="0"/>
  </cellStyleXfs>
  <cellXfs count="771">
    <xf numFmtId="0" fontId="0" fillId="0" borderId="0" xfId="0"/>
    <xf numFmtId="0" fontId="1" fillId="0" borderId="0" xfId="0" applyFont="1" applyAlignment="1">
      <alignment vertical="center"/>
    </xf>
    <xf numFmtId="0" fontId="2" fillId="0" borderId="0" xfId="0" applyFont="1" applyAlignment="1">
      <alignment horizontal="right" vertical="center"/>
    </xf>
    <xf numFmtId="0" fontId="4" fillId="0" borderId="0" xfId="0" applyFont="1" applyAlignment="1">
      <alignment horizontal="right" vertical="center"/>
    </xf>
    <xf numFmtId="0" fontId="3" fillId="0" borderId="0" xfId="0" applyFont="1" applyAlignment="1">
      <alignment horizontal="right" vertical="center"/>
    </xf>
    <xf numFmtId="0" fontId="6" fillId="0" borderId="0" xfId="0" applyFont="1" applyAlignment="1">
      <alignment vertical="center"/>
    </xf>
    <xf numFmtId="0" fontId="7" fillId="0" borderId="0" xfId="0" applyFont="1" applyAlignment="1">
      <alignment vertical="center"/>
    </xf>
    <xf numFmtId="0" fontId="7" fillId="0" borderId="22" xfId="0" applyFont="1" applyBorder="1" applyAlignment="1">
      <alignment vertical="center"/>
    </xf>
    <xf numFmtId="0" fontId="7" fillId="0" borderId="0" xfId="0" applyFont="1" applyAlignment="1">
      <alignment horizontal="center" vertical="center"/>
    </xf>
    <xf numFmtId="0" fontId="5"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xf>
    <xf numFmtId="0" fontId="1" fillId="0" borderId="3" xfId="0" applyFont="1" applyBorder="1" applyAlignment="1">
      <alignment vertical="center"/>
    </xf>
    <xf numFmtId="0" fontId="8" fillId="0" borderId="0" xfId="0" applyFont="1" applyAlignment="1">
      <alignment horizontal="right" vertical="center"/>
    </xf>
    <xf numFmtId="0" fontId="7" fillId="0" borderId="0" xfId="0" applyFont="1"/>
    <xf numFmtId="0" fontId="3" fillId="0" borderId="2" xfId="0" applyFont="1" applyBorder="1" applyAlignment="1">
      <alignment vertical="center"/>
    </xf>
    <xf numFmtId="0" fontId="3" fillId="0" borderId="3" xfId="0" applyFont="1" applyBorder="1" applyAlignment="1">
      <alignment horizontal="right" vertical="center"/>
    </xf>
    <xf numFmtId="0" fontId="1" fillId="0" borderId="0" xfId="0" applyFont="1" applyAlignment="1">
      <alignment horizontal="center" vertical="top"/>
    </xf>
    <xf numFmtId="0" fontId="0" fillId="0" borderId="0" xfId="0" applyAlignment="1">
      <alignment horizontal="center" vertical="center"/>
    </xf>
    <xf numFmtId="0" fontId="0" fillId="0" borderId="0" xfId="0" applyAlignment="1">
      <alignment vertical="center"/>
    </xf>
    <xf numFmtId="0" fontId="0" fillId="2" borderId="0" xfId="0" applyFill="1"/>
    <xf numFmtId="0" fontId="0" fillId="3" borderId="0" xfId="0" applyFill="1"/>
    <xf numFmtId="0" fontId="12" fillId="3" borderId="0" xfId="0" applyFont="1" applyFill="1"/>
    <xf numFmtId="0" fontId="7" fillId="3" borderId="0" xfId="0" applyFont="1" applyFill="1"/>
    <xf numFmtId="0" fontId="0" fillId="3" borderId="0" xfId="0" applyFill="1" applyAlignment="1">
      <alignment horizontal="left"/>
    </xf>
    <xf numFmtId="0" fontId="0" fillId="3" borderId="0" xfId="0" applyFill="1" applyAlignment="1">
      <alignment horizontal="left" vertical="center"/>
    </xf>
    <xf numFmtId="0" fontId="0" fillId="0" borderId="30" xfId="0" applyBorder="1"/>
    <xf numFmtId="0" fontId="0" fillId="0" borderId="31"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22" xfId="0" applyBorder="1"/>
    <xf numFmtId="0" fontId="0" fillId="0" borderId="41" xfId="0" applyBorder="1"/>
    <xf numFmtId="164" fontId="1" fillId="0" borderId="0" xfId="0" applyNumberFormat="1" applyFont="1" applyAlignment="1">
      <alignment vertical="center"/>
    </xf>
    <xf numFmtId="0" fontId="1" fillId="0" borderId="0" xfId="0" applyFont="1" applyAlignment="1">
      <alignment horizontal="left" vertical="center"/>
    </xf>
    <xf numFmtId="0" fontId="1" fillId="0" borderId="53" xfId="0" applyFont="1" applyBorder="1" applyAlignment="1">
      <alignment vertical="center"/>
    </xf>
    <xf numFmtId="0" fontId="1" fillId="0" borderId="54" xfId="0" applyFont="1" applyBorder="1" applyAlignment="1">
      <alignment vertical="center"/>
    </xf>
    <xf numFmtId="0" fontId="0" fillId="0" borderId="55" xfId="0" applyBorder="1"/>
    <xf numFmtId="0" fontId="0" fillId="0" borderId="53" xfId="0" applyBorder="1"/>
    <xf numFmtId="0" fontId="0" fillId="0" borderId="54" xfId="0" applyBorder="1"/>
    <xf numFmtId="0" fontId="0" fillId="0" borderId="0" xfId="0" applyAlignment="1">
      <alignment horizontal="right"/>
    </xf>
    <xf numFmtId="0" fontId="3" fillId="0" borderId="3" xfId="0" applyFont="1" applyBorder="1" applyAlignment="1">
      <alignment vertical="center"/>
    </xf>
    <xf numFmtId="165" fontId="0" fillId="0" borderId="1" xfId="0" applyNumberFormat="1" applyBorder="1"/>
    <xf numFmtId="0" fontId="1" fillId="0" borderId="2" xfId="0" applyFont="1" applyBorder="1" applyAlignment="1">
      <alignment vertical="center"/>
    </xf>
    <xf numFmtId="0" fontId="1" fillId="0" borderId="4" xfId="0" applyFont="1" applyBorder="1" applyAlignment="1">
      <alignment vertical="center"/>
    </xf>
    <xf numFmtId="0" fontId="0" fillId="0" borderId="1" xfId="0" applyBorder="1" applyAlignment="1">
      <alignment vertical="center"/>
    </xf>
    <xf numFmtId="0" fontId="1" fillId="4" borderId="33" xfId="0" applyFont="1" applyFill="1" applyBorder="1" applyAlignment="1">
      <alignment vertical="center"/>
    </xf>
    <xf numFmtId="0" fontId="1" fillId="0" borderId="22" xfId="0" applyFont="1" applyBorder="1" applyAlignment="1">
      <alignment vertical="center"/>
    </xf>
    <xf numFmtId="0" fontId="6" fillId="0" borderId="0" xfId="0" applyFont="1" applyAlignment="1" applyProtection="1">
      <alignment vertical="center"/>
      <protection locked="0"/>
    </xf>
    <xf numFmtId="0" fontId="8" fillId="0" borderId="0" xfId="0" applyFont="1" applyAlignment="1" applyProtection="1">
      <alignment vertical="center"/>
      <protection locked="0"/>
    </xf>
    <xf numFmtId="0" fontId="14" fillId="0" borderId="0" xfId="0" applyFont="1" applyAlignment="1">
      <alignment vertical="center"/>
    </xf>
    <xf numFmtId="0" fontId="15" fillId="0" borderId="0" xfId="0" applyFont="1" applyAlignment="1">
      <alignment vertical="center"/>
    </xf>
    <xf numFmtId="0" fontId="1" fillId="3" borderId="1" xfId="0" applyFont="1" applyFill="1" applyBorder="1" applyAlignment="1">
      <alignment vertical="center"/>
    </xf>
    <xf numFmtId="0" fontId="0" fillId="5" borderId="1" xfId="0" applyFill="1" applyBorder="1"/>
    <xf numFmtId="0" fontId="0" fillId="0" borderId="1" xfId="0" applyBorder="1"/>
    <xf numFmtId="0" fontId="1" fillId="7" borderId="1" xfId="0" applyFont="1" applyFill="1" applyBorder="1" applyAlignment="1">
      <alignment vertical="center"/>
    </xf>
    <xf numFmtId="0" fontId="1" fillId="3" borderId="1" xfId="0" applyFont="1" applyFill="1" applyBorder="1"/>
    <xf numFmtId="0" fontId="1"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0" fillId="0" borderId="0" xfId="0" applyAlignment="1">
      <alignment wrapText="1"/>
    </xf>
    <xf numFmtId="0" fontId="1" fillId="7" borderId="1" xfId="0" applyFont="1" applyFill="1" applyBorder="1" applyAlignment="1">
      <alignment vertical="center" wrapText="1"/>
    </xf>
    <xf numFmtId="0" fontId="1" fillId="0" borderId="0" xfId="0" applyFont="1"/>
    <xf numFmtId="0" fontId="16" fillId="0" borderId="0" xfId="0" applyFont="1"/>
    <xf numFmtId="0" fontId="17" fillId="0" borderId="0" xfId="0" applyFont="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7" fillId="0" borderId="0" xfId="0" applyFont="1"/>
    <xf numFmtId="0" fontId="19" fillId="0" borderId="0" xfId="0" applyFont="1" applyAlignment="1" applyProtection="1">
      <alignment vertical="center"/>
      <protection locked="0"/>
    </xf>
    <xf numFmtId="0" fontId="17" fillId="0" borderId="0" xfId="0" applyFont="1" applyAlignment="1">
      <alignment horizontal="right" vertical="center"/>
    </xf>
    <xf numFmtId="0" fontId="17" fillId="0" borderId="10" xfId="0" applyFont="1" applyBorder="1" applyAlignment="1">
      <alignment horizontal="center" vertical="center" wrapText="1"/>
    </xf>
    <xf numFmtId="0" fontId="17" fillId="0" borderId="44" xfId="0" applyFont="1" applyBorder="1" applyAlignment="1">
      <alignment horizontal="center" vertical="center"/>
    </xf>
    <xf numFmtId="0" fontId="17" fillId="0" borderId="45" xfId="0" applyFont="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33" xfId="0" applyFont="1" applyBorder="1" applyAlignment="1" applyProtection="1">
      <alignment horizontal="center" vertical="center"/>
      <protection locked="0"/>
    </xf>
    <xf numFmtId="0" fontId="17" fillId="0" borderId="47" xfId="0" applyFont="1" applyBorder="1" applyAlignment="1">
      <alignment horizontal="center" vertical="center"/>
    </xf>
    <xf numFmtId="0" fontId="17" fillId="0" borderId="2" xfId="0" applyFont="1" applyBorder="1" applyAlignment="1">
      <alignment horizontal="center" vertical="center"/>
    </xf>
    <xf numFmtId="165" fontId="17" fillId="0" borderId="1" xfId="0" applyNumberFormat="1" applyFont="1" applyBorder="1" applyAlignment="1">
      <alignment horizontal="center" vertical="center"/>
    </xf>
    <xf numFmtId="0" fontId="17" fillId="0" borderId="12" xfId="0" applyFont="1" applyBorder="1" applyAlignment="1">
      <alignment horizontal="right" vertical="center" wrapText="1"/>
    </xf>
    <xf numFmtId="0" fontId="21" fillId="0" borderId="0" xfId="0" applyFont="1" applyAlignment="1">
      <alignment vertical="center"/>
    </xf>
    <xf numFmtId="0" fontId="22" fillId="0" borderId="0" xfId="0" applyFont="1" applyAlignment="1">
      <alignment vertical="center"/>
    </xf>
    <xf numFmtId="0" fontId="19" fillId="0" borderId="0" xfId="0" applyFont="1" applyAlignment="1">
      <alignment horizontal="righ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3" xfId="0" applyFont="1" applyBorder="1" applyAlignment="1">
      <alignment horizontal="right" vertical="center"/>
    </xf>
    <xf numFmtId="0" fontId="19" fillId="0" borderId="0" xfId="0" applyFont="1" applyAlignment="1">
      <alignment vertical="center"/>
    </xf>
    <xf numFmtId="0" fontId="21" fillId="0" borderId="0" xfId="0" applyFont="1" applyAlignment="1">
      <alignment horizontal="left" vertical="center"/>
    </xf>
    <xf numFmtId="0" fontId="18" fillId="0" borderId="0" xfId="0" applyFont="1" applyAlignment="1">
      <alignment horizontal="right" vertical="center"/>
    </xf>
    <xf numFmtId="0" fontId="19" fillId="0" borderId="0" xfId="0" applyFont="1" applyAlignment="1" applyProtection="1">
      <alignment horizontal="left" vertical="center"/>
      <protection locked="0"/>
    </xf>
    <xf numFmtId="0" fontId="17" fillId="0" borderId="43"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lignment vertical="center"/>
    </xf>
    <xf numFmtId="0" fontId="17" fillId="0" borderId="48" xfId="0" applyFont="1" applyBorder="1" applyAlignment="1" applyProtection="1">
      <alignment horizontal="center" vertical="center"/>
      <protection locked="0"/>
    </xf>
    <xf numFmtId="0" fontId="17" fillId="0" borderId="45" xfId="0" applyFont="1" applyBorder="1" applyAlignment="1">
      <alignment horizontal="center" vertical="center"/>
    </xf>
    <xf numFmtId="0" fontId="17" fillId="0" borderId="1" xfId="0" applyFont="1" applyBorder="1" applyAlignment="1" applyProtection="1">
      <alignment horizontal="center" vertical="center"/>
      <protection locked="0"/>
    </xf>
    <xf numFmtId="0" fontId="18" fillId="0" borderId="0" xfId="0" applyFont="1" applyAlignment="1">
      <alignment horizontal="left" vertical="center"/>
    </xf>
    <xf numFmtId="0" fontId="18" fillId="0" borderId="0" xfId="0" applyFont="1" applyAlignment="1" applyProtection="1">
      <alignment horizontal="left" vertical="center"/>
      <protection locked="0"/>
    </xf>
    <xf numFmtId="0" fontId="17" fillId="0" borderId="28" xfId="0" applyFont="1" applyBorder="1" applyAlignment="1">
      <alignment horizontal="center" vertical="center"/>
    </xf>
    <xf numFmtId="0" fontId="17" fillId="0" borderId="29" xfId="0" applyFont="1" applyBorder="1" applyAlignment="1" applyProtection="1">
      <alignment horizontal="center" vertical="center"/>
      <protection locked="0"/>
    </xf>
    <xf numFmtId="0" fontId="17" fillId="0" borderId="27" xfId="0" applyFont="1" applyBorder="1" applyAlignment="1" applyProtection="1">
      <alignment horizontal="center" vertical="center"/>
      <protection locked="0"/>
    </xf>
    <xf numFmtId="0" fontId="19" fillId="0" borderId="27" xfId="0" applyFont="1" applyBorder="1" applyAlignment="1" applyProtection="1">
      <alignment horizontal="center" vertical="center"/>
      <protection locked="0"/>
    </xf>
    <xf numFmtId="0" fontId="19" fillId="0" borderId="1" xfId="0" applyFont="1" applyBorder="1" applyAlignment="1">
      <alignment horizontal="center" vertical="center"/>
    </xf>
    <xf numFmtId="0" fontId="19" fillId="0" borderId="28" xfId="0" applyFont="1" applyBorder="1" applyAlignment="1">
      <alignment horizontal="center" vertical="center"/>
    </xf>
    <xf numFmtId="0" fontId="19" fillId="0" borderId="12" xfId="0" applyFont="1" applyBorder="1" applyAlignment="1">
      <alignment horizontal="right" vertical="center" wrapText="1"/>
    </xf>
    <xf numFmtId="0" fontId="0" fillId="0" borderId="56" xfId="0" applyBorder="1"/>
    <xf numFmtId="0" fontId="0" fillId="0" borderId="57" xfId="0" applyBorder="1"/>
    <xf numFmtId="0" fontId="0" fillId="0" borderId="58" xfId="0" applyBorder="1"/>
    <xf numFmtId="0" fontId="0" fillId="0" borderId="1" xfId="0" applyBorder="1" applyAlignment="1">
      <alignment horizontal="right"/>
    </xf>
    <xf numFmtId="0" fontId="17" fillId="0" borderId="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28" xfId="0" applyFont="1" applyBorder="1" applyAlignment="1">
      <alignment horizontal="center" vertical="center" wrapText="1"/>
    </xf>
    <xf numFmtId="0" fontId="19" fillId="0" borderId="1" xfId="0" applyFont="1" applyBorder="1" applyAlignment="1">
      <alignment horizontal="center" vertical="center" wrapText="1"/>
    </xf>
    <xf numFmtId="0" fontId="1" fillId="0" borderId="0" xfId="0" applyFont="1" applyAlignment="1">
      <alignment horizontal="left" vertical="center" wrapText="1"/>
    </xf>
    <xf numFmtId="0" fontId="1" fillId="4" borderId="0" xfId="0" applyFont="1" applyFill="1" applyAlignment="1">
      <alignment horizontal="center" vertical="center"/>
    </xf>
    <xf numFmtId="0" fontId="7" fillId="0" borderId="31" xfId="0" applyFont="1" applyBorder="1" applyAlignment="1">
      <alignment vertical="center"/>
    </xf>
    <xf numFmtId="165" fontId="0" fillId="0" borderId="0" xfId="0" applyNumberFormat="1"/>
    <xf numFmtId="0" fontId="1" fillId="4" borderId="0" xfId="0" applyFont="1" applyFill="1" applyAlignment="1">
      <alignment vertical="center"/>
    </xf>
    <xf numFmtId="165" fontId="0" fillId="8" borderId="1" xfId="0" applyNumberFormat="1" applyFill="1" applyBorder="1"/>
    <xf numFmtId="0" fontId="1" fillId="3" borderId="0" xfId="0" applyFont="1" applyFill="1" applyAlignment="1">
      <alignment vertical="center"/>
    </xf>
    <xf numFmtId="0" fontId="0" fillId="0" borderId="0" xfId="0" applyAlignment="1">
      <alignment horizontal="left"/>
    </xf>
    <xf numFmtId="0" fontId="17" fillId="0" borderId="35" xfId="0" applyFont="1" applyBorder="1" applyAlignment="1">
      <alignment horizontal="right" vertical="center" wrapText="1"/>
    </xf>
    <xf numFmtId="0" fontId="1" fillId="7" borderId="0" xfId="0" applyFont="1" applyFill="1" applyAlignment="1">
      <alignment vertical="center"/>
    </xf>
    <xf numFmtId="0" fontId="1" fillId="3" borderId="0" xfId="0" applyFont="1" applyFill="1" applyAlignment="1">
      <alignment horizontal="center" vertical="center"/>
    </xf>
    <xf numFmtId="0" fontId="23" fillId="0" borderId="0" xfId="0" applyFont="1"/>
    <xf numFmtId="0" fontId="0" fillId="8" borderId="0" xfId="0" applyFill="1"/>
    <xf numFmtId="0" fontId="11" fillId="0" borderId="0" xfId="0" applyFont="1" applyAlignment="1">
      <alignment vertical="center"/>
    </xf>
    <xf numFmtId="0" fontId="24" fillId="0" borderId="55" xfId="0" applyFont="1" applyBorder="1"/>
    <xf numFmtId="0" fontId="24" fillId="0" borderId="58" xfId="0" applyFont="1" applyBorder="1"/>
    <xf numFmtId="0" fontId="1" fillId="0" borderId="0" xfId="0" applyFont="1" applyAlignment="1">
      <alignment horizontal="center" vertical="center"/>
    </xf>
    <xf numFmtId="0" fontId="3" fillId="0" borderId="0" xfId="0" applyFont="1" applyAlignment="1" applyProtection="1">
      <alignment horizontal="left" vertical="center"/>
      <protection locked="0"/>
    </xf>
    <xf numFmtId="0" fontId="0" fillId="0" borderId="1" xfId="0" applyBorder="1" applyAlignment="1">
      <alignment horizontal="center" vertical="center" wrapText="1"/>
    </xf>
    <xf numFmtId="0" fontId="1" fillId="0" borderId="38" xfId="0" applyFont="1" applyBorder="1" applyAlignment="1">
      <alignment vertical="center"/>
    </xf>
    <xf numFmtId="0" fontId="5" fillId="0" borderId="60" xfId="0" applyFont="1" applyBorder="1" applyAlignment="1">
      <alignment horizontal="center" vertical="center" wrapText="1"/>
    </xf>
    <xf numFmtId="0" fontId="13" fillId="0" borderId="60"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0" xfId="0" applyFont="1" applyBorder="1" applyAlignment="1">
      <alignment horizontal="center" vertical="center"/>
    </xf>
    <xf numFmtId="0" fontId="7" fillId="0" borderId="38" xfId="0" applyFont="1" applyBorder="1" applyAlignment="1">
      <alignment vertical="center"/>
    </xf>
    <xf numFmtId="0" fontId="7" fillId="0" borderId="38" xfId="0" applyFont="1" applyBorder="1" applyAlignment="1">
      <alignment horizontal="center" vertical="center"/>
    </xf>
    <xf numFmtId="0" fontId="26" fillId="0" borderId="0" xfId="0" applyFont="1" applyAlignment="1">
      <alignment vertical="center"/>
    </xf>
    <xf numFmtId="0" fontId="17" fillId="0" borderId="13" xfId="0" applyFont="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15" xfId="0" applyFont="1" applyBorder="1" applyAlignment="1" applyProtection="1">
      <alignment horizontal="center" vertical="center"/>
      <protection locked="0"/>
    </xf>
    <xf numFmtId="0" fontId="17" fillId="0" borderId="42" xfId="0" applyFont="1" applyBorder="1" applyAlignment="1" applyProtection="1">
      <alignment horizontal="center" vertical="center"/>
      <protection locked="0"/>
    </xf>
    <xf numFmtId="0" fontId="27" fillId="0" borderId="0" xfId="0" applyFont="1" applyAlignment="1">
      <alignment vertical="center"/>
    </xf>
    <xf numFmtId="0" fontId="0" fillId="0" borderId="4" xfId="0" applyBorder="1"/>
    <xf numFmtId="0" fontId="0" fillId="0" borderId="4" xfId="0" applyBorder="1" applyAlignment="1">
      <alignment vertical="center"/>
    </xf>
    <xf numFmtId="0" fontId="7" fillId="0" borderId="47"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center" vertical="center"/>
    </xf>
    <xf numFmtId="0" fontId="5" fillId="0" borderId="1" xfId="0" applyFont="1" applyBorder="1" applyAlignment="1">
      <alignment horizontal="center" vertical="center"/>
    </xf>
    <xf numFmtId="0" fontId="13" fillId="0" borderId="47" xfId="0" applyFont="1" applyBorder="1" applyAlignment="1">
      <alignment horizontal="center" vertical="center" wrapText="1"/>
    </xf>
    <xf numFmtId="0" fontId="5" fillId="0" borderId="47" xfId="0" applyFont="1" applyBorder="1" applyAlignment="1">
      <alignment horizontal="center" vertical="center" wrapText="1"/>
    </xf>
    <xf numFmtId="0" fontId="29" fillId="0" borderId="0" xfId="0" applyFont="1" applyAlignment="1">
      <alignment vertical="center"/>
    </xf>
    <xf numFmtId="0" fontId="29" fillId="0" borderId="0" xfId="0" applyFont="1" applyAlignment="1">
      <alignment horizontal="left" vertical="center"/>
    </xf>
    <xf numFmtId="0" fontId="5"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22" xfId="0" applyFont="1" applyBorder="1" applyAlignment="1">
      <alignment horizontal="right" vertical="center" wrapText="1"/>
    </xf>
    <xf numFmtId="0" fontId="17" fillId="0" borderId="2" xfId="0" applyFont="1" applyBorder="1" applyAlignment="1">
      <alignment horizontal="center" vertical="center" wrapText="1"/>
    </xf>
    <xf numFmtId="0" fontId="3" fillId="0" borderId="0" xfId="0" applyFont="1" applyAlignment="1">
      <alignment horizontal="left" vertical="center"/>
    </xf>
    <xf numFmtId="165" fontId="0" fillId="0" borderId="2" xfId="0" applyNumberFormat="1" applyBorder="1"/>
    <xf numFmtId="165" fontId="0" fillId="8" borderId="2" xfId="0" applyNumberFormat="1" applyFill="1" applyBorder="1"/>
    <xf numFmtId="0" fontId="0" fillId="5" borderId="0" xfId="0" applyFill="1"/>
    <xf numFmtId="0" fontId="30" fillId="0" borderId="0" xfId="0" applyFont="1" applyAlignment="1" applyProtection="1">
      <alignment vertical="center"/>
      <protection locked="0"/>
    </xf>
    <xf numFmtId="0" fontId="12" fillId="0" borderId="0" xfId="0" applyFont="1"/>
    <xf numFmtId="0" fontId="31" fillId="0" borderId="0" xfId="0" applyFont="1" applyProtection="1">
      <protection locked="0"/>
    </xf>
    <xf numFmtId="14" fontId="3" fillId="0" borderId="4" xfId="0" applyNumberFormat="1" applyFont="1" applyBorder="1" applyAlignment="1">
      <alignment horizontal="left" vertical="center"/>
    </xf>
    <xf numFmtId="0" fontId="32" fillId="0" borderId="0" xfId="0" applyFont="1" applyAlignment="1">
      <alignment horizontal="right" vertical="center"/>
    </xf>
    <xf numFmtId="0" fontId="26" fillId="0" borderId="60" xfId="0" applyFont="1" applyBorder="1" applyAlignment="1">
      <alignment horizontal="center" vertical="center" wrapText="1"/>
    </xf>
    <xf numFmtId="0" fontId="33" fillId="0" borderId="0" xfId="0" applyFont="1" applyAlignment="1">
      <alignment horizontal="right" vertical="center"/>
    </xf>
    <xf numFmtId="0" fontId="0" fillId="0" borderId="0" xfId="0" quotePrefix="1"/>
    <xf numFmtId="0" fontId="0" fillId="4" borderId="0" xfId="0" applyFill="1"/>
    <xf numFmtId="0" fontId="0" fillId="5" borderId="47" xfId="0" applyFill="1" applyBorder="1"/>
    <xf numFmtId="0" fontId="0" fillId="0" borderId="28" xfId="0" applyBorder="1"/>
    <xf numFmtId="0" fontId="1" fillId="0" borderId="0" xfId="0" quotePrefix="1" applyFont="1" applyAlignment="1">
      <alignment horizontal="left" vertical="center"/>
    </xf>
    <xf numFmtId="0" fontId="22" fillId="0" borderId="0" xfId="0" applyFont="1" applyAlignment="1">
      <alignment horizontal="left" vertical="center"/>
    </xf>
    <xf numFmtId="0" fontId="17" fillId="0" borderId="0" xfId="0" applyFont="1" applyAlignment="1">
      <alignment horizontal="center" vertical="center"/>
    </xf>
    <xf numFmtId="44" fontId="6" fillId="0" borderId="0" xfId="1" applyFont="1" applyAlignment="1">
      <alignment vertical="center"/>
    </xf>
    <xf numFmtId="0" fontId="7" fillId="5" borderId="0" xfId="0" applyFont="1" applyFill="1" applyAlignment="1">
      <alignment vertical="center"/>
    </xf>
    <xf numFmtId="0" fontId="17" fillId="3" borderId="1" xfId="0" applyFont="1" applyFill="1" applyBorder="1" applyAlignment="1" applyProtection="1">
      <alignment horizontal="center" vertical="center"/>
      <protection locked="0"/>
    </xf>
    <xf numFmtId="0" fontId="18" fillId="0" borderId="0" xfId="0" applyFont="1" applyAlignment="1">
      <alignment horizontal="center" vertical="center" wrapText="1"/>
    </xf>
    <xf numFmtId="44" fontId="18" fillId="0" borderId="0" xfId="1" applyFont="1" applyBorder="1" applyAlignment="1" applyProtection="1">
      <alignment horizontal="center" vertical="center"/>
    </xf>
    <xf numFmtId="0" fontId="18" fillId="0" borderId="0" xfId="0" applyFont="1" applyAlignment="1">
      <alignment horizontal="center" vertical="center"/>
    </xf>
    <xf numFmtId="0" fontId="17" fillId="0" borderId="0" xfId="0" applyFont="1" applyAlignment="1" applyProtection="1">
      <alignment horizontal="left" vertical="center"/>
      <protection locked="0"/>
    </xf>
    <xf numFmtId="0" fontId="17" fillId="0" borderId="0" xfId="0" applyFont="1" applyAlignment="1" applyProtection="1">
      <alignment horizontal="center" vertical="center"/>
      <protection locked="0"/>
    </xf>
    <xf numFmtId="0" fontId="5" fillId="0" borderId="47" xfId="0" applyFont="1" applyBorder="1" applyAlignment="1">
      <alignment horizontal="center" vertical="center"/>
    </xf>
    <xf numFmtId="0" fontId="42" fillId="0" borderId="0" xfId="0" applyFont="1" applyAlignment="1">
      <alignment horizontal="center" vertical="center"/>
    </xf>
    <xf numFmtId="0" fontId="17" fillId="0" borderId="3" xfId="0" applyFont="1" applyBorder="1" applyAlignment="1">
      <alignment horizontal="center" vertical="center"/>
    </xf>
    <xf numFmtId="44" fontId="6" fillId="0" borderId="0" xfId="1" applyFont="1" applyAlignment="1">
      <alignment horizontal="center" vertical="center"/>
    </xf>
    <xf numFmtId="0" fontId="17" fillId="3" borderId="2" xfId="0" applyFont="1" applyFill="1" applyBorder="1" applyAlignment="1" applyProtection="1">
      <alignment horizontal="center" vertical="center"/>
      <protection locked="0"/>
    </xf>
    <xf numFmtId="0" fontId="17" fillId="0" borderId="63" xfId="0" applyFont="1" applyBorder="1" applyAlignment="1">
      <alignment horizontal="center" vertical="center"/>
    </xf>
    <xf numFmtId="0" fontId="6" fillId="0" borderId="63" xfId="0" applyFont="1" applyBorder="1" applyAlignment="1">
      <alignment vertical="center"/>
    </xf>
    <xf numFmtId="0" fontId="17" fillId="3" borderId="27" xfId="0" applyFont="1" applyFill="1" applyBorder="1" applyAlignment="1" applyProtection="1">
      <alignment horizontal="center" vertical="center"/>
      <protection locked="0"/>
    </xf>
    <xf numFmtId="0" fontId="17" fillId="3" borderId="32" xfId="0" applyFont="1" applyFill="1" applyBorder="1" applyAlignment="1" applyProtection="1">
      <alignment horizontal="center" vertical="center"/>
      <protection locked="0"/>
    </xf>
    <xf numFmtId="0" fontId="17" fillId="0" borderId="32" xfId="0" applyFont="1" applyBorder="1" applyAlignment="1">
      <alignment horizontal="center" vertical="center"/>
    </xf>
    <xf numFmtId="0" fontId="17" fillId="0" borderId="64" xfId="0" applyFont="1" applyBorder="1" applyAlignment="1">
      <alignment horizontal="center" vertical="center"/>
    </xf>
    <xf numFmtId="0" fontId="17" fillId="0" borderId="65" xfId="0" applyFont="1" applyBorder="1" applyAlignment="1">
      <alignment horizontal="center" vertical="center"/>
    </xf>
    <xf numFmtId="0" fontId="17" fillId="0" borderId="17" xfId="0" applyFont="1" applyBorder="1" applyAlignment="1">
      <alignment horizontal="center" vertical="center"/>
    </xf>
    <xf numFmtId="0" fontId="17" fillId="0" borderId="66" xfId="0" applyFont="1" applyBorder="1" applyAlignment="1">
      <alignment horizontal="center" vertical="center"/>
    </xf>
    <xf numFmtId="44" fontId="6" fillId="0" borderId="0" xfId="0" applyNumberFormat="1" applyFont="1" applyAlignment="1">
      <alignment vertical="center"/>
    </xf>
    <xf numFmtId="44" fontId="18" fillId="0" borderId="0" xfId="1" applyFont="1" applyBorder="1" applyAlignment="1" applyProtection="1">
      <alignment vertical="center"/>
    </xf>
    <xf numFmtId="44" fontId="18" fillId="0" borderId="0" xfId="1" applyFont="1" applyFill="1" applyBorder="1" applyAlignment="1" applyProtection="1">
      <alignment horizontal="center" vertical="center"/>
    </xf>
    <xf numFmtId="0" fontId="0" fillId="0" borderId="47" xfId="0" applyBorder="1" applyAlignment="1">
      <alignment horizontal="center" vertical="center"/>
    </xf>
    <xf numFmtId="0" fontId="11" fillId="10" borderId="0" xfId="0" applyFont="1" applyFill="1" applyAlignment="1">
      <alignment vertical="center"/>
    </xf>
    <xf numFmtId="0" fontId="11" fillId="11" borderId="0" xfId="0" applyFont="1" applyFill="1" applyAlignment="1">
      <alignment vertical="center"/>
    </xf>
    <xf numFmtId="0" fontId="19" fillId="9" borderId="0" xfId="0" applyFont="1" applyFill="1" applyAlignment="1">
      <alignment vertical="center"/>
    </xf>
    <xf numFmtId="0" fontId="19" fillId="0" borderId="0" xfId="0" applyFont="1" applyAlignment="1">
      <alignment horizontal="center" vertical="center"/>
    </xf>
    <xf numFmtId="0" fontId="19" fillId="10" borderId="1" xfId="0" applyFont="1" applyFill="1" applyBorder="1" applyAlignment="1" applyProtection="1">
      <alignment horizontal="center" vertical="center"/>
      <protection locked="0"/>
    </xf>
    <xf numFmtId="0" fontId="19" fillId="11"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12" fillId="0" borderId="1" xfId="0" applyFont="1" applyBorder="1"/>
    <xf numFmtId="0" fontId="19" fillId="9" borderId="1" xfId="0" applyFont="1" applyFill="1" applyBorder="1" applyAlignment="1">
      <alignment horizontal="center" vertical="center"/>
    </xf>
    <xf numFmtId="0" fontId="19" fillId="12" borderId="1" xfId="0" applyFont="1" applyFill="1" applyBorder="1" applyAlignment="1">
      <alignment horizontal="center" vertical="center"/>
    </xf>
    <xf numFmtId="0" fontId="19" fillId="11" borderId="1" xfId="0" applyFont="1" applyFill="1" applyBorder="1" applyAlignment="1">
      <alignment horizontal="center" vertical="center"/>
    </xf>
    <xf numFmtId="0" fontId="19" fillId="3" borderId="70" xfId="0" applyFont="1" applyFill="1" applyBorder="1" applyAlignment="1" applyProtection="1">
      <alignment horizontal="center" vertical="center"/>
      <protection locked="0"/>
    </xf>
    <xf numFmtId="0" fontId="12" fillId="0" borderId="32" xfId="0" applyFont="1" applyBorder="1"/>
    <xf numFmtId="0" fontId="12" fillId="0" borderId="33" xfId="0" applyFont="1" applyBorder="1"/>
    <xf numFmtId="0" fontId="19" fillId="11" borderId="32" xfId="0" applyFont="1" applyFill="1" applyBorder="1" applyAlignment="1">
      <alignment horizontal="center" vertical="center"/>
    </xf>
    <xf numFmtId="0" fontId="19" fillId="11" borderId="33" xfId="0" applyFont="1" applyFill="1" applyBorder="1" applyAlignment="1">
      <alignment horizontal="center" vertical="center"/>
    </xf>
    <xf numFmtId="0" fontId="19" fillId="0" borderId="33" xfId="0" applyFont="1" applyBorder="1" applyAlignment="1">
      <alignment horizontal="center" vertical="center"/>
    </xf>
    <xf numFmtId="0" fontId="19" fillId="0" borderId="32" xfId="0" applyFont="1" applyBorder="1" applyAlignment="1">
      <alignment horizontal="center" vertical="center"/>
    </xf>
    <xf numFmtId="0" fontId="19" fillId="0" borderId="13" xfId="0" applyFont="1" applyBorder="1" applyAlignment="1">
      <alignment horizontal="center" vertical="center"/>
    </xf>
    <xf numFmtId="0" fontId="19" fillId="11" borderId="14" xfId="0" applyFont="1" applyFill="1" applyBorder="1" applyAlignment="1">
      <alignment horizontal="center" vertical="center"/>
    </xf>
    <xf numFmtId="0" fontId="19" fillId="0" borderId="15" xfId="0" applyFont="1" applyBorder="1" applyAlignment="1">
      <alignment horizontal="center" vertical="center"/>
    </xf>
    <xf numFmtId="0" fontId="19" fillId="9" borderId="32" xfId="0" applyFont="1" applyFill="1" applyBorder="1" applyAlignment="1">
      <alignment horizontal="center" vertical="center"/>
    </xf>
    <xf numFmtId="0" fontId="19" fillId="9" borderId="33" xfId="0" applyFont="1" applyFill="1" applyBorder="1" applyAlignment="1">
      <alignment horizontal="center" vertical="center"/>
    </xf>
    <xf numFmtId="0" fontId="11" fillId="0" borderId="33" xfId="0" applyFont="1" applyBorder="1" applyAlignment="1">
      <alignment vertical="center"/>
    </xf>
    <xf numFmtId="0" fontId="19" fillId="9" borderId="14" xfId="0" applyFont="1" applyFill="1" applyBorder="1" applyAlignment="1">
      <alignment horizontal="center" vertical="center"/>
    </xf>
    <xf numFmtId="0" fontId="11" fillId="0" borderId="15" xfId="0" applyFont="1" applyBorder="1" applyAlignment="1">
      <alignment vertical="center"/>
    </xf>
    <xf numFmtId="0" fontId="12" fillId="0" borderId="72" xfId="0" applyFont="1" applyBorder="1"/>
    <xf numFmtId="0" fontId="19" fillId="12" borderId="72" xfId="0" applyFont="1" applyFill="1" applyBorder="1" applyAlignment="1">
      <alignment horizontal="center" vertical="center"/>
    </xf>
    <xf numFmtId="0" fontId="19" fillId="12" borderId="73" xfId="0" applyFont="1" applyFill="1" applyBorder="1" applyAlignment="1">
      <alignment horizontal="center" vertical="center"/>
    </xf>
    <xf numFmtId="0" fontId="19" fillId="10" borderId="32" xfId="0" applyFont="1" applyFill="1" applyBorder="1" applyAlignment="1">
      <alignment horizontal="center" vertical="center"/>
    </xf>
    <xf numFmtId="0" fontId="19" fillId="3" borderId="32" xfId="0" applyFont="1" applyFill="1" applyBorder="1" applyAlignment="1" applyProtection="1">
      <alignment horizontal="center" vertical="center"/>
      <protection locked="0"/>
    </xf>
    <xf numFmtId="0" fontId="12" fillId="0" borderId="13" xfId="0" applyFont="1" applyBorder="1"/>
    <xf numFmtId="0" fontId="19" fillId="10" borderId="14" xfId="0" applyFont="1" applyFill="1" applyBorder="1" applyAlignment="1" applyProtection="1">
      <alignment horizontal="center" vertical="center"/>
      <protection locked="0"/>
    </xf>
    <xf numFmtId="0" fontId="12" fillId="0" borderId="27" xfId="0" applyFont="1" applyBorder="1"/>
    <xf numFmtId="0" fontId="19" fillId="10" borderId="28" xfId="0" applyFont="1" applyFill="1" applyBorder="1" applyAlignment="1" applyProtection="1">
      <alignment horizontal="center" vertical="center"/>
      <protection locked="0"/>
    </xf>
    <xf numFmtId="0" fontId="12" fillId="0" borderId="29" xfId="0" applyFont="1" applyBorder="1"/>
    <xf numFmtId="0" fontId="19" fillId="11" borderId="28" xfId="0" applyFont="1" applyFill="1" applyBorder="1" applyAlignment="1" applyProtection="1">
      <alignment horizontal="center" vertical="center"/>
      <protection locked="0"/>
    </xf>
    <xf numFmtId="0" fontId="19" fillId="9" borderId="28" xfId="0" applyFont="1" applyFill="1" applyBorder="1" applyAlignment="1">
      <alignment horizontal="center" vertical="center"/>
    </xf>
    <xf numFmtId="0" fontId="19" fillId="12" borderId="75" xfId="0" applyFont="1" applyFill="1" applyBorder="1" applyAlignment="1">
      <alignment horizontal="center" vertical="center"/>
    </xf>
    <xf numFmtId="0" fontId="12" fillId="0" borderId="67" xfId="0" applyFont="1" applyBorder="1" applyAlignment="1">
      <alignment horizontal="center" vertical="center"/>
    </xf>
    <xf numFmtId="0" fontId="44" fillId="0" borderId="0" xfId="0" applyFont="1" applyAlignment="1">
      <alignment vertical="center"/>
    </xf>
    <xf numFmtId="0" fontId="44" fillId="13" borderId="74" xfId="0" applyFont="1" applyFill="1" applyBorder="1" applyAlignment="1">
      <alignment vertical="center"/>
    </xf>
    <xf numFmtId="0" fontId="19" fillId="10" borderId="45" xfId="0" applyFont="1" applyFill="1" applyBorder="1" applyAlignment="1" applyProtection="1">
      <alignment horizontal="center" vertical="center"/>
      <protection locked="0"/>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 fillId="0" borderId="46" xfId="0" applyFont="1" applyBorder="1" applyAlignment="1">
      <alignment horizontal="center" vertical="center"/>
    </xf>
    <xf numFmtId="0" fontId="1" fillId="0" borderId="32" xfId="0" applyFont="1" applyBorder="1" applyAlignment="1">
      <alignment horizontal="center" vertical="center"/>
    </xf>
    <xf numFmtId="0" fontId="1" fillId="0" borderId="1" xfId="0" applyFont="1" applyBorder="1" applyAlignment="1">
      <alignment horizontal="center" vertical="center"/>
    </xf>
    <xf numFmtId="0" fontId="1" fillId="0" borderId="33"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19" fillId="10" borderId="43" xfId="0" applyFont="1" applyFill="1" applyBorder="1" applyAlignment="1" applyProtection="1">
      <alignment horizontal="center" vertical="center"/>
      <protection locked="0"/>
    </xf>
    <xf numFmtId="0" fontId="1" fillId="0" borderId="34" xfId="0" applyFont="1" applyBorder="1" applyAlignment="1">
      <alignment horizontal="center" vertical="center"/>
    </xf>
    <xf numFmtId="0" fontId="1" fillId="0" borderId="29" xfId="0" applyFont="1" applyBorder="1" applyAlignment="1">
      <alignment horizontal="center" vertical="center"/>
    </xf>
    <xf numFmtId="0" fontId="19" fillId="12" borderId="44" xfId="0" applyFont="1" applyFill="1" applyBorder="1" applyAlignment="1">
      <alignment horizontal="center" vertical="center"/>
    </xf>
    <xf numFmtId="0" fontId="19" fillId="12" borderId="46" xfId="0" applyFont="1" applyFill="1" applyBorder="1" applyAlignment="1">
      <alignment horizontal="center" vertical="center"/>
    </xf>
    <xf numFmtId="0" fontId="19" fillId="11" borderId="45" xfId="0" applyFont="1" applyFill="1" applyBorder="1" applyAlignment="1">
      <alignment horizontal="center" vertical="center"/>
    </xf>
    <xf numFmtId="0" fontId="19" fillId="9" borderId="45" xfId="0" applyFont="1" applyFill="1" applyBorder="1" applyAlignment="1">
      <alignment horizontal="center" vertical="center"/>
    </xf>
    <xf numFmtId="0" fontId="19" fillId="12" borderId="45" xfId="0" applyFont="1" applyFill="1" applyBorder="1" applyAlignment="1">
      <alignment horizontal="center" vertical="center"/>
    </xf>
    <xf numFmtId="0" fontId="19" fillId="0" borderId="0" xfId="0" applyFont="1" applyAlignment="1" applyProtection="1">
      <alignment horizontal="center" vertical="center"/>
      <protection locked="0"/>
    </xf>
    <xf numFmtId="0" fontId="45" fillId="0" borderId="0" xfId="0" applyFont="1" applyAlignment="1">
      <alignment vertical="center"/>
    </xf>
    <xf numFmtId="0" fontId="46" fillId="0" borderId="0" xfId="0" applyFont="1" applyAlignment="1">
      <alignment vertical="center"/>
    </xf>
    <xf numFmtId="0" fontId="23" fillId="0" borderId="0" xfId="0" applyFont="1" applyAlignment="1">
      <alignment vertical="center"/>
    </xf>
    <xf numFmtId="0" fontId="19" fillId="12" borderId="0" xfId="0" applyFont="1" applyFill="1" applyAlignment="1">
      <alignment horizontal="center" vertical="center"/>
    </xf>
    <xf numFmtId="0" fontId="19" fillId="3" borderId="33" xfId="0" applyFont="1" applyFill="1" applyBorder="1" applyAlignment="1" applyProtection="1">
      <alignment horizontal="center" vertical="center"/>
      <protection locked="0"/>
    </xf>
    <xf numFmtId="0" fontId="12" fillId="0" borderId="64" xfId="0" applyFont="1" applyBorder="1"/>
    <xf numFmtId="0" fontId="12" fillId="0" borderId="47" xfId="0" applyFont="1" applyBorder="1"/>
    <xf numFmtId="0" fontId="12" fillId="0" borderId="78" xfId="0" applyFont="1" applyBorder="1"/>
    <xf numFmtId="0" fontId="12" fillId="0" borderId="28" xfId="0" applyFont="1" applyBorder="1"/>
    <xf numFmtId="0" fontId="1" fillId="0" borderId="4" xfId="0" applyFont="1" applyBorder="1" applyAlignment="1">
      <alignment horizontal="center" vertical="center"/>
    </xf>
    <xf numFmtId="0" fontId="19" fillId="3" borderId="79" xfId="0" applyFont="1" applyFill="1" applyBorder="1" applyAlignment="1" applyProtection="1">
      <alignment horizontal="center" vertical="center"/>
      <protection locked="0"/>
    </xf>
    <xf numFmtId="0" fontId="19" fillId="3" borderId="47" xfId="0" applyFont="1" applyFill="1" applyBorder="1" applyAlignment="1" applyProtection="1">
      <alignment horizontal="center" vertical="center"/>
      <protection locked="0"/>
    </xf>
    <xf numFmtId="0" fontId="19" fillId="3" borderId="78" xfId="0" applyFont="1" applyFill="1" applyBorder="1" applyAlignment="1" applyProtection="1">
      <alignment horizontal="center" vertical="center"/>
      <protection locked="0"/>
    </xf>
    <xf numFmtId="0" fontId="1" fillId="0" borderId="64" xfId="0" applyFont="1" applyBorder="1" applyAlignment="1">
      <alignment horizontal="center" vertical="center"/>
    </xf>
    <xf numFmtId="0" fontId="12" fillId="0" borderId="4" xfId="0" applyFont="1" applyBorder="1"/>
    <xf numFmtId="0" fontId="12" fillId="0" borderId="33" xfId="0" applyFont="1" applyBorder="1" applyAlignment="1">
      <alignment horizontal="center" vertical="center"/>
    </xf>
    <xf numFmtId="0" fontId="12" fillId="0" borderId="1" xfId="0" applyFont="1" applyBorder="1" applyAlignment="1">
      <alignment horizontal="center" vertical="center"/>
    </xf>
    <xf numFmtId="0" fontId="19" fillId="0" borderId="32" xfId="0" applyFont="1" applyBorder="1" applyAlignment="1" applyProtection="1">
      <alignment horizontal="center" vertical="center"/>
      <protection locked="0"/>
    </xf>
    <xf numFmtId="0" fontId="17" fillId="0" borderId="0" xfId="0" applyFont="1" applyAlignment="1">
      <alignment vertical="center" wrapText="1"/>
    </xf>
    <xf numFmtId="0" fontId="17" fillId="0" borderId="3" xfId="0" applyFont="1" applyBorder="1" applyAlignment="1">
      <alignment horizontal="right" vertical="center" wrapText="1"/>
    </xf>
    <xf numFmtId="0" fontId="19" fillId="0" borderId="29" xfId="0" applyFont="1" applyBorder="1" applyAlignment="1">
      <alignment horizontal="center" vertical="center"/>
    </xf>
    <xf numFmtId="0" fontId="19" fillId="0" borderId="27" xfId="0" applyFont="1" applyBorder="1" applyAlignment="1">
      <alignment horizontal="center" vertical="center"/>
    </xf>
    <xf numFmtId="0" fontId="12" fillId="0" borderId="75" xfId="0" applyFont="1" applyBorder="1"/>
    <xf numFmtId="0" fontId="1" fillId="0" borderId="13" xfId="0" applyFont="1"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2" xfId="0" applyFont="1" applyBorder="1" applyAlignment="1">
      <alignment horizontal="center" vertical="center"/>
    </xf>
    <xf numFmtId="0" fontId="1" fillId="14" borderId="0" xfId="0" applyFont="1" applyFill="1" applyAlignment="1">
      <alignment vertical="center"/>
    </xf>
    <xf numFmtId="0" fontId="1" fillId="15" borderId="0" xfId="0" applyFont="1" applyFill="1" applyAlignment="1">
      <alignment vertical="center"/>
    </xf>
    <xf numFmtId="0" fontId="1" fillId="16" borderId="0" xfId="0" applyFont="1" applyFill="1" applyAlignment="1">
      <alignment vertical="center"/>
    </xf>
    <xf numFmtId="0" fontId="1" fillId="16" borderId="1" xfId="0" applyFont="1" applyFill="1" applyBorder="1" applyAlignment="1">
      <alignment horizontal="center" vertical="center"/>
    </xf>
    <xf numFmtId="0" fontId="11" fillId="0" borderId="1" xfId="0" applyFont="1" applyBorder="1" applyAlignment="1">
      <alignment horizontal="center" vertical="center"/>
    </xf>
    <xf numFmtId="0" fontId="17" fillId="19" borderId="0" xfId="0" applyFont="1" applyFill="1" applyAlignment="1">
      <alignment horizontal="center" vertical="center"/>
    </xf>
    <xf numFmtId="0" fontId="19" fillId="0" borderId="3" xfId="0" applyFont="1" applyBorder="1" applyAlignment="1">
      <alignment horizontal="right" vertical="center" wrapText="1"/>
    </xf>
    <xf numFmtId="0" fontId="1" fillId="12" borderId="0" xfId="0" applyFont="1" applyFill="1" applyAlignment="1">
      <alignment vertical="center"/>
    </xf>
    <xf numFmtId="0" fontId="1" fillId="9" borderId="0" xfId="0" applyFont="1" applyFill="1" applyAlignment="1">
      <alignment vertical="center"/>
    </xf>
    <xf numFmtId="0" fontId="1" fillId="11" borderId="0" xfId="0" applyFont="1" applyFill="1" applyAlignment="1">
      <alignment vertical="center"/>
    </xf>
    <xf numFmtId="0" fontId="1" fillId="10" borderId="0" xfId="0" applyFont="1" applyFill="1" applyAlignment="1">
      <alignment vertical="center"/>
    </xf>
    <xf numFmtId="0" fontId="1" fillId="13" borderId="0" xfId="0" applyFont="1" applyFill="1" applyAlignment="1">
      <alignment vertical="center"/>
    </xf>
    <xf numFmtId="0" fontId="11" fillId="0" borderId="67" xfId="0" applyFont="1" applyBorder="1" applyAlignment="1">
      <alignment horizontal="center" vertical="center"/>
    </xf>
    <xf numFmtId="0" fontId="11" fillId="0" borderId="43" xfId="0" applyFont="1" applyBorder="1" applyAlignment="1">
      <alignment horizontal="center" vertical="center"/>
    </xf>
    <xf numFmtId="0" fontId="11" fillId="0" borderId="44" xfId="0" applyFont="1" applyBorder="1" applyAlignment="1">
      <alignment horizontal="center" vertical="center"/>
    </xf>
    <xf numFmtId="0" fontId="11" fillId="0" borderId="46" xfId="0" applyFont="1" applyBorder="1" applyAlignment="1">
      <alignment horizontal="center" vertical="center"/>
    </xf>
    <xf numFmtId="0" fontId="11" fillId="9" borderId="0" xfId="0" applyFont="1" applyFill="1" applyAlignment="1">
      <alignment vertical="center"/>
    </xf>
    <xf numFmtId="0" fontId="11" fillId="12" borderId="0" xfId="0" applyFont="1" applyFill="1" applyAlignment="1">
      <alignment vertical="center"/>
    </xf>
    <xf numFmtId="0" fontId="11" fillId="20" borderId="0" xfId="0" applyFont="1" applyFill="1" applyAlignment="1">
      <alignment vertical="center"/>
    </xf>
    <xf numFmtId="0" fontId="11" fillId="13" borderId="0" xfId="0" applyFont="1" applyFill="1" applyAlignment="1">
      <alignment vertical="center"/>
    </xf>
    <xf numFmtId="0" fontId="11" fillId="0" borderId="32" xfId="0" applyFont="1" applyBorder="1" applyAlignment="1">
      <alignment horizontal="center" vertical="center"/>
    </xf>
    <xf numFmtId="0" fontId="11" fillId="0" borderId="33" xfId="0" applyFont="1" applyBorder="1" applyAlignment="1">
      <alignment horizontal="center" vertical="center"/>
    </xf>
    <xf numFmtId="0" fontId="11" fillId="0" borderId="81" xfId="0" applyFont="1" applyBorder="1" applyAlignment="1">
      <alignment horizontal="center" vertical="center"/>
    </xf>
    <xf numFmtId="0" fontId="11" fillId="0" borderId="76" xfId="0" applyFont="1" applyBorder="1" applyAlignment="1">
      <alignment horizontal="center" vertical="center"/>
    </xf>
    <xf numFmtId="0" fontId="11" fillId="0" borderId="87" xfId="0" applyFont="1" applyBorder="1" applyAlignment="1">
      <alignment horizontal="center" vertical="center"/>
    </xf>
    <xf numFmtId="0" fontId="11" fillId="0" borderId="88" xfId="0" applyFont="1" applyBorder="1" applyAlignment="1">
      <alignment horizontal="center" vertical="center"/>
    </xf>
    <xf numFmtId="0" fontId="11" fillId="0" borderId="89" xfId="0" applyFont="1" applyBorder="1" applyAlignment="1">
      <alignment horizontal="center" vertical="center"/>
    </xf>
    <xf numFmtId="0" fontId="11" fillId="0" borderId="91" xfId="0" applyFont="1" applyBorder="1" applyAlignment="1">
      <alignment horizontal="center" vertical="center"/>
    </xf>
    <xf numFmtId="0" fontId="11" fillId="0" borderId="92" xfId="0" applyFont="1" applyBorder="1" applyAlignment="1">
      <alignment horizontal="center" vertical="center"/>
    </xf>
    <xf numFmtId="0" fontId="11" fillId="0" borderId="93" xfId="0" applyFont="1" applyBorder="1" applyAlignment="1">
      <alignment horizontal="center" vertical="center"/>
    </xf>
    <xf numFmtId="0" fontId="11" fillId="0" borderId="94" xfId="0" applyFont="1" applyBorder="1" applyAlignment="1">
      <alignment horizontal="center" vertical="center"/>
    </xf>
    <xf numFmtId="0" fontId="11" fillId="0" borderId="95" xfId="0" applyFont="1" applyBorder="1" applyAlignment="1">
      <alignment horizontal="center" vertical="center"/>
    </xf>
    <xf numFmtId="0" fontId="11" fillId="10" borderId="90" xfId="0" applyFont="1" applyFill="1" applyBorder="1" applyAlignment="1">
      <alignment horizontal="center" vertical="center"/>
    </xf>
    <xf numFmtId="0" fontId="11" fillId="10" borderId="46" xfId="0" applyFont="1" applyFill="1" applyBorder="1" applyAlignment="1">
      <alignment horizontal="center" vertical="center"/>
    </xf>
    <xf numFmtId="0" fontId="11" fillId="10" borderId="92" xfId="0" applyFont="1" applyFill="1" applyBorder="1" applyAlignment="1">
      <alignment horizontal="center" vertical="center"/>
    </xf>
    <xf numFmtId="0" fontId="11" fillId="10" borderId="1" xfId="0" applyFont="1" applyFill="1" applyBorder="1" applyAlignment="1">
      <alignment horizontal="center" vertical="center"/>
    </xf>
    <xf numFmtId="0" fontId="11" fillId="10" borderId="33" xfId="0" applyFont="1" applyFill="1" applyBorder="1" applyAlignment="1">
      <alignment horizontal="center" vertical="center"/>
    </xf>
    <xf numFmtId="0" fontId="11" fillId="11" borderId="43" xfId="0" applyFont="1" applyFill="1" applyBorder="1" applyAlignment="1">
      <alignment horizontal="center" vertical="center"/>
    </xf>
    <xf numFmtId="0" fontId="11" fillId="11" borderId="46" xfId="0" applyFont="1" applyFill="1" applyBorder="1" applyAlignment="1">
      <alignment horizontal="center" vertical="center"/>
    </xf>
    <xf numFmtId="0" fontId="11" fillId="11" borderId="32" xfId="0" applyFont="1" applyFill="1" applyBorder="1" applyAlignment="1">
      <alignment horizontal="center" vertical="center"/>
    </xf>
    <xf numFmtId="0" fontId="11" fillId="11" borderId="1" xfId="0" applyFont="1" applyFill="1" applyBorder="1" applyAlignment="1">
      <alignment horizontal="center" vertical="center"/>
    </xf>
    <xf numFmtId="0" fontId="11" fillId="11" borderId="33" xfId="0" applyFont="1" applyFill="1" applyBorder="1" applyAlignment="1">
      <alignment horizontal="center" vertical="center"/>
    </xf>
    <xf numFmtId="0" fontId="11" fillId="9" borderId="43" xfId="0" applyFont="1" applyFill="1" applyBorder="1" applyAlignment="1">
      <alignment horizontal="center" vertical="center"/>
    </xf>
    <xf numFmtId="0" fontId="11" fillId="9" borderId="44" xfId="0" applyFont="1" applyFill="1" applyBorder="1" applyAlignment="1">
      <alignment horizontal="center" vertical="center"/>
    </xf>
    <xf numFmtId="0" fontId="11" fillId="9" borderId="46" xfId="0" applyFont="1" applyFill="1" applyBorder="1" applyAlignment="1">
      <alignment horizontal="center" vertical="center"/>
    </xf>
    <xf numFmtId="0" fontId="11" fillId="9" borderId="32" xfId="0" applyFont="1" applyFill="1" applyBorder="1" applyAlignment="1">
      <alignment horizontal="center" vertical="center"/>
    </xf>
    <xf numFmtId="0" fontId="11" fillId="9" borderId="1" xfId="0" applyFont="1" applyFill="1" applyBorder="1" applyAlignment="1">
      <alignment horizontal="center" vertical="center"/>
    </xf>
    <xf numFmtId="0" fontId="11" fillId="9" borderId="33" xfId="0" applyFont="1" applyFill="1" applyBorder="1" applyAlignment="1">
      <alignment horizontal="center" vertical="center"/>
    </xf>
    <xf numFmtId="0" fontId="11" fillId="12" borderId="4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32" xfId="0" applyFont="1" applyFill="1" applyBorder="1" applyAlignment="1">
      <alignment horizontal="center" vertical="center"/>
    </xf>
    <xf numFmtId="0" fontId="11" fillId="12" borderId="33" xfId="0" applyFont="1" applyFill="1" applyBorder="1" applyAlignment="1">
      <alignment horizontal="center" vertical="center"/>
    </xf>
    <xf numFmtId="0" fontId="11" fillId="10" borderId="32" xfId="0" applyFont="1" applyFill="1" applyBorder="1" applyAlignment="1">
      <alignment horizontal="center" vertical="center"/>
    </xf>
    <xf numFmtId="0" fontId="11" fillId="3" borderId="92" xfId="0" applyFont="1" applyFill="1" applyBorder="1" applyAlignment="1">
      <alignment horizontal="center" vertical="center"/>
    </xf>
    <xf numFmtId="0" fontId="11" fillId="9" borderId="92" xfId="0" applyFont="1" applyFill="1" applyBorder="1" applyAlignment="1">
      <alignment horizontal="center" vertical="center"/>
    </xf>
    <xf numFmtId="0" fontId="11" fillId="3" borderId="1" xfId="0" applyFont="1" applyFill="1" applyBorder="1" applyAlignment="1">
      <alignment horizontal="center" vertical="center"/>
    </xf>
    <xf numFmtId="0" fontId="1" fillId="12" borderId="93" xfId="0" applyFont="1" applyFill="1" applyBorder="1" applyAlignment="1">
      <alignment vertical="center"/>
    </xf>
    <xf numFmtId="0" fontId="11" fillId="21" borderId="32" xfId="0" applyFont="1" applyFill="1" applyBorder="1" applyAlignment="1">
      <alignment horizontal="center" vertical="center"/>
    </xf>
    <xf numFmtId="0" fontId="11" fillId="21" borderId="1" xfId="0" applyFont="1" applyFill="1" applyBorder="1" applyAlignment="1">
      <alignment horizontal="center" vertical="center"/>
    </xf>
    <xf numFmtId="0" fontId="11" fillId="2" borderId="1" xfId="0" applyFont="1" applyFill="1" applyBorder="1" applyAlignment="1">
      <alignment horizontal="center" vertical="center"/>
    </xf>
    <xf numFmtId="0" fontId="11" fillId="22" borderId="93" xfId="0" applyFont="1" applyFill="1" applyBorder="1" applyAlignment="1">
      <alignment horizontal="center" vertical="center"/>
    </xf>
    <xf numFmtId="0" fontId="11" fillId="22" borderId="1" xfId="0" applyFont="1" applyFill="1" applyBorder="1" applyAlignment="1">
      <alignment horizontal="center" vertical="center"/>
    </xf>
    <xf numFmtId="0" fontId="11" fillId="22" borderId="32" xfId="0" applyFont="1" applyFill="1" applyBorder="1" applyAlignment="1">
      <alignment horizontal="center" vertical="center"/>
    </xf>
    <xf numFmtId="0" fontId="11" fillId="17" borderId="33" xfId="0" applyFont="1" applyFill="1" applyBorder="1" applyAlignment="1">
      <alignment horizontal="center" vertical="center"/>
    </xf>
    <xf numFmtId="0" fontId="11" fillId="17" borderId="1" xfId="0" applyFont="1" applyFill="1" applyBorder="1" applyAlignment="1">
      <alignment horizontal="center" vertical="center"/>
    </xf>
    <xf numFmtId="0" fontId="11" fillId="17" borderId="32" xfId="0" applyFont="1" applyFill="1" applyBorder="1" applyAlignment="1">
      <alignment horizontal="center" vertical="center"/>
    </xf>
    <xf numFmtId="0" fontId="11" fillId="23" borderId="33" xfId="0" applyFont="1" applyFill="1" applyBorder="1" applyAlignment="1">
      <alignment horizontal="center" vertical="center"/>
    </xf>
    <xf numFmtId="0" fontId="11" fillId="23" borderId="1" xfId="0" applyFont="1" applyFill="1" applyBorder="1" applyAlignment="1">
      <alignment horizontal="center" vertical="center"/>
    </xf>
    <xf numFmtId="0" fontId="11" fillId="24" borderId="32" xfId="0" applyFont="1" applyFill="1" applyBorder="1" applyAlignment="1">
      <alignment horizontal="center" vertical="center"/>
    </xf>
    <xf numFmtId="0" fontId="6" fillId="20" borderId="32" xfId="0" applyFont="1" applyFill="1" applyBorder="1" applyAlignment="1">
      <alignment horizontal="center" vertical="center"/>
    </xf>
    <xf numFmtId="0" fontId="6" fillId="20" borderId="33" xfId="0" applyFont="1" applyFill="1" applyBorder="1" applyAlignment="1">
      <alignment horizontal="center" vertical="center"/>
    </xf>
    <xf numFmtId="0" fontId="11" fillId="3" borderId="32" xfId="0" applyFont="1" applyFill="1" applyBorder="1" applyAlignment="1">
      <alignment horizontal="center" vertical="center"/>
    </xf>
    <xf numFmtId="0" fontId="11" fillId="3" borderId="33" xfId="0" applyFont="1" applyFill="1" applyBorder="1" applyAlignment="1">
      <alignment horizontal="center" vertical="center"/>
    </xf>
    <xf numFmtId="0" fontId="11" fillId="25" borderId="32" xfId="0" applyFont="1" applyFill="1" applyBorder="1" applyAlignment="1">
      <alignment horizontal="center" vertical="center"/>
    </xf>
    <xf numFmtId="0" fontId="11" fillId="0" borderId="92" xfId="0" applyFont="1" applyBorder="1" applyAlignment="1">
      <alignment vertical="center"/>
    </xf>
    <xf numFmtId="0" fontId="11" fillId="0" borderId="1" xfId="0" applyFont="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11" fillId="0" borderId="4" xfId="0" applyFont="1" applyBorder="1" applyAlignment="1">
      <alignment horizontal="center" vertical="center"/>
    </xf>
    <xf numFmtId="0" fontId="11" fillId="0" borderId="32" xfId="0" applyFont="1" applyBorder="1" applyAlignment="1">
      <alignment vertical="center"/>
    </xf>
    <xf numFmtId="0" fontId="1" fillId="0" borderId="33" xfId="0" applyFont="1" applyBorder="1" applyAlignment="1">
      <alignment vertical="center"/>
    </xf>
    <xf numFmtId="0" fontId="1" fillId="14"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6" borderId="0" xfId="0" applyFont="1" applyFill="1" applyAlignment="1">
      <alignment horizontal="center" vertical="center"/>
    </xf>
    <xf numFmtId="0" fontId="11" fillId="26" borderId="1" xfId="0" applyFont="1" applyFill="1" applyBorder="1" applyAlignment="1">
      <alignment horizontal="center" vertical="center"/>
    </xf>
    <xf numFmtId="0" fontId="11" fillId="27" borderId="4" xfId="0" applyFont="1" applyFill="1" applyBorder="1" applyAlignment="1">
      <alignment horizontal="center" vertical="center"/>
    </xf>
    <xf numFmtId="0" fontId="11" fillId="0" borderId="65" xfId="0" applyFont="1" applyBorder="1" applyAlignment="1">
      <alignment vertical="center"/>
    </xf>
    <xf numFmtId="0" fontId="11" fillId="19" borderId="93" xfId="0" applyFont="1" applyFill="1" applyBorder="1" applyAlignment="1">
      <alignment horizontal="center" vertical="center"/>
    </xf>
    <xf numFmtId="0" fontId="11" fillId="19" borderId="33" xfId="0" applyFont="1" applyFill="1" applyBorder="1" applyAlignment="1">
      <alignment horizontal="center" vertical="center"/>
    </xf>
    <xf numFmtId="0" fontId="1" fillId="16" borderId="2" xfId="0" applyFont="1" applyFill="1" applyBorder="1" applyAlignment="1">
      <alignment horizontal="center" vertical="center"/>
    </xf>
    <xf numFmtId="0" fontId="11" fillId="28" borderId="33" xfId="0" applyFont="1" applyFill="1" applyBorder="1" applyAlignment="1">
      <alignment horizontal="center" vertical="center"/>
    </xf>
    <xf numFmtId="0" fontId="1" fillId="15" borderId="2" xfId="0" applyFont="1" applyFill="1" applyBorder="1" applyAlignment="1">
      <alignment horizontal="center" vertical="center"/>
    </xf>
    <xf numFmtId="0" fontId="1" fillId="15" borderId="4" xfId="0" applyFont="1" applyFill="1" applyBorder="1" applyAlignment="1">
      <alignment horizontal="center" vertical="center"/>
    </xf>
    <xf numFmtId="0" fontId="11" fillId="16" borderId="2" xfId="0" applyFont="1" applyFill="1" applyBorder="1" applyAlignment="1">
      <alignment horizontal="center" vertical="center"/>
    </xf>
    <xf numFmtId="0" fontId="1" fillId="26" borderId="0" xfId="0" applyFont="1" applyFill="1" applyAlignment="1">
      <alignment vertical="center"/>
    </xf>
    <xf numFmtId="0" fontId="1" fillId="27" borderId="0" xfId="0" applyFont="1" applyFill="1" applyAlignment="1">
      <alignment vertical="center"/>
    </xf>
    <xf numFmtId="0" fontId="11" fillId="26" borderId="0" xfId="0" applyFont="1" applyFill="1" applyAlignment="1">
      <alignment horizontal="center" vertical="center"/>
    </xf>
    <xf numFmtId="0" fontId="11" fillId="28" borderId="32" xfId="0" applyFont="1" applyFill="1" applyBorder="1" applyAlignment="1">
      <alignment horizontal="center" vertical="center"/>
    </xf>
    <xf numFmtId="0" fontId="1" fillId="2" borderId="0" xfId="0" applyFont="1" applyFill="1" applyAlignment="1">
      <alignment vertical="center"/>
    </xf>
    <xf numFmtId="0" fontId="1" fillId="29" borderId="0" xfId="0" applyFont="1" applyFill="1" applyAlignment="1">
      <alignment vertical="center"/>
    </xf>
    <xf numFmtId="0" fontId="1" fillId="11" borderId="0" xfId="0" applyFont="1" applyFill="1" applyAlignment="1">
      <alignment horizontal="center" vertical="center"/>
    </xf>
    <xf numFmtId="0" fontId="11" fillId="0" borderId="0" xfId="0" applyFont="1" applyAlignment="1">
      <alignment horizontal="left" vertical="center"/>
    </xf>
    <xf numFmtId="0" fontId="1" fillId="8" borderId="0" xfId="0" applyFont="1" applyFill="1" applyAlignment="1">
      <alignment horizontal="left" vertical="center"/>
    </xf>
    <xf numFmtId="0" fontId="17" fillId="0" borderId="49"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7" fillId="0" borderId="48"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46" xfId="0" applyFont="1" applyBorder="1" applyAlignment="1" applyProtection="1">
      <alignment horizontal="center" vertical="center"/>
      <protection locked="0"/>
    </xf>
    <xf numFmtId="0" fontId="17" fillId="0" borderId="49" xfId="0" applyFont="1" applyBorder="1" applyAlignment="1">
      <alignment horizontal="center" vertical="center" wrapText="1"/>
    </xf>
    <xf numFmtId="0" fontId="17" fillId="0" borderId="40"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19" xfId="0" applyFont="1" applyBorder="1" applyAlignment="1">
      <alignment horizontal="center" vertical="center" wrapText="1"/>
    </xf>
    <xf numFmtId="0" fontId="17" fillId="0" borderId="32" xfId="0" applyFont="1" applyBorder="1" applyAlignment="1" applyProtection="1">
      <alignment horizontal="center" vertical="center" wrapText="1"/>
      <protection locked="0"/>
    </xf>
    <xf numFmtId="0" fontId="17" fillId="0" borderId="77" xfId="0" applyFont="1" applyBorder="1" applyAlignment="1">
      <alignment horizontal="center" vertical="center" wrapText="1"/>
    </xf>
    <xf numFmtId="0" fontId="17" fillId="0" borderId="99" xfId="0" applyFont="1" applyBorder="1" applyAlignment="1" applyProtection="1">
      <alignment horizontal="center" vertical="center"/>
      <protection locked="0"/>
    </xf>
    <xf numFmtId="0" fontId="17" fillId="0" borderId="38" xfId="0" applyFont="1" applyBorder="1" applyAlignment="1" applyProtection="1">
      <alignment horizontal="center" vertical="center"/>
      <protection locked="0"/>
    </xf>
    <xf numFmtId="0" fontId="17" fillId="3" borderId="33" xfId="0" applyFont="1" applyFill="1" applyBorder="1" applyAlignment="1" applyProtection="1">
      <alignment horizontal="center" vertical="center"/>
      <protection locked="0"/>
    </xf>
    <xf numFmtId="0" fontId="17" fillId="3" borderId="15" xfId="0" applyFont="1" applyFill="1" applyBorder="1" applyAlignment="1" applyProtection="1">
      <alignment horizontal="center" vertical="center"/>
      <protection locked="0"/>
    </xf>
    <xf numFmtId="0" fontId="17" fillId="0" borderId="34" xfId="0" applyFont="1" applyBorder="1" applyAlignment="1">
      <alignment horizontal="center" vertical="center" wrapText="1"/>
    </xf>
    <xf numFmtId="0" fontId="17" fillId="0" borderId="101" xfId="0" applyFont="1" applyBorder="1" applyAlignment="1" applyProtection="1">
      <alignment vertical="center"/>
      <protection locked="0"/>
    </xf>
    <xf numFmtId="0" fontId="0" fillId="0" borderId="43" xfId="0" applyBorder="1" applyAlignment="1">
      <alignment horizontal="center" vertical="center"/>
    </xf>
    <xf numFmtId="0" fontId="0" fillId="0" borderId="44" xfId="0" applyBorder="1" applyAlignment="1">
      <alignment wrapText="1"/>
    </xf>
    <xf numFmtId="0" fontId="0" fillId="0" borderId="46" xfId="0" applyBorder="1" applyAlignment="1">
      <alignment wrapText="1"/>
    </xf>
    <xf numFmtId="0" fontId="0" fillId="0" borderId="105" xfId="0" applyBorder="1"/>
    <xf numFmtId="0" fontId="0" fillId="0" borderId="107" xfId="0" applyBorder="1"/>
    <xf numFmtId="0" fontId="0" fillId="0" borderId="109" xfId="0" applyBorder="1"/>
    <xf numFmtId="0" fontId="0" fillId="0" borderId="111" xfId="0" applyBorder="1"/>
    <xf numFmtId="0" fontId="0" fillId="0" borderId="104" xfId="0" applyBorder="1" applyAlignment="1">
      <alignment horizontal="center"/>
    </xf>
    <xf numFmtId="0" fontId="0" fillId="0" borderId="102" xfId="0" applyBorder="1" applyAlignment="1">
      <alignment horizontal="center"/>
    </xf>
    <xf numFmtId="0" fontId="0" fillId="0" borderId="110" xfId="0" applyBorder="1" applyAlignment="1">
      <alignment horizontal="center"/>
    </xf>
    <xf numFmtId="0" fontId="0" fillId="0" borderId="106" xfId="0" applyBorder="1" applyAlignment="1">
      <alignment horizontal="center"/>
    </xf>
    <xf numFmtId="0" fontId="0" fillId="0" borderId="103" xfId="0" applyBorder="1" applyAlignment="1">
      <alignment horizontal="center"/>
    </xf>
    <xf numFmtId="0" fontId="0" fillId="0" borderId="108" xfId="0" applyBorder="1" applyAlignment="1">
      <alignment horizontal="center"/>
    </xf>
    <xf numFmtId="0" fontId="0" fillId="0" borderId="112" xfId="0" applyBorder="1" applyAlignment="1">
      <alignment horizontal="center"/>
    </xf>
    <xf numFmtId="0" fontId="0" fillId="0" borderId="113" xfId="0" applyBorder="1" applyAlignment="1">
      <alignment horizontal="center"/>
    </xf>
    <xf numFmtId="0" fontId="0" fillId="2" borderId="1" xfId="0" applyFill="1" applyBorder="1"/>
    <xf numFmtId="0" fontId="0" fillId="7" borderId="1" xfId="0" applyFill="1" applyBorder="1" applyAlignment="1">
      <alignment horizontal="right"/>
    </xf>
    <xf numFmtId="0" fontId="0" fillId="30" borderId="1" xfId="0" applyFill="1" applyBorder="1" applyAlignment="1">
      <alignment horizontal="right"/>
    </xf>
    <xf numFmtId="0" fontId="28"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7" fillId="0" borderId="0" xfId="0" applyFont="1" applyAlignment="1">
      <alignment horizontal="center" vertical="center" wrapText="1"/>
    </xf>
    <xf numFmtId="0" fontId="0" fillId="7" borderId="47" xfId="0" applyFill="1" applyBorder="1" applyAlignment="1">
      <alignment horizontal="right"/>
    </xf>
    <xf numFmtId="0" fontId="0" fillId="0" borderId="2" xfId="0" applyBorder="1" applyAlignment="1">
      <alignment vertical="center"/>
    </xf>
    <xf numFmtId="0" fontId="0" fillId="0" borderId="92" xfId="0" applyBorder="1" applyAlignment="1">
      <alignment vertical="center"/>
    </xf>
    <xf numFmtId="0" fontId="17" fillId="31" borderId="1" xfId="0" applyFont="1" applyFill="1" applyBorder="1" applyAlignment="1" applyProtection="1">
      <alignment horizontal="center" vertical="center"/>
      <protection locked="0"/>
    </xf>
    <xf numFmtId="0" fontId="1" fillId="4" borderId="0" xfId="0" applyFont="1" applyFill="1" applyAlignment="1">
      <alignment horizontal="left" vertical="center"/>
    </xf>
    <xf numFmtId="0" fontId="6" fillId="0" borderId="0" xfId="0" applyFont="1" applyAlignment="1">
      <alignment horizontal="left" vertical="center"/>
    </xf>
    <xf numFmtId="0" fontId="1" fillId="4" borderId="8" xfId="0" applyFont="1" applyFill="1" applyBorder="1" applyAlignment="1">
      <alignment horizontal="left" vertical="center"/>
    </xf>
    <xf numFmtId="0" fontId="1" fillId="4" borderId="9" xfId="0" applyFont="1" applyFill="1" applyBorder="1" applyAlignment="1">
      <alignment horizontal="left" vertical="center"/>
    </xf>
    <xf numFmtId="0" fontId="1" fillId="4" borderId="10" xfId="0" applyFont="1" applyFill="1" applyBorder="1" applyAlignment="1">
      <alignment horizontal="left" vertical="center"/>
    </xf>
    <xf numFmtId="0" fontId="1" fillId="6" borderId="8" xfId="0" applyFont="1" applyFill="1" applyBorder="1" applyAlignment="1">
      <alignment horizontal="left" vertical="center"/>
    </xf>
    <xf numFmtId="0" fontId="1" fillId="6" borderId="9" xfId="0" applyFont="1" applyFill="1" applyBorder="1" applyAlignment="1">
      <alignment horizontal="left" vertical="center"/>
    </xf>
    <xf numFmtId="0" fontId="1" fillId="6" borderId="10" xfId="0" applyFont="1" applyFill="1" applyBorder="1" applyAlignment="1">
      <alignment horizontal="left" vertical="center"/>
    </xf>
    <xf numFmtId="0" fontId="1" fillId="3" borderId="1" xfId="0" applyFont="1" applyFill="1" applyBorder="1" applyAlignment="1">
      <alignment horizontal="left" vertical="center"/>
    </xf>
    <xf numFmtId="0" fontId="0" fillId="6" borderId="1" xfId="0" applyFill="1" applyBorder="1" applyAlignment="1">
      <alignment horizontal="left"/>
    </xf>
    <xf numFmtId="0" fontId="3" fillId="0" borderId="0" xfId="0" applyFont="1" applyAlignment="1">
      <alignment horizontal="left" vertical="center" wrapText="1"/>
    </xf>
    <xf numFmtId="0" fontId="0" fillId="0" borderId="1" xfId="0" applyBorder="1" applyAlignment="1">
      <alignment horizontal="left" vertical="center"/>
    </xf>
    <xf numFmtId="0" fontId="1" fillId="3" borderId="0" xfId="0" applyFont="1" applyFill="1" applyAlignment="1">
      <alignment horizontal="left" vertical="center"/>
    </xf>
    <xf numFmtId="49" fontId="0" fillId="0" borderId="0" xfId="0" applyNumberFormat="1" applyAlignment="1">
      <alignment horizontal="left"/>
    </xf>
    <xf numFmtId="49" fontId="0" fillId="6" borderId="1" xfId="0" applyNumberFormat="1" applyFill="1" applyBorder="1" applyAlignment="1">
      <alignment horizontal="left"/>
    </xf>
    <xf numFmtId="0" fontId="1" fillId="4" borderId="8" xfId="0" applyFont="1" applyFill="1" applyBorder="1" applyAlignment="1">
      <alignment vertical="center"/>
    </xf>
    <xf numFmtId="0" fontId="1" fillId="4" borderId="9" xfId="0" applyFont="1" applyFill="1" applyBorder="1" applyAlignment="1">
      <alignment vertical="center"/>
    </xf>
    <xf numFmtId="0" fontId="1" fillId="4" borderId="10" xfId="0" applyFont="1" applyFill="1" applyBorder="1" applyAlignment="1">
      <alignment vertical="center"/>
    </xf>
    <xf numFmtId="49" fontId="0" fillId="0" borderId="0" xfId="0" applyNumberFormat="1"/>
    <xf numFmtId="0" fontId="0" fillId="6" borderId="1" xfId="0" applyFill="1" applyBorder="1"/>
    <xf numFmtId="0" fontId="1" fillId="4" borderId="1" xfId="0" applyFont="1" applyFill="1" applyBorder="1" applyAlignment="1">
      <alignment vertical="center"/>
    </xf>
    <xf numFmtId="165" fontId="0" fillId="31" borderId="1" xfId="0" applyNumberFormat="1" applyFill="1" applyBorder="1"/>
    <xf numFmtId="0" fontId="1" fillId="0" borderId="1" xfId="0" applyFont="1" applyBorder="1" applyAlignment="1">
      <alignment vertical="center"/>
    </xf>
    <xf numFmtId="0" fontId="1" fillId="0" borderId="0" xfId="0" applyFont="1" applyAlignment="1">
      <alignment horizontal="center" vertical="center" wrapText="1"/>
    </xf>
    <xf numFmtId="0" fontId="1" fillId="3" borderId="47" xfId="0" applyFont="1" applyFill="1" applyBorder="1" applyAlignment="1">
      <alignment horizontal="center" vertical="center"/>
    </xf>
    <xf numFmtId="0" fontId="1" fillId="3" borderId="28" xfId="0" applyFont="1" applyFill="1" applyBorder="1" applyAlignment="1">
      <alignment horizontal="center" vertical="center"/>
    </xf>
    <xf numFmtId="0" fontId="1" fillId="7" borderId="28" xfId="0" applyFont="1" applyFill="1" applyBorder="1" applyAlignment="1">
      <alignment vertical="center"/>
    </xf>
    <xf numFmtId="0" fontId="3" fillId="3" borderId="28" xfId="0" applyFont="1" applyFill="1" applyBorder="1" applyAlignment="1">
      <alignment horizontal="center" vertical="center"/>
    </xf>
    <xf numFmtId="0" fontId="1" fillId="3" borderId="41" xfId="0" applyFont="1" applyFill="1" applyBorder="1" applyAlignment="1">
      <alignment horizontal="center" vertical="center"/>
    </xf>
    <xf numFmtId="0" fontId="1" fillId="0" borderId="39" xfId="0" applyFont="1" applyBorder="1" applyAlignment="1">
      <alignment vertical="center"/>
    </xf>
    <xf numFmtId="0" fontId="11" fillId="0" borderId="96" xfId="0" applyFont="1" applyBorder="1" applyAlignment="1">
      <alignment horizontal="center" vertical="center"/>
    </xf>
    <xf numFmtId="0" fontId="11" fillId="0" borderId="3" xfId="0" applyFont="1" applyBorder="1" applyAlignment="1">
      <alignment horizontal="center" vertical="center"/>
    </xf>
    <xf numFmtId="0" fontId="11" fillId="0" borderId="65" xfId="0" applyFont="1" applyBorder="1" applyAlignment="1">
      <alignment horizontal="center" vertical="center"/>
    </xf>
    <xf numFmtId="0" fontId="11" fillId="0" borderId="70" xfId="0" applyFont="1" applyBorder="1" applyAlignment="1">
      <alignment horizontal="center" vertical="center"/>
    </xf>
    <xf numFmtId="0" fontId="11" fillId="3" borderId="3"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xf>
    <xf numFmtId="0" fontId="0" fillId="0" borderId="1" xfId="0" applyBorder="1" applyAlignment="1">
      <alignment wrapText="1"/>
    </xf>
    <xf numFmtId="0" fontId="1" fillId="0" borderId="1" xfId="0" applyFont="1" applyBorder="1" applyAlignment="1">
      <alignment vertical="center" wrapText="1"/>
    </xf>
    <xf numFmtId="0" fontId="1" fillId="3" borderId="28" xfId="0" applyFont="1" applyFill="1" applyBorder="1" applyAlignment="1">
      <alignment vertical="center"/>
    </xf>
    <xf numFmtId="0" fontId="0" fillId="0" borderId="47" xfId="0" applyBorder="1"/>
    <xf numFmtId="14" fontId="17" fillId="0" borderId="101" xfId="0" applyNumberFormat="1" applyFont="1" applyBorder="1" applyAlignment="1" applyProtection="1">
      <alignment vertical="center"/>
      <protection locked="0"/>
    </xf>
    <xf numFmtId="0" fontId="17" fillId="0" borderId="3" xfId="0" applyFont="1" applyBorder="1" applyAlignment="1">
      <alignment vertical="center" wrapText="1"/>
    </xf>
    <xf numFmtId="0" fontId="0" fillId="18" borderId="0" xfId="0" applyFill="1"/>
    <xf numFmtId="0" fontId="0" fillId="23" borderId="0" xfId="0" applyFill="1"/>
    <xf numFmtId="0" fontId="1" fillId="18" borderId="0" xfId="0" applyFont="1" applyFill="1" applyAlignment="1">
      <alignment horizontal="left" vertical="center"/>
    </xf>
    <xf numFmtId="0" fontId="1" fillId="0" borderId="0" xfId="0" applyFont="1" applyAlignment="1">
      <alignment horizontal="left"/>
    </xf>
    <xf numFmtId="0" fontId="1" fillId="18" borderId="0" xfId="0" applyFont="1" applyFill="1" applyAlignment="1">
      <alignment horizontal="left"/>
    </xf>
    <xf numFmtId="0" fontId="1" fillId="32" borderId="0" xfId="0" applyFont="1" applyFill="1" applyAlignment="1">
      <alignment horizontal="left"/>
    </xf>
    <xf numFmtId="0" fontId="1" fillId="32" borderId="0" xfId="0" applyFont="1" applyFill="1" applyAlignment="1">
      <alignment horizontal="left" vertical="center"/>
    </xf>
    <xf numFmtId="0" fontId="1" fillId="17" borderId="0" xfId="0" applyFont="1" applyFill="1" applyAlignment="1">
      <alignment horizontal="left" vertical="center"/>
    </xf>
    <xf numFmtId="0" fontId="1" fillId="33" borderId="0" xfId="0" applyFont="1" applyFill="1" applyAlignment="1">
      <alignment horizontal="left" vertical="center"/>
    </xf>
    <xf numFmtId="0" fontId="1" fillId="32" borderId="0" xfId="0" applyFont="1" applyFill="1" applyAlignment="1">
      <alignment horizontal="left" vertical="center" wrapText="1"/>
    </xf>
    <xf numFmtId="0" fontId="1" fillId="23" borderId="0" xfId="0" applyFont="1" applyFill="1" applyAlignment="1">
      <alignment horizontal="left" vertical="center"/>
    </xf>
    <xf numFmtId="0" fontId="1" fillId="18" borderId="0" xfId="0" applyFont="1" applyFill="1"/>
    <xf numFmtId="0" fontId="36" fillId="0" borderId="0" xfId="0" applyFont="1" applyAlignment="1">
      <alignment vertical="center"/>
    </xf>
    <xf numFmtId="0" fontId="0" fillId="30" borderId="47" xfId="0" applyFill="1" applyBorder="1" applyAlignment="1">
      <alignment horizontal="right"/>
    </xf>
    <xf numFmtId="0" fontId="42" fillId="0" borderId="0" xfId="0" applyFont="1" applyAlignment="1">
      <alignment vertical="center"/>
    </xf>
    <xf numFmtId="0" fontId="42" fillId="0" borderId="0" xfId="0" applyFont="1" applyAlignment="1" applyProtection="1">
      <alignment vertical="center"/>
      <protection locked="0"/>
    </xf>
    <xf numFmtId="0" fontId="32" fillId="0" borderId="0" xfId="0" applyFont="1" applyAlignment="1" applyProtection="1">
      <alignment vertical="center"/>
      <protection locked="0"/>
    </xf>
    <xf numFmtId="0" fontId="42" fillId="0" borderId="0" xfId="0" applyFont="1" applyAlignment="1">
      <alignment horizontal="right" vertical="center"/>
    </xf>
    <xf numFmtId="0" fontId="0" fillId="6" borderId="1" xfId="0" applyFill="1" applyBorder="1" applyAlignment="1">
      <alignment vertical="center"/>
    </xf>
    <xf numFmtId="0" fontId="11" fillId="6" borderId="0" xfId="0" applyFont="1" applyFill="1" applyAlignment="1">
      <alignment vertical="center"/>
    </xf>
    <xf numFmtId="0" fontId="0" fillId="33" borderId="1" xfId="0" applyFill="1" applyBorder="1" applyAlignment="1">
      <alignment horizontal="right"/>
    </xf>
    <xf numFmtId="0" fontId="55" fillId="33" borderId="1" xfId="0" applyFont="1" applyFill="1" applyBorder="1" applyAlignment="1">
      <alignment horizontal="left"/>
    </xf>
    <xf numFmtId="0" fontId="11" fillId="6" borderId="1" xfId="0" applyFont="1" applyFill="1" applyBorder="1" applyAlignment="1">
      <alignment vertical="center"/>
    </xf>
    <xf numFmtId="0" fontId="0" fillId="7" borderId="60" xfId="0" applyFill="1" applyBorder="1" applyAlignment="1">
      <alignment horizontal="right"/>
    </xf>
    <xf numFmtId="0" fontId="11" fillId="6" borderId="28" xfId="0" applyFont="1" applyFill="1" applyBorder="1" applyAlignment="1">
      <alignment vertical="center"/>
    </xf>
    <xf numFmtId="0" fontId="0" fillId="0" borderId="22" xfId="0" applyBorder="1" applyAlignment="1">
      <alignment vertical="center"/>
    </xf>
    <xf numFmtId="0" fontId="1" fillId="0" borderId="28" xfId="0" applyFont="1" applyBorder="1" applyAlignment="1">
      <alignment vertical="center"/>
    </xf>
    <xf numFmtId="0" fontId="11" fillId="6" borderId="47" xfId="0" applyFont="1" applyFill="1" applyBorder="1" applyAlignment="1">
      <alignment vertical="center"/>
    </xf>
    <xf numFmtId="0" fontId="1" fillId="18" borderId="122" xfId="0" applyFont="1" applyFill="1" applyBorder="1" applyAlignment="1">
      <alignment vertical="center"/>
    </xf>
    <xf numFmtId="0" fontId="0" fillId="30" borderId="9" xfId="0" applyFill="1" applyBorder="1" applyAlignment="1">
      <alignment horizontal="right"/>
    </xf>
    <xf numFmtId="0" fontId="11" fillId="6" borderId="9" xfId="0" applyFont="1" applyFill="1" applyBorder="1" applyAlignment="1">
      <alignment vertical="center"/>
    </xf>
    <xf numFmtId="0" fontId="11" fillId="6" borderId="123" xfId="0" applyFont="1" applyFill="1" applyBorder="1" applyAlignment="1">
      <alignment vertical="center"/>
    </xf>
    <xf numFmtId="0" fontId="1" fillId="3" borderId="20" xfId="0" applyFont="1" applyFill="1" applyBorder="1" applyAlignment="1">
      <alignment vertical="center"/>
    </xf>
    <xf numFmtId="165" fontId="0" fillId="7" borderId="9" xfId="0" applyNumberFormat="1" applyFill="1" applyBorder="1"/>
    <xf numFmtId="0" fontId="0" fillId="0" borderId="14" xfId="0" applyBorder="1" applyAlignment="1">
      <alignment vertical="center"/>
    </xf>
    <xf numFmtId="0" fontId="0" fillId="6" borderId="14" xfId="0" applyFill="1" applyBorder="1" applyAlignment="1">
      <alignment vertical="center"/>
    </xf>
    <xf numFmtId="0" fontId="1" fillId="18" borderId="124" xfId="0" applyFont="1" applyFill="1" applyBorder="1" applyAlignment="1">
      <alignment vertical="center"/>
    </xf>
    <xf numFmtId="0" fontId="1" fillId="3" borderId="26" xfId="0" applyFont="1" applyFill="1" applyBorder="1" applyAlignment="1">
      <alignment vertical="center"/>
    </xf>
    <xf numFmtId="0" fontId="1" fillId="3" borderId="14" xfId="0" applyFont="1" applyFill="1" applyBorder="1" applyAlignment="1">
      <alignment vertical="center"/>
    </xf>
    <xf numFmtId="0" fontId="11" fillId="6" borderId="31" xfId="0" applyFont="1" applyFill="1" applyBorder="1" applyAlignment="1">
      <alignment vertical="center"/>
    </xf>
    <xf numFmtId="0" fontId="1" fillId="18" borderId="14" xfId="0" applyFont="1" applyFill="1" applyBorder="1" applyAlignment="1">
      <alignment horizontal="center" vertical="center"/>
    </xf>
    <xf numFmtId="0" fontId="1" fillId="7" borderId="9" xfId="0" applyFont="1" applyFill="1" applyBorder="1" applyAlignment="1">
      <alignment vertical="center"/>
    </xf>
    <xf numFmtId="0" fontId="1" fillId="0" borderId="125" xfId="0" applyFont="1" applyBorder="1" applyAlignment="1">
      <alignment vertical="center"/>
    </xf>
    <xf numFmtId="0" fontId="1" fillId="18" borderId="126" xfId="0" applyFont="1" applyFill="1" applyBorder="1" applyAlignment="1">
      <alignment vertical="center"/>
    </xf>
    <xf numFmtId="0" fontId="1" fillId="3" borderId="127" xfId="0" applyFont="1" applyFill="1" applyBorder="1" applyAlignment="1">
      <alignment vertical="center"/>
    </xf>
    <xf numFmtId="0" fontId="0" fillId="30" borderId="128" xfId="0" applyFill="1" applyBorder="1" applyAlignment="1">
      <alignment horizontal="right"/>
    </xf>
    <xf numFmtId="0" fontId="11" fillId="6" borderId="128" xfId="0" applyFont="1" applyFill="1" applyBorder="1" applyAlignment="1">
      <alignment vertical="center"/>
    </xf>
    <xf numFmtId="0" fontId="1" fillId="7" borderId="128" xfId="0" applyFont="1" applyFill="1" applyBorder="1" applyAlignment="1">
      <alignment vertical="center"/>
    </xf>
    <xf numFmtId="165" fontId="0" fillId="7" borderId="128" xfId="0" applyNumberFormat="1" applyFill="1" applyBorder="1"/>
    <xf numFmtId="0" fontId="11" fillId="6" borderId="129" xfId="0" applyFont="1" applyFill="1" applyBorder="1" applyAlignment="1">
      <alignment vertical="center"/>
    </xf>
    <xf numFmtId="0" fontId="1" fillId="18" borderId="130" xfId="0" applyFont="1" applyFill="1" applyBorder="1" applyAlignment="1">
      <alignment vertical="center"/>
    </xf>
    <xf numFmtId="0" fontId="0" fillId="0" borderId="25" xfId="0" applyBorder="1" applyAlignment="1">
      <alignment vertical="center"/>
    </xf>
    <xf numFmtId="0" fontId="0" fillId="31" borderId="0" xfId="0" applyFill="1"/>
    <xf numFmtId="165" fontId="0" fillId="0" borderId="31" xfId="0" applyNumberFormat="1" applyBorder="1"/>
    <xf numFmtId="0" fontId="1" fillId="0" borderId="31" xfId="0" applyFont="1" applyBorder="1" applyAlignment="1">
      <alignment vertical="center"/>
    </xf>
    <xf numFmtId="0" fontId="55" fillId="0" borderId="22" xfId="0" applyFont="1" applyBorder="1" applyAlignment="1">
      <alignment vertical="center"/>
    </xf>
    <xf numFmtId="0" fontId="0" fillId="7" borderId="4" xfId="0" applyFill="1" applyBorder="1" applyAlignment="1">
      <alignment horizontal="right"/>
    </xf>
    <xf numFmtId="0" fontId="57" fillId="0" borderId="1" xfId="0" applyFont="1" applyBorder="1" applyAlignment="1">
      <alignment horizontal="right"/>
    </xf>
    <xf numFmtId="0" fontId="0" fillId="0" borderId="38" xfId="0" applyBorder="1" applyAlignment="1">
      <alignment vertical="center"/>
    </xf>
    <xf numFmtId="0" fontId="1" fillId="0" borderId="38" xfId="0" applyFont="1" applyBorder="1" applyAlignment="1">
      <alignment horizontal="center" vertical="center"/>
    </xf>
    <xf numFmtId="49" fontId="0" fillId="30" borderId="1" xfId="0" applyNumberFormat="1" applyFill="1" applyBorder="1" applyAlignment="1">
      <alignment horizontal="right"/>
    </xf>
    <xf numFmtId="49" fontId="0" fillId="7" borderId="1" xfId="0" applyNumberFormat="1" applyFill="1" applyBorder="1" applyAlignment="1">
      <alignment horizontal="right"/>
    </xf>
    <xf numFmtId="0" fontId="0" fillId="0" borderId="31" xfId="0" applyBorder="1" applyAlignment="1">
      <alignment vertical="center"/>
    </xf>
    <xf numFmtId="0" fontId="0" fillId="30" borderId="60" xfId="0" applyFill="1" applyBorder="1" applyAlignment="1">
      <alignment horizontal="right"/>
    </xf>
    <xf numFmtId="0" fontId="1" fillId="18" borderId="131" xfId="0" applyFont="1" applyFill="1" applyBorder="1" applyAlignment="1">
      <alignment vertical="center"/>
    </xf>
    <xf numFmtId="0" fontId="1" fillId="3" borderId="132" xfId="0" applyFont="1" applyFill="1" applyBorder="1" applyAlignment="1">
      <alignment vertical="center"/>
    </xf>
    <xf numFmtId="0" fontId="45" fillId="0" borderId="0" xfId="0" applyFont="1" applyAlignment="1" applyProtection="1">
      <alignment vertical="center"/>
      <protection locked="0"/>
    </xf>
    <xf numFmtId="0" fontId="17" fillId="0" borderId="49" xfId="0" applyFont="1" applyBorder="1" applyAlignment="1">
      <alignment horizontal="center" vertical="center"/>
    </xf>
    <xf numFmtId="0" fontId="1" fillId="5" borderId="0" xfId="0" applyFont="1" applyFill="1" applyAlignment="1">
      <alignment horizontal="left" vertical="center"/>
    </xf>
    <xf numFmtId="0" fontId="42" fillId="0" borderId="0" xfId="0" applyFont="1" applyAlignment="1" applyProtection="1">
      <alignment horizontal="left" vertical="center"/>
      <protection locked="0"/>
    </xf>
    <xf numFmtId="0" fontId="0" fillId="7" borderId="2" xfId="0" applyFill="1" applyBorder="1" applyAlignment="1">
      <alignment horizontal="right"/>
    </xf>
    <xf numFmtId="0" fontId="0" fillId="0" borderId="28" xfId="0" applyBorder="1" applyAlignment="1">
      <alignment vertical="center"/>
    </xf>
    <xf numFmtId="0" fontId="0" fillId="30" borderId="2" xfId="0" applyFill="1" applyBorder="1" applyAlignment="1">
      <alignment horizontal="right"/>
    </xf>
    <xf numFmtId="0" fontId="1" fillId="0" borderId="0" xfId="0" applyFont="1" applyAlignment="1">
      <alignment horizontal="left" vertical="top" wrapText="1"/>
    </xf>
    <xf numFmtId="165" fontId="0" fillId="0" borderId="38" xfId="0" applyNumberFormat="1" applyBorder="1"/>
    <xf numFmtId="0" fontId="58" fillId="0" borderId="0" xfId="0" applyFont="1" applyAlignment="1">
      <alignment vertical="center"/>
    </xf>
    <xf numFmtId="0" fontId="55" fillId="33" borderId="47" xfId="0" applyFont="1" applyFill="1" applyBorder="1" applyAlignment="1">
      <alignment horizontal="left"/>
    </xf>
    <xf numFmtId="0" fontId="1" fillId="6" borderId="21" xfId="0" applyFont="1" applyFill="1" applyBorder="1" applyAlignment="1">
      <alignment horizontal="left" vertical="center"/>
    </xf>
    <xf numFmtId="0" fontId="4" fillId="0" borderId="1" xfId="0" applyFont="1" applyBorder="1" applyAlignment="1">
      <alignment horizontal="left" vertical="center"/>
    </xf>
    <xf numFmtId="0" fontId="0" fillId="0" borderId="43" xfId="0" applyBorder="1"/>
    <xf numFmtId="0" fontId="0" fillId="0" borderId="46" xfId="0" applyBorder="1"/>
    <xf numFmtId="0" fontId="0" fillId="0" borderId="32" xfId="0" applyBorder="1"/>
    <xf numFmtId="0" fontId="0" fillId="0" borderId="33" xfId="0" applyBorder="1"/>
    <xf numFmtId="0" fontId="0" fillId="0" borderId="13" xfId="0" applyBorder="1"/>
    <xf numFmtId="0" fontId="0" fillId="0" borderId="15" xfId="0" applyBorder="1"/>
    <xf numFmtId="0" fontId="1" fillId="4" borderId="48" xfId="0" applyFont="1" applyFill="1" applyBorder="1" applyAlignment="1">
      <alignment vertical="center"/>
    </xf>
    <xf numFmtId="0" fontId="1" fillId="4" borderId="45" xfId="0" applyFont="1" applyFill="1" applyBorder="1" applyAlignment="1">
      <alignment vertical="center"/>
    </xf>
    <xf numFmtId="0" fontId="1" fillId="4" borderId="51" xfId="0" applyFont="1" applyFill="1" applyBorder="1" applyAlignment="1">
      <alignment vertical="center"/>
    </xf>
    <xf numFmtId="0" fontId="0" fillId="0" borderId="0" xfId="0" applyAlignment="1">
      <alignment horizontal="right" vertical="center"/>
    </xf>
    <xf numFmtId="0" fontId="1" fillId="0" borderId="0" xfId="0" applyFont="1" applyAlignment="1">
      <alignment horizontal="right" vertical="center"/>
    </xf>
    <xf numFmtId="0" fontId="17" fillId="0" borderId="0" xfId="0" applyFont="1" applyAlignment="1">
      <alignment horizontal="left" vertical="center" indent="2"/>
    </xf>
    <xf numFmtId="0" fontId="59" fillId="0" borderId="0" xfId="0" applyFont="1" applyAlignment="1">
      <alignment vertical="center"/>
    </xf>
    <xf numFmtId="0" fontId="59" fillId="0" borderId="0" xfId="0" applyFont="1" applyAlignment="1" applyProtection="1">
      <alignment vertical="center"/>
      <protection locked="0"/>
    </xf>
    <xf numFmtId="0" fontId="0" fillId="0" borderId="3" xfId="0" applyBorder="1" applyAlignment="1">
      <alignment vertical="center"/>
    </xf>
    <xf numFmtId="0" fontId="19" fillId="0" borderId="47" xfId="0" applyFont="1" applyBorder="1" applyAlignment="1">
      <alignment horizontal="center" vertical="center"/>
    </xf>
    <xf numFmtId="165" fontId="19" fillId="0" borderId="1" xfId="0" applyNumberFormat="1" applyFont="1" applyBorder="1" applyAlignment="1">
      <alignment horizontal="center" vertical="center"/>
    </xf>
    <xf numFmtId="0" fontId="6" fillId="31" borderId="0" xfId="0" applyFont="1" applyFill="1" applyAlignment="1" applyProtection="1">
      <alignment vertical="center"/>
      <protection locked="0"/>
    </xf>
    <xf numFmtId="0" fontId="17" fillId="3" borderId="0" xfId="0" applyFont="1" applyFill="1" applyAlignment="1">
      <alignment horizontal="center" vertical="center"/>
    </xf>
    <xf numFmtId="0" fontId="11" fillId="0" borderId="0" xfId="0" applyFont="1" applyAlignment="1">
      <alignment horizontal="center" vertical="center"/>
    </xf>
    <xf numFmtId="0" fontId="12" fillId="0" borderId="133" xfId="0" applyFont="1" applyBorder="1" applyAlignment="1">
      <alignment horizontal="center"/>
    </xf>
    <xf numFmtId="0" fontId="19" fillId="0" borderId="79" xfId="0" applyFont="1" applyBorder="1" applyAlignment="1" applyProtection="1">
      <alignment horizontal="center" vertical="center"/>
      <protection locked="0"/>
    </xf>
    <xf numFmtId="0" fontId="19" fillId="0" borderId="47" xfId="0" applyFont="1" applyBorder="1" applyAlignment="1" applyProtection="1">
      <alignment horizontal="center" vertical="center"/>
      <protection locked="0"/>
    </xf>
    <xf numFmtId="0" fontId="19" fillId="0" borderId="78" xfId="0" applyFont="1" applyBorder="1" applyAlignment="1" applyProtection="1">
      <alignment horizontal="center" vertical="center"/>
      <protection locked="0"/>
    </xf>
    <xf numFmtId="0" fontId="1" fillId="0" borderId="47" xfId="0" applyFont="1" applyBorder="1" applyAlignment="1">
      <alignment horizontal="center" vertical="center"/>
    </xf>
    <xf numFmtId="0" fontId="1" fillId="0" borderId="78" xfId="0" applyFont="1" applyBorder="1" applyAlignment="1">
      <alignment horizontal="center" vertical="center"/>
    </xf>
    <xf numFmtId="0" fontId="12" fillId="0" borderId="1" xfId="0" applyFont="1" applyBorder="1" applyAlignment="1">
      <alignment vertical="center"/>
    </xf>
    <xf numFmtId="0" fontId="11" fillId="2" borderId="70" xfId="0" applyFont="1" applyFill="1" applyBorder="1" applyAlignment="1">
      <alignment horizontal="center" vertical="center"/>
    </xf>
    <xf numFmtId="0" fontId="11" fillId="33" borderId="1" xfId="0" applyFont="1" applyFill="1" applyBorder="1" applyAlignment="1">
      <alignment horizontal="center" vertical="center"/>
    </xf>
    <xf numFmtId="0" fontId="11" fillId="29" borderId="70" xfId="0" applyFont="1" applyFill="1" applyBorder="1" applyAlignment="1">
      <alignment vertical="center"/>
    </xf>
    <xf numFmtId="0" fontId="17" fillId="0" borderId="3" xfId="0" applyFont="1" applyBorder="1" applyAlignment="1">
      <alignment horizontal="center" vertical="center" wrapText="1"/>
    </xf>
    <xf numFmtId="0" fontId="7" fillId="5" borderId="31" xfId="0" applyFont="1" applyFill="1" applyBorder="1" applyAlignment="1">
      <alignment vertical="center"/>
    </xf>
    <xf numFmtId="0" fontId="0" fillId="5" borderId="31" xfId="0" applyFill="1" applyBorder="1"/>
    <xf numFmtId="0" fontId="7" fillId="5" borderId="22" xfId="0" applyFont="1" applyFill="1" applyBorder="1" applyAlignment="1">
      <alignment vertical="center"/>
    </xf>
    <xf numFmtId="0" fontId="0" fillId="5" borderId="22" xfId="0" applyFill="1" applyBorder="1"/>
    <xf numFmtId="0" fontId="7" fillId="9" borderId="31" xfId="0" applyFont="1" applyFill="1" applyBorder="1" applyAlignment="1">
      <alignment vertical="center"/>
    </xf>
    <xf numFmtId="0" fontId="0" fillId="9" borderId="31" xfId="0" applyFill="1" applyBorder="1"/>
    <xf numFmtId="0" fontId="7" fillId="9" borderId="0" xfId="0" applyFont="1" applyFill="1" applyAlignment="1">
      <alignment vertical="center"/>
    </xf>
    <xf numFmtId="0" fontId="0" fillId="9" borderId="0" xfId="0" applyFill="1"/>
    <xf numFmtId="0" fontId="7" fillId="9" borderId="22" xfId="0" applyFont="1" applyFill="1" applyBorder="1" applyAlignment="1">
      <alignment vertical="center"/>
    </xf>
    <xf numFmtId="0" fontId="0" fillId="9" borderId="22" xfId="0" applyFill="1" applyBorder="1"/>
    <xf numFmtId="0" fontId="14" fillId="0" borderId="0" xfId="0" applyFont="1" applyAlignment="1" applyProtection="1">
      <alignment vertical="center"/>
      <protection locked="0"/>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7" xfId="0" applyBorder="1" applyAlignment="1">
      <alignment horizontal="left" vertical="top" wrapText="1"/>
    </xf>
    <xf numFmtId="0" fontId="0" fillId="0" borderId="38" xfId="0" applyBorder="1" applyAlignment="1">
      <alignment horizontal="left" vertical="top" wrapText="1"/>
    </xf>
    <xf numFmtId="0" fontId="0" fillId="0" borderId="0" xfId="0" applyAlignment="1">
      <alignment horizontal="left" vertical="top" wrapText="1"/>
    </xf>
    <xf numFmtId="0" fontId="0" fillId="0" borderId="39" xfId="0" applyBorder="1" applyAlignment="1">
      <alignment horizontal="left" vertical="top" wrapText="1"/>
    </xf>
    <xf numFmtId="0" fontId="1" fillId="0" borderId="53" xfId="0" applyFont="1" applyBorder="1" applyAlignment="1">
      <alignment horizontal="center" vertical="top"/>
    </xf>
    <xf numFmtId="0" fontId="1" fillId="0" borderId="54" xfId="0" applyFont="1" applyBorder="1" applyAlignment="1">
      <alignment horizontal="center" vertical="top"/>
    </xf>
    <xf numFmtId="0" fontId="1" fillId="0" borderId="55" xfId="0" applyFont="1" applyBorder="1" applyAlignment="1">
      <alignment horizontal="center" vertical="top"/>
    </xf>
    <xf numFmtId="0" fontId="17" fillId="0" borderId="5" xfId="0" applyFont="1" applyBorder="1" applyAlignment="1" applyProtection="1">
      <alignment horizontal="left" vertical="center"/>
      <protection locked="0"/>
    </xf>
    <xf numFmtId="0" fontId="17" fillId="0" borderId="6" xfId="0" applyFont="1" applyBorder="1" applyAlignment="1" applyProtection="1">
      <alignment horizontal="left" vertical="center"/>
      <protection locked="0"/>
    </xf>
    <xf numFmtId="0" fontId="17" fillId="0" borderId="7" xfId="0" applyFont="1" applyBorder="1" applyAlignment="1" applyProtection="1">
      <alignment horizontal="left" vertical="center"/>
      <protection locked="0"/>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55" fillId="0" borderId="2" xfId="0" applyFont="1" applyBorder="1" applyAlignment="1">
      <alignment horizontal="left" vertical="center"/>
    </xf>
    <xf numFmtId="0" fontId="55" fillId="0" borderId="3" xfId="0" applyFont="1" applyBorder="1" applyAlignment="1">
      <alignment horizontal="left" vertical="center"/>
    </xf>
    <xf numFmtId="0" fontId="55" fillId="0" borderId="4" xfId="0" applyFont="1" applyBorder="1" applyAlignment="1">
      <alignment horizontal="left" vertical="center"/>
    </xf>
    <xf numFmtId="0" fontId="17" fillId="0" borderId="11"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28" fillId="0" borderId="1" xfId="0" applyFont="1" applyBorder="1" applyAlignment="1">
      <alignment horizontal="center" vertical="center"/>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11"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20" fillId="0" borderId="26" xfId="0" applyFont="1" applyBorder="1" applyAlignment="1" applyProtection="1">
      <alignment horizontal="left" vertical="center"/>
      <protection hidden="1"/>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34" xfId="0" applyFont="1" applyBorder="1" applyAlignment="1">
      <alignment horizontal="left" vertical="center" wrapText="1"/>
    </xf>
    <xf numFmtId="0" fontId="17" fillId="0" borderId="35" xfId="0" applyFont="1" applyBorder="1" applyAlignment="1">
      <alignment horizontal="left" vertical="center" wrapText="1"/>
    </xf>
    <xf numFmtId="0" fontId="17" fillId="0" borderId="36" xfId="0" applyFont="1" applyBorder="1" applyAlignment="1">
      <alignment horizontal="left" vertical="center" wrapText="1"/>
    </xf>
    <xf numFmtId="0" fontId="25" fillId="0" borderId="59" xfId="0" applyFont="1" applyBorder="1" applyAlignment="1">
      <alignment horizontal="right" vertical="center" textRotation="90"/>
    </xf>
    <xf numFmtId="0" fontId="17" fillId="0" borderId="25"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14" fontId="17" fillId="0" borderId="3" xfId="0" applyNumberFormat="1" applyFont="1" applyBorder="1" applyAlignment="1">
      <alignment horizontal="left" vertical="center"/>
    </xf>
    <xf numFmtId="14" fontId="17" fillId="0" borderId="4" xfId="0" applyNumberFormat="1" applyFont="1" applyBorder="1" applyAlignment="1">
      <alignment horizontal="left" vertical="center"/>
    </xf>
    <xf numFmtId="0" fontId="17" fillId="0" borderId="3" xfId="0" applyFont="1" applyBorder="1" applyAlignment="1">
      <alignment horizontal="center" vertical="center"/>
    </xf>
    <xf numFmtId="0" fontId="17" fillId="0" borderId="12" xfId="0" applyFont="1" applyBorder="1" applyAlignment="1">
      <alignment horizontal="left" vertical="center" wrapText="1"/>
    </xf>
    <xf numFmtId="0" fontId="17" fillId="0" borderId="2" xfId="0" applyFont="1" applyBorder="1" applyAlignment="1" applyProtection="1">
      <alignment horizontal="left" vertical="center"/>
      <protection locked="0"/>
    </xf>
    <xf numFmtId="0" fontId="17" fillId="0" borderId="3" xfId="0"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0" fontId="17" fillId="0" borderId="16" xfId="0" applyFont="1" applyBorder="1" applyAlignment="1" applyProtection="1">
      <alignment horizontal="left" vertical="center"/>
      <protection locked="0"/>
    </xf>
    <xf numFmtId="0" fontId="17" fillId="0" borderId="17" xfId="0" applyFont="1" applyBorder="1" applyAlignment="1" applyProtection="1">
      <alignment horizontal="left" vertical="center"/>
      <protection locked="0"/>
    </xf>
    <xf numFmtId="0" fontId="17" fillId="0" borderId="18" xfId="0" applyFont="1" applyBorder="1" applyAlignment="1" applyProtection="1">
      <alignment horizontal="left" vertical="center"/>
      <protection locked="0"/>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0" borderId="4" xfId="0" applyFont="1" applyBorder="1" applyAlignment="1">
      <alignment vertical="center" wrapText="1"/>
    </xf>
    <xf numFmtId="0" fontId="0" fillId="0" borderId="1" xfId="0" applyBorder="1" applyAlignment="1">
      <alignment horizontal="center" vertical="center"/>
    </xf>
    <xf numFmtId="0" fontId="0" fillId="6" borderId="47" xfId="0" applyFill="1" applyBorder="1" applyAlignment="1">
      <alignment horizontal="center" vertical="center"/>
    </xf>
    <xf numFmtId="0" fontId="0" fillId="6" borderId="28" xfId="0" applyFill="1" applyBorder="1" applyAlignment="1">
      <alignment horizontal="center" vertical="center"/>
    </xf>
    <xf numFmtId="0" fontId="0" fillId="6" borderId="1" xfId="0" applyFill="1" applyBorder="1" applyAlignment="1">
      <alignment horizontal="center" vertical="center"/>
    </xf>
    <xf numFmtId="0" fontId="1" fillId="0" borderId="3" xfId="0" applyFont="1" applyBorder="1" applyAlignment="1">
      <alignment horizontal="center" vertical="center"/>
    </xf>
    <xf numFmtId="0" fontId="1" fillId="0" borderId="22" xfId="0" applyFont="1" applyBorder="1" applyAlignment="1">
      <alignment horizontal="center" vertical="center"/>
    </xf>
    <xf numFmtId="0" fontId="28" fillId="0" borderId="40" xfId="0" applyFont="1" applyBorder="1" applyAlignment="1">
      <alignment horizontal="center" vertical="center"/>
    </xf>
    <xf numFmtId="0" fontId="28" fillId="0" borderId="22" xfId="0" applyFont="1" applyBorder="1" applyAlignment="1">
      <alignment horizontal="center" vertical="center"/>
    </xf>
    <xf numFmtId="0" fontId="17" fillId="0" borderId="49" xfId="0" applyFont="1" applyBorder="1" applyAlignment="1">
      <alignment horizontal="left" vertical="center" wrapText="1"/>
    </xf>
    <xf numFmtId="0" fontId="17" fillId="0" borderId="25" xfId="0" applyFont="1" applyBorder="1" applyAlignment="1">
      <alignment horizontal="left" vertical="center" wrapText="1"/>
    </xf>
    <xf numFmtId="0" fontId="17" fillId="0" borderId="50" xfId="0" applyFont="1" applyBorder="1" applyAlignment="1">
      <alignment horizontal="left" vertical="center" wrapText="1"/>
    </xf>
    <xf numFmtId="0" fontId="17" fillId="0" borderId="49" xfId="0" applyFont="1" applyBorder="1" applyAlignment="1">
      <alignment horizontal="center" vertical="center"/>
    </xf>
    <xf numFmtId="0" fontId="17" fillId="0" borderId="25" xfId="0" applyFont="1" applyBorder="1" applyAlignment="1">
      <alignment horizontal="center" vertical="center"/>
    </xf>
    <xf numFmtId="0" fontId="17" fillId="0" borderId="50" xfId="0" applyFont="1" applyBorder="1" applyAlignment="1">
      <alignment horizontal="center" vertical="center"/>
    </xf>
    <xf numFmtId="0" fontId="17" fillId="0" borderId="1" xfId="0" applyFont="1" applyBorder="1" applyAlignment="1" applyProtection="1">
      <alignment horizontal="left" vertical="center"/>
      <protection locked="0"/>
    </xf>
    <xf numFmtId="0" fontId="17" fillId="0" borderId="100"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40" xfId="0" applyFont="1" applyBorder="1" applyAlignment="1">
      <alignment vertical="center" wrapText="1"/>
    </xf>
    <xf numFmtId="0" fontId="17" fillId="0" borderId="22" xfId="0" applyFont="1" applyBorder="1" applyAlignment="1">
      <alignment vertical="center" wrapText="1"/>
    </xf>
    <xf numFmtId="0" fontId="20" fillId="0" borderId="0" xfId="0" applyFont="1" applyAlignment="1" applyProtection="1">
      <alignment horizontal="left" vertical="center"/>
      <protection hidden="1"/>
    </xf>
    <xf numFmtId="0" fontId="19" fillId="0" borderId="3"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7" fillId="0" borderId="11" xfId="0" applyFont="1" applyBorder="1" applyAlignment="1">
      <alignment horizontal="center" vertical="center" wrapText="1"/>
    </xf>
    <xf numFmtId="0" fontId="17" fillId="0" borderId="4" xfId="0" applyFont="1" applyBorder="1" applyAlignment="1">
      <alignment horizontal="center" vertical="center" wrapText="1"/>
    </xf>
    <xf numFmtId="0" fontId="1" fillId="0" borderId="46"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9" fillId="0" borderId="70"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0" borderId="70" xfId="0" applyFont="1" applyBorder="1" applyAlignment="1">
      <alignment horizontal="center" vertical="center"/>
    </xf>
    <xf numFmtId="0" fontId="19" fillId="0" borderId="4" xfId="0" applyFont="1" applyBorder="1" applyAlignment="1">
      <alignment horizontal="center" vertical="center"/>
    </xf>
    <xf numFmtId="0" fontId="12" fillId="0" borderId="68" xfId="0" applyFont="1" applyBorder="1" applyAlignment="1">
      <alignment horizontal="center"/>
    </xf>
    <xf numFmtId="0" fontId="12" fillId="0" borderId="35" xfId="0" applyFont="1" applyBorder="1" applyAlignment="1">
      <alignment horizontal="center"/>
    </xf>
    <xf numFmtId="0" fontId="12" fillId="0" borderId="69" xfId="0" applyFont="1" applyBorder="1" applyAlignment="1">
      <alignment horizontal="center"/>
    </xf>
    <xf numFmtId="0" fontId="12" fillId="0" borderId="71" xfId="0" applyFont="1" applyBorder="1" applyAlignment="1">
      <alignment horizontal="center"/>
    </xf>
    <xf numFmtId="0" fontId="12" fillId="0" borderId="17" xfId="0" applyFont="1" applyBorder="1" applyAlignment="1">
      <alignment horizontal="center"/>
    </xf>
    <xf numFmtId="0" fontId="12" fillId="0" borderId="66" xfId="0" applyFont="1" applyBorder="1" applyAlignment="1">
      <alignment horizontal="center"/>
    </xf>
    <xf numFmtId="0" fontId="17" fillId="0" borderId="65" xfId="0" applyFont="1" applyBorder="1" applyAlignment="1">
      <alignment horizontal="left" vertical="center" wrapText="1"/>
    </xf>
    <xf numFmtId="0" fontId="12" fillId="0" borderId="76" xfId="0" applyFont="1" applyBorder="1" applyAlignment="1">
      <alignment horizontal="center" vertical="center"/>
    </xf>
    <xf numFmtId="0" fontId="12" fillId="0" borderId="20" xfId="0" applyFont="1" applyBorder="1" applyAlignment="1">
      <alignment horizontal="center" vertical="center"/>
    </xf>
    <xf numFmtId="0" fontId="12" fillId="0" borderId="77" xfId="0" applyFont="1" applyBorder="1" applyAlignment="1">
      <alignment horizontal="center" vertical="center"/>
    </xf>
    <xf numFmtId="0" fontId="17" fillId="0" borderId="40" xfId="0" applyFont="1" applyBorder="1" applyAlignment="1">
      <alignment horizontal="left" vertical="center" wrapText="1"/>
    </xf>
    <xf numFmtId="0" fontId="17" fillId="0" borderId="22" xfId="0" applyFont="1" applyBorder="1" applyAlignment="1">
      <alignment horizontal="left"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2" fillId="0" borderId="67" xfId="0" applyFont="1" applyBorder="1" applyAlignment="1">
      <alignment horizontal="center" vertical="center"/>
    </xf>
    <xf numFmtId="0" fontId="17" fillId="0" borderId="3" xfId="0" applyFont="1" applyBorder="1" applyAlignment="1" applyProtection="1">
      <alignment horizontal="center" vertical="center" wrapText="1"/>
      <protection locked="0"/>
    </xf>
    <xf numFmtId="0" fontId="19" fillId="0" borderId="97"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4" xfId="0" applyFont="1" applyBorder="1" applyAlignment="1">
      <alignment horizontal="center" vertical="center" wrapText="1"/>
    </xf>
    <xf numFmtId="0" fontId="1" fillId="16" borderId="43" xfId="0" applyFont="1" applyFill="1" applyBorder="1" applyAlignment="1">
      <alignment horizontal="center" vertical="center"/>
    </xf>
    <xf numFmtId="0" fontId="1" fillId="16" borderId="44" xfId="0" applyFont="1" applyFill="1" applyBorder="1" applyAlignment="1">
      <alignment horizontal="center" vertical="center"/>
    </xf>
    <xf numFmtId="0" fontId="1" fillId="16" borderId="46" xfId="0" applyFont="1" applyFill="1" applyBorder="1" applyAlignment="1">
      <alignment horizontal="center" vertical="center"/>
    </xf>
    <xf numFmtId="0" fontId="1" fillId="15" borderId="68" xfId="0" applyFont="1" applyFill="1" applyBorder="1" applyAlignment="1">
      <alignment horizontal="center" vertical="center"/>
    </xf>
    <xf numFmtId="0" fontId="1" fillId="15" borderId="35" xfId="0" applyFont="1" applyFill="1" applyBorder="1" applyAlignment="1">
      <alignment horizontal="center" vertical="center"/>
    </xf>
    <xf numFmtId="0" fontId="1" fillId="15" borderId="69" xfId="0" applyFont="1" applyFill="1" applyBorder="1" applyAlignment="1">
      <alignment horizontal="center" vertical="center"/>
    </xf>
    <xf numFmtId="0" fontId="1" fillId="14" borderId="43" xfId="0" applyFont="1" applyFill="1" applyBorder="1" applyAlignment="1">
      <alignment horizontal="center" vertical="center"/>
    </xf>
    <xf numFmtId="0" fontId="1" fillId="14" borderId="34" xfId="0" applyFont="1" applyFill="1" applyBorder="1" applyAlignment="1">
      <alignment horizontal="center" vertical="center"/>
    </xf>
    <xf numFmtId="0" fontId="17" fillId="31" borderId="3" xfId="0" applyFont="1" applyFill="1" applyBorder="1" applyAlignment="1" applyProtection="1">
      <alignment horizontal="center" vertical="center" wrapText="1"/>
      <protection locked="0"/>
    </xf>
    <xf numFmtId="0" fontId="17" fillId="31" borderId="4" xfId="0" applyFont="1" applyFill="1" applyBorder="1" applyAlignment="1" applyProtection="1">
      <alignment horizontal="center" vertical="center" wrapText="1"/>
      <protection locked="0"/>
    </xf>
    <xf numFmtId="0" fontId="17" fillId="0" borderId="3" xfId="0" applyFont="1" applyBorder="1" applyAlignment="1">
      <alignment horizontal="right" vertical="center" wrapText="1"/>
    </xf>
    <xf numFmtId="0" fontId="17" fillId="0" borderId="12" xfId="0" applyFont="1" applyBorder="1" applyAlignment="1">
      <alignment horizontal="right" vertical="center" wrapText="1"/>
    </xf>
    <xf numFmtId="0" fontId="17" fillId="0" borderId="40" xfId="0" applyFont="1" applyBorder="1" applyAlignment="1">
      <alignment horizontal="left" vertical="center"/>
    </xf>
    <xf numFmtId="0" fontId="17" fillId="0" borderId="22" xfId="0" applyFont="1" applyBorder="1" applyAlignment="1">
      <alignment horizontal="left" vertical="center"/>
    </xf>
    <xf numFmtId="0" fontId="17" fillId="0" borderId="41" xfId="0" applyFont="1" applyBorder="1" applyAlignment="1">
      <alignment horizontal="left" vertical="center"/>
    </xf>
    <xf numFmtId="0" fontId="17" fillId="0" borderId="25" xfId="0" applyFont="1" applyBorder="1" applyAlignment="1">
      <alignment horizontal="right" vertical="center" wrapText="1"/>
    </xf>
    <xf numFmtId="0" fontId="17" fillId="0" borderId="62" xfId="0" applyFont="1" applyBorder="1" applyAlignment="1">
      <alignment horizontal="right" vertical="center" wrapText="1"/>
    </xf>
    <xf numFmtId="0" fontId="17" fillId="0" borderId="98" xfId="0" applyFont="1" applyBorder="1" applyAlignment="1" applyProtection="1">
      <alignment horizontal="left" vertical="center" wrapText="1"/>
      <protection locked="0"/>
    </xf>
    <xf numFmtId="0" fontId="17" fillId="0" borderId="25" xfId="0" applyFont="1" applyBorder="1" applyAlignment="1" applyProtection="1">
      <alignment horizontal="left" vertical="center" wrapText="1"/>
      <protection locked="0"/>
    </xf>
    <xf numFmtId="0" fontId="11" fillId="0" borderId="114" xfId="0" applyFont="1" applyBorder="1" applyAlignment="1">
      <alignment horizontal="center" vertical="center"/>
    </xf>
    <xf numFmtId="0" fontId="11" fillId="0" borderId="25" xfId="0" applyFont="1" applyBorder="1" applyAlignment="1">
      <alignment horizontal="center" vertical="center"/>
    </xf>
    <xf numFmtId="0" fontId="11" fillId="0" borderId="115" xfId="0" applyFont="1" applyBorder="1" applyAlignment="1">
      <alignment horizontal="center" vertical="center"/>
    </xf>
    <xf numFmtId="0" fontId="11" fillId="0" borderId="116" xfId="0" applyFont="1" applyBorder="1" applyAlignment="1">
      <alignment horizontal="center" vertical="center"/>
    </xf>
    <xf numFmtId="0" fontId="11" fillId="0" borderId="26" xfId="0" applyFont="1" applyBorder="1" applyAlignment="1">
      <alignment horizontal="center" vertical="center"/>
    </xf>
    <xf numFmtId="0" fontId="11" fillId="0" borderId="117" xfId="0" applyFont="1" applyBorder="1" applyAlignment="1">
      <alignment horizontal="center" vertical="center"/>
    </xf>
    <xf numFmtId="0" fontId="11" fillId="0" borderId="118" xfId="0" applyFont="1" applyBorder="1" applyAlignment="1">
      <alignment horizontal="center" vertical="center"/>
    </xf>
    <xf numFmtId="0" fontId="11" fillId="0" borderId="119" xfId="0" applyFont="1" applyBorder="1" applyAlignment="1">
      <alignment horizontal="center" vertical="center"/>
    </xf>
    <xf numFmtId="0" fontId="11" fillId="0" borderId="96" xfId="0" applyFont="1" applyBorder="1" applyAlignment="1">
      <alignment horizontal="center" vertical="center"/>
    </xf>
    <xf numFmtId="0" fontId="11" fillId="0" borderId="3" xfId="0" applyFont="1" applyBorder="1" applyAlignment="1">
      <alignment horizontal="center" vertical="center"/>
    </xf>
    <xf numFmtId="0" fontId="11" fillId="0" borderId="65" xfId="0" applyFont="1" applyBorder="1" applyAlignment="1">
      <alignment horizontal="center" vertical="center"/>
    </xf>
    <xf numFmtId="0" fontId="11" fillId="0" borderId="70" xfId="0" applyFont="1" applyBorder="1" applyAlignment="1">
      <alignment horizontal="center" vertical="center"/>
    </xf>
    <xf numFmtId="0" fontId="11" fillId="9" borderId="83" xfId="0" applyFont="1" applyFill="1" applyBorder="1" applyAlignment="1">
      <alignment horizontal="center" vertical="center"/>
    </xf>
    <xf numFmtId="0" fontId="11" fillId="9" borderId="80" xfId="0" applyFont="1" applyFill="1" applyBorder="1" applyAlignment="1">
      <alignment horizontal="center" vertical="center"/>
    </xf>
    <xf numFmtId="0" fontId="11" fillId="12" borderId="83" xfId="0" applyFont="1" applyFill="1" applyBorder="1" applyAlignment="1">
      <alignment horizontal="center" vertical="center"/>
    </xf>
    <xf numFmtId="0" fontId="11" fillId="12" borderId="80" xfId="0" applyFont="1" applyFill="1" applyBorder="1" applyAlignment="1">
      <alignment horizontal="center" vertical="center"/>
    </xf>
    <xf numFmtId="0" fontId="11" fillId="10" borderId="82" xfId="0" applyFont="1" applyFill="1" applyBorder="1" applyAlignment="1">
      <alignment horizontal="center" vertical="center"/>
    </xf>
    <xf numFmtId="0" fontId="11" fillId="10" borderId="83" xfId="0" applyFont="1" applyFill="1" applyBorder="1" applyAlignment="1">
      <alignment horizontal="center" vertical="center"/>
    </xf>
    <xf numFmtId="0" fontId="11" fillId="10" borderId="85" xfId="0" applyFont="1" applyFill="1" applyBorder="1" applyAlignment="1">
      <alignment horizontal="center" vertical="center"/>
    </xf>
    <xf numFmtId="0" fontId="11" fillId="10" borderId="80" xfId="0" applyFont="1" applyFill="1" applyBorder="1" applyAlignment="1">
      <alignment horizontal="center" vertical="center"/>
    </xf>
    <xf numFmtId="0" fontId="11" fillId="11" borderId="83" xfId="0" applyFont="1" applyFill="1" applyBorder="1" applyAlignment="1">
      <alignment horizontal="center" vertical="center"/>
    </xf>
    <xf numFmtId="0" fontId="11" fillId="11" borderId="80" xfId="0" applyFont="1" applyFill="1" applyBorder="1" applyAlignment="1">
      <alignment horizontal="center" vertical="center"/>
    </xf>
    <xf numFmtId="0" fontId="11" fillId="0" borderId="120" xfId="0" applyFont="1" applyBorder="1" applyAlignment="1">
      <alignment horizontal="center" vertical="center"/>
    </xf>
    <xf numFmtId="0" fontId="11" fillId="0" borderId="121" xfId="0" applyFont="1" applyBorder="1" applyAlignment="1">
      <alignment horizontal="center" vertical="center"/>
    </xf>
    <xf numFmtId="0" fontId="11" fillId="20" borderId="83" xfId="0" applyFont="1" applyFill="1" applyBorder="1" applyAlignment="1">
      <alignment horizontal="center" vertical="center"/>
    </xf>
    <xf numFmtId="0" fontId="11" fillId="20" borderId="84" xfId="0" applyFont="1" applyFill="1" applyBorder="1" applyAlignment="1">
      <alignment horizontal="center" vertical="center"/>
    </xf>
    <xf numFmtId="0" fontId="11" fillId="20" borderId="80" xfId="0" applyFont="1" applyFill="1" applyBorder="1" applyAlignment="1">
      <alignment horizontal="center" vertical="center"/>
    </xf>
    <xf numFmtId="0" fontId="11" fillId="20" borderId="86" xfId="0" applyFont="1" applyFill="1" applyBorder="1" applyAlignment="1">
      <alignment horizontal="center" vertical="center"/>
    </xf>
    <xf numFmtId="0" fontId="17" fillId="0" borderId="134" xfId="0" applyFont="1" applyBorder="1" applyAlignment="1">
      <alignment horizontal="left" vertical="center" wrapText="1"/>
    </xf>
    <xf numFmtId="14" fontId="17" fillId="0" borderId="5" xfId="0" applyNumberFormat="1" applyFont="1" applyBorder="1" applyAlignment="1" applyProtection="1">
      <alignment horizontal="left" vertical="center"/>
      <protection locked="0"/>
    </xf>
    <xf numFmtId="0" fontId="17" fillId="0" borderId="97"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52" xfId="0" applyFont="1" applyBorder="1" applyAlignment="1">
      <alignment horizontal="left" vertical="center" wrapText="1"/>
    </xf>
    <xf numFmtId="0" fontId="17" fillId="0" borderId="61" xfId="0" applyFont="1" applyBorder="1" applyAlignment="1">
      <alignment horizontal="left" vertical="center" wrapText="1"/>
    </xf>
    <xf numFmtId="0" fontId="11" fillId="0" borderId="0" xfId="0" applyFont="1" applyAlignment="1">
      <alignment horizontal="center" vertical="center"/>
    </xf>
    <xf numFmtId="0" fontId="17" fillId="0" borderId="0" xfId="0" applyFont="1" applyAlignment="1">
      <alignment horizontal="center" vertical="center"/>
    </xf>
    <xf numFmtId="0" fontId="53" fillId="0" borderId="3" xfId="0" applyFont="1" applyBorder="1" applyAlignment="1">
      <alignment horizontal="center" vertical="center" wrapText="1"/>
    </xf>
    <xf numFmtId="0" fontId="17" fillId="0" borderId="97" xfId="0" applyFont="1" applyBorder="1" applyAlignment="1" applyProtection="1">
      <alignment horizontal="left" vertical="center" wrapText="1"/>
      <protection locked="0"/>
    </xf>
    <xf numFmtId="0" fontId="17" fillId="0" borderId="35" xfId="0" applyFont="1" applyBorder="1" applyAlignment="1" applyProtection="1">
      <alignment horizontal="left" vertical="center" wrapText="1"/>
      <protection locked="0"/>
    </xf>
    <xf numFmtId="0" fontId="17" fillId="0" borderId="3" xfId="0" applyFont="1" applyBorder="1" applyAlignment="1">
      <alignment horizontal="center" vertical="center" wrapText="1"/>
    </xf>
    <xf numFmtId="0" fontId="0" fillId="0" borderId="0" xfId="0" applyAlignment="1">
      <alignment horizontal="center"/>
    </xf>
  </cellXfs>
  <cellStyles count="2">
    <cellStyle name="Standard" xfId="0" builtinId="0"/>
    <cellStyle name="Währung" xfId="1" builtinId="4"/>
  </cellStyles>
  <dxfs count="1596">
    <dxf>
      <fill>
        <patternFill>
          <bgColor theme="0" tint="-4.9989318521683403E-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color theme="0" tint="-0.34998626667073579"/>
      </font>
    </dxf>
    <dxf>
      <font>
        <b/>
        <i val="0"/>
      </font>
    </dxf>
    <dxf>
      <font>
        <color theme="1"/>
      </font>
      <fill>
        <patternFill patternType="solid">
          <bgColor theme="0" tint="-0.14996795556505021"/>
        </patternFill>
      </fill>
      <border>
        <bottom style="thin">
          <color auto="1"/>
        </bottom>
        <vertical/>
        <horizontal/>
      </border>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b/>
        <i val="0"/>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2499465926084170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ont>
        <color theme="0" tint="-0.34998626667073579"/>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4.9989318521683403E-2"/>
        </patternFill>
      </fill>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24994659260841701"/>
      </font>
    </dxf>
    <dxf>
      <font>
        <color theme="0" tint="-0.24994659260841701"/>
      </font>
    </dxf>
    <dxf>
      <font>
        <color theme="0" tint="-0.24994659260841701"/>
      </font>
    </dxf>
    <dxf>
      <fill>
        <patternFill>
          <bgColor theme="0" tint="-0.14996795556505021"/>
        </patternFill>
      </fill>
    </dxf>
    <dxf>
      <font>
        <b/>
        <i val="0"/>
      </font>
    </dxf>
    <dxf>
      <font>
        <color theme="0" tint="-0.34998626667073579"/>
      </font>
    </dxf>
    <dxf>
      <font>
        <color auto="1"/>
      </font>
      <fill>
        <patternFill patternType="none">
          <bgColor auto="1"/>
        </patternFill>
      </fill>
    </dxf>
    <dxf>
      <font>
        <color theme="0" tint="-0.24994659260841701"/>
      </font>
    </dxf>
    <dxf>
      <font>
        <color theme="0" tint="-0.24994659260841701"/>
      </font>
    </dxf>
    <dxf>
      <font>
        <color theme="0" tint="-0.24994659260841701"/>
      </font>
    </dxf>
    <dxf>
      <fill>
        <patternFill>
          <bgColor theme="0" tint="-0.14996795556505021"/>
        </patternFill>
      </fill>
    </dxf>
    <dxf>
      <font>
        <color theme="0" tint="-0.24994659260841701"/>
      </font>
    </dxf>
    <dxf>
      <font>
        <color theme="0" tint="-0.24994659260841701"/>
      </font>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b/>
        <i val="0"/>
      </font>
    </dxf>
    <dxf>
      <font>
        <color theme="0" tint="-0.34998626667073579"/>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24994659260841701"/>
      </font>
    </dxf>
    <dxf>
      <font>
        <color theme="0" tint="-0.24994659260841701"/>
      </font>
    </dxf>
    <dxf>
      <font>
        <color theme="0" tint="-0.24994659260841701"/>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border>
        <bottom style="thin">
          <color auto="1"/>
        </bottom>
        <vertical/>
        <horizontal/>
      </border>
    </dxf>
    <dxf>
      <fill>
        <patternFill>
          <bgColor theme="0" tint="-0.14996795556505021"/>
        </patternFill>
      </fill>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ont>
        <color auto="1"/>
      </font>
    </dxf>
    <dxf>
      <fill>
        <patternFill>
          <bgColor theme="0" tint="-0.14996795556505021"/>
        </patternFill>
      </fill>
    </dxf>
    <dxf>
      <font>
        <color auto="1"/>
      </font>
    </dxf>
    <dxf>
      <font>
        <color auto="1"/>
      </font>
    </dxf>
    <dxf>
      <font>
        <color theme="0" tint="-0.34998626667073579"/>
      </font>
    </dxf>
    <dxf>
      <font>
        <b/>
        <i val="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34998626667073579"/>
      </font>
    </dxf>
    <dxf>
      <font>
        <b/>
        <i val="0"/>
      </font>
    </dxf>
    <dxf>
      <fill>
        <patternFill>
          <bgColor theme="0" tint="-0.14996795556505021"/>
        </patternFill>
      </fill>
    </dxf>
    <dxf>
      <fill>
        <patternFill>
          <bgColor theme="0" tint="-0.14996795556505021"/>
        </patternFill>
      </fill>
    </dxf>
    <dxf>
      <font>
        <color auto="1"/>
      </font>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s>
  <tableStyles count="0" defaultTableStyle="TableStyleMedium2" defaultPivotStyle="PivotStyleMedium9"/>
  <colors>
    <mruColors>
      <color rgb="FFFE62D5"/>
      <color rgb="FFFFD5FF"/>
      <color rgb="FFFF5B5B"/>
      <color rgb="FFB07BD7"/>
      <color rgb="FF66FF99"/>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Radio" firstButton="1" fmlaLink="$O$6"/>
</file>

<file path=xl/ctrlProps/ctrlProp10.xml><?xml version="1.0" encoding="utf-8"?>
<formControlPr xmlns="http://schemas.microsoft.com/office/spreadsheetml/2009/9/main" objectType="Radio"/>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Radio" firstButton="1" fmlaLink="$P$21"/>
</file>

<file path=xl/ctrlProps/ctrlProp103.xml><?xml version="1.0" encoding="utf-8"?>
<formControlPr xmlns="http://schemas.microsoft.com/office/spreadsheetml/2009/9/main" objectType="Radio"/>
</file>

<file path=xl/ctrlProps/ctrlProp104.xml><?xml version="1.0" encoding="utf-8"?>
<formControlPr xmlns="http://schemas.microsoft.com/office/spreadsheetml/2009/9/main" objectType="Radio"/>
</file>

<file path=xl/ctrlProps/ctrlProp105.xml><?xml version="1.0" encoding="utf-8"?>
<formControlPr xmlns="http://schemas.microsoft.com/office/spreadsheetml/2009/9/main" objectType="Radio"/>
</file>

<file path=xl/ctrlProps/ctrlProp106.xml><?xml version="1.0" encoding="utf-8"?>
<formControlPr xmlns="http://schemas.microsoft.com/office/spreadsheetml/2009/9/main" objectType="Radio"/>
</file>

<file path=xl/ctrlProps/ctrlProp107.xml><?xml version="1.0" encoding="utf-8"?>
<formControlPr xmlns="http://schemas.microsoft.com/office/spreadsheetml/2009/9/main" objectType="Radio"/>
</file>

<file path=xl/ctrlProps/ctrlProp108.xml><?xml version="1.0" encoding="utf-8"?>
<formControlPr xmlns="http://schemas.microsoft.com/office/spreadsheetml/2009/9/main" objectType="Radio"/>
</file>

<file path=xl/ctrlProps/ctrlProp109.xml><?xml version="1.0" encoding="utf-8"?>
<formControlPr xmlns="http://schemas.microsoft.com/office/spreadsheetml/2009/9/main" objectType="Radio"/>
</file>

<file path=xl/ctrlProps/ctrlProp11.xml><?xml version="1.0" encoding="utf-8"?>
<formControlPr xmlns="http://schemas.microsoft.com/office/spreadsheetml/2009/9/main" objectType="Radio"/>
</file>

<file path=xl/ctrlProps/ctrlProp110.xml><?xml version="1.0" encoding="utf-8"?>
<formControlPr xmlns="http://schemas.microsoft.com/office/spreadsheetml/2009/9/main" objectType="Radio"/>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P$9"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Radio"/>
</file>

<file path=xl/ctrlProps/ctrlProp115.xml><?xml version="1.0" encoding="utf-8"?>
<formControlPr xmlns="http://schemas.microsoft.com/office/spreadsheetml/2009/9/main" objectType="Radio" firstButton="1" fmlaLink="$P$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P$11" lockText="1"/>
</file>

<file path=xl/ctrlProps/ctrlProp119.xml><?xml version="1.0" encoding="utf-8"?>
<formControlPr xmlns="http://schemas.microsoft.com/office/spreadsheetml/2009/9/main" objectType="Radio" lockText="1"/>
</file>

<file path=xl/ctrlProps/ctrlProp12.xml><?xml version="1.0" encoding="utf-8"?>
<formControlPr xmlns="http://schemas.microsoft.com/office/spreadsheetml/2009/9/main" objectType="Radio"/>
</file>

<file path=xl/ctrlProps/ctrlProp120.xml><?xml version="1.0" encoding="utf-8"?>
<formControlPr xmlns="http://schemas.microsoft.com/office/spreadsheetml/2009/9/main" objectType="Radio"/>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P$21"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Radio" lockText="1"/>
</file>

<file path=xl/ctrlProps/ctrlProp127.xml><?xml version="1.0" encoding="utf-8"?>
<formControlPr xmlns="http://schemas.microsoft.com/office/spreadsheetml/2009/9/main" objectType="Radio"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Radio"/>
</file>

<file path=xl/ctrlProps/ctrlProp130.xml><?xml version="1.0" encoding="utf-8"?>
<formControlPr xmlns="http://schemas.microsoft.com/office/spreadsheetml/2009/9/main" objectType="Radio" lockText="1"/>
</file>

<file path=xl/ctrlProps/ctrlProp131.xml><?xml version="1.0" encoding="utf-8"?>
<formControlPr xmlns="http://schemas.microsoft.com/office/spreadsheetml/2009/9/main" objectType="Radio" lockText="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Radio" firstButton="1" fmlaLink="$P$9" lockText="1"/>
</file>

<file path=xl/ctrlProps/ctrlProp134.xml><?xml version="1.0" encoding="utf-8"?>
<formControlPr xmlns="http://schemas.microsoft.com/office/spreadsheetml/2009/9/main" objectType="Radio" lockText="1"/>
</file>

<file path=xl/ctrlProps/ctrlProp135.xml><?xml version="1.0" encoding="utf-8"?>
<formControlPr xmlns="http://schemas.microsoft.com/office/spreadsheetml/2009/9/main" objectType="Radio" lockText="1"/>
</file>

<file path=xl/ctrlProps/ctrlProp136.xml><?xml version="1.0" encoding="utf-8"?>
<formControlPr xmlns="http://schemas.microsoft.com/office/spreadsheetml/2009/9/main" objectType="Radio" firstButton="1" fmlaLink="$P$13"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firstButton="1" fmlaLink="$P$11" lockText="1"/>
</file>

<file path=xl/ctrlProps/ctrlProp14.xml><?xml version="1.0" encoding="utf-8"?>
<formControlPr xmlns="http://schemas.microsoft.com/office/spreadsheetml/2009/9/main" objectType="Radio"/>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Radio" lockText="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P$21"/>
</file>

<file path=xl/ctrlProps/ctrlProp145.xml><?xml version="1.0" encoding="utf-8"?>
<formControlPr xmlns="http://schemas.microsoft.com/office/spreadsheetml/2009/9/main" objectType="Radio"/>
</file>

<file path=xl/ctrlProps/ctrlProp146.xml><?xml version="1.0" encoding="utf-8"?>
<formControlPr xmlns="http://schemas.microsoft.com/office/spreadsheetml/2009/9/main" objectType="Radio"/>
</file>

<file path=xl/ctrlProps/ctrlProp147.xml><?xml version="1.0" encoding="utf-8"?>
<formControlPr xmlns="http://schemas.microsoft.com/office/spreadsheetml/2009/9/main" objectType="Radio"/>
</file>

<file path=xl/ctrlProps/ctrlProp148.xml><?xml version="1.0" encoding="utf-8"?>
<formControlPr xmlns="http://schemas.microsoft.com/office/spreadsheetml/2009/9/main" objectType="Radio"/>
</file>

<file path=xl/ctrlProps/ctrlProp149.xml><?xml version="1.0" encoding="utf-8"?>
<formControlPr xmlns="http://schemas.microsoft.com/office/spreadsheetml/2009/9/main" objectType="Radio"/>
</file>

<file path=xl/ctrlProps/ctrlProp15.xml><?xml version="1.0" encoding="utf-8"?>
<formControlPr xmlns="http://schemas.microsoft.com/office/spreadsheetml/2009/9/main" objectType="Radio"/>
</file>

<file path=xl/ctrlProps/ctrlProp150.xml><?xml version="1.0" encoding="utf-8"?>
<formControlPr xmlns="http://schemas.microsoft.com/office/spreadsheetml/2009/9/main" objectType="Radio"/>
</file>

<file path=xl/ctrlProps/ctrlProp151.xml><?xml version="1.0" encoding="utf-8"?>
<formControlPr xmlns="http://schemas.microsoft.com/office/spreadsheetml/2009/9/main" objectType="Radio"/>
</file>

<file path=xl/ctrlProps/ctrlProp152.xml><?xml version="1.0" encoding="utf-8"?>
<formControlPr xmlns="http://schemas.microsoft.com/office/spreadsheetml/2009/9/main" objectType="Radio"/>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checked="Checked" firstButton="1" fmlaLink="$P$9" lockText="1"/>
</file>

<file path=xl/ctrlProps/ctrlProp155.xml><?xml version="1.0" encoding="utf-8"?>
<formControlPr xmlns="http://schemas.microsoft.com/office/spreadsheetml/2009/9/main" objectType="Radio"/>
</file>

<file path=xl/ctrlProps/ctrlProp156.xml><?xml version="1.0" encoding="utf-8"?>
<formControlPr xmlns="http://schemas.microsoft.com/office/spreadsheetml/2009/9/main" objectType="Radio" firstButton="1" fmlaLink="$Z$13" lockText="1"/>
</file>

<file path=xl/ctrlProps/ctrlProp157.xml><?xml version="1.0" encoding="utf-8"?>
<formControlPr xmlns="http://schemas.microsoft.com/office/spreadsheetml/2009/9/main" objectType="Radio" lockText="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P$11" lockText="1"/>
</file>

<file path=xl/ctrlProps/ctrlProp16.xml><?xml version="1.0" encoding="utf-8"?>
<formControlPr xmlns="http://schemas.microsoft.com/office/spreadsheetml/2009/9/main" objectType="Radio" checked="Checked"/>
</file>

<file path=xl/ctrlProps/ctrlProp160.xml><?xml version="1.0" encoding="utf-8"?>
<formControlPr xmlns="http://schemas.microsoft.com/office/spreadsheetml/2009/9/main" objectType="Radio" lockText="1"/>
</file>

<file path=xl/ctrlProps/ctrlProp161.xml><?xml version="1.0" encoding="utf-8"?>
<formControlPr xmlns="http://schemas.microsoft.com/office/spreadsheetml/2009/9/main" objectType="Radio"/>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O$9" lockText="1"/>
</file>

<file path=xl/ctrlProps/ctrlProp165.xml><?xml version="1.0" encoding="utf-8"?>
<formControlPr xmlns="http://schemas.microsoft.com/office/spreadsheetml/2009/9/main" objectType="Radio" lockText="1"/>
</file>

<file path=xl/ctrlProps/ctrlProp166.xml><?xml version="1.0" encoding="utf-8"?>
<formControlPr xmlns="http://schemas.microsoft.com/office/spreadsheetml/2009/9/main" objectType="Radio" firstButton="1" fmlaLink="$O$21" lockText="1"/>
</file>

<file path=xl/ctrlProps/ctrlProp167.xml><?xml version="1.0" encoding="utf-8"?>
<formControlPr xmlns="http://schemas.microsoft.com/office/spreadsheetml/2009/9/main" objectType="Radio" lockText="1"/>
</file>

<file path=xl/ctrlProps/ctrlProp168.xml><?xml version="1.0" encoding="utf-8"?>
<formControlPr xmlns="http://schemas.microsoft.com/office/spreadsheetml/2009/9/main" objectType="Radio" lockText="1"/>
</file>

<file path=xl/ctrlProps/ctrlProp169.xml><?xml version="1.0" encoding="utf-8"?>
<formControlPr xmlns="http://schemas.microsoft.com/office/spreadsheetml/2009/9/main" objectType="Radio" lockText="1"/>
</file>

<file path=xl/ctrlProps/ctrlProp17.xml><?xml version="1.0" encoding="utf-8"?>
<formControlPr xmlns="http://schemas.microsoft.com/office/spreadsheetml/2009/9/main" objectType="Radio" firstButton="1" fmlaLink="$P$21" noThreeD="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Radio"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Radio" lockText="1"/>
</file>

<file path=xl/ctrlProps/ctrlProp18.xml><?xml version="1.0" encoding="utf-8"?>
<formControlPr xmlns="http://schemas.microsoft.com/office/spreadsheetml/2009/9/main" objectType="Radio" firstButton="1" fmlaLink="$P$13" lockText="1"/>
</file>

<file path=xl/ctrlProps/ctrlProp180.xml><?xml version="1.0" encoding="utf-8"?>
<formControlPr xmlns="http://schemas.microsoft.com/office/spreadsheetml/2009/9/main" objectType="Radio"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O$13"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Radio" firstButton="1" fmlaLink="$O$11" lockText="1"/>
</file>

<file path=xl/ctrlProps/ctrlProp191.xml><?xml version="1.0" encoding="utf-8"?>
<formControlPr xmlns="http://schemas.microsoft.com/office/spreadsheetml/2009/9/main" objectType="Radio" lockText="1"/>
</file>

<file path=xl/ctrlProps/ctrlProp192.xml><?xml version="1.0" encoding="utf-8"?>
<formControlPr xmlns="http://schemas.microsoft.com/office/spreadsheetml/2009/9/main" objectType="Radio" lockText="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checked="Checked" firstButton="1" fmlaLink="$O$9" lockText="1"/>
</file>

<file path=xl/ctrlProps/ctrlProp197.xml><?xml version="1.0" encoding="utf-8"?>
<formControlPr xmlns="http://schemas.microsoft.com/office/spreadsheetml/2009/9/main" objectType="Radio" firstButton="1" fmlaLink="$O$16" lockText="1"/>
</file>

<file path=xl/ctrlProps/ctrlProp198.xml><?xml version="1.0" encoding="utf-8"?>
<formControlPr xmlns="http://schemas.microsoft.com/office/spreadsheetml/2009/9/main" objectType="Radio" lockText="1"/>
</file>

<file path=xl/ctrlProps/ctrlProp199.xml><?xml version="1.0" encoding="utf-8"?>
<formControlPr xmlns="http://schemas.microsoft.com/office/spreadsheetml/2009/9/main" objectType="Radio" lockText="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firstButton="1" fmlaLink="$O$18" lockText="1"/>
</file>

<file path=xl/ctrlProps/ctrlProp202.xml><?xml version="1.0" encoding="utf-8"?>
<formControlPr xmlns="http://schemas.microsoft.com/office/spreadsheetml/2009/9/main" objectType="Radio" lockText="1"/>
</file>

<file path=xl/ctrlProps/ctrlProp203.xml><?xml version="1.0" encoding="utf-8"?>
<formControlPr xmlns="http://schemas.microsoft.com/office/spreadsheetml/2009/9/main" objectType="Radio" lockText="1"/>
</file>

<file path=xl/ctrlProps/ctrlProp204.xml><?xml version="1.0" encoding="utf-8"?>
<formControlPr xmlns="http://schemas.microsoft.com/office/spreadsheetml/2009/9/main" objectType="Radio" firstButton="1" fmlaLink="$O$13" lockText="1"/>
</file>

<file path=xl/ctrlProps/ctrlProp205.xml><?xml version="1.0" encoding="utf-8"?>
<formControlPr xmlns="http://schemas.microsoft.com/office/spreadsheetml/2009/9/main" objectType="Radio" lockText="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firstButton="1" fmlaLink="$O$11" lockText="1"/>
</file>

<file path=xl/ctrlProps/ctrlProp208.xml><?xml version="1.0" encoding="utf-8"?>
<formControlPr xmlns="http://schemas.microsoft.com/office/spreadsheetml/2009/9/main" objectType="Radio" lockText="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Radio"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Radio" lockText="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Radio" lockText="1"/>
</file>

<file path=xl/ctrlProps/ctrlProp216.xml><?xml version="1.0" encoding="utf-8"?>
<formControlPr xmlns="http://schemas.microsoft.com/office/spreadsheetml/2009/9/main" objectType="Radio" firstButton="1" fmlaLink="$O$17"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firstButton="1" fmlaLink="$P$9" lockText="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Radio" checked="Checked" firstButton="1" fmlaLink="$O$9" lockText="1"/>
</file>

<file path=xl/ctrlProps/ctrlProp224.xml><?xml version="1.0" encoding="utf-8"?>
<formControlPr xmlns="http://schemas.microsoft.com/office/spreadsheetml/2009/9/main" objectType="Radio" firstButton="1" fmlaLink="$O$21" lockText="1"/>
</file>

<file path=xl/ctrlProps/ctrlProp225.xml><?xml version="1.0" encoding="utf-8"?>
<formControlPr xmlns="http://schemas.microsoft.com/office/spreadsheetml/2009/9/main" objectType="Radio" lockText="1"/>
</file>

<file path=xl/ctrlProps/ctrlProp226.xml><?xml version="1.0" encoding="utf-8"?>
<formControlPr xmlns="http://schemas.microsoft.com/office/spreadsheetml/2009/9/main" objectType="Radio" lockText="1"/>
</file>

<file path=xl/ctrlProps/ctrlProp227.xml><?xml version="1.0" encoding="utf-8"?>
<formControlPr xmlns="http://schemas.microsoft.com/office/spreadsheetml/2009/9/main" objectType="Radio" firstButton="1" fmlaLink="$O$13" lockText="1"/>
</file>

<file path=xl/ctrlProps/ctrlProp228.xml><?xml version="1.0" encoding="utf-8"?>
<formControlPr xmlns="http://schemas.microsoft.com/office/spreadsheetml/2009/9/main" objectType="Radio" lockText="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lockText="1"/>
</file>

<file path=xl/ctrlProps/ctrlProp230.xml><?xml version="1.0" encoding="utf-8"?>
<formControlPr xmlns="http://schemas.microsoft.com/office/spreadsheetml/2009/9/main" objectType="Radio" firstButton="1" fmlaLink="$O$11" lockText="1"/>
</file>

<file path=xl/ctrlProps/ctrlProp231.xml><?xml version="1.0" encoding="utf-8"?>
<formControlPr xmlns="http://schemas.microsoft.com/office/spreadsheetml/2009/9/main" objectType="Radio" lockText="1"/>
</file>

<file path=xl/ctrlProps/ctrlProp232.xml><?xml version="1.0" encoding="utf-8"?>
<formControlPr xmlns="http://schemas.microsoft.com/office/spreadsheetml/2009/9/main" objectType="Radio" lockText="1"/>
</file>

<file path=xl/ctrlProps/ctrlProp233.xml><?xml version="1.0" encoding="utf-8"?>
<formControlPr xmlns="http://schemas.microsoft.com/office/spreadsheetml/2009/9/main" objectType="Radio" lockText="1"/>
</file>

<file path=xl/ctrlProps/ctrlProp234.xml><?xml version="1.0" encoding="utf-8"?>
<formControlPr xmlns="http://schemas.microsoft.com/office/spreadsheetml/2009/9/main" objectType="Radio"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checked="Checked" firstButton="1" fmlaLink="$O$9" lockText="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firstButton="1" fmlaLink="$O$21" lockText="1"/>
</file>

<file path=xl/ctrlProps/ctrlProp241.xml><?xml version="1.0" encoding="utf-8"?>
<formControlPr xmlns="http://schemas.microsoft.com/office/spreadsheetml/2009/9/main" objectType="Radio"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Radio" lockText="1"/>
</file>

<file path=xl/ctrlProps/ctrlProp246.xml><?xml version="1.0" encoding="utf-8"?>
<formControlPr xmlns="http://schemas.microsoft.com/office/spreadsheetml/2009/9/main" objectType="Radio" lockText="1"/>
</file>

<file path=xl/ctrlProps/ctrlProp247.xml><?xml version="1.0" encoding="utf-8"?>
<formControlPr xmlns="http://schemas.microsoft.com/office/spreadsheetml/2009/9/main" objectType="Radio" lockText="1"/>
</file>

<file path=xl/ctrlProps/ctrlProp248.xml><?xml version="1.0" encoding="utf-8"?>
<formControlPr xmlns="http://schemas.microsoft.com/office/spreadsheetml/2009/9/main" objectType="Radio" lockText="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P$11" lockText="1"/>
</file>

<file path=xl/ctrlProps/ctrlProp250.xml><?xml version="1.0" encoding="utf-8"?>
<formControlPr xmlns="http://schemas.microsoft.com/office/spreadsheetml/2009/9/main" objectType="Radio" firstButton="1" fmlaLink="$O$24" lockText="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Radio" firstButton="1" fmlaLink="$O$25" lockText="1"/>
</file>

<file path=xl/ctrlProps/ctrlProp253.xml><?xml version="1.0" encoding="utf-8"?>
<formControlPr xmlns="http://schemas.microsoft.com/office/spreadsheetml/2009/9/main" objectType="Radio" lockText="1"/>
</file>

<file path=xl/ctrlProps/ctrlProp254.xml><?xml version="1.0" encoding="utf-8"?>
<formControlPr xmlns="http://schemas.microsoft.com/office/spreadsheetml/2009/9/main" objectType="Radio"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Radio" lockText="1"/>
</file>

<file path=xl/ctrlProps/ctrlProp258.xml><?xml version="1.0" encoding="utf-8"?>
<formControlPr xmlns="http://schemas.microsoft.com/office/spreadsheetml/2009/9/main" objectType="Radio"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Radio"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Radio" firstButton="1" fmlaLink="$O$13" lockText="1"/>
</file>

<file path=xl/ctrlProps/ctrlProp262.xml><?xml version="1.0" encoding="utf-8"?>
<formControlPr xmlns="http://schemas.microsoft.com/office/spreadsheetml/2009/9/main" objectType="Radio" lockText="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firstButton="1" fmlaLink="$O$11" lockText="1"/>
</file>

<file path=xl/ctrlProps/ctrlProp265.xml><?xml version="1.0" encoding="utf-8"?>
<formControlPr xmlns="http://schemas.microsoft.com/office/spreadsheetml/2009/9/main" objectType="Radio" lockText="1"/>
</file>

<file path=xl/ctrlProps/ctrlProp266.xml><?xml version="1.0" encoding="utf-8"?>
<formControlPr xmlns="http://schemas.microsoft.com/office/spreadsheetml/2009/9/main" objectType="Radio" lockText="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Radio" checked="Checked" firstButton="1" fmlaLink="$O$9" lockText="1"/>
</file>

<file path=xl/ctrlProps/ctrlProp271.xml><?xml version="1.0" encoding="utf-8"?>
<formControlPr xmlns="http://schemas.microsoft.com/office/spreadsheetml/2009/9/main" objectType="Radio" firstButton="1" fmlaLink="$O$21"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Radio" lockText="1"/>
</file>

<file path=xl/ctrlProps/ctrlProp274.xml><?xml version="1.0" encoding="utf-8"?>
<formControlPr xmlns="http://schemas.microsoft.com/office/spreadsheetml/2009/9/main" objectType="Radio"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firstButton="1" fmlaLink="$O$13" lockText="1"/>
</file>

<file path=xl/ctrlProps/ctrlProp277.xml><?xml version="1.0" encoding="utf-8"?>
<formControlPr xmlns="http://schemas.microsoft.com/office/spreadsheetml/2009/9/main" objectType="Radio" lockText="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O$11" lockText="1"/>
</file>

<file path=xl/ctrlProps/ctrlProp28.xml><?xml version="1.0" encoding="utf-8"?>
<formControlPr xmlns="http://schemas.microsoft.com/office/spreadsheetml/2009/9/main" objectType="Radio"/>
</file>

<file path=xl/ctrlProps/ctrlProp280.xml><?xml version="1.0" encoding="utf-8"?>
<formControlPr xmlns="http://schemas.microsoft.com/office/spreadsheetml/2009/9/main" objectType="Radio" lockText="1"/>
</file>

<file path=xl/ctrlProps/ctrlProp29.xml><?xml version="1.0" encoding="utf-8"?>
<formControlPr xmlns="http://schemas.microsoft.com/office/spreadsheetml/2009/9/main" objectType="Radio"/>
</file>

<file path=xl/ctrlProps/ctrlProp3.xml><?xml version="1.0" encoding="utf-8"?>
<formControlPr xmlns="http://schemas.microsoft.com/office/spreadsheetml/2009/9/main" objectType="Radio"/>
</file>

<file path=xl/ctrlProps/ctrlProp30.xml><?xml version="1.0" encoding="utf-8"?>
<formControlPr xmlns="http://schemas.microsoft.com/office/spreadsheetml/2009/9/main" objectType="Radio"/>
</file>

<file path=xl/ctrlProps/ctrlProp31.xml><?xml version="1.0" encoding="utf-8"?>
<formControlPr xmlns="http://schemas.microsoft.com/office/spreadsheetml/2009/9/main" objectType="Radio"/>
</file>

<file path=xl/ctrlProps/ctrlProp32.xml><?xml version="1.0" encoding="utf-8"?>
<formControlPr xmlns="http://schemas.microsoft.com/office/spreadsheetml/2009/9/main" objectType="Radio"/>
</file>

<file path=xl/ctrlProps/ctrlProp33.xml><?xml version="1.0" encoding="utf-8"?>
<formControlPr xmlns="http://schemas.microsoft.com/office/spreadsheetml/2009/9/main" objectType="Radio"/>
</file>

<file path=xl/ctrlProps/ctrlProp34.xml><?xml version="1.0" encoding="utf-8"?>
<formControlPr xmlns="http://schemas.microsoft.com/office/spreadsheetml/2009/9/main" objectType="Radio"/>
</file>

<file path=xl/ctrlProps/ctrlProp35.xml><?xml version="1.0" encoding="utf-8"?>
<formControlPr xmlns="http://schemas.microsoft.com/office/spreadsheetml/2009/9/main" objectType="Radio"/>
</file>

<file path=xl/ctrlProps/ctrlProp36.xml><?xml version="1.0" encoding="utf-8"?>
<formControlPr xmlns="http://schemas.microsoft.com/office/spreadsheetml/2009/9/main" objectType="Radio"/>
</file>

<file path=xl/ctrlProps/ctrlProp37.xml><?xml version="1.0" encoding="utf-8"?>
<formControlPr xmlns="http://schemas.microsoft.com/office/spreadsheetml/2009/9/main" objectType="Radio"/>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le>

<file path=xl/ctrlProps/ctrlProp40.xml><?xml version="1.0" encoding="utf-8"?>
<formControlPr xmlns="http://schemas.microsoft.com/office/spreadsheetml/2009/9/main" objectType="Radio" firstButton="1" fmlaLink="$O$1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firstButton="1" fmlaLink="$O$9"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O$11"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firstButton="1" fmlaLink="$O$21"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Radio" lockText="1"/>
</file>

<file path=xl/ctrlProps/ctrlProp5.xml><?xml version="1.0" encoding="utf-8"?>
<formControlPr xmlns="http://schemas.microsoft.com/office/spreadsheetml/2009/9/main" objectType="Radio"/>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Radio" lockText="1"/>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O$13"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firstButton="1" fmlaLink="$O$9"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O$11" lockText="1"/>
</file>

<file path=xl/ctrlProps/ctrlProp67.xml><?xml version="1.0" encoding="utf-8"?>
<formControlPr xmlns="http://schemas.microsoft.com/office/spreadsheetml/2009/9/main" objectType="Radio" lockText="1"/>
</file>

<file path=xl/ctrlProps/ctrlProp68.xml><?xml version="1.0" encoding="utf-8"?>
<formControlPr xmlns="http://schemas.microsoft.com/office/spreadsheetml/2009/9/main" objectType="Radio" firstButton="1" fmlaLink="$O$21" lockText="1"/>
</file>

<file path=xl/ctrlProps/ctrlProp69.xml><?xml version="1.0" encoding="utf-8"?>
<formControlPr xmlns="http://schemas.microsoft.com/office/spreadsheetml/2009/9/main" objectType="Radio" lockText="1"/>
</file>

<file path=xl/ctrlProps/ctrlProp7.xml><?xml version="1.0" encoding="utf-8"?>
<formControlPr xmlns="http://schemas.microsoft.com/office/spreadsheetml/2009/9/main" objectType="Radio"/>
</file>

<file path=xl/ctrlProps/ctrlProp70.xml><?xml version="1.0" encoding="utf-8"?>
<formControlPr xmlns="http://schemas.microsoft.com/office/spreadsheetml/2009/9/main" objectType="Radio" lockText="1"/>
</file>

<file path=xl/ctrlProps/ctrlProp71.xml><?xml version="1.0" encoding="utf-8"?>
<formControlPr xmlns="http://schemas.microsoft.com/office/spreadsheetml/2009/9/main" objectType="Radio"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Radio" lockText="1"/>
</file>

<file path=xl/ctrlProps/ctrlProp74.xml><?xml version="1.0" encoding="utf-8"?>
<formControlPr xmlns="http://schemas.microsoft.com/office/spreadsheetml/2009/9/main" objectType="Radio" lockText="1"/>
</file>

<file path=xl/ctrlProps/ctrlProp75.xml><?xml version="1.0" encoding="utf-8"?>
<formControlPr xmlns="http://schemas.microsoft.com/office/spreadsheetml/2009/9/main" objectType="Radio" lockText="1"/>
</file>

<file path=xl/ctrlProps/ctrlProp76.xml><?xml version="1.0" encoding="utf-8"?>
<formControlPr xmlns="http://schemas.microsoft.com/office/spreadsheetml/2009/9/main" objectType="Radio" lockText="1"/>
</file>

<file path=xl/ctrlProps/ctrlProp77.xml><?xml version="1.0" encoding="utf-8"?>
<formControlPr xmlns="http://schemas.microsoft.com/office/spreadsheetml/2009/9/main" objectType="Radio"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Radio"/>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firstButton="1" fmlaLink="$P$21" lockText="1"/>
</file>

<file path=xl/ctrlProps/ctrlProp82.xml><?xml version="1.0" encoding="utf-8"?>
<formControlPr xmlns="http://schemas.microsoft.com/office/spreadsheetml/2009/9/main" objectType="Radio" lockText="1"/>
</file>

<file path=xl/ctrlProps/ctrlProp83.xml><?xml version="1.0" encoding="utf-8"?>
<formControlPr xmlns="http://schemas.microsoft.com/office/spreadsheetml/2009/9/main" objectType="Radio"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lockText="1"/>
</file>

<file path=xl/ctrlProps/ctrlProp9.xml><?xml version="1.0" encoding="utf-8"?>
<formControlPr xmlns="http://schemas.microsoft.com/office/spreadsheetml/2009/9/main" objectType="Radio"/>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firstButton="1" fmlaLink="$P$9"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firstButton="1" fmlaLink="$P$13" lockText="1"/>
</file>

<file path=xl/ctrlProps/ctrlProp95.xml><?xml version="1.0" encoding="utf-8"?>
<formControlPr xmlns="http://schemas.microsoft.com/office/spreadsheetml/2009/9/main" objectType="Radio" lockText="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Radio" firstButton="1" fmlaLink="$P$11"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image" Target="../media/image105.png"/><Relationship Id="rId13" Type="http://schemas.openxmlformats.org/officeDocument/2006/relationships/image" Target="../media/image110.png"/><Relationship Id="rId18" Type="http://schemas.openxmlformats.org/officeDocument/2006/relationships/image" Target="../media/image115.png"/><Relationship Id="rId3" Type="http://schemas.openxmlformats.org/officeDocument/2006/relationships/image" Target="../media/image100.png"/><Relationship Id="rId21" Type="http://schemas.openxmlformats.org/officeDocument/2006/relationships/image" Target="../media/image118.png"/><Relationship Id="rId7" Type="http://schemas.openxmlformats.org/officeDocument/2006/relationships/image" Target="../media/image104.png"/><Relationship Id="rId12" Type="http://schemas.openxmlformats.org/officeDocument/2006/relationships/image" Target="../media/image109.png"/><Relationship Id="rId17" Type="http://schemas.openxmlformats.org/officeDocument/2006/relationships/image" Target="../media/image114.png"/><Relationship Id="rId2" Type="http://schemas.openxmlformats.org/officeDocument/2006/relationships/image" Target="../media/image99.png"/><Relationship Id="rId16" Type="http://schemas.openxmlformats.org/officeDocument/2006/relationships/image" Target="../media/image113.png"/><Relationship Id="rId20" Type="http://schemas.openxmlformats.org/officeDocument/2006/relationships/image" Target="../media/image117.png"/><Relationship Id="rId1" Type="http://schemas.openxmlformats.org/officeDocument/2006/relationships/image" Target="../media/image98.png"/><Relationship Id="rId6" Type="http://schemas.openxmlformats.org/officeDocument/2006/relationships/image" Target="../media/image103.png"/><Relationship Id="rId11" Type="http://schemas.openxmlformats.org/officeDocument/2006/relationships/image" Target="../media/image108.png"/><Relationship Id="rId5" Type="http://schemas.openxmlformats.org/officeDocument/2006/relationships/image" Target="../media/image102.png"/><Relationship Id="rId15" Type="http://schemas.openxmlformats.org/officeDocument/2006/relationships/image" Target="../media/image112.png"/><Relationship Id="rId10" Type="http://schemas.openxmlformats.org/officeDocument/2006/relationships/image" Target="../media/image107.png"/><Relationship Id="rId19" Type="http://schemas.openxmlformats.org/officeDocument/2006/relationships/image" Target="../media/image116.png"/><Relationship Id="rId4" Type="http://schemas.openxmlformats.org/officeDocument/2006/relationships/image" Target="../media/image101.png"/><Relationship Id="rId9" Type="http://schemas.openxmlformats.org/officeDocument/2006/relationships/image" Target="../media/image106.png"/><Relationship Id="rId14" Type="http://schemas.openxmlformats.org/officeDocument/2006/relationships/image" Target="../media/image111.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226.emf"/><Relationship Id="rId21" Type="http://schemas.openxmlformats.org/officeDocument/2006/relationships/image" Target="../media/image221.emf"/><Relationship Id="rId42" Type="http://schemas.openxmlformats.org/officeDocument/2006/relationships/image" Target="../media/image242.emf"/><Relationship Id="rId47" Type="http://schemas.openxmlformats.org/officeDocument/2006/relationships/image" Target="../media/image246.jpeg"/><Relationship Id="rId63" Type="http://schemas.openxmlformats.org/officeDocument/2006/relationships/image" Target="../media/image262.png"/><Relationship Id="rId68" Type="http://schemas.openxmlformats.org/officeDocument/2006/relationships/image" Target="../media/image265.png"/><Relationship Id="rId7" Type="http://schemas.openxmlformats.org/officeDocument/2006/relationships/image" Target="../media/image207.jpeg"/><Relationship Id="rId71" Type="http://schemas.openxmlformats.org/officeDocument/2006/relationships/image" Target="../media/image268.png"/><Relationship Id="rId2" Type="http://schemas.openxmlformats.org/officeDocument/2006/relationships/image" Target="../media/image202.emf"/><Relationship Id="rId16" Type="http://schemas.openxmlformats.org/officeDocument/2006/relationships/image" Target="../media/image216.emf"/><Relationship Id="rId29" Type="http://schemas.openxmlformats.org/officeDocument/2006/relationships/image" Target="../media/image229.emf"/><Relationship Id="rId11" Type="http://schemas.openxmlformats.org/officeDocument/2006/relationships/image" Target="../media/image211.emf"/><Relationship Id="rId24" Type="http://schemas.openxmlformats.org/officeDocument/2006/relationships/image" Target="../media/image224.jpeg"/><Relationship Id="rId32" Type="http://schemas.openxmlformats.org/officeDocument/2006/relationships/image" Target="../media/image232.jpeg"/><Relationship Id="rId37" Type="http://schemas.openxmlformats.org/officeDocument/2006/relationships/image" Target="../media/image237.emf"/><Relationship Id="rId40" Type="http://schemas.openxmlformats.org/officeDocument/2006/relationships/image" Target="../media/image240.jpeg"/><Relationship Id="rId45" Type="http://schemas.openxmlformats.org/officeDocument/2006/relationships/image" Target="../media/image245.emf"/><Relationship Id="rId53" Type="http://schemas.openxmlformats.org/officeDocument/2006/relationships/image" Target="../media/image252.jpeg"/><Relationship Id="rId58" Type="http://schemas.openxmlformats.org/officeDocument/2006/relationships/image" Target="../media/image257.emf"/><Relationship Id="rId66" Type="http://schemas.openxmlformats.org/officeDocument/2006/relationships/image" Target="../media/image191.png"/><Relationship Id="rId5" Type="http://schemas.openxmlformats.org/officeDocument/2006/relationships/image" Target="../media/image205.emf"/><Relationship Id="rId61" Type="http://schemas.openxmlformats.org/officeDocument/2006/relationships/image" Target="../media/image260.jpeg"/><Relationship Id="rId19" Type="http://schemas.openxmlformats.org/officeDocument/2006/relationships/image" Target="../media/image219.emf"/><Relationship Id="rId14" Type="http://schemas.openxmlformats.org/officeDocument/2006/relationships/image" Target="../media/image214.emf"/><Relationship Id="rId22" Type="http://schemas.openxmlformats.org/officeDocument/2006/relationships/image" Target="../media/image222.emf"/><Relationship Id="rId27" Type="http://schemas.openxmlformats.org/officeDocument/2006/relationships/image" Target="../media/image227.emf"/><Relationship Id="rId30" Type="http://schemas.openxmlformats.org/officeDocument/2006/relationships/image" Target="../media/image230.emf"/><Relationship Id="rId35" Type="http://schemas.openxmlformats.org/officeDocument/2006/relationships/image" Target="../media/image235.jpeg"/><Relationship Id="rId43" Type="http://schemas.openxmlformats.org/officeDocument/2006/relationships/image" Target="../media/image243.emf"/><Relationship Id="rId48" Type="http://schemas.openxmlformats.org/officeDocument/2006/relationships/image" Target="../media/image247.jpeg"/><Relationship Id="rId56" Type="http://schemas.openxmlformats.org/officeDocument/2006/relationships/image" Target="../media/image255.jpeg"/><Relationship Id="rId64" Type="http://schemas.openxmlformats.org/officeDocument/2006/relationships/image" Target="../media/image263.png"/><Relationship Id="rId69" Type="http://schemas.openxmlformats.org/officeDocument/2006/relationships/image" Target="../media/image266.png"/><Relationship Id="rId8" Type="http://schemas.openxmlformats.org/officeDocument/2006/relationships/image" Target="../media/image208.emf"/><Relationship Id="rId51" Type="http://schemas.openxmlformats.org/officeDocument/2006/relationships/image" Target="../media/image250.png"/><Relationship Id="rId3" Type="http://schemas.openxmlformats.org/officeDocument/2006/relationships/image" Target="../media/image203.emf"/><Relationship Id="rId12" Type="http://schemas.openxmlformats.org/officeDocument/2006/relationships/image" Target="../media/image212.emf"/><Relationship Id="rId17" Type="http://schemas.openxmlformats.org/officeDocument/2006/relationships/image" Target="../media/image217.emf"/><Relationship Id="rId25" Type="http://schemas.openxmlformats.org/officeDocument/2006/relationships/image" Target="../media/image225.emf"/><Relationship Id="rId33" Type="http://schemas.openxmlformats.org/officeDocument/2006/relationships/image" Target="../media/image233.emf"/><Relationship Id="rId38" Type="http://schemas.openxmlformats.org/officeDocument/2006/relationships/image" Target="../media/image238.emf"/><Relationship Id="rId46" Type="http://schemas.openxmlformats.org/officeDocument/2006/relationships/image" Target="../media/image129.jpeg"/><Relationship Id="rId59" Type="http://schemas.openxmlformats.org/officeDocument/2006/relationships/image" Target="../media/image258.emf"/><Relationship Id="rId67" Type="http://schemas.openxmlformats.org/officeDocument/2006/relationships/image" Target="../media/image192.png"/><Relationship Id="rId20" Type="http://schemas.openxmlformats.org/officeDocument/2006/relationships/image" Target="../media/image220.emf"/><Relationship Id="rId41" Type="http://schemas.openxmlformats.org/officeDocument/2006/relationships/image" Target="../media/image241.emf"/><Relationship Id="rId54" Type="http://schemas.openxmlformats.org/officeDocument/2006/relationships/image" Target="../media/image253.png"/><Relationship Id="rId62" Type="http://schemas.openxmlformats.org/officeDocument/2006/relationships/image" Target="../media/image261.png"/><Relationship Id="rId70" Type="http://schemas.openxmlformats.org/officeDocument/2006/relationships/image" Target="../media/image267.emf"/><Relationship Id="rId1" Type="http://schemas.openxmlformats.org/officeDocument/2006/relationships/image" Target="../media/image201.emf"/><Relationship Id="rId6" Type="http://schemas.openxmlformats.org/officeDocument/2006/relationships/image" Target="../media/image206.emf"/><Relationship Id="rId15" Type="http://schemas.openxmlformats.org/officeDocument/2006/relationships/image" Target="../media/image215.emf"/><Relationship Id="rId23" Type="http://schemas.openxmlformats.org/officeDocument/2006/relationships/image" Target="../media/image223.jpeg"/><Relationship Id="rId28" Type="http://schemas.openxmlformats.org/officeDocument/2006/relationships/image" Target="../media/image228.emf"/><Relationship Id="rId36" Type="http://schemas.openxmlformats.org/officeDocument/2006/relationships/image" Target="../media/image236.emf"/><Relationship Id="rId49" Type="http://schemas.openxmlformats.org/officeDocument/2006/relationships/image" Target="../media/image248.jpeg"/><Relationship Id="rId57" Type="http://schemas.openxmlformats.org/officeDocument/2006/relationships/image" Target="../media/image256.jpeg"/><Relationship Id="rId10" Type="http://schemas.openxmlformats.org/officeDocument/2006/relationships/image" Target="../media/image210.emf"/><Relationship Id="rId31" Type="http://schemas.openxmlformats.org/officeDocument/2006/relationships/image" Target="../media/image231.emf"/><Relationship Id="rId44" Type="http://schemas.openxmlformats.org/officeDocument/2006/relationships/image" Target="../media/image244.emf"/><Relationship Id="rId52" Type="http://schemas.openxmlformats.org/officeDocument/2006/relationships/image" Target="../media/image251.png"/><Relationship Id="rId60" Type="http://schemas.openxmlformats.org/officeDocument/2006/relationships/image" Target="../media/image259.png"/><Relationship Id="rId65" Type="http://schemas.openxmlformats.org/officeDocument/2006/relationships/image" Target="../media/image264.png"/><Relationship Id="rId4" Type="http://schemas.openxmlformats.org/officeDocument/2006/relationships/image" Target="../media/image204.emf"/><Relationship Id="rId9" Type="http://schemas.openxmlformats.org/officeDocument/2006/relationships/image" Target="../media/image209.emf"/><Relationship Id="rId13" Type="http://schemas.openxmlformats.org/officeDocument/2006/relationships/image" Target="../media/image213.emf"/><Relationship Id="rId18" Type="http://schemas.openxmlformats.org/officeDocument/2006/relationships/image" Target="../media/image218.emf"/><Relationship Id="rId39" Type="http://schemas.openxmlformats.org/officeDocument/2006/relationships/image" Target="../media/image239.emf"/><Relationship Id="rId34" Type="http://schemas.openxmlformats.org/officeDocument/2006/relationships/image" Target="../media/image234.emf"/><Relationship Id="rId50" Type="http://schemas.openxmlformats.org/officeDocument/2006/relationships/image" Target="../media/image249.png"/><Relationship Id="rId55" Type="http://schemas.openxmlformats.org/officeDocument/2006/relationships/image" Target="../media/image25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76.jpeg"/><Relationship Id="rId13" Type="http://schemas.openxmlformats.org/officeDocument/2006/relationships/image" Target="../media/image227.emf"/><Relationship Id="rId18" Type="http://schemas.openxmlformats.org/officeDocument/2006/relationships/image" Target="../media/image280.png"/><Relationship Id="rId26" Type="http://schemas.openxmlformats.org/officeDocument/2006/relationships/image" Target="../media/image266.png"/><Relationship Id="rId3" Type="http://schemas.openxmlformats.org/officeDocument/2006/relationships/image" Target="../media/image271.jpeg"/><Relationship Id="rId21" Type="http://schemas.openxmlformats.org/officeDocument/2006/relationships/image" Target="../media/image283.png"/><Relationship Id="rId7" Type="http://schemas.openxmlformats.org/officeDocument/2006/relationships/image" Target="../media/image275.jpeg"/><Relationship Id="rId12" Type="http://schemas.openxmlformats.org/officeDocument/2006/relationships/image" Target="../media/image226.emf"/><Relationship Id="rId17" Type="http://schemas.openxmlformats.org/officeDocument/2006/relationships/image" Target="../media/image279.jpeg"/><Relationship Id="rId25" Type="http://schemas.openxmlformats.org/officeDocument/2006/relationships/image" Target="../media/image265.png"/><Relationship Id="rId2" Type="http://schemas.openxmlformats.org/officeDocument/2006/relationships/image" Target="../media/image270.jpeg"/><Relationship Id="rId16" Type="http://schemas.openxmlformats.org/officeDocument/2006/relationships/image" Target="../media/image249.png"/><Relationship Id="rId20" Type="http://schemas.openxmlformats.org/officeDocument/2006/relationships/image" Target="../media/image282.png"/><Relationship Id="rId29" Type="http://schemas.openxmlformats.org/officeDocument/2006/relationships/image" Target="../media/image192.png"/><Relationship Id="rId1" Type="http://schemas.openxmlformats.org/officeDocument/2006/relationships/image" Target="../media/image269.jpeg"/><Relationship Id="rId6" Type="http://schemas.openxmlformats.org/officeDocument/2006/relationships/image" Target="../media/image274.jpeg"/><Relationship Id="rId11" Type="http://schemas.openxmlformats.org/officeDocument/2006/relationships/image" Target="../media/image225.emf"/><Relationship Id="rId24" Type="http://schemas.openxmlformats.org/officeDocument/2006/relationships/image" Target="../media/image253.png"/><Relationship Id="rId5" Type="http://schemas.openxmlformats.org/officeDocument/2006/relationships/image" Target="../media/image273.jpeg"/><Relationship Id="rId15" Type="http://schemas.openxmlformats.org/officeDocument/2006/relationships/image" Target="../media/image248.jpeg"/><Relationship Id="rId23" Type="http://schemas.openxmlformats.org/officeDocument/2006/relationships/image" Target="../media/image245.emf"/><Relationship Id="rId28" Type="http://schemas.openxmlformats.org/officeDocument/2006/relationships/image" Target="../media/image191.png"/><Relationship Id="rId10" Type="http://schemas.openxmlformats.org/officeDocument/2006/relationships/image" Target="../media/image250.png"/><Relationship Id="rId19" Type="http://schemas.openxmlformats.org/officeDocument/2006/relationships/image" Target="../media/image281.png"/><Relationship Id="rId4" Type="http://schemas.openxmlformats.org/officeDocument/2006/relationships/image" Target="../media/image272.jpeg"/><Relationship Id="rId9" Type="http://schemas.openxmlformats.org/officeDocument/2006/relationships/image" Target="../media/image277.jpeg"/><Relationship Id="rId14" Type="http://schemas.openxmlformats.org/officeDocument/2006/relationships/image" Target="../media/image278.emf"/><Relationship Id="rId22" Type="http://schemas.openxmlformats.org/officeDocument/2006/relationships/image" Target="../media/image257.emf"/><Relationship Id="rId27" Type="http://schemas.openxmlformats.org/officeDocument/2006/relationships/image" Target="../media/image264.png"/><Relationship Id="rId30" Type="http://schemas.openxmlformats.org/officeDocument/2006/relationships/image" Target="../media/image268.png"/></Relationships>
</file>

<file path=xl/drawings/_rels/drawing12.xml.rels><?xml version="1.0" encoding="UTF-8" standalone="yes"?>
<Relationships xmlns="http://schemas.openxmlformats.org/package/2006/relationships"><Relationship Id="rId26" Type="http://schemas.openxmlformats.org/officeDocument/2006/relationships/image" Target="../media/image225.emf"/><Relationship Id="rId21" Type="http://schemas.openxmlformats.org/officeDocument/2006/relationships/image" Target="../media/image220.emf"/><Relationship Id="rId42" Type="http://schemas.openxmlformats.org/officeDocument/2006/relationships/image" Target="../media/image240.jpeg"/><Relationship Id="rId47" Type="http://schemas.openxmlformats.org/officeDocument/2006/relationships/image" Target="../media/image243.emf"/><Relationship Id="rId63" Type="http://schemas.openxmlformats.org/officeDocument/2006/relationships/image" Target="../media/image287.jpeg"/><Relationship Id="rId68" Type="http://schemas.openxmlformats.org/officeDocument/2006/relationships/image" Target="../media/image265.png"/><Relationship Id="rId2" Type="http://schemas.openxmlformats.org/officeDocument/2006/relationships/image" Target="../media/image202.emf"/><Relationship Id="rId16" Type="http://schemas.openxmlformats.org/officeDocument/2006/relationships/image" Target="../media/image215.emf"/><Relationship Id="rId29" Type="http://schemas.openxmlformats.org/officeDocument/2006/relationships/image" Target="../media/image228.emf"/><Relationship Id="rId11" Type="http://schemas.openxmlformats.org/officeDocument/2006/relationships/image" Target="../media/image211.emf"/><Relationship Id="rId24" Type="http://schemas.openxmlformats.org/officeDocument/2006/relationships/image" Target="../media/image223.jpeg"/><Relationship Id="rId32" Type="http://schemas.openxmlformats.org/officeDocument/2006/relationships/image" Target="../media/image231.emf"/><Relationship Id="rId37" Type="http://schemas.openxmlformats.org/officeDocument/2006/relationships/image" Target="../media/image236.emf"/><Relationship Id="rId40" Type="http://schemas.openxmlformats.org/officeDocument/2006/relationships/image" Target="../media/image285.emf"/><Relationship Id="rId45" Type="http://schemas.openxmlformats.org/officeDocument/2006/relationships/image" Target="../media/image241.emf"/><Relationship Id="rId53" Type="http://schemas.openxmlformats.org/officeDocument/2006/relationships/image" Target="../media/image248.jpeg"/><Relationship Id="rId58" Type="http://schemas.openxmlformats.org/officeDocument/2006/relationships/image" Target="../media/image253.png"/><Relationship Id="rId66" Type="http://schemas.openxmlformats.org/officeDocument/2006/relationships/image" Target="../media/image262.png"/><Relationship Id="rId5" Type="http://schemas.openxmlformats.org/officeDocument/2006/relationships/image" Target="../media/image205.emf"/><Relationship Id="rId61" Type="http://schemas.openxmlformats.org/officeDocument/2006/relationships/image" Target="../media/image255.jpeg"/><Relationship Id="rId19" Type="http://schemas.openxmlformats.org/officeDocument/2006/relationships/image" Target="../media/image218.emf"/><Relationship Id="rId14" Type="http://schemas.openxmlformats.org/officeDocument/2006/relationships/image" Target="../media/image213.emf"/><Relationship Id="rId22" Type="http://schemas.openxmlformats.org/officeDocument/2006/relationships/image" Target="../media/image221.emf"/><Relationship Id="rId27" Type="http://schemas.openxmlformats.org/officeDocument/2006/relationships/image" Target="../media/image226.emf"/><Relationship Id="rId30" Type="http://schemas.openxmlformats.org/officeDocument/2006/relationships/image" Target="../media/image229.emf"/><Relationship Id="rId35" Type="http://schemas.openxmlformats.org/officeDocument/2006/relationships/image" Target="../media/image234.emf"/><Relationship Id="rId43" Type="http://schemas.openxmlformats.org/officeDocument/2006/relationships/image" Target="../media/image257.emf"/><Relationship Id="rId48" Type="http://schemas.openxmlformats.org/officeDocument/2006/relationships/image" Target="../media/image244.emf"/><Relationship Id="rId56" Type="http://schemas.openxmlformats.org/officeDocument/2006/relationships/image" Target="../media/image251.png"/><Relationship Id="rId64" Type="http://schemas.openxmlformats.org/officeDocument/2006/relationships/image" Target="../media/image261.png"/><Relationship Id="rId69" Type="http://schemas.openxmlformats.org/officeDocument/2006/relationships/image" Target="../media/image266.png"/><Relationship Id="rId8" Type="http://schemas.openxmlformats.org/officeDocument/2006/relationships/image" Target="../media/image208.emf"/><Relationship Id="rId51" Type="http://schemas.openxmlformats.org/officeDocument/2006/relationships/image" Target="../media/image246.jpeg"/><Relationship Id="rId72" Type="http://schemas.openxmlformats.org/officeDocument/2006/relationships/image" Target="../media/image192.png"/><Relationship Id="rId3" Type="http://schemas.openxmlformats.org/officeDocument/2006/relationships/image" Target="../media/image203.emf"/><Relationship Id="rId12" Type="http://schemas.openxmlformats.org/officeDocument/2006/relationships/image" Target="../media/image284.emf"/><Relationship Id="rId17" Type="http://schemas.openxmlformats.org/officeDocument/2006/relationships/image" Target="../media/image216.emf"/><Relationship Id="rId25" Type="http://schemas.openxmlformats.org/officeDocument/2006/relationships/image" Target="../media/image224.jpeg"/><Relationship Id="rId33" Type="http://schemas.openxmlformats.org/officeDocument/2006/relationships/image" Target="../media/image232.jpeg"/><Relationship Id="rId38" Type="http://schemas.openxmlformats.org/officeDocument/2006/relationships/image" Target="../media/image237.emf"/><Relationship Id="rId46" Type="http://schemas.openxmlformats.org/officeDocument/2006/relationships/image" Target="../media/image242.emf"/><Relationship Id="rId59" Type="http://schemas.openxmlformats.org/officeDocument/2006/relationships/image" Target="../media/image254.png"/><Relationship Id="rId67" Type="http://schemas.openxmlformats.org/officeDocument/2006/relationships/image" Target="../media/image263.png"/><Relationship Id="rId20" Type="http://schemas.openxmlformats.org/officeDocument/2006/relationships/image" Target="../media/image219.emf"/><Relationship Id="rId41" Type="http://schemas.openxmlformats.org/officeDocument/2006/relationships/image" Target="../media/image239.emf"/><Relationship Id="rId54" Type="http://schemas.openxmlformats.org/officeDocument/2006/relationships/image" Target="../media/image249.png"/><Relationship Id="rId62" Type="http://schemas.openxmlformats.org/officeDocument/2006/relationships/image" Target="../media/image120.png"/><Relationship Id="rId70" Type="http://schemas.openxmlformats.org/officeDocument/2006/relationships/image" Target="../media/image264.png"/><Relationship Id="rId1" Type="http://schemas.openxmlformats.org/officeDocument/2006/relationships/image" Target="../media/image201.emf"/><Relationship Id="rId6" Type="http://schemas.openxmlformats.org/officeDocument/2006/relationships/image" Target="../media/image206.emf"/><Relationship Id="rId15" Type="http://schemas.openxmlformats.org/officeDocument/2006/relationships/image" Target="../media/image214.emf"/><Relationship Id="rId23" Type="http://schemas.openxmlformats.org/officeDocument/2006/relationships/image" Target="../media/image222.emf"/><Relationship Id="rId28" Type="http://schemas.openxmlformats.org/officeDocument/2006/relationships/image" Target="../media/image227.emf"/><Relationship Id="rId36" Type="http://schemas.openxmlformats.org/officeDocument/2006/relationships/image" Target="../media/image235.jpeg"/><Relationship Id="rId49" Type="http://schemas.openxmlformats.org/officeDocument/2006/relationships/image" Target="../media/image245.emf"/><Relationship Id="rId57" Type="http://schemas.openxmlformats.org/officeDocument/2006/relationships/image" Target="../media/image252.jpeg"/><Relationship Id="rId10" Type="http://schemas.openxmlformats.org/officeDocument/2006/relationships/image" Target="../media/image210.emf"/><Relationship Id="rId31" Type="http://schemas.openxmlformats.org/officeDocument/2006/relationships/image" Target="../media/image230.emf"/><Relationship Id="rId44" Type="http://schemas.openxmlformats.org/officeDocument/2006/relationships/image" Target="../media/image258.emf"/><Relationship Id="rId52" Type="http://schemas.openxmlformats.org/officeDocument/2006/relationships/image" Target="../media/image247.jpeg"/><Relationship Id="rId60" Type="http://schemas.openxmlformats.org/officeDocument/2006/relationships/image" Target="../media/image286.jpeg"/><Relationship Id="rId65" Type="http://schemas.openxmlformats.org/officeDocument/2006/relationships/image" Target="../media/image288.png"/><Relationship Id="rId73" Type="http://schemas.openxmlformats.org/officeDocument/2006/relationships/image" Target="../media/image289.jpeg"/><Relationship Id="rId4" Type="http://schemas.openxmlformats.org/officeDocument/2006/relationships/image" Target="../media/image204.emf"/><Relationship Id="rId9" Type="http://schemas.openxmlformats.org/officeDocument/2006/relationships/image" Target="../media/image209.emf"/><Relationship Id="rId13" Type="http://schemas.openxmlformats.org/officeDocument/2006/relationships/image" Target="../media/image212.emf"/><Relationship Id="rId18" Type="http://schemas.openxmlformats.org/officeDocument/2006/relationships/image" Target="../media/image217.emf"/><Relationship Id="rId39" Type="http://schemas.openxmlformats.org/officeDocument/2006/relationships/image" Target="../media/image238.emf"/><Relationship Id="rId34" Type="http://schemas.openxmlformats.org/officeDocument/2006/relationships/image" Target="../media/image233.emf"/><Relationship Id="rId50" Type="http://schemas.openxmlformats.org/officeDocument/2006/relationships/image" Target="../media/image129.jpeg"/><Relationship Id="rId55" Type="http://schemas.openxmlformats.org/officeDocument/2006/relationships/image" Target="../media/image250.png"/><Relationship Id="rId7" Type="http://schemas.openxmlformats.org/officeDocument/2006/relationships/image" Target="../media/image207.jpeg"/><Relationship Id="rId71" Type="http://schemas.openxmlformats.org/officeDocument/2006/relationships/image" Target="../media/image19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76.jpeg"/><Relationship Id="rId13" Type="http://schemas.openxmlformats.org/officeDocument/2006/relationships/image" Target="../media/image227.emf"/><Relationship Id="rId18" Type="http://schemas.openxmlformats.org/officeDocument/2006/relationships/image" Target="../media/image279.jpeg"/><Relationship Id="rId26" Type="http://schemas.openxmlformats.org/officeDocument/2006/relationships/image" Target="../media/image266.png"/><Relationship Id="rId3" Type="http://schemas.openxmlformats.org/officeDocument/2006/relationships/image" Target="../media/image271.jpeg"/><Relationship Id="rId21" Type="http://schemas.openxmlformats.org/officeDocument/2006/relationships/image" Target="../media/image283.png"/><Relationship Id="rId7" Type="http://schemas.openxmlformats.org/officeDocument/2006/relationships/image" Target="../media/image275.jpeg"/><Relationship Id="rId12" Type="http://schemas.openxmlformats.org/officeDocument/2006/relationships/image" Target="../media/image226.emf"/><Relationship Id="rId17" Type="http://schemas.openxmlformats.org/officeDocument/2006/relationships/image" Target="../media/image280.png"/><Relationship Id="rId25" Type="http://schemas.openxmlformats.org/officeDocument/2006/relationships/image" Target="../media/image265.png"/><Relationship Id="rId2" Type="http://schemas.openxmlformats.org/officeDocument/2006/relationships/image" Target="../media/image270.jpeg"/><Relationship Id="rId16" Type="http://schemas.openxmlformats.org/officeDocument/2006/relationships/image" Target="../media/image249.png"/><Relationship Id="rId20" Type="http://schemas.openxmlformats.org/officeDocument/2006/relationships/image" Target="../media/image282.png"/><Relationship Id="rId29" Type="http://schemas.openxmlformats.org/officeDocument/2006/relationships/image" Target="../media/image192.png"/><Relationship Id="rId1" Type="http://schemas.openxmlformats.org/officeDocument/2006/relationships/image" Target="../media/image269.jpeg"/><Relationship Id="rId6" Type="http://schemas.openxmlformats.org/officeDocument/2006/relationships/image" Target="../media/image274.jpeg"/><Relationship Id="rId11" Type="http://schemas.openxmlformats.org/officeDocument/2006/relationships/image" Target="../media/image225.emf"/><Relationship Id="rId24" Type="http://schemas.openxmlformats.org/officeDocument/2006/relationships/image" Target="../media/image253.png"/><Relationship Id="rId5" Type="http://schemas.openxmlformats.org/officeDocument/2006/relationships/image" Target="../media/image273.jpeg"/><Relationship Id="rId15" Type="http://schemas.openxmlformats.org/officeDocument/2006/relationships/image" Target="../media/image248.jpeg"/><Relationship Id="rId23" Type="http://schemas.openxmlformats.org/officeDocument/2006/relationships/image" Target="../media/image245.emf"/><Relationship Id="rId28" Type="http://schemas.openxmlformats.org/officeDocument/2006/relationships/image" Target="../media/image191.png"/><Relationship Id="rId10" Type="http://schemas.openxmlformats.org/officeDocument/2006/relationships/image" Target="../media/image250.png"/><Relationship Id="rId19" Type="http://schemas.openxmlformats.org/officeDocument/2006/relationships/image" Target="../media/image281.png"/><Relationship Id="rId4" Type="http://schemas.openxmlformats.org/officeDocument/2006/relationships/image" Target="../media/image272.jpeg"/><Relationship Id="rId9" Type="http://schemas.openxmlformats.org/officeDocument/2006/relationships/image" Target="../media/image277.jpeg"/><Relationship Id="rId14" Type="http://schemas.openxmlformats.org/officeDocument/2006/relationships/image" Target="../media/image278.emf"/><Relationship Id="rId22" Type="http://schemas.openxmlformats.org/officeDocument/2006/relationships/image" Target="../media/image257.emf"/><Relationship Id="rId27" Type="http://schemas.openxmlformats.org/officeDocument/2006/relationships/image" Target="../media/image264.png"/><Relationship Id="rId30" Type="http://schemas.openxmlformats.org/officeDocument/2006/relationships/image" Target="../media/image28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21.jpeg"/><Relationship Id="rId1" Type="http://schemas.openxmlformats.org/officeDocument/2006/relationships/image" Target="../media/image1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4.png"/><Relationship Id="rId2" Type="http://schemas.openxmlformats.org/officeDocument/2006/relationships/image" Target="../media/image123.jpeg"/><Relationship Id="rId1" Type="http://schemas.openxmlformats.org/officeDocument/2006/relationships/image" Target="../media/image122.jpeg"/><Relationship Id="rId6" Type="http://schemas.openxmlformats.org/officeDocument/2006/relationships/image" Target="../media/image127.png"/><Relationship Id="rId5" Type="http://schemas.openxmlformats.org/officeDocument/2006/relationships/image" Target="../media/image126.png"/><Relationship Id="rId4" Type="http://schemas.openxmlformats.org/officeDocument/2006/relationships/image" Target="../media/image12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34.png"/><Relationship Id="rId3" Type="http://schemas.openxmlformats.org/officeDocument/2006/relationships/image" Target="../media/image130.jpeg"/><Relationship Id="rId7" Type="http://schemas.openxmlformats.org/officeDocument/2006/relationships/image" Target="../media/image133.png"/><Relationship Id="rId2" Type="http://schemas.openxmlformats.org/officeDocument/2006/relationships/image" Target="../media/image129.jpeg"/><Relationship Id="rId1" Type="http://schemas.openxmlformats.org/officeDocument/2006/relationships/image" Target="../media/image128.jpeg"/><Relationship Id="rId6" Type="http://schemas.openxmlformats.org/officeDocument/2006/relationships/image" Target="../media/image132.jpeg"/><Relationship Id="rId5" Type="http://schemas.openxmlformats.org/officeDocument/2006/relationships/image" Target="../media/image131.png"/><Relationship Id="rId4" Type="http://schemas.openxmlformats.org/officeDocument/2006/relationships/image" Target="../media/image12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40.png"/><Relationship Id="rId3" Type="http://schemas.openxmlformats.org/officeDocument/2006/relationships/image" Target="../media/image131.png"/><Relationship Id="rId7" Type="http://schemas.openxmlformats.org/officeDocument/2006/relationships/image" Target="../media/image139.png"/><Relationship Id="rId2" Type="http://schemas.openxmlformats.org/officeDocument/2006/relationships/image" Target="../media/image136.jpeg"/><Relationship Id="rId1" Type="http://schemas.openxmlformats.org/officeDocument/2006/relationships/image" Target="../media/image122.jpeg"/><Relationship Id="rId6" Type="http://schemas.openxmlformats.org/officeDocument/2006/relationships/image" Target="../media/image138.jpeg"/><Relationship Id="rId5" Type="http://schemas.openxmlformats.org/officeDocument/2006/relationships/image" Target="../media/image133.png"/><Relationship Id="rId4" Type="http://schemas.openxmlformats.org/officeDocument/2006/relationships/image" Target="../media/image13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47.jpeg"/><Relationship Id="rId3" Type="http://schemas.openxmlformats.org/officeDocument/2006/relationships/image" Target="../media/image142.jpeg"/><Relationship Id="rId7" Type="http://schemas.openxmlformats.org/officeDocument/2006/relationships/image" Target="../media/image146.jpeg"/><Relationship Id="rId12" Type="http://schemas.openxmlformats.org/officeDocument/2006/relationships/image" Target="../media/image150.png"/><Relationship Id="rId2" Type="http://schemas.openxmlformats.org/officeDocument/2006/relationships/image" Target="../media/image141.jpeg"/><Relationship Id="rId1" Type="http://schemas.openxmlformats.org/officeDocument/2006/relationships/image" Target="../media/image122.jpeg"/><Relationship Id="rId6" Type="http://schemas.openxmlformats.org/officeDocument/2006/relationships/image" Target="../media/image145.jpeg"/><Relationship Id="rId11" Type="http://schemas.openxmlformats.org/officeDocument/2006/relationships/image" Target="../media/image138.jpeg"/><Relationship Id="rId5" Type="http://schemas.openxmlformats.org/officeDocument/2006/relationships/image" Target="../media/image144.jpeg"/><Relationship Id="rId10" Type="http://schemas.openxmlformats.org/officeDocument/2006/relationships/image" Target="../media/image149.jpeg"/><Relationship Id="rId4" Type="http://schemas.openxmlformats.org/officeDocument/2006/relationships/image" Target="../media/image143.jpeg"/><Relationship Id="rId9" Type="http://schemas.openxmlformats.org/officeDocument/2006/relationships/image" Target="../media/image148.png"/></Relationships>
</file>

<file path=xl/drawings/_rels/drawing7.xml.rels><?xml version="1.0" encoding="UTF-8" standalone="yes"?>
<Relationships xmlns="http://schemas.openxmlformats.org/package/2006/relationships"><Relationship Id="rId8" Type="http://schemas.openxmlformats.org/officeDocument/2006/relationships/image" Target="../media/image153.jpeg"/><Relationship Id="rId3" Type="http://schemas.openxmlformats.org/officeDocument/2006/relationships/image" Target="../media/image143.jpeg"/><Relationship Id="rId7" Type="http://schemas.openxmlformats.org/officeDocument/2006/relationships/image" Target="../media/image152.jpeg"/><Relationship Id="rId12" Type="http://schemas.openxmlformats.org/officeDocument/2006/relationships/image" Target="../media/image155.png"/><Relationship Id="rId2" Type="http://schemas.openxmlformats.org/officeDocument/2006/relationships/image" Target="../media/image142.jpeg"/><Relationship Id="rId1" Type="http://schemas.openxmlformats.org/officeDocument/2006/relationships/image" Target="../media/image122.jpeg"/><Relationship Id="rId6" Type="http://schemas.openxmlformats.org/officeDocument/2006/relationships/image" Target="../media/image146.jpeg"/><Relationship Id="rId11" Type="http://schemas.openxmlformats.org/officeDocument/2006/relationships/image" Target="../media/image138.jpeg"/><Relationship Id="rId5" Type="http://schemas.openxmlformats.org/officeDocument/2006/relationships/image" Target="../media/image145.jpeg"/><Relationship Id="rId10" Type="http://schemas.openxmlformats.org/officeDocument/2006/relationships/image" Target="../media/image154.jpeg"/><Relationship Id="rId4" Type="http://schemas.openxmlformats.org/officeDocument/2006/relationships/image" Target="../media/image151.jpeg"/><Relationship Id="rId9" Type="http://schemas.openxmlformats.org/officeDocument/2006/relationships/image" Target="../media/image148.png"/></Relationships>
</file>

<file path=xl/drawings/_rels/drawing8.xml.rels><?xml version="1.0" encoding="UTF-8" standalone="yes"?>
<Relationships xmlns="http://schemas.openxmlformats.org/package/2006/relationships"><Relationship Id="rId8" Type="http://schemas.openxmlformats.org/officeDocument/2006/relationships/image" Target="../media/image126.png"/><Relationship Id="rId3" Type="http://schemas.openxmlformats.org/officeDocument/2006/relationships/image" Target="../media/image156.jpeg"/><Relationship Id="rId7" Type="http://schemas.openxmlformats.org/officeDocument/2006/relationships/image" Target="../media/image138.jpeg"/><Relationship Id="rId2" Type="http://schemas.openxmlformats.org/officeDocument/2006/relationships/image" Target="../media/image142.jpeg"/><Relationship Id="rId1" Type="http://schemas.openxmlformats.org/officeDocument/2006/relationships/image" Target="../media/image122.jpeg"/><Relationship Id="rId6" Type="http://schemas.openxmlformats.org/officeDocument/2006/relationships/image" Target="../media/image158.jpeg"/><Relationship Id="rId5" Type="http://schemas.openxmlformats.org/officeDocument/2006/relationships/image" Target="../media/image148.png"/><Relationship Id="rId10" Type="http://schemas.openxmlformats.org/officeDocument/2006/relationships/image" Target="../media/image160.png"/><Relationship Id="rId4" Type="http://schemas.openxmlformats.org/officeDocument/2006/relationships/image" Target="../media/image157.jpeg"/><Relationship Id="rId9" Type="http://schemas.openxmlformats.org/officeDocument/2006/relationships/image" Target="../media/image159.png"/></Relationships>
</file>

<file path=xl/drawings/_rels/drawing9.xml.rels><?xml version="1.0" encoding="UTF-8" standalone="yes"?>
<Relationships xmlns="http://schemas.openxmlformats.org/package/2006/relationships"><Relationship Id="rId13" Type="http://schemas.openxmlformats.org/officeDocument/2006/relationships/image" Target="../media/image173.jpeg"/><Relationship Id="rId18" Type="http://schemas.openxmlformats.org/officeDocument/2006/relationships/image" Target="../media/image178.jpeg"/><Relationship Id="rId26" Type="http://schemas.openxmlformats.org/officeDocument/2006/relationships/image" Target="../media/image186.png"/><Relationship Id="rId21" Type="http://schemas.openxmlformats.org/officeDocument/2006/relationships/image" Target="../media/image181.jpeg"/><Relationship Id="rId34" Type="http://schemas.openxmlformats.org/officeDocument/2006/relationships/image" Target="../media/image194.jpeg"/><Relationship Id="rId7" Type="http://schemas.openxmlformats.org/officeDocument/2006/relationships/image" Target="../media/image167.jpeg"/><Relationship Id="rId12" Type="http://schemas.openxmlformats.org/officeDocument/2006/relationships/image" Target="../media/image172.jpeg"/><Relationship Id="rId17" Type="http://schemas.openxmlformats.org/officeDocument/2006/relationships/image" Target="../media/image177.jpeg"/><Relationship Id="rId25" Type="http://schemas.openxmlformats.org/officeDocument/2006/relationships/image" Target="../media/image185.png"/><Relationship Id="rId33" Type="http://schemas.openxmlformats.org/officeDocument/2006/relationships/image" Target="../media/image193.jpeg"/><Relationship Id="rId38" Type="http://schemas.openxmlformats.org/officeDocument/2006/relationships/image" Target="../media/image198.emf"/><Relationship Id="rId2" Type="http://schemas.openxmlformats.org/officeDocument/2006/relationships/image" Target="../media/image162.jpeg"/><Relationship Id="rId16" Type="http://schemas.openxmlformats.org/officeDocument/2006/relationships/image" Target="../media/image176.jpeg"/><Relationship Id="rId20" Type="http://schemas.openxmlformats.org/officeDocument/2006/relationships/image" Target="../media/image180.jpeg"/><Relationship Id="rId29" Type="http://schemas.openxmlformats.org/officeDocument/2006/relationships/image" Target="../media/image189.png"/><Relationship Id="rId1" Type="http://schemas.openxmlformats.org/officeDocument/2006/relationships/image" Target="../media/image161.jpeg"/><Relationship Id="rId6" Type="http://schemas.openxmlformats.org/officeDocument/2006/relationships/image" Target="../media/image166.jpeg"/><Relationship Id="rId11" Type="http://schemas.openxmlformats.org/officeDocument/2006/relationships/image" Target="../media/image171.jpeg"/><Relationship Id="rId24" Type="http://schemas.openxmlformats.org/officeDocument/2006/relationships/image" Target="../media/image184.jpeg"/><Relationship Id="rId32" Type="http://schemas.openxmlformats.org/officeDocument/2006/relationships/image" Target="../media/image192.png"/><Relationship Id="rId37" Type="http://schemas.openxmlformats.org/officeDocument/2006/relationships/image" Target="../media/image197.emf"/><Relationship Id="rId5" Type="http://schemas.openxmlformats.org/officeDocument/2006/relationships/image" Target="../media/image165.jpeg"/><Relationship Id="rId15" Type="http://schemas.openxmlformats.org/officeDocument/2006/relationships/image" Target="../media/image175.jpeg"/><Relationship Id="rId23" Type="http://schemas.openxmlformats.org/officeDocument/2006/relationships/image" Target="../media/image183.png"/><Relationship Id="rId28" Type="http://schemas.openxmlformats.org/officeDocument/2006/relationships/image" Target="../media/image188.png"/><Relationship Id="rId36" Type="http://schemas.openxmlformats.org/officeDocument/2006/relationships/image" Target="../media/image196.emf"/><Relationship Id="rId10" Type="http://schemas.openxmlformats.org/officeDocument/2006/relationships/image" Target="../media/image170.jpeg"/><Relationship Id="rId19" Type="http://schemas.openxmlformats.org/officeDocument/2006/relationships/image" Target="../media/image179.jpeg"/><Relationship Id="rId31" Type="http://schemas.openxmlformats.org/officeDocument/2006/relationships/image" Target="../media/image191.png"/><Relationship Id="rId4" Type="http://schemas.openxmlformats.org/officeDocument/2006/relationships/image" Target="../media/image164.jpeg"/><Relationship Id="rId9" Type="http://schemas.openxmlformats.org/officeDocument/2006/relationships/image" Target="../media/image169.jpeg"/><Relationship Id="rId14" Type="http://schemas.openxmlformats.org/officeDocument/2006/relationships/image" Target="../media/image174.jpeg"/><Relationship Id="rId22" Type="http://schemas.openxmlformats.org/officeDocument/2006/relationships/image" Target="../media/image182.jpeg"/><Relationship Id="rId27" Type="http://schemas.openxmlformats.org/officeDocument/2006/relationships/image" Target="../media/image187.png"/><Relationship Id="rId30" Type="http://schemas.openxmlformats.org/officeDocument/2006/relationships/image" Target="../media/image190.png"/><Relationship Id="rId35" Type="http://schemas.openxmlformats.org/officeDocument/2006/relationships/image" Target="../media/image195.png"/><Relationship Id="rId8" Type="http://schemas.openxmlformats.org/officeDocument/2006/relationships/image" Target="../media/image168.jpeg"/><Relationship Id="rId3" Type="http://schemas.openxmlformats.org/officeDocument/2006/relationships/image" Target="../media/image163.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5.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00.emf"/><Relationship Id="rId1" Type="http://schemas.openxmlformats.org/officeDocument/2006/relationships/image" Target="../media/image19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00.emf"/><Relationship Id="rId1" Type="http://schemas.openxmlformats.org/officeDocument/2006/relationships/image" Target="../media/image199.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5.emf"/></Relationships>
</file>

<file path=xl/drawings/drawing1.xml><?xml version="1.0" encoding="utf-8"?>
<xdr:wsDr xmlns:xdr="http://schemas.openxmlformats.org/drawingml/2006/spreadsheetDrawing" xmlns:a="http://schemas.openxmlformats.org/drawingml/2006/main">
  <xdr:oneCellAnchor>
    <xdr:from>
      <xdr:col>4</xdr:col>
      <xdr:colOff>346115</xdr:colOff>
      <xdr:row>10</xdr:row>
      <xdr:rowOff>27749</xdr:rowOff>
    </xdr:from>
    <xdr:ext cx="214420" cy="142583"/>
    <xdr:pic>
      <xdr:nvPicPr>
        <xdr:cNvPr id="29" name="Grafik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6815" y="2094674"/>
          <a:ext cx="214420" cy="14258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10</xdr:row>
          <xdr:rowOff>30480</xdr:rowOff>
        </xdr:from>
        <xdr:to>
          <xdr:col>6</xdr:col>
          <xdr:colOff>609600</xdr:colOff>
          <xdr:row>11</xdr:row>
          <xdr:rowOff>0</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11</xdr:row>
          <xdr:rowOff>30480</xdr:rowOff>
        </xdr:from>
        <xdr:to>
          <xdr:col>6</xdr:col>
          <xdr:colOff>754380</xdr:colOff>
          <xdr:row>12</xdr:row>
          <xdr:rowOff>0</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344978</xdr:colOff>
      <xdr:row>2</xdr:row>
      <xdr:rowOff>28323</xdr:rowOff>
    </xdr:from>
    <xdr:to>
      <xdr:col>5</xdr:col>
      <xdr:colOff>46846</xdr:colOff>
      <xdr:row>2</xdr:row>
      <xdr:rowOff>158436</xdr:rowOff>
    </xdr:to>
    <xdr:pic>
      <xdr:nvPicPr>
        <xdr:cNvPr id="3" name="Grafik 2">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5678" y="571248"/>
          <a:ext cx="216218" cy="130113"/>
        </a:xfrm>
        <a:prstGeom prst="rect">
          <a:avLst/>
        </a:prstGeom>
      </xdr:spPr>
    </xdr:pic>
    <xdr:clientData/>
  </xdr:twoCellAnchor>
  <xdr:twoCellAnchor editAs="oneCell">
    <xdr:from>
      <xdr:col>4</xdr:col>
      <xdr:colOff>345196</xdr:colOff>
      <xdr:row>3</xdr:row>
      <xdr:rowOff>26809</xdr:rowOff>
    </xdr:from>
    <xdr:to>
      <xdr:col>5</xdr:col>
      <xdr:colOff>46846</xdr:colOff>
      <xdr:row>3</xdr:row>
      <xdr:rowOff>170809</xdr:rowOff>
    </xdr:to>
    <xdr:pic>
      <xdr:nvPicPr>
        <xdr:cNvPr id="4" name="Grafik 3">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1196" y="760931"/>
          <a:ext cx="216000" cy="144000"/>
        </a:xfrm>
        <a:prstGeom prst="rect">
          <a:avLst/>
        </a:prstGeom>
      </xdr:spPr>
    </xdr:pic>
    <xdr:clientData/>
  </xdr:twoCellAnchor>
  <xdr:twoCellAnchor editAs="oneCell">
    <xdr:from>
      <xdr:col>4</xdr:col>
      <xdr:colOff>345454</xdr:colOff>
      <xdr:row>4</xdr:row>
      <xdr:rowOff>31457</xdr:rowOff>
    </xdr:from>
    <xdr:to>
      <xdr:col>5</xdr:col>
      <xdr:colOff>46846</xdr:colOff>
      <xdr:row>4</xdr:row>
      <xdr:rowOff>175285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31454" y="955382"/>
          <a:ext cx="215742" cy="143828"/>
        </a:xfrm>
        <a:prstGeom prst="rect">
          <a:avLst/>
        </a:prstGeom>
      </xdr:spPr>
    </xdr:pic>
    <xdr:clientData/>
  </xdr:twoCellAnchor>
  <xdr:twoCellAnchor editAs="oneCell">
    <xdr:from>
      <xdr:col>4</xdr:col>
      <xdr:colOff>345454</xdr:colOff>
      <xdr:row>5</xdr:row>
      <xdr:rowOff>31457</xdr:rowOff>
    </xdr:from>
    <xdr:to>
      <xdr:col>5</xdr:col>
      <xdr:colOff>46846</xdr:colOff>
      <xdr:row>5</xdr:row>
      <xdr:rowOff>175285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31454" y="1145882"/>
          <a:ext cx="215742" cy="143828"/>
        </a:xfrm>
        <a:prstGeom prst="rect">
          <a:avLst/>
        </a:prstGeom>
      </xdr:spPr>
    </xdr:pic>
    <xdr:clientData/>
  </xdr:twoCellAnchor>
  <xdr:twoCellAnchor editAs="oneCell">
    <xdr:from>
      <xdr:col>4</xdr:col>
      <xdr:colOff>345454</xdr:colOff>
      <xdr:row>6</xdr:row>
      <xdr:rowOff>31615</xdr:rowOff>
    </xdr:from>
    <xdr:to>
      <xdr:col>5</xdr:col>
      <xdr:colOff>46846</xdr:colOff>
      <xdr:row>6</xdr:row>
      <xdr:rowOff>175126</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31454" y="1336540"/>
          <a:ext cx="215742" cy="143511"/>
        </a:xfrm>
        <a:prstGeom prst="rect">
          <a:avLst/>
        </a:prstGeom>
      </xdr:spPr>
    </xdr:pic>
    <xdr:clientData/>
  </xdr:twoCellAnchor>
  <xdr:twoCellAnchor editAs="oneCell">
    <xdr:from>
      <xdr:col>4</xdr:col>
      <xdr:colOff>345454</xdr:colOff>
      <xdr:row>7</xdr:row>
      <xdr:rowOff>26617</xdr:rowOff>
    </xdr:from>
    <xdr:to>
      <xdr:col>5</xdr:col>
      <xdr:colOff>46846</xdr:colOff>
      <xdr:row>7</xdr:row>
      <xdr:rowOff>170617</xdr:rowOff>
    </xdr:to>
    <xdr:pic>
      <xdr:nvPicPr>
        <xdr:cNvPr id="25" name="Grafik 24">
          <a:extLst>
            <a:ext uri="{FF2B5EF4-FFF2-40B4-BE49-F238E27FC236}">
              <a16:creationId xmlns:a16="http://schemas.microsoft.com/office/drawing/2014/main" id="{00000000-0008-0000-0000-000019000000}"/>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38942" y="1522739"/>
          <a:ext cx="217136" cy="144000"/>
        </a:xfrm>
        <a:prstGeom prst="rect">
          <a:avLst/>
        </a:prstGeom>
      </xdr:spPr>
    </xdr:pic>
    <xdr:clientData/>
  </xdr:twoCellAnchor>
  <xdr:twoCellAnchor editAs="oneCell">
    <xdr:from>
      <xdr:col>4</xdr:col>
      <xdr:colOff>345454</xdr:colOff>
      <xdr:row>8</xdr:row>
      <xdr:rowOff>26520</xdr:rowOff>
    </xdr:from>
    <xdr:to>
      <xdr:col>5</xdr:col>
      <xdr:colOff>46846</xdr:colOff>
      <xdr:row>8</xdr:row>
      <xdr:rowOff>170520</xdr:rowOff>
    </xdr:to>
    <xdr:pic>
      <xdr:nvPicPr>
        <xdr:cNvPr id="26" name="Grafik 25">
          <a:extLst>
            <a:ext uri="{FF2B5EF4-FFF2-40B4-BE49-F238E27FC236}">
              <a16:creationId xmlns:a16="http://schemas.microsoft.com/office/drawing/2014/main" id="{00000000-0008-0000-0000-00001A000000}"/>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38942" y="1713142"/>
          <a:ext cx="217136" cy="144000"/>
        </a:xfrm>
        <a:prstGeom prst="rect">
          <a:avLst/>
        </a:prstGeom>
      </xdr:spPr>
    </xdr:pic>
    <xdr:clientData/>
  </xdr:twoCellAnchor>
  <xdr:twoCellAnchor editAs="oneCell">
    <xdr:from>
      <xdr:col>4</xdr:col>
      <xdr:colOff>346115</xdr:colOff>
      <xdr:row>9</xdr:row>
      <xdr:rowOff>27285</xdr:rowOff>
    </xdr:from>
    <xdr:to>
      <xdr:col>5</xdr:col>
      <xdr:colOff>46185</xdr:colOff>
      <xdr:row>9</xdr:row>
      <xdr:rowOff>170796</xdr:rowOff>
    </xdr:to>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39603" y="1904407"/>
          <a:ext cx="215814" cy="1435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2</xdr:row>
          <xdr:rowOff>30480</xdr:rowOff>
        </xdr:from>
        <xdr:to>
          <xdr:col>6</xdr:col>
          <xdr:colOff>609600</xdr:colOff>
          <xdr:row>3</xdr:row>
          <xdr:rowOff>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xdr:row>
          <xdr:rowOff>30480</xdr:rowOff>
        </xdr:from>
        <xdr:to>
          <xdr:col>6</xdr:col>
          <xdr:colOff>609600</xdr:colOff>
          <xdr:row>4</xdr:row>
          <xdr:rowOff>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xdr:row>
          <xdr:rowOff>30480</xdr:rowOff>
        </xdr:from>
        <xdr:to>
          <xdr:col>6</xdr:col>
          <xdr:colOff>754380</xdr:colOff>
          <xdr:row>5</xdr:row>
          <xdr:rowOff>0</xdr:rowOff>
        </xdr:to>
        <xdr:sp macro="" textlink="">
          <xdr:nvSpPr>
            <xdr:cNvPr id="2052" name="Option Button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5</xdr:row>
          <xdr:rowOff>30480</xdr:rowOff>
        </xdr:from>
        <xdr:to>
          <xdr:col>6</xdr:col>
          <xdr:colOff>609600</xdr:colOff>
          <xdr:row>6</xdr:row>
          <xdr:rowOff>0</xdr:rowOff>
        </xdr:to>
        <xdr:sp macro="" textlink="">
          <xdr:nvSpPr>
            <xdr:cNvPr id="2053" name="Option 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6</xdr:row>
          <xdr:rowOff>30480</xdr:rowOff>
        </xdr:from>
        <xdr:to>
          <xdr:col>6</xdr:col>
          <xdr:colOff>754380</xdr:colOff>
          <xdr:row>7</xdr:row>
          <xdr:rowOff>0</xdr:rowOff>
        </xdr:to>
        <xdr:sp macro="" textlink="">
          <xdr:nvSpPr>
            <xdr:cNvPr id="2054" name="Option 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7</xdr:row>
          <xdr:rowOff>30480</xdr:rowOff>
        </xdr:from>
        <xdr:to>
          <xdr:col>6</xdr:col>
          <xdr:colOff>609600</xdr:colOff>
          <xdr:row>8</xdr:row>
          <xdr:rowOff>0</xdr:rowOff>
        </xdr:to>
        <xdr:sp macro="" textlink="">
          <xdr:nvSpPr>
            <xdr:cNvPr id="2055" name="Option 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8</xdr:row>
          <xdr:rowOff>30480</xdr:rowOff>
        </xdr:from>
        <xdr:to>
          <xdr:col>6</xdr:col>
          <xdr:colOff>609600</xdr:colOff>
          <xdr:row>9</xdr:row>
          <xdr:rowOff>0</xdr:rowOff>
        </xdr:to>
        <xdr:sp macro="" textlink="">
          <xdr:nvSpPr>
            <xdr:cNvPr id="2056" name="Option 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9</xdr:row>
          <xdr:rowOff>30480</xdr:rowOff>
        </xdr:from>
        <xdr:to>
          <xdr:col>6</xdr:col>
          <xdr:colOff>609600</xdr:colOff>
          <xdr:row>10</xdr:row>
          <xdr:rowOff>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7</xdr:col>
          <xdr:colOff>0</xdr:colOff>
          <xdr:row>15</xdr:row>
          <xdr:rowOff>0</xdr:rowOff>
        </xdr:to>
        <xdr:sp macro="" textlink="">
          <xdr:nvSpPr>
            <xdr:cNvPr id="2049" name="Group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xdr:col>
      <xdr:colOff>513521</xdr:colOff>
      <xdr:row>17</xdr:row>
      <xdr:rowOff>0</xdr:rowOff>
    </xdr:from>
    <xdr:to>
      <xdr:col>12</xdr:col>
      <xdr:colOff>195146</xdr:colOff>
      <xdr:row>18</xdr:row>
      <xdr:rowOff>57978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0"/>
        <a:srcRect b="28261"/>
        <a:stretch/>
      </xdr:blipFill>
      <xdr:spPr>
        <a:xfrm>
          <a:off x="761999" y="2070652"/>
          <a:ext cx="5135218" cy="248478"/>
        </a:xfrm>
        <a:prstGeom prst="rect">
          <a:avLst/>
        </a:prstGeom>
      </xdr:spPr>
    </xdr:pic>
    <xdr:clientData/>
  </xdr:twoCellAnchor>
  <xdr:twoCellAnchor editAs="oneCell">
    <xdr:from>
      <xdr:col>2</xdr:col>
      <xdr:colOff>3501</xdr:colOff>
      <xdr:row>25</xdr:row>
      <xdr:rowOff>190500</xdr:rowOff>
    </xdr:from>
    <xdr:to>
      <xdr:col>2</xdr:col>
      <xdr:colOff>194687</xdr:colOff>
      <xdr:row>27</xdr:row>
      <xdr:rowOff>0</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1"/>
        <a:srcRect l="11247" t="14708" r="8294" b="18372"/>
        <a:stretch/>
      </xdr:blipFill>
      <xdr:spPr>
        <a:xfrm>
          <a:off x="1027439" y="3970734"/>
          <a:ext cx="191186" cy="190500"/>
        </a:xfrm>
        <a:prstGeom prst="rect">
          <a:avLst/>
        </a:prstGeom>
      </xdr:spPr>
    </xdr:pic>
    <xdr:clientData/>
  </xdr:twoCellAnchor>
  <xdr:twoCellAnchor editAs="oneCell">
    <xdr:from>
      <xdr:col>1</xdr:col>
      <xdr:colOff>513521</xdr:colOff>
      <xdr:row>30</xdr:row>
      <xdr:rowOff>0</xdr:rowOff>
    </xdr:from>
    <xdr:to>
      <xdr:col>4</xdr:col>
      <xdr:colOff>1141</xdr:colOff>
      <xdr:row>33</xdr:row>
      <xdr:rowOff>56989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2"/>
        <a:stretch>
          <a:fillRect/>
        </a:stretch>
      </xdr:blipFill>
      <xdr:spPr>
        <a:xfrm>
          <a:off x="1027043" y="4737652"/>
          <a:ext cx="1027044" cy="628489"/>
        </a:xfrm>
        <a:prstGeom prst="rect">
          <a:avLst/>
        </a:prstGeom>
      </xdr:spPr>
    </xdr:pic>
    <xdr:clientData/>
  </xdr:twoCellAnchor>
  <xdr:twoCellAnchor editAs="oneCell">
    <xdr:from>
      <xdr:col>1</xdr:col>
      <xdr:colOff>513521</xdr:colOff>
      <xdr:row>36</xdr:row>
      <xdr:rowOff>0</xdr:rowOff>
    </xdr:from>
    <xdr:to>
      <xdr:col>12</xdr:col>
      <xdr:colOff>192922</xdr:colOff>
      <xdr:row>37</xdr:row>
      <xdr:rowOff>98948</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3"/>
        <a:stretch>
          <a:fillRect/>
        </a:stretch>
      </xdr:blipFill>
      <xdr:spPr>
        <a:xfrm>
          <a:off x="761999" y="7976152"/>
          <a:ext cx="5135217" cy="289448"/>
        </a:xfrm>
        <a:prstGeom prst="rect">
          <a:avLst/>
        </a:prstGeom>
      </xdr:spPr>
    </xdr:pic>
    <xdr:clientData/>
  </xdr:twoCellAnchor>
  <xdr:twoCellAnchor editAs="oneCell">
    <xdr:from>
      <xdr:col>2</xdr:col>
      <xdr:colOff>0</xdr:colOff>
      <xdr:row>40</xdr:row>
      <xdr:rowOff>0</xdr:rowOff>
    </xdr:from>
    <xdr:to>
      <xdr:col>12</xdr:col>
      <xdr:colOff>195146</xdr:colOff>
      <xdr:row>43</xdr:row>
      <xdr:rowOff>1171</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4"/>
        <a:stretch>
          <a:fillRect/>
        </a:stretch>
      </xdr:blipFill>
      <xdr:spPr>
        <a:xfrm>
          <a:off x="762000" y="8738152"/>
          <a:ext cx="5135217" cy="563146"/>
        </a:xfrm>
        <a:prstGeom prst="rect">
          <a:avLst/>
        </a:prstGeom>
      </xdr:spPr>
    </xdr:pic>
    <xdr:clientData/>
  </xdr:twoCellAnchor>
  <xdr:twoCellAnchor editAs="oneCell">
    <xdr:from>
      <xdr:col>2</xdr:col>
      <xdr:colOff>0</xdr:colOff>
      <xdr:row>46</xdr:row>
      <xdr:rowOff>0</xdr:rowOff>
    </xdr:from>
    <xdr:to>
      <xdr:col>6</xdr:col>
      <xdr:colOff>193506</xdr:colOff>
      <xdr:row>56</xdr:row>
      <xdr:rowOff>0</xdr:rowOff>
    </xdr:to>
    <xdr:pic>
      <xdr:nvPicPr>
        <xdr:cNvPr id="17" name="Grafi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5"/>
        <a:stretch>
          <a:fillRect/>
        </a:stretch>
      </xdr:blipFill>
      <xdr:spPr>
        <a:xfrm>
          <a:off x="762000" y="9881152"/>
          <a:ext cx="1933863" cy="1905000"/>
        </a:xfrm>
        <a:prstGeom prst="rect">
          <a:avLst/>
        </a:prstGeom>
      </xdr:spPr>
    </xdr:pic>
    <xdr:clientData/>
  </xdr:twoCellAnchor>
  <xdr:oneCellAnchor>
    <xdr:from>
      <xdr:col>4</xdr:col>
      <xdr:colOff>346115</xdr:colOff>
      <xdr:row>11</xdr:row>
      <xdr:rowOff>45435</xdr:rowOff>
    </xdr:from>
    <xdr:ext cx="214420" cy="107210"/>
    <xdr:pic>
      <xdr:nvPicPr>
        <xdr:cNvPr id="32" name="Grafik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35454" y="2304221"/>
          <a:ext cx="214420" cy="10721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12</xdr:row>
          <xdr:rowOff>30480</xdr:rowOff>
        </xdr:from>
        <xdr:to>
          <xdr:col>6</xdr:col>
          <xdr:colOff>609600</xdr:colOff>
          <xdr:row>13</xdr:row>
          <xdr:rowOff>0</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12</xdr:row>
      <xdr:rowOff>45435</xdr:rowOff>
    </xdr:from>
    <xdr:ext cx="216000" cy="108000"/>
    <xdr:pic>
      <xdr:nvPicPr>
        <xdr:cNvPr id="31" name="Grafik 30">
          <a:extLst>
            <a:ext uri="{FF2B5EF4-FFF2-40B4-BE49-F238E27FC236}">
              <a16:creationId xmlns:a16="http://schemas.microsoft.com/office/drawing/2014/main" id="{00000000-0008-0000-0000-00001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35454" y="2494721"/>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13</xdr:row>
          <xdr:rowOff>30480</xdr:rowOff>
        </xdr:from>
        <xdr:to>
          <xdr:col>6</xdr:col>
          <xdr:colOff>609600</xdr:colOff>
          <xdr:row>14</xdr:row>
          <xdr:rowOff>0</xdr:rowOff>
        </xdr:to>
        <xdr:sp macro="" textlink="">
          <xdr:nvSpPr>
            <xdr:cNvPr id="2061" name="Option Butto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13</xdr:row>
      <xdr:rowOff>42033</xdr:rowOff>
    </xdr:from>
    <xdr:ext cx="216000" cy="108000"/>
    <xdr:pic>
      <xdr:nvPicPr>
        <xdr:cNvPr id="33" name="Grafik 32">
          <a:extLst>
            <a:ext uri="{FF2B5EF4-FFF2-40B4-BE49-F238E27FC236}">
              <a16:creationId xmlns:a16="http://schemas.microsoft.com/office/drawing/2014/main" id="{00000000-0008-0000-0000-000021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136815" y="2680458"/>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14</xdr:row>
          <xdr:rowOff>30480</xdr:rowOff>
        </xdr:from>
        <xdr:to>
          <xdr:col>6</xdr:col>
          <xdr:colOff>609600</xdr:colOff>
          <xdr:row>15</xdr:row>
          <xdr:rowOff>0</xdr:rowOff>
        </xdr:to>
        <xdr:sp macro="" textlink="">
          <xdr:nvSpPr>
            <xdr:cNvPr id="2062" name="Option Butto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14</xdr:row>
      <xdr:rowOff>41601</xdr:rowOff>
    </xdr:from>
    <xdr:ext cx="216000" cy="107346"/>
    <xdr:pic>
      <xdr:nvPicPr>
        <xdr:cNvPr id="35" name="Grafik 34">
          <a:extLst>
            <a:ext uri="{FF2B5EF4-FFF2-40B4-BE49-F238E27FC236}">
              <a16:creationId xmlns:a16="http://schemas.microsoft.com/office/drawing/2014/main" id="{00000000-0008-0000-0000-000023000000}"/>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6815" y="2870526"/>
          <a:ext cx="216000" cy="107346"/>
        </a:xfrm>
        <a:prstGeom prst="rect">
          <a:avLst/>
        </a:prstGeom>
      </xdr:spPr>
    </xdr:pic>
    <xdr:clientData/>
  </xdr:oneCellAnchor>
  <xdr:twoCellAnchor editAs="oneCell">
    <xdr:from>
      <xdr:col>0</xdr:col>
      <xdr:colOff>0</xdr:colOff>
      <xdr:row>0</xdr:row>
      <xdr:rowOff>0</xdr:rowOff>
    </xdr:from>
    <xdr:to>
      <xdr:col>2</xdr:col>
      <xdr:colOff>480000</xdr:colOff>
      <xdr:row>5</xdr:row>
      <xdr:rowOff>120375</xdr:rowOff>
    </xdr:to>
    <xdr:pic>
      <xdr:nvPicPr>
        <xdr:cNvPr id="36" name="Grafik 4">
          <a:extLst>
            <a:ext uri="{FF2B5EF4-FFF2-40B4-BE49-F238E27FC236}">
              <a16:creationId xmlns:a16="http://schemas.microsoft.com/office/drawing/2014/main" id="{00000000-0008-0000-0000-00002400000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0" y="0"/>
          <a:ext cx="1242000" cy="123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6</xdr:col>
          <xdr:colOff>647700</xdr:colOff>
          <xdr:row>14</xdr:row>
          <xdr:rowOff>60960</xdr:rowOff>
        </xdr:from>
        <xdr:to>
          <xdr:col>6</xdr:col>
          <xdr:colOff>693420</xdr:colOff>
          <xdr:row>14</xdr:row>
          <xdr:rowOff>106680</xdr:rowOff>
        </xdr:to>
        <xdr:sp macro="" textlink="">
          <xdr:nvSpPr>
            <xdr:cNvPr id="2063" name="Option Butto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345196</xdr:colOff>
      <xdr:row>1</xdr:row>
      <xdr:rowOff>28575</xdr:rowOff>
    </xdr:from>
    <xdr:to>
      <xdr:col>5</xdr:col>
      <xdr:colOff>46846</xdr:colOff>
      <xdr:row>1</xdr:row>
      <xdr:rowOff>158175</xdr:rowOff>
    </xdr:to>
    <xdr:pic>
      <xdr:nvPicPr>
        <xdr:cNvPr id="40" name="Grafik 39" descr="Österreich Flagge Aufkleber - TenStickers">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135896" y="381000"/>
          <a:ext cx="216000" cy="1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1</xdr:row>
          <xdr:rowOff>22860</xdr:rowOff>
        </xdr:from>
        <xdr:to>
          <xdr:col>6</xdr:col>
          <xdr:colOff>609600</xdr:colOff>
          <xdr:row>1</xdr:row>
          <xdr:rowOff>175260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662940</xdr:colOff>
          <xdr:row>9</xdr:row>
          <xdr:rowOff>0</xdr:rowOff>
        </xdr:to>
        <xdr:sp macro="" textlink="">
          <xdr:nvSpPr>
            <xdr:cNvPr id="72705" name="Group Box 1" hidden="1">
              <a:extLst>
                <a:ext uri="{63B3BB69-23CF-44E3-9099-C40C66FF867C}">
                  <a14:compatExt spid="_x0000_s72705"/>
                </a:ext>
                <a:ext uri="{FF2B5EF4-FFF2-40B4-BE49-F238E27FC236}">
                  <a16:creationId xmlns:a16="http://schemas.microsoft.com/office/drawing/2014/main" id="{00000000-0008-0000-0900-000001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8</xdr:col>
          <xdr:colOff>914400</xdr:colOff>
          <xdr:row>22</xdr:row>
          <xdr:rowOff>45720</xdr:rowOff>
        </xdr:to>
        <xdr:sp macro="" textlink="">
          <xdr:nvSpPr>
            <xdr:cNvPr id="72706" name="Group Box 2" hidden="1">
              <a:extLst>
                <a:ext uri="{63B3BB69-23CF-44E3-9099-C40C66FF867C}">
                  <a14:compatExt spid="_x0000_s72706"/>
                </a:ext>
                <a:ext uri="{FF2B5EF4-FFF2-40B4-BE49-F238E27FC236}">
                  <a16:creationId xmlns:a16="http://schemas.microsoft.com/office/drawing/2014/main" id="{00000000-0008-0000-0900-000002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662940</xdr:colOff>
          <xdr:row>13</xdr:row>
          <xdr:rowOff>0</xdr:rowOff>
        </xdr:to>
        <xdr:sp macro="" textlink="">
          <xdr:nvSpPr>
            <xdr:cNvPr id="72707" name="Group Box 3" hidden="1">
              <a:extLst>
                <a:ext uri="{63B3BB69-23CF-44E3-9099-C40C66FF867C}">
                  <a14:compatExt spid="_x0000_s72707"/>
                </a:ext>
                <a:ext uri="{FF2B5EF4-FFF2-40B4-BE49-F238E27FC236}">
                  <a16:creationId xmlns:a16="http://schemas.microsoft.com/office/drawing/2014/main" id="{00000000-0008-0000-0900-00000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563880</xdr:colOff>
          <xdr:row>8</xdr:row>
          <xdr:rowOff>45720</xdr:rowOff>
        </xdr:from>
        <xdr:to>
          <xdr:col>11</xdr:col>
          <xdr:colOff>327660</xdr:colOff>
          <xdr:row>9</xdr:row>
          <xdr:rowOff>7620</xdr:rowOff>
        </xdr:to>
        <xdr:sp macro="" textlink="">
          <xdr:nvSpPr>
            <xdr:cNvPr id="72708" name="Option Button 4" hidden="1">
              <a:extLst>
                <a:ext uri="{63B3BB69-23CF-44E3-9099-C40C66FF867C}">
                  <a14:compatExt spid="_x0000_s72708"/>
                </a:ext>
                <a:ext uri="{FF2B5EF4-FFF2-40B4-BE49-F238E27FC236}">
                  <a16:creationId xmlns:a16="http://schemas.microsoft.com/office/drawing/2014/main" id="{00000000-0008-0000-0900-000004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72709" name="Option Button 5" hidden="1">
              <a:extLst>
                <a:ext uri="{63B3BB69-23CF-44E3-9099-C40C66FF867C}">
                  <a14:compatExt spid="_x0000_s72709"/>
                </a:ext>
                <a:ext uri="{FF2B5EF4-FFF2-40B4-BE49-F238E27FC236}">
                  <a16:creationId xmlns:a16="http://schemas.microsoft.com/office/drawing/2014/main" id="{00000000-0008-0000-0900-000005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72710" name="Option Button 6" hidden="1">
              <a:extLst>
                <a:ext uri="{63B3BB69-23CF-44E3-9099-C40C66FF867C}">
                  <a14:compatExt spid="_x0000_s72710"/>
                </a:ext>
                <a:ext uri="{FF2B5EF4-FFF2-40B4-BE49-F238E27FC236}">
                  <a16:creationId xmlns:a16="http://schemas.microsoft.com/office/drawing/2014/main" id="{00000000-0008-0000-0900-00000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72711" name="Option Button 7" hidden="1">
              <a:extLst>
                <a:ext uri="{63B3BB69-23CF-44E3-9099-C40C66FF867C}">
                  <a14:compatExt spid="_x0000_s72711"/>
                </a:ext>
                <a:ext uri="{FF2B5EF4-FFF2-40B4-BE49-F238E27FC236}">
                  <a16:creationId xmlns:a16="http://schemas.microsoft.com/office/drawing/2014/main" id="{00000000-0008-0000-0900-00000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30</xdr:row>
      <xdr:rowOff>60237</xdr:rowOff>
    </xdr:from>
    <xdr:to>
      <xdr:col>2</xdr:col>
      <xdr:colOff>566148</xdr:colOff>
      <xdr:row>30</xdr:row>
      <xdr:rowOff>360533</xdr:rowOff>
    </xdr:to>
    <xdr:pic>
      <xdr:nvPicPr>
        <xdr:cNvPr id="27" name="Grafik 7">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06526" y="665153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32</xdr:row>
      <xdr:rowOff>56284</xdr:rowOff>
    </xdr:from>
    <xdr:to>
      <xdr:col>2</xdr:col>
      <xdr:colOff>538873</xdr:colOff>
      <xdr:row>32</xdr:row>
      <xdr:rowOff>356755</xdr:rowOff>
    </xdr:to>
    <xdr:pic>
      <xdr:nvPicPr>
        <xdr:cNvPr id="28" name="Grafik 8">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33</xdr:row>
      <xdr:rowOff>67542</xdr:rowOff>
    </xdr:from>
    <xdr:to>
      <xdr:col>2</xdr:col>
      <xdr:colOff>544698</xdr:colOff>
      <xdr:row>33</xdr:row>
      <xdr:rowOff>355023</xdr:rowOff>
    </xdr:to>
    <xdr:pic>
      <xdr:nvPicPr>
        <xdr:cNvPr id="29" name="Grafik 9">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34</xdr:row>
      <xdr:rowOff>60616</xdr:rowOff>
    </xdr:from>
    <xdr:to>
      <xdr:col>2</xdr:col>
      <xdr:colOff>511503</xdr:colOff>
      <xdr:row>34</xdr:row>
      <xdr:rowOff>363684</xdr:rowOff>
    </xdr:to>
    <xdr:pic>
      <xdr:nvPicPr>
        <xdr:cNvPr id="30" name="Grafik 10">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35</xdr:row>
      <xdr:rowOff>58882</xdr:rowOff>
    </xdr:from>
    <xdr:to>
      <xdr:col>2</xdr:col>
      <xdr:colOff>559175</xdr:colOff>
      <xdr:row>35</xdr:row>
      <xdr:rowOff>359353</xdr:rowOff>
    </xdr:to>
    <xdr:pic>
      <xdr:nvPicPr>
        <xdr:cNvPr id="31" name="Grafik 11">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37</xdr:row>
      <xdr:rowOff>65809</xdr:rowOff>
    </xdr:from>
    <xdr:to>
      <xdr:col>2</xdr:col>
      <xdr:colOff>592559</xdr:colOff>
      <xdr:row>37</xdr:row>
      <xdr:rowOff>354698</xdr:rowOff>
    </xdr:to>
    <xdr:pic>
      <xdr:nvPicPr>
        <xdr:cNvPr id="32" name="Grafik 12">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36</xdr:row>
      <xdr:rowOff>73603</xdr:rowOff>
    </xdr:from>
    <xdr:to>
      <xdr:col>2</xdr:col>
      <xdr:colOff>598187</xdr:colOff>
      <xdr:row>36</xdr:row>
      <xdr:rowOff>340303</xdr:rowOff>
    </xdr:to>
    <xdr:pic>
      <xdr:nvPicPr>
        <xdr:cNvPr id="33" name="Grafik 147">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38</xdr:row>
      <xdr:rowOff>68037</xdr:rowOff>
    </xdr:from>
    <xdr:to>
      <xdr:col>2</xdr:col>
      <xdr:colOff>652769</xdr:colOff>
      <xdr:row>38</xdr:row>
      <xdr:rowOff>350385</xdr:rowOff>
    </xdr:to>
    <xdr:pic>
      <xdr:nvPicPr>
        <xdr:cNvPr id="34" name="Grafik 13">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19905" y="9459687"/>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40</xdr:row>
      <xdr:rowOff>61232</xdr:rowOff>
    </xdr:from>
    <xdr:to>
      <xdr:col>2</xdr:col>
      <xdr:colOff>645727</xdr:colOff>
      <xdr:row>40</xdr:row>
      <xdr:rowOff>357187</xdr:rowOff>
    </xdr:to>
    <xdr:pic>
      <xdr:nvPicPr>
        <xdr:cNvPr id="35" name="Grafik 123">
          <a:extLst>
            <a:ext uri="{FF2B5EF4-FFF2-40B4-BE49-F238E27FC236}">
              <a16:creationId xmlns:a16="http://schemas.microsoft.com/office/drawing/2014/main" id="{00000000-0008-0000-0900-00002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41</xdr:row>
      <xdr:rowOff>64635</xdr:rowOff>
    </xdr:from>
    <xdr:to>
      <xdr:col>2</xdr:col>
      <xdr:colOff>648874</xdr:colOff>
      <xdr:row>41</xdr:row>
      <xdr:rowOff>356081</xdr:rowOff>
    </xdr:to>
    <xdr:pic>
      <xdr:nvPicPr>
        <xdr:cNvPr id="36" name="Grafik 122">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42</xdr:row>
      <xdr:rowOff>64635</xdr:rowOff>
    </xdr:from>
    <xdr:to>
      <xdr:col>2</xdr:col>
      <xdr:colOff>510402</xdr:colOff>
      <xdr:row>42</xdr:row>
      <xdr:rowOff>357188</xdr:rowOff>
    </xdr:to>
    <xdr:pic>
      <xdr:nvPicPr>
        <xdr:cNvPr id="37" name="Grafik 16">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43</xdr:row>
      <xdr:rowOff>64635</xdr:rowOff>
    </xdr:from>
    <xdr:to>
      <xdr:col>2</xdr:col>
      <xdr:colOff>541552</xdr:colOff>
      <xdr:row>43</xdr:row>
      <xdr:rowOff>360589</xdr:rowOff>
    </xdr:to>
    <xdr:pic>
      <xdr:nvPicPr>
        <xdr:cNvPr id="38" name="Grafik 17">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45</xdr:row>
          <xdr:rowOff>68580</xdr:rowOff>
        </xdr:from>
        <xdr:to>
          <xdr:col>2</xdr:col>
          <xdr:colOff>601980</xdr:colOff>
          <xdr:row>45</xdr:row>
          <xdr:rowOff>350520</xdr:rowOff>
        </xdr:to>
        <xdr:sp macro="" textlink="">
          <xdr:nvSpPr>
            <xdr:cNvPr id="72721" name="Object 17" hidden="1">
              <a:extLst>
                <a:ext uri="{63B3BB69-23CF-44E3-9099-C40C66FF867C}">
                  <a14:compatExt spid="_x0000_s72721"/>
                </a:ext>
                <a:ext uri="{FF2B5EF4-FFF2-40B4-BE49-F238E27FC236}">
                  <a16:creationId xmlns:a16="http://schemas.microsoft.com/office/drawing/2014/main" id="{00000000-0008-0000-0900-000011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46</xdr:row>
      <xdr:rowOff>69583</xdr:rowOff>
    </xdr:from>
    <xdr:to>
      <xdr:col>2</xdr:col>
      <xdr:colOff>567051</xdr:colOff>
      <xdr:row>46</xdr:row>
      <xdr:rowOff>350384</xdr:rowOff>
    </xdr:to>
    <xdr:pic>
      <xdr:nvPicPr>
        <xdr:cNvPr id="41" name="Grafik 20">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508255" y="1266163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48</xdr:row>
      <xdr:rowOff>69584</xdr:rowOff>
    </xdr:from>
    <xdr:to>
      <xdr:col>2</xdr:col>
      <xdr:colOff>515424</xdr:colOff>
      <xdr:row>48</xdr:row>
      <xdr:rowOff>357188</xdr:rowOff>
    </xdr:to>
    <xdr:pic>
      <xdr:nvPicPr>
        <xdr:cNvPr id="42" name="Grafik 21">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26768" t="10905" r="26917" b="6537"/>
        <a:stretch>
          <a:fillRect/>
        </a:stretch>
      </xdr:blipFill>
      <xdr:spPr bwMode="auto">
        <a:xfrm>
          <a:off x="1559883" y="1306168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49</xdr:row>
      <xdr:rowOff>68037</xdr:rowOff>
    </xdr:from>
    <xdr:to>
      <xdr:col>2</xdr:col>
      <xdr:colOff>507315</xdr:colOff>
      <xdr:row>49</xdr:row>
      <xdr:rowOff>358104</xdr:rowOff>
    </xdr:to>
    <xdr:pic>
      <xdr:nvPicPr>
        <xdr:cNvPr id="43" name="Grafik 22">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2575" r="26430" b="4977"/>
        <a:stretch>
          <a:fillRect/>
        </a:stretch>
      </xdr:blipFill>
      <xdr:spPr bwMode="auto">
        <a:xfrm>
          <a:off x="1567992" y="1346018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50</xdr:row>
      <xdr:rowOff>68037</xdr:rowOff>
    </xdr:from>
    <xdr:to>
      <xdr:col>2</xdr:col>
      <xdr:colOff>585556</xdr:colOff>
      <xdr:row>50</xdr:row>
      <xdr:rowOff>350607</xdr:rowOff>
    </xdr:to>
    <xdr:pic>
      <xdr:nvPicPr>
        <xdr:cNvPr id="44" name="Grafik 23">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13504" t="7817" r="17844" b="4201"/>
        <a:stretch>
          <a:fillRect/>
        </a:stretch>
      </xdr:blipFill>
      <xdr:spPr bwMode="auto">
        <a:xfrm>
          <a:off x="1489751" y="1386023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51</xdr:row>
      <xdr:rowOff>68037</xdr:rowOff>
    </xdr:from>
    <xdr:to>
      <xdr:col>2</xdr:col>
      <xdr:colOff>674002</xdr:colOff>
      <xdr:row>51</xdr:row>
      <xdr:rowOff>356222</xdr:rowOff>
    </xdr:to>
    <xdr:pic>
      <xdr:nvPicPr>
        <xdr:cNvPr id="45" name="Grafik 124">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401304" y="1506038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52</xdr:row>
      <xdr:rowOff>64635</xdr:rowOff>
    </xdr:from>
    <xdr:to>
      <xdr:col>2</xdr:col>
      <xdr:colOff>678307</xdr:colOff>
      <xdr:row>52</xdr:row>
      <xdr:rowOff>357187</xdr:rowOff>
    </xdr:to>
    <xdr:pic>
      <xdr:nvPicPr>
        <xdr:cNvPr id="46" name="Grafik 128">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396999" y="1545703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53</xdr:row>
      <xdr:rowOff>64635</xdr:rowOff>
    </xdr:from>
    <xdr:to>
      <xdr:col>2</xdr:col>
      <xdr:colOff>498413</xdr:colOff>
      <xdr:row>53</xdr:row>
      <xdr:rowOff>360590</xdr:rowOff>
    </xdr:to>
    <xdr:pic>
      <xdr:nvPicPr>
        <xdr:cNvPr id="47" name="Grafik 25">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27779" t="3114" r="29077" b="7933"/>
        <a:stretch>
          <a:fillRect/>
        </a:stretch>
      </xdr:blipFill>
      <xdr:spPr bwMode="auto">
        <a:xfrm>
          <a:off x="1576894" y="1585708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54</xdr:row>
      <xdr:rowOff>64635</xdr:rowOff>
    </xdr:from>
    <xdr:to>
      <xdr:col>2</xdr:col>
      <xdr:colOff>616688</xdr:colOff>
      <xdr:row>54</xdr:row>
      <xdr:rowOff>357188</xdr:rowOff>
    </xdr:to>
    <xdr:pic>
      <xdr:nvPicPr>
        <xdr:cNvPr id="48" name="Grafik 26">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58618" y="1625713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55</xdr:row>
      <xdr:rowOff>64635</xdr:rowOff>
    </xdr:from>
    <xdr:to>
      <xdr:col>2</xdr:col>
      <xdr:colOff>699623</xdr:colOff>
      <xdr:row>55</xdr:row>
      <xdr:rowOff>350384</xdr:rowOff>
    </xdr:to>
    <xdr:pic>
      <xdr:nvPicPr>
        <xdr:cNvPr id="49" name="Grafik 27">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16109" t="23206" r="15656" b="9187"/>
        <a:stretch>
          <a:fillRect/>
        </a:stretch>
      </xdr:blipFill>
      <xdr:spPr bwMode="auto">
        <a:xfrm>
          <a:off x="1375683" y="1665718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56</xdr:row>
      <xdr:rowOff>64635</xdr:rowOff>
    </xdr:from>
    <xdr:to>
      <xdr:col>2</xdr:col>
      <xdr:colOff>534565</xdr:colOff>
      <xdr:row>56</xdr:row>
      <xdr:rowOff>360590</xdr:rowOff>
    </xdr:to>
    <xdr:pic>
      <xdr:nvPicPr>
        <xdr:cNvPr id="50" name="Grafik 28">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399" r="22188" b="7098"/>
        <a:stretch>
          <a:fillRect/>
        </a:stretch>
      </xdr:blipFill>
      <xdr:spPr bwMode="auto">
        <a:xfrm>
          <a:off x="1540741" y="1705723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57</xdr:row>
      <xdr:rowOff>66180</xdr:rowOff>
    </xdr:from>
    <xdr:to>
      <xdr:col>2</xdr:col>
      <xdr:colOff>534529</xdr:colOff>
      <xdr:row>57</xdr:row>
      <xdr:rowOff>360911</xdr:rowOff>
    </xdr:to>
    <xdr:pic>
      <xdr:nvPicPr>
        <xdr:cNvPr id="51" name="Grafik 29">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28322" t="11278" r="19684" b="9023"/>
        <a:stretch>
          <a:fillRect/>
        </a:stretch>
      </xdr:blipFill>
      <xdr:spPr bwMode="auto">
        <a:xfrm>
          <a:off x="1540778" y="1745883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58</xdr:row>
      <xdr:rowOff>66181</xdr:rowOff>
    </xdr:from>
    <xdr:to>
      <xdr:col>2</xdr:col>
      <xdr:colOff>597462</xdr:colOff>
      <xdr:row>58</xdr:row>
      <xdr:rowOff>356492</xdr:rowOff>
    </xdr:to>
    <xdr:pic>
      <xdr:nvPicPr>
        <xdr:cNvPr id="52" name="Grafik 30">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5411" b="15266"/>
        <a:stretch>
          <a:fillRect/>
        </a:stretch>
      </xdr:blipFill>
      <xdr:spPr bwMode="auto">
        <a:xfrm>
          <a:off x="1477845" y="1785888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59</xdr:row>
      <xdr:rowOff>64635</xdr:rowOff>
    </xdr:from>
    <xdr:to>
      <xdr:col>2</xdr:col>
      <xdr:colOff>587257</xdr:colOff>
      <xdr:row>59</xdr:row>
      <xdr:rowOff>359256</xdr:rowOff>
    </xdr:to>
    <xdr:pic>
      <xdr:nvPicPr>
        <xdr:cNvPr id="54" name="Grafik 6">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88050" y="1865743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60</xdr:row>
      <xdr:rowOff>64635</xdr:rowOff>
    </xdr:from>
    <xdr:to>
      <xdr:col>2</xdr:col>
      <xdr:colOff>599503</xdr:colOff>
      <xdr:row>60</xdr:row>
      <xdr:rowOff>359910</xdr:rowOff>
    </xdr:to>
    <xdr:pic>
      <xdr:nvPicPr>
        <xdr:cNvPr id="55" name="Grafik 135">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1664" t="16180" r="16446" b="17677"/>
        <a:stretch>
          <a:fillRect/>
        </a:stretch>
      </xdr:blipFill>
      <xdr:spPr bwMode="auto">
        <a:xfrm>
          <a:off x="1475803" y="1905748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64</xdr:row>
      <xdr:rowOff>64635</xdr:rowOff>
    </xdr:from>
    <xdr:to>
      <xdr:col>2</xdr:col>
      <xdr:colOff>632223</xdr:colOff>
      <xdr:row>64</xdr:row>
      <xdr:rowOff>357187</xdr:rowOff>
    </xdr:to>
    <xdr:pic>
      <xdr:nvPicPr>
        <xdr:cNvPr id="57" name="Grafik 35">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65</xdr:row>
      <xdr:rowOff>64635</xdr:rowOff>
    </xdr:from>
    <xdr:to>
      <xdr:col>2</xdr:col>
      <xdr:colOff>633569</xdr:colOff>
      <xdr:row>65</xdr:row>
      <xdr:rowOff>360589</xdr:rowOff>
    </xdr:to>
    <xdr:pic>
      <xdr:nvPicPr>
        <xdr:cNvPr id="58" name="Grafik 38">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66</xdr:row>
      <xdr:rowOff>64635</xdr:rowOff>
    </xdr:from>
    <xdr:to>
      <xdr:col>2</xdr:col>
      <xdr:colOff>487754</xdr:colOff>
      <xdr:row>66</xdr:row>
      <xdr:rowOff>353786</xdr:rowOff>
    </xdr:to>
    <xdr:pic>
      <xdr:nvPicPr>
        <xdr:cNvPr id="59" name="Grafik 39">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70</xdr:row>
      <xdr:rowOff>66180</xdr:rowOff>
    </xdr:from>
    <xdr:to>
      <xdr:col>2</xdr:col>
      <xdr:colOff>500728</xdr:colOff>
      <xdr:row>70</xdr:row>
      <xdr:rowOff>357188</xdr:rowOff>
    </xdr:to>
    <xdr:pic>
      <xdr:nvPicPr>
        <xdr:cNvPr id="61" name="Grafik 41">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24969" t="2814" r="25528"/>
        <a:stretch>
          <a:fillRect/>
        </a:stretch>
      </xdr:blipFill>
      <xdr:spPr bwMode="auto">
        <a:xfrm>
          <a:off x="1574578" y="230595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71</xdr:row>
      <xdr:rowOff>66181</xdr:rowOff>
    </xdr:from>
    <xdr:to>
      <xdr:col>2</xdr:col>
      <xdr:colOff>500447</xdr:colOff>
      <xdr:row>71</xdr:row>
      <xdr:rowOff>353785</xdr:rowOff>
    </xdr:to>
    <xdr:pic>
      <xdr:nvPicPr>
        <xdr:cNvPr id="62" name="Grafik 42">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27586" t="3592" r="28188" b="9271"/>
        <a:stretch>
          <a:fillRect/>
        </a:stretch>
      </xdr:blipFill>
      <xdr:spPr bwMode="auto">
        <a:xfrm>
          <a:off x="1574860" y="234595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72</xdr:row>
      <xdr:rowOff>66183</xdr:rowOff>
    </xdr:from>
    <xdr:to>
      <xdr:col>2</xdr:col>
      <xdr:colOff>507412</xdr:colOff>
      <xdr:row>72</xdr:row>
      <xdr:rowOff>360591</xdr:rowOff>
    </xdr:to>
    <xdr:pic>
      <xdr:nvPicPr>
        <xdr:cNvPr id="63" name="Grafik 43">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18970" t="7681" r="33746" b="11191"/>
        <a:stretch>
          <a:fillRect/>
        </a:stretch>
      </xdr:blipFill>
      <xdr:spPr bwMode="auto">
        <a:xfrm>
          <a:off x="1567895" y="238596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73</xdr:row>
      <xdr:rowOff>64636</xdr:rowOff>
    </xdr:from>
    <xdr:to>
      <xdr:col>2</xdr:col>
      <xdr:colOff>474310</xdr:colOff>
      <xdr:row>73</xdr:row>
      <xdr:rowOff>360590</xdr:rowOff>
    </xdr:to>
    <xdr:pic>
      <xdr:nvPicPr>
        <xdr:cNvPr id="64" name="Grafik 44">
          <a:extLst>
            <a:ext uri="{FF2B5EF4-FFF2-40B4-BE49-F238E27FC236}">
              <a16:creationId xmlns:a16="http://schemas.microsoft.com/office/drawing/2014/main" id="{00000000-0008-0000-0900-00004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34373" t="6560" r="32944" b="5733"/>
        <a:stretch>
          <a:fillRect/>
        </a:stretch>
      </xdr:blipFill>
      <xdr:spPr bwMode="auto">
        <a:xfrm>
          <a:off x="1600996" y="242581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75</xdr:row>
      <xdr:rowOff>88731</xdr:rowOff>
    </xdr:from>
    <xdr:to>
      <xdr:col>2</xdr:col>
      <xdr:colOff>570673</xdr:colOff>
      <xdr:row>75</xdr:row>
      <xdr:rowOff>329690</xdr:rowOff>
    </xdr:to>
    <xdr:pic>
      <xdr:nvPicPr>
        <xdr:cNvPr id="65" name="Grafik 46">
          <a:extLst>
            <a:ext uri="{FF2B5EF4-FFF2-40B4-BE49-F238E27FC236}">
              <a16:creationId xmlns:a16="http://schemas.microsoft.com/office/drawing/2014/main" id="{00000000-0008-0000-0900-000041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509116" y="24282231"/>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76</xdr:row>
      <xdr:rowOff>64635</xdr:rowOff>
    </xdr:from>
    <xdr:to>
      <xdr:col>2</xdr:col>
      <xdr:colOff>497853</xdr:colOff>
      <xdr:row>76</xdr:row>
      <xdr:rowOff>353786</xdr:rowOff>
    </xdr:to>
    <xdr:pic>
      <xdr:nvPicPr>
        <xdr:cNvPr id="66" name="Grafik 47">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l="20462" t="6029" r="38539" b="9200"/>
        <a:stretch>
          <a:fillRect/>
        </a:stretch>
      </xdr:blipFill>
      <xdr:spPr bwMode="auto">
        <a:xfrm>
          <a:off x="1577454" y="2505823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78</xdr:row>
      <xdr:rowOff>64635</xdr:rowOff>
    </xdr:from>
    <xdr:to>
      <xdr:col>2</xdr:col>
      <xdr:colOff>482327</xdr:colOff>
      <xdr:row>78</xdr:row>
      <xdr:rowOff>357187</xdr:rowOff>
    </xdr:to>
    <xdr:pic>
      <xdr:nvPicPr>
        <xdr:cNvPr id="67" name="Grafik 48">
          <a:extLst>
            <a:ext uri="{FF2B5EF4-FFF2-40B4-BE49-F238E27FC236}">
              <a16:creationId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40997" t="2327" r="23866" b="9785"/>
        <a:stretch>
          <a:fillRect/>
        </a:stretch>
      </xdr:blipFill>
      <xdr:spPr bwMode="auto">
        <a:xfrm>
          <a:off x="1592980" y="258583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79</xdr:row>
      <xdr:rowOff>64635</xdr:rowOff>
    </xdr:from>
    <xdr:to>
      <xdr:col>2</xdr:col>
      <xdr:colOff>585555</xdr:colOff>
      <xdr:row>79</xdr:row>
      <xdr:rowOff>358738</xdr:rowOff>
    </xdr:to>
    <xdr:pic>
      <xdr:nvPicPr>
        <xdr:cNvPr id="68" name="Grafik 19">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489751" y="262583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80</xdr:row>
      <xdr:rowOff>88449</xdr:rowOff>
    </xdr:from>
    <xdr:to>
      <xdr:col>2</xdr:col>
      <xdr:colOff>551878</xdr:colOff>
      <xdr:row>80</xdr:row>
      <xdr:rowOff>326574</xdr:rowOff>
    </xdr:to>
    <xdr:pic>
      <xdr:nvPicPr>
        <xdr:cNvPr id="69" name="Grafik 49">
          <a:extLst>
            <a:ext uri="{FF2B5EF4-FFF2-40B4-BE49-F238E27FC236}">
              <a16:creationId xmlns:a16="http://schemas.microsoft.com/office/drawing/2014/main" id="{00000000-0008-0000-0900-00004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l="25175" t="22807" r="20856" b="5193"/>
        <a:stretch>
          <a:fillRect/>
        </a:stretch>
      </xdr:blipFill>
      <xdr:spPr bwMode="auto">
        <a:xfrm>
          <a:off x="1523428" y="266822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81</xdr:row>
      <xdr:rowOff>64635</xdr:rowOff>
    </xdr:from>
    <xdr:to>
      <xdr:col>2</xdr:col>
      <xdr:colOff>476699</xdr:colOff>
      <xdr:row>81</xdr:row>
      <xdr:rowOff>360707</xdr:rowOff>
    </xdr:to>
    <xdr:pic>
      <xdr:nvPicPr>
        <xdr:cNvPr id="70" name="Grafik 50">
          <a:extLst>
            <a:ext uri="{FF2B5EF4-FFF2-40B4-BE49-F238E27FC236}">
              <a16:creationId xmlns:a16="http://schemas.microsoft.com/office/drawing/2014/main" id="{00000000-0008-0000-0900-00004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l="29245" r="32980"/>
        <a:stretch>
          <a:fillRect/>
        </a:stretch>
      </xdr:blipFill>
      <xdr:spPr bwMode="auto">
        <a:xfrm>
          <a:off x="1598608" y="270584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86</xdr:row>
      <xdr:rowOff>66182</xdr:rowOff>
    </xdr:from>
    <xdr:to>
      <xdr:col>2</xdr:col>
      <xdr:colOff>563444</xdr:colOff>
      <xdr:row>86</xdr:row>
      <xdr:rowOff>358338</xdr:rowOff>
    </xdr:to>
    <xdr:pic>
      <xdr:nvPicPr>
        <xdr:cNvPr id="72" name="Grafik 52">
          <a:extLst>
            <a:ext uri="{FF2B5EF4-FFF2-40B4-BE49-F238E27FC236}">
              <a16:creationId xmlns:a16="http://schemas.microsoft.com/office/drawing/2014/main" id="{00000000-0008-0000-0900-000048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19099" t="21667" r="31839" b="15466"/>
        <a:stretch>
          <a:fillRect/>
        </a:stretch>
      </xdr:blipFill>
      <xdr:spPr bwMode="auto">
        <a:xfrm>
          <a:off x="1511862" y="2826018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87</xdr:row>
      <xdr:rowOff>64635</xdr:rowOff>
    </xdr:from>
    <xdr:to>
      <xdr:col>2</xdr:col>
      <xdr:colOff>551538</xdr:colOff>
      <xdr:row>87</xdr:row>
      <xdr:rowOff>361600</xdr:rowOff>
    </xdr:to>
    <xdr:pic>
      <xdr:nvPicPr>
        <xdr:cNvPr id="74" name="Grafik 54">
          <a:extLst>
            <a:ext uri="{FF2B5EF4-FFF2-40B4-BE49-F238E27FC236}">
              <a16:creationId xmlns:a16="http://schemas.microsoft.com/office/drawing/2014/main" id="{00000000-0008-0000-0900-00004A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20901" t="4411" r="21758" b="13615"/>
        <a:stretch>
          <a:fillRect/>
        </a:stretch>
      </xdr:blipFill>
      <xdr:spPr bwMode="auto">
        <a:xfrm>
          <a:off x="1523769" y="2905873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89</xdr:row>
      <xdr:rowOff>64634</xdr:rowOff>
    </xdr:from>
    <xdr:to>
      <xdr:col>2</xdr:col>
      <xdr:colOff>544574</xdr:colOff>
      <xdr:row>89</xdr:row>
      <xdr:rowOff>357188</xdr:rowOff>
    </xdr:to>
    <xdr:pic>
      <xdr:nvPicPr>
        <xdr:cNvPr id="75" name="Grafik 171">
          <a:extLst>
            <a:ext uri="{FF2B5EF4-FFF2-40B4-BE49-F238E27FC236}">
              <a16:creationId xmlns:a16="http://schemas.microsoft.com/office/drawing/2014/main" id="{00000000-0008-0000-0900-00004B000000}"/>
            </a:ext>
          </a:extLst>
        </xdr:cNvPr>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26962" t="11852" r="19055" b="12289"/>
        <a:stretch/>
      </xdr:blipFill>
      <xdr:spPr bwMode="auto">
        <a:xfrm>
          <a:off x="1561132" y="298588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92</xdr:row>
      <xdr:rowOff>64635</xdr:rowOff>
    </xdr:from>
    <xdr:to>
      <xdr:col>2</xdr:col>
      <xdr:colOff>640756</xdr:colOff>
      <xdr:row>92</xdr:row>
      <xdr:rowOff>360590</xdr:rowOff>
    </xdr:to>
    <xdr:pic>
      <xdr:nvPicPr>
        <xdr:cNvPr id="79" name="Grafik 58">
          <a:extLst>
            <a:ext uri="{FF2B5EF4-FFF2-40B4-BE49-F238E27FC236}">
              <a16:creationId xmlns:a16="http://schemas.microsoft.com/office/drawing/2014/main" id="{00000000-0008-0000-0900-00004F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6664" t="4916" r="3174" b="4167"/>
        <a:stretch>
          <a:fillRect/>
        </a:stretch>
      </xdr:blipFill>
      <xdr:spPr bwMode="auto">
        <a:xfrm>
          <a:off x="1434551" y="314590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93</xdr:row>
          <xdr:rowOff>68580</xdr:rowOff>
        </xdr:from>
        <xdr:to>
          <xdr:col>2</xdr:col>
          <xdr:colOff>601980</xdr:colOff>
          <xdr:row>93</xdr:row>
          <xdr:rowOff>350520</xdr:rowOff>
        </xdr:to>
        <xdr:sp macro="" textlink="">
          <xdr:nvSpPr>
            <xdr:cNvPr id="72722" name="Object 18" hidden="1">
              <a:extLst>
                <a:ext uri="{63B3BB69-23CF-44E3-9099-C40C66FF867C}">
                  <a14:compatExt spid="_x0000_s72722"/>
                </a:ext>
                <a:ext uri="{FF2B5EF4-FFF2-40B4-BE49-F238E27FC236}">
                  <a16:creationId xmlns:a16="http://schemas.microsoft.com/office/drawing/2014/main" id="{00000000-0008-0000-0900-000012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94</xdr:row>
      <xdr:rowOff>64635</xdr:rowOff>
    </xdr:from>
    <xdr:to>
      <xdr:col>2</xdr:col>
      <xdr:colOff>565761</xdr:colOff>
      <xdr:row>94</xdr:row>
      <xdr:rowOff>352901</xdr:rowOff>
    </xdr:to>
    <xdr:pic>
      <xdr:nvPicPr>
        <xdr:cNvPr id="81" name="Grafik 60">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l="13971" t="7262" r="13695" b="2553"/>
        <a:stretch>
          <a:fillRect/>
        </a:stretch>
      </xdr:blipFill>
      <xdr:spPr bwMode="auto">
        <a:xfrm>
          <a:off x="1509546" y="322591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95</xdr:row>
      <xdr:rowOff>64635</xdr:rowOff>
    </xdr:from>
    <xdr:to>
      <xdr:col>2</xdr:col>
      <xdr:colOff>585808</xdr:colOff>
      <xdr:row>95</xdr:row>
      <xdr:rowOff>350384</xdr:rowOff>
    </xdr:to>
    <xdr:pic>
      <xdr:nvPicPr>
        <xdr:cNvPr id="82" name="Grafik 61">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l="16917" t="8696" r="12199" b="12032"/>
        <a:stretch>
          <a:fillRect/>
        </a:stretch>
      </xdr:blipFill>
      <xdr:spPr bwMode="auto">
        <a:xfrm>
          <a:off x="1489499" y="326591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96</xdr:row>
      <xdr:rowOff>64635</xdr:rowOff>
    </xdr:from>
    <xdr:to>
      <xdr:col>2</xdr:col>
      <xdr:colOff>561743</xdr:colOff>
      <xdr:row>96</xdr:row>
      <xdr:rowOff>352408</xdr:rowOff>
    </xdr:to>
    <xdr:pic>
      <xdr:nvPicPr>
        <xdr:cNvPr id="83" name="Grafik 62">
          <a:extLst>
            <a:ext uri="{FF2B5EF4-FFF2-40B4-BE49-F238E27FC236}">
              <a16:creationId xmlns:a16="http://schemas.microsoft.com/office/drawing/2014/main" id="{00000000-0008-0000-0900-000053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21242" t="18465" r="20113" b="6117"/>
        <a:stretch>
          <a:fillRect/>
        </a:stretch>
      </xdr:blipFill>
      <xdr:spPr bwMode="auto">
        <a:xfrm>
          <a:off x="1513563" y="330592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100</xdr:row>
      <xdr:rowOff>64635</xdr:rowOff>
    </xdr:from>
    <xdr:to>
      <xdr:col>2</xdr:col>
      <xdr:colOff>677404</xdr:colOff>
      <xdr:row>100</xdr:row>
      <xdr:rowOff>352085</xdr:rowOff>
    </xdr:to>
    <xdr:pic>
      <xdr:nvPicPr>
        <xdr:cNvPr id="84" name="Grafik 63">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l="4597" t="10809" r="2196" b="12961"/>
        <a:stretch>
          <a:fillRect/>
        </a:stretch>
      </xdr:blipFill>
      <xdr:spPr bwMode="auto">
        <a:xfrm>
          <a:off x="1397903" y="334592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12</xdr:col>
          <xdr:colOff>678180</xdr:colOff>
          <xdr:row>22</xdr:row>
          <xdr:rowOff>30480</xdr:rowOff>
        </xdr:to>
        <xdr:sp macro="" textlink="">
          <xdr:nvSpPr>
            <xdr:cNvPr id="72723" name="Group Box 19" hidden="1">
              <a:extLst>
                <a:ext uri="{63B3BB69-23CF-44E3-9099-C40C66FF867C}">
                  <a14:compatExt spid="_x0000_s72723"/>
                </a:ext>
                <a:ext uri="{FF2B5EF4-FFF2-40B4-BE49-F238E27FC236}">
                  <a16:creationId xmlns:a16="http://schemas.microsoft.com/office/drawing/2014/main" id="{00000000-0008-0000-0900-00001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14</xdr:row>
          <xdr:rowOff>0</xdr:rowOff>
        </xdr:from>
        <xdr:to>
          <xdr:col>12</xdr:col>
          <xdr:colOff>678180</xdr:colOff>
          <xdr:row>18</xdr:row>
          <xdr:rowOff>0</xdr:rowOff>
        </xdr:to>
        <xdr:sp macro="" textlink="">
          <xdr:nvSpPr>
            <xdr:cNvPr id="72725" name="Group Box 21" hidden="1">
              <a:extLst>
                <a:ext uri="{63B3BB69-23CF-44E3-9099-C40C66FF867C}">
                  <a14:compatExt spid="_x0000_s72725"/>
                </a:ext>
                <a:ext uri="{FF2B5EF4-FFF2-40B4-BE49-F238E27FC236}">
                  <a16:creationId xmlns:a16="http://schemas.microsoft.com/office/drawing/2014/main" id="{00000000-0008-0000-0900-00001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15</xdr:row>
          <xdr:rowOff>30480</xdr:rowOff>
        </xdr:from>
        <xdr:to>
          <xdr:col>11</xdr:col>
          <xdr:colOff>563880</xdr:colOff>
          <xdr:row>15</xdr:row>
          <xdr:rowOff>190500</xdr:rowOff>
        </xdr:to>
        <xdr:sp macro="" textlink="">
          <xdr:nvSpPr>
            <xdr:cNvPr id="72726" name="Option Button 22" hidden="1">
              <a:extLst>
                <a:ext uri="{63B3BB69-23CF-44E3-9099-C40C66FF867C}">
                  <a14:compatExt spid="_x0000_s72726"/>
                </a:ext>
                <a:ext uri="{FF2B5EF4-FFF2-40B4-BE49-F238E27FC236}">
                  <a16:creationId xmlns:a16="http://schemas.microsoft.com/office/drawing/2014/main" id="{00000000-0008-0000-0900-00001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16</xdr:row>
          <xdr:rowOff>30480</xdr:rowOff>
        </xdr:from>
        <xdr:to>
          <xdr:col>11</xdr:col>
          <xdr:colOff>563880</xdr:colOff>
          <xdr:row>16</xdr:row>
          <xdr:rowOff>190500</xdr:rowOff>
        </xdr:to>
        <xdr:sp macro="" textlink="">
          <xdr:nvSpPr>
            <xdr:cNvPr id="72728" name="Option Button 24" hidden="1">
              <a:extLst>
                <a:ext uri="{63B3BB69-23CF-44E3-9099-C40C66FF867C}">
                  <a14:compatExt spid="_x0000_s72728"/>
                </a:ext>
                <a:ext uri="{FF2B5EF4-FFF2-40B4-BE49-F238E27FC236}">
                  <a16:creationId xmlns:a16="http://schemas.microsoft.com/office/drawing/2014/main" id="{00000000-0008-0000-0900-00001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17</xdr:row>
          <xdr:rowOff>30480</xdr:rowOff>
        </xdr:from>
        <xdr:to>
          <xdr:col>11</xdr:col>
          <xdr:colOff>525780</xdr:colOff>
          <xdr:row>17</xdr:row>
          <xdr:rowOff>190500</xdr:rowOff>
        </xdr:to>
        <xdr:sp macro="" textlink="">
          <xdr:nvSpPr>
            <xdr:cNvPr id="72730" name="Option Button 26" hidden="1">
              <a:extLst>
                <a:ext uri="{63B3BB69-23CF-44E3-9099-C40C66FF867C}">
                  <a14:compatExt spid="_x0000_s72730"/>
                </a:ext>
                <a:ext uri="{FF2B5EF4-FFF2-40B4-BE49-F238E27FC236}">
                  <a16:creationId xmlns:a16="http://schemas.microsoft.com/office/drawing/2014/main" id="{00000000-0008-0000-0900-00001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731520</xdr:colOff>
          <xdr:row>15</xdr:row>
          <xdr:rowOff>30480</xdr:rowOff>
        </xdr:from>
        <xdr:to>
          <xdr:col>12</xdr:col>
          <xdr:colOff>457200</xdr:colOff>
          <xdr:row>16</xdr:row>
          <xdr:rowOff>30480</xdr:rowOff>
        </xdr:to>
        <xdr:sp macro="" textlink="">
          <xdr:nvSpPr>
            <xdr:cNvPr id="72732" name="Option Button 28" hidden="1">
              <a:extLst>
                <a:ext uri="{63B3BB69-23CF-44E3-9099-C40C66FF867C}">
                  <a14:compatExt spid="_x0000_s72732"/>
                </a:ext>
                <a:ext uri="{FF2B5EF4-FFF2-40B4-BE49-F238E27FC236}">
                  <a16:creationId xmlns:a16="http://schemas.microsoft.com/office/drawing/2014/main" id="{00000000-0008-0000-0900-00001C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44</xdr:row>
      <xdr:rowOff>70450</xdr:rowOff>
    </xdr:from>
    <xdr:to>
      <xdr:col>2</xdr:col>
      <xdr:colOff>645534</xdr:colOff>
      <xdr:row>44</xdr:row>
      <xdr:rowOff>332836</xdr:rowOff>
    </xdr:to>
    <xdr:pic>
      <xdr:nvPicPr>
        <xdr:cNvPr id="100" name="Grafik 3">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l="26704" t="5402" r="1610" b="10881"/>
        <a:stretch>
          <a:fillRect/>
        </a:stretch>
      </xdr:blipFill>
      <xdr:spPr bwMode="auto">
        <a:xfrm>
          <a:off x="1393346" y="118624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72735" name="Option Button 31" hidden="1">
              <a:extLst>
                <a:ext uri="{63B3BB69-23CF-44E3-9099-C40C66FF867C}">
                  <a14:compatExt spid="_x0000_s72735"/>
                </a:ext>
                <a:ext uri="{FF2B5EF4-FFF2-40B4-BE49-F238E27FC236}">
                  <a16:creationId xmlns:a16="http://schemas.microsoft.com/office/drawing/2014/main" id="{00000000-0008-0000-0900-00001F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556260</xdr:colOff>
          <xdr:row>12</xdr:row>
          <xdr:rowOff>30480</xdr:rowOff>
        </xdr:from>
        <xdr:to>
          <xdr:col>11</xdr:col>
          <xdr:colOff>594360</xdr:colOff>
          <xdr:row>12</xdr:row>
          <xdr:rowOff>190500</xdr:rowOff>
        </xdr:to>
        <xdr:sp macro="" textlink="">
          <xdr:nvSpPr>
            <xdr:cNvPr id="72736" name="Option Button 32" hidden="1">
              <a:extLst>
                <a:ext uri="{63B3BB69-23CF-44E3-9099-C40C66FF867C}">
                  <a14:compatExt spid="_x0000_s72736"/>
                </a:ext>
                <a:ext uri="{FF2B5EF4-FFF2-40B4-BE49-F238E27FC236}">
                  <a16:creationId xmlns:a16="http://schemas.microsoft.com/office/drawing/2014/main" id="{00000000-0008-0000-0900-000020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77</xdr:row>
      <xdr:rowOff>32426</xdr:rowOff>
    </xdr:from>
    <xdr:to>
      <xdr:col>2</xdr:col>
      <xdr:colOff>507607</xdr:colOff>
      <xdr:row>77</xdr:row>
      <xdr:rowOff>364769</xdr:rowOff>
    </xdr:to>
    <xdr:pic>
      <xdr:nvPicPr>
        <xdr:cNvPr id="103" name="Grafik 48">
          <a:extLst>
            <a:ext uri="{FF2B5EF4-FFF2-40B4-BE49-F238E27FC236}">
              <a16:creationId xmlns:a16="http://schemas.microsoft.com/office/drawing/2014/main" id="{00000000-0008-0000-0900-000067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8358" r="28359"/>
        <a:stretch/>
      </xdr:blipFill>
      <xdr:spPr bwMode="auto">
        <a:xfrm>
          <a:off x="1587231" y="25426076"/>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88</xdr:row>
      <xdr:rowOff>36047</xdr:rowOff>
    </xdr:from>
    <xdr:to>
      <xdr:col>2</xdr:col>
      <xdr:colOff>551268</xdr:colOff>
      <xdr:row>88</xdr:row>
      <xdr:rowOff>368011</xdr:rowOff>
    </xdr:to>
    <xdr:pic>
      <xdr:nvPicPr>
        <xdr:cNvPr id="104" name="Grafik 54">
          <a:extLst>
            <a:ext uri="{FF2B5EF4-FFF2-40B4-BE49-F238E27FC236}">
              <a16:creationId xmlns:a16="http://schemas.microsoft.com/office/drawing/2014/main" id="{00000000-0008-0000-0900-00006800000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29582" t="14686" r="13469" b="1"/>
        <a:stretch/>
      </xdr:blipFill>
      <xdr:spPr bwMode="auto">
        <a:xfrm>
          <a:off x="1551204" y="29430197"/>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61</xdr:row>
      <xdr:rowOff>64635</xdr:rowOff>
    </xdr:from>
    <xdr:to>
      <xdr:col>2</xdr:col>
      <xdr:colOff>629329</xdr:colOff>
      <xdr:row>61</xdr:row>
      <xdr:rowOff>360590</xdr:rowOff>
    </xdr:to>
    <xdr:pic>
      <xdr:nvPicPr>
        <xdr:cNvPr id="105" name="Grafik 148">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63</xdr:row>
      <xdr:rowOff>30307</xdr:rowOff>
    </xdr:from>
    <xdr:to>
      <xdr:col>2</xdr:col>
      <xdr:colOff>644695</xdr:colOff>
      <xdr:row>63</xdr:row>
      <xdr:rowOff>355023</xdr:rowOff>
    </xdr:to>
    <xdr:pic>
      <xdr:nvPicPr>
        <xdr:cNvPr id="106" name="Grafik 105">
          <a:extLst>
            <a:ext uri="{FF2B5EF4-FFF2-40B4-BE49-F238E27FC236}">
              <a16:creationId xmlns:a16="http://schemas.microsoft.com/office/drawing/2014/main" id="{00000000-0008-0000-0900-00006A000000}"/>
            </a:ext>
          </a:extLst>
        </xdr:cNvPr>
        <xdr:cNvPicPr>
          <a:picLocks noChangeAspect="1"/>
        </xdr:cNvPicPr>
      </xdr:nvPicPr>
      <xdr:blipFill>
        <a:blip xmlns:r="http://schemas.openxmlformats.org/officeDocument/2006/relationships" r:embed="rId50"/>
        <a:stretch>
          <a:fillRect/>
        </a:stretch>
      </xdr:blipFill>
      <xdr:spPr>
        <a:xfrm>
          <a:off x="1427609" y="20223307"/>
          <a:ext cx="512486" cy="324716"/>
        </a:xfrm>
        <a:prstGeom prst="rect">
          <a:avLst/>
        </a:prstGeom>
      </xdr:spPr>
    </xdr:pic>
    <xdr:clientData/>
  </xdr:twoCellAnchor>
  <xdr:twoCellAnchor>
    <xdr:from>
      <xdr:col>2</xdr:col>
      <xdr:colOff>181573</xdr:colOff>
      <xdr:row>68</xdr:row>
      <xdr:rowOff>33138</xdr:rowOff>
    </xdr:from>
    <xdr:to>
      <xdr:col>2</xdr:col>
      <xdr:colOff>559149</xdr:colOff>
      <xdr:row>68</xdr:row>
      <xdr:rowOff>376670</xdr:rowOff>
    </xdr:to>
    <xdr:pic>
      <xdr:nvPicPr>
        <xdr:cNvPr id="107" name="Grafik 106">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51"/>
        <a:stretch>
          <a:fillRect/>
        </a:stretch>
      </xdr:blipFill>
      <xdr:spPr>
        <a:xfrm>
          <a:off x="1476973" y="22226388"/>
          <a:ext cx="377576" cy="343532"/>
        </a:xfrm>
        <a:prstGeom prst="rect">
          <a:avLst/>
        </a:prstGeom>
      </xdr:spPr>
    </xdr:pic>
    <xdr:clientData/>
  </xdr:twoCellAnchor>
  <xdr:twoCellAnchor>
    <xdr:from>
      <xdr:col>2</xdr:col>
      <xdr:colOff>228108</xdr:colOff>
      <xdr:row>69</xdr:row>
      <xdr:rowOff>38965</xdr:rowOff>
    </xdr:from>
    <xdr:to>
      <xdr:col>2</xdr:col>
      <xdr:colOff>559068</xdr:colOff>
      <xdr:row>69</xdr:row>
      <xdr:rowOff>372341</xdr:rowOff>
    </xdr:to>
    <xdr:pic>
      <xdr:nvPicPr>
        <xdr:cNvPr id="108" name="Grafik 107">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52"/>
        <a:stretch>
          <a:fillRect/>
        </a:stretch>
      </xdr:blipFill>
      <xdr:spPr>
        <a:xfrm>
          <a:off x="1523508" y="22632265"/>
          <a:ext cx="330960" cy="333376"/>
        </a:xfrm>
        <a:prstGeom prst="rect">
          <a:avLst/>
        </a:prstGeom>
      </xdr:spPr>
    </xdr:pic>
    <xdr:clientData/>
  </xdr:twoCellAnchor>
  <xdr:twoCellAnchor>
    <xdr:from>
      <xdr:col>2</xdr:col>
      <xdr:colOff>287092</xdr:colOff>
      <xdr:row>84</xdr:row>
      <xdr:rowOff>11414</xdr:rowOff>
    </xdr:from>
    <xdr:to>
      <xdr:col>2</xdr:col>
      <xdr:colOff>525888</xdr:colOff>
      <xdr:row>84</xdr:row>
      <xdr:rowOff>388310</xdr:rowOff>
    </xdr:to>
    <xdr:pic>
      <xdr:nvPicPr>
        <xdr:cNvPr id="109" name="Grafik 52">
          <a:extLst>
            <a:ext uri="{FF2B5EF4-FFF2-40B4-BE49-F238E27FC236}">
              <a16:creationId xmlns:a16="http://schemas.microsoft.com/office/drawing/2014/main" id="{00000000-0008-0000-0900-00006D000000}"/>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34274" r="22423" b="8872"/>
        <a:stretch/>
      </xdr:blipFill>
      <xdr:spPr bwMode="auto">
        <a:xfrm>
          <a:off x="1582492" y="27805364"/>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104</xdr:row>
      <xdr:rowOff>21479</xdr:rowOff>
    </xdr:from>
    <xdr:to>
      <xdr:col>2</xdr:col>
      <xdr:colOff>655545</xdr:colOff>
      <xdr:row>104</xdr:row>
      <xdr:rowOff>372597</xdr:rowOff>
    </xdr:to>
    <xdr:pic>
      <xdr:nvPicPr>
        <xdr:cNvPr id="110" name="Grafik 109">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54"/>
        <a:stretch>
          <a:fillRect/>
        </a:stretch>
      </xdr:blipFill>
      <xdr:spPr>
        <a:xfrm>
          <a:off x="1424268" y="34616279"/>
          <a:ext cx="526677" cy="351118"/>
        </a:xfrm>
        <a:prstGeom prst="rect">
          <a:avLst/>
        </a:prstGeom>
      </xdr:spPr>
    </xdr:pic>
    <xdr:clientData/>
  </xdr:twoCellAnchor>
  <xdr:twoCellAnchor>
    <xdr:from>
      <xdr:col>2</xdr:col>
      <xdr:colOff>164124</xdr:colOff>
      <xdr:row>105</xdr:row>
      <xdr:rowOff>17586</xdr:rowOff>
    </xdr:from>
    <xdr:to>
      <xdr:col>2</xdr:col>
      <xdr:colOff>630222</xdr:colOff>
      <xdr:row>105</xdr:row>
      <xdr:rowOff>386862</xdr:rowOff>
    </xdr:to>
    <xdr:pic>
      <xdr:nvPicPr>
        <xdr:cNvPr id="111" name="Grafik 110">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55"/>
        <a:stretch>
          <a:fillRect/>
        </a:stretch>
      </xdr:blipFill>
      <xdr:spPr>
        <a:xfrm>
          <a:off x="1459524" y="35012436"/>
          <a:ext cx="466098" cy="369276"/>
        </a:xfrm>
        <a:prstGeom prst="rect">
          <a:avLst/>
        </a:prstGeom>
      </xdr:spPr>
    </xdr:pic>
    <xdr:clientData/>
  </xdr:twoCellAnchor>
  <xdr:twoCellAnchor>
    <xdr:from>
      <xdr:col>2</xdr:col>
      <xdr:colOff>158124</xdr:colOff>
      <xdr:row>39</xdr:row>
      <xdr:rowOff>79243</xdr:rowOff>
    </xdr:from>
    <xdr:to>
      <xdr:col>2</xdr:col>
      <xdr:colOff>579324</xdr:colOff>
      <xdr:row>39</xdr:row>
      <xdr:rowOff>360043</xdr:rowOff>
    </xdr:to>
    <xdr:pic>
      <xdr:nvPicPr>
        <xdr:cNvPr id="92" name="Grafik 91">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458006" y="8382802"/>
          <a:ext cx="421200" cy="280800"/>
        </a:xfrm>
        <a:prstGeom prst="rect">
          <a:avLst/>
        </a:prstGeom>
      </xdr:spPr>
    </xdr:pic>
    <xdr:clientData/>
  </xdr:twoCellAnchor>
  <xdr:twoCellAnchor>
    <xdr:from>
      <xdr:col>2</xdr:col>
      <xdr:colOff>302560</xdr:colOff>
      <xdr:row>74</xdr:row>
      <xdr:rowOff>67235</xdr:rowOff>
    </xdr:from>
    <xdr:to>
      <xdr:col>2</xdr:col>
      <xdr:colOff>437728</xdr:colOff>
      <xdr:row>74</xdr:row>
      <xdr:rowOff>362435</xdr:rowOff>
    </xdr:to>
    <xdr:pic>
      <xdr:nvPicPr>
        <xdr:cNvPr id="93" name="Grafik 92">
          <a:extLst>
            <a:ext uri="{FF2B5EF4-FFF2-40B4-BE49-F238E27FC236}">
              <a16:creationId xmlns:a16="http://schemas.microsoft.com/office/drawing/2014/main" id="{00000000-0008-0000-0900-00005D000000}"/>
            </a:ext>
          </a:extLst>
        </xdr:cNvPr>
        <xdr:cNvPicPr>
          <a:picLocks noChangeAspect="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34425" r="35049"/>
        <a:stretch/>
      </xdr:blipFill>
      <xdr:spPr>
        <a:xfrm>
          <a:off x="1602442" y="22490206"/>
          <a:ext cx="135168" cy="295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662940</xdr:colOff>
          <xdr:row>11</xdr:row>
          <xdr:rowOff>0</xdr:rowOff>
        </xdr:to>
        <xdr:sp macro="" textlink="">
          <xdr:nvSpPr>
            <xdr:cNvPr id="72741" name="Group Box 37" hidden="1">
              <a:extLst>
                <a:ext uri="{63B3BB69-23CF-44E3-9099-C40C66FF867C}">
                  <a14:compatExt spid="_x0000_s72741"/>
                </a:ext>
                <a:ext uri="{FF2B5EF4-FFF2-40B4-BE49-F238E27FC236}">
                  <a16:creationId xmlns:a16="http://schemas.microsoft.com/office/drawing/2014/main" id="{00000000-0008-0000-0900-00002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2742" name="Option Button 38" hidden="1">
              <a:extLst>
                <a:ext uri="{63B3BB69-23CF-44E3-9099-C40C66FF867C}">
                  <a14:compatExt spid="_x0000_s72742"/>
                </a:ext>
                <a:ext uri="{FF2B5EF4-FFF2-40B4-BE49-F238E27FC236}">
                  <a16:creationId xmlns:a16="http://schemas.microsoft.com/office/drawing/2014/main" id="{00000000-0008-0000-0900-00002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10</xdr:row>
          <xdr:rowOff>38100</xdr:rowOff>
        </xdr:from>
        <xdr:to>
          <xdr:col>11</xdr:col>
          <xdr:colOff>304800</xdr:colOff>
          <xdr:row>10</xdr:row>
          <xdr:rowOff>190500</xdr:rowOff>
        </xdr:to>
        <xdr:sp macro="" textlink="">
          <xdr:nvSpPr>
            <xdr:cNvPr id="72743" name="Option Button 39" hidden="1">
              <a:extLst>
                <a:ext uri="{63B3BB69-23CF-44E3-9099-C40C66FF867C}">
                  <a14:compatExt spid="_x0000_s72743"/>
                </a:ext>
                <a:ext uri="{FF2B5EF4-FFF2-40B4-BE49-F238E27FC236}">
                  <a16:creationId xmlns:a16="http://schemas.microsoft.com/office/drawing/2014/main" id="{00000000-0008-0000-0900-00002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137541</xdr:colOff>
      <xdr:row>90</xdr:row>
      <xdr:rowOff>125867</xdr:rowOff>
    </xdr:from>
    <xdr:to>
      <xdr:col>2</xdr:col>
      <xdr:colOff>642366</xdr:colOff>
      <xdr:row>90</xdr:row>
      <xdr:rowOff>278267</xdr:rowOff>
    </xdr:to>
    <xdr:pic>
      <xdr:nvPicPr>
        <xdr:cNvPr id="96" name="Grafik 166">
          <a:extLst>
            <a:ext uri="{FF2B5EF4-FFF2-40B4-BE49-F238E27FC236}">
              <a16:creationId xmlns:a16="http://schemas.microsoft.com/office/drawing/2014/main" id="{00000000-0008-0000-0900-000060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l="27518" t="31212" r="23257" b="45096"/>
        <a:stretch>
          <a:fillRect/>
        </a:stretch>
      </xdr:blipFill>
      <xdr:spPr bwMode="auto">
        <a:xfrm>
          <a:off x="1432941" y="3191079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91</xdr:row>
      <xdr:rowOff>64635</xdr:rowOff>
    </xdr:from>
    <xdr:to>
      <xdr:col>2</xdr:col>
      <xdr:colOff>689991</xdr:colOff>
      <xdr:row>91</xdr:row>
      <xdr:rowOff>340860</xdr:rowOff>
    </xdr:to>
    <xdr:pic>
      <xdr:nvPicPr>
        <xdr:cNvPr id="97" name="Grafik 56">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l="10638" t="23158" r="9213" b="18840"/>
        <a:stretch>
          <a:fillRect/>
        </a:stretch>
      </xdr:blipFill>
      <xdr:spPr bwMode="auto">
        <a:xfrm>
          <a:off x="1385316" y="32249610"/>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599679</xdr:colOff>
      <xdr:row>4</xdr:row>
      <xdr:rowOff>120499</xdr:rowOff>
    </xdr:to>
    <xdr:pic>
      <xdr:nvPicPr>
        <xdr:cNvPr id="101" name="Grafik 4">
          <a:extLst>
            <a:ext uri="{FF2B5EF4-FFF2-40B4-BE49-F238E27FC236}">
              <a16:creationId xmlns:a16="http://schemas.microsoft.com/office/drawing/2014/main" id="{00000000-0008-0000-0900-000065000000}"/>
            </a:ext>
          </a:extLst>
        </xdr:cNvPr>
        <xdr:cNvPicPr>
          <a:picLocks/>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bwMode="auto">
        <a:xfrm>
          <a:off x="0" y="0"/>
          <a:ext cx="1245202"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526910</xdr:colOff>
      <xdr:row>5</xdr:row>
      <xdr:rowOff>109183</xdr:rowOff>
    </xdr:to>
    <xdr:pic>
      <xdr:nvPicPr>
        <xdr:cNvPr id="102" name="Grafik 101">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081893" y="0"/>
          <a:ext cx="2154052" cy="1436968"/>
        </a:xfrm>
        <a:prstGeom prst="rect">
          <a:avLst/>
        </a:prstGeom>
      </xdr:spPr>
    </xdr:pic>
    <xdr:clientData/>
  </xdr:twoCellAnchor>
  <xdr:twoCellAnchor>
    <xdr:from>
      <xdr:col>2</xdr:col>
      <xdr:colOff>190500</xdr:colOff>
      <xdr:row>31</xdr:row>
      <xdr:rowOff>67235</xdr:rowOff>
    </xdr:from>
    <xdr:to>
      <xdr:col>2</xdr:col>
      <xdr:colOff>545522</xdr:colOff>
      <xdr:row>31</xdr:row>
      <xdr:rowOff>367531</xdr:rowOff>
    </xdr:to>
    <xdr:pic>
      <xdr:nvPicPr>
        <xdr:cNvPr id="99" name="Grafik 7">
          <a:extLst>
            <a:ext uri="{FF2B5EF4-FFF2-40B4-BE49-F238E27FC236}">
              <a16:creationId xmlns:a16="http://schemas.microsoft.com/office/drawing/2014/main" id="{00000000-0008-0000-09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90382" y="6914029"/>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145676</xdr:colOff>
      <xdr:row>47</xdr:row>
      <xdr:rowOff>78441</xdr:rowOff>
    </xdr:from>
    <xdr:to>
      <xdr:col>2</xdr:col>
      <xdr:colOff>499872</xdr:colOff>
      <xdr:row>47</xdr:row>
      <xdr:rowOff>359242</xdr:rowOff>
    </xdr:to>
    <xdr:pic>
      <xdr:nvPicPr>
        <xdr:cNvPr id="112" name="Grafik 20">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445558" y="1337982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72744" name="Option Button 40" hidden="1">
              <a:extLst>
                <a:ext uri="{63B3BB69-23CF-44E3-9099-C40C66FF867C}">
                  <a14:compatExt spid="_x0000_s72744"/>
                </a:ext>
                <a:ext uri="{FF2B5EF4-FFF2-40B4-BE49-F238E27FC236}">
                  <a16:creationId xmlns:a16="http://schemas.microsoft.com/office/drawing/2014/main" id="{00000000-0008-0000-0900-00002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72745" name="Option Button 41" hidden="1">
              <a:extLst>
                <a:ext uri="{63B3BB69-23CF-44E3-9099-C40C66FF867C}">
                  <a14:compatExt spid="_x0000_s72745"/>
                </a:ext>
                <a:ext uri="{FF2B5EF4-FFF2-40B4-BE49-F238E27FC236}">
                  <a16:creationId xmlns:a16="http://schemas.microsoft.com/office/drawing/2014/main" id="{00000000-0008-0000-0900-000029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22860</xdr:rowOff>
        </xdr:from>
        <xdr:to>
          <xdr:col>7</xdr:col>
          <xdr:colOff>182880</xdr:colOff>
          <xdr:row>20</xdr:row>
          <xdr:rowOff>182880</xdr:rowOff>
        </xdr:to>
        <xdr:sp macro="" textlink="">
          <xdr:nvSpPr>
            <xdr:cNvPr id="72746" name="Option Button 42" hidden="1">
              <a:extLst>
                <a:ext uri="{63B3BB69-23CF-44E3-9099-C40C66FF867C}">
                  <a14:compatExt spid="_x0000_s72746"/>
                </a:ext>
                <a:ext uri="{FF2B5EF4-FFF2-40B4-BE49-F238E27FC236}">
                  <a16:creationId xmlns:a16="http://schemas.microsoft.com/office/drawing/2014/main" id="{00000000-0008-0000-0900-00002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30480</xdr:rowOff>
        </xdr:from>
        <xdr:to>
          <xdr:col>7</xdr:col>
          <xdr:colOff>182880</xdr:colOff>
          <xdr:row>22</xdr:row>
          <xdr:rowOff>0</xdr:rowOff>
        </xdr:to>
        <xdr:sp macro="" textlink="">
          <xdr:nvSpPr>
            <xdr:cNvPr id="72747" name="Option Button 43" hidden="1">
              <a:extLst>
                <a:ext uri="{63B3BB69-23CF-44E3-9099-C40C66FF867C}">
                  <a14:compatExt spid="_x0000_s72747"/>
                </a:ext>
                <a:ext uri="{FF2B5EF4-FFF2-40B4-BE49-F238E27FC236}">
                  <a16:creationId xmlns:a16="http://schemas.microsoft.com/office/drawing/2014/main" id="{00000000-0008-0000-0900-00002B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180975</xdr:colOff>
      <xdr:row>85</xdr:row>
      <xdr:rowOff>28575</xdr:rowOff>
    </xdr:from>
    <xdr:to>
      <xdr:col>2</xdr:col>
      <xdr:colOff>541378</xdr:colOff>
      <xdr:row>85</xdr:row>
      <xdr:rowOff>388978</xdr:rowOff>
    </xdr:to>
    <xdr:pic>
      <xdr:nvPicPr>
        <xdr:cNvPr id="113" name="Grafik 52">
          <a:extLst>
            <a:ext uri="{FF2B5EF4-FFF2-40B4-BE49-F238E27FC236}">
              <a16:creationId xmlns:a16="http://schemas.microsoft.com/office/drawing/2014/main" id="{00000000-0008-0000-0900-000071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bwMode="auto">
        <a:xfrm>
          <a:off x="1476375" y="28460700"/>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67</xdr:row>
      <xdr:rowOff>47625</xdr:rowOff>
    </xdr:from>
    <xdr:to>
      <xdr:col>2</xdr:col>
      <xdr:colOff>533363</xdr:colOff>
      <xdr:row>67</xdr:row>
      <xdr:rowOff>361911</xdr:rowOff>
    </xdr:to>
    <xdr:pic>
      <xdr:nvPicPr>
        <xdr:cNvPr id="114" name="Grafik 113">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63"/>
        <a:stretch>
          <a:fillRect/>
        </a:stretch>
      </xdr:blipFill>
      <xdr:spPr>
        <a:xfrm>
          <a:off x="1533525" y="23431500"/>
          <a:ext cx="295238" cy="314286"/>
        </a:xfrm>
        <a:prstGeom prst="rect">
          <a:avLst/>
        </a:prstGeom>
      </xdr:spPr>
    </xdr:pic>
    <xdr:clientData/>
  </xdr:twoCellAnchor>
  <xdr:twoCellAnchor>
    <xdr:from>
      <xdr:col>2</xdr:col>
      <xdr:colOff>200025</xdr:colOff>
      <xdr:row>83</xdr:row>
      <xdr:rowOff>19050</xdr:rowOff>
    </xdr:from>
    <xdr:to>
      <xdr:col>2</xdr:col>
      <xdr:colOff>581025</xdr:colOff>
      <xdr:row>83</xdr:row>
      <xdr:rowOff>394002</xdr:rowOff>
    </xdr:to>
    <xdr:pic>
      <xdr:nvPicPr>
        <xdr:cNvPr id="117" name="Grafik 116">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64"/>
        <a:stretch>
          <a:fillRect/>
        </a:stretch>
      </xdr:blipFill>
      <xdr:spPr>
        <a:xfrm>
          <a:off x="1495425" y="29803725"/>
          <a:ext cx="381000" cy="374952"/>
        </a:xfrm>
        <a:prstGeom prst="rect">
          <a:avLst/>
        </a:prstGeom>
      </xdr:spPr>
    </xdr:pic>
    <xdr:clientData/>
  </xdr:twoCellAnchor>
  <xdr:twoCellAnchor>
    <xdr:from>
      <xdr:col>2</xdr:col>
      <xdr:colOff>200025</xdr:colOff>
      <xdr:row>82</xdr:row>
      <xdr:rowOff>19050</xdr:rowOff>
    </xdr:from>
    <xdr:to>
      <xdr:col>2</xdr:col>
      <xdr:colOff>581025</xdr:colOff>
      <xdr:row>82</xdr:row>
      <xdr:rowOff>394002</xdr:rowOff>
    </xdr:to>
    <xdr:pic>
      <xdr:nvPicPr>
        <xdr:cNvPr id="118" name="Grafik 117">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64"/>
        <a:stretch>
          <a:fillRect/>
        </a:stretch>
      </xdr:blipFill>
      <xdr:spPr>
        <a:xfrm>
          <a:off x="1495425" y="27651075"/>
          <a:ext cx="381000" cy="374952"/>
        </a:xfrm>
        <a:prstGeom prst="rect">
          <a:avLst/>
        </a:prstGeom>
      </xdr:spPr>
    </xdr:pic>
    <xdr:clientData/>
  </xdr:twoCellAnchor>
  <xdr:twoCellAnchor>
    <xdr:from>
      <xdr:col>2</xdr:col>
      <xdr:colOff>119875</xdr:colOff>
      <xdr:row>101</xdr:row>
      <xdr:rowOff>27877</xdr:rowOff>
    </xdr:from>
    <xdr:to>
      <xdr:col>2</xdr:col>
      <xdr:colOff>678364</xdr:colOff>
      <xdr:row>101</xdr:row>
      <xdr:rowOff>373656</xdr:rowOff>
    </xdr:to>
    <xdr:pic>
      <xdr:nvPicPr>
        <xdr:cNvPr id="119" name="Grafik 118">
          <a:extLst>
            <a:ext uri="{FF2B5EF4-FFF2-40B4-BE49-F238E27FC236}">
              <a16:creationId xmlns:a16="http://schemas.microsoft.com/office/drawing/2014/main" id="{00000000-0008-0000-0900-000077000000}"/>
            </a:ext>
          </a:extLst>
        </xdr:cNvPr>
        <xdr:cNvPicPr>
          <a:picLocks noChangeAspect="1"/>
        </xdr:cNvPicPr>
      </xdr:nvPicPr>
      <xdr:blipFill rotWithShape="1">
        <a:blip xmlns:r="http://schemas.openxmlformats.org/officeDocument/2006/relationships" r:embed="rId65"/>
        <a:srcRect t="4886" b="13458"/>
        <a:stretch/>
      </xdr:blipFill>
      <xdr:spPr>
        <a:xfrm>
          <a:off x="1415275" y="37413502"/>
          <a:ext cx="558489" cy="345779"/>
        </a:xfrm>
        <a:prstGeom prst="rect">
          <a:avLst/>
        </a:prstGeom>
      </xdr:spPr>
    </xdr:pic>
    <xdr:clientData/>
  </xdr:twoCellAnchor>
  <xdr:twoCellAnchor>
    <xdr:from>
      <xdr:col>2</xdr:col>
      <xdr:colOff>274757</xdr:colOff>
      <xdr:row>103</xdr:row>
      <xdr:rowOff>18316</xdr:rowOff>
    </xdr:from>
    <xdr:to>
      <xdr:col>2</xdr:col>
      <xdr:colOff>532488</xdr:colOff>
      <xdr:row>103</xdr:row>
      <xdr:rowOff>373673</xdr:rowOff>
    </xdr:to>
    <xdr:pic>
      <xdr:nvPicPr>
        <xdr:cNvPr id="120" name="Grafik 119">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66"/>
        <a:stretch>
          <a:fillRect/>
        </a:stretch>
      </xdr:blipFill>
      <xdr:spPr>
        <a:xfrm>
          <a:off x="1570157" y="38204041"/>
          <a:ext cx="257731" cy="355357"/>
        </a:xfrm>
        <a:prstGeom prst="rect">
          <a:avLst/>
        </a:prstGeom>
      </xdr:spPr>
    </xdr:pic>
    <xdr:clientData/>
  </xdr:twoCellAnchor>
  <xdr:twoCellAnchor>
    <xdr:from>
      <xdr:col>2</xdr:col>
      <xdr:colOff>324580</xdr:colOff>
      <xdr:row>102</xdr:row>
      <xdr:rowOff>19366</xdr:rowOff>
    </xdr:from>
    <xdr:to>
      <xdr:col>2</xdr:col>
      <xdr:colOff>471118</xdr:colOff>
      <xdr:row>102</xdr:row>
      <xdr:rowOff>391991</xdr:rowOff>
    </xdr:to>
    <xdr:pic>
      <xdr:nvPicPr>
        <xdr:cNvPr id="121" name="Grafik 120">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67"/>
        <a:stretch>
          <a:fillRect/>
        </a:stretch>
      </xdr:blipFill>
      <xdr:spPr>
        <a:xfrm>
          <a:off x="1619980" y="35252341"/>
          <a:ext cx="146538" cy="372625"/>
        </a:xfrm>
        <a:prstGeom prst="rect">
          <a:avLst/>
        </a:prstGeom>
      </xdr:spPr>
    </xdr:pic>
    <xdr:clientData/>
  </xdr:twoCellAnchor>
  <xdr:twoCellAnchor>
    <xdr:from>
      <xdr:col>2</xdr:col>
      <xdr:colOff>304800</xdr:colOff>
      <xdr:row>98</xdr:row>
      <xdr:rowOff>19050</xdr:rowOff>
    </xdr:from>
    <xdr:to>
      <xdr:col>2</xdr:col>
      <xdr:colOff>428625</xdr:colOff>
      <xdr:row>98</xdr:row>
      <xdr:rowOff>381000</xdr:rowOff>
    </xdr:to>
    <xdr:pic>
      <xdr:nvPicPr>
        <xdr:cNvPr id="122" name="Grafik 121">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68"/>
        <a:stretch>
          <a:fillRect/>
        </a:stretch>
      </xdr:blipFill>
      <xdr:spPr>
        <a:xfrm>
          <a:off x="1600200" y="36204525"/>
          <a:ext cx="123825" cy="361950"/>
        </a:xfrm>
        <a:prstGeom prst="rect">
          <a:avLst/>
        </a:prstGeom>
      </xdr:spPr>
    </xdr:pic>
    <xdr:clientData/>
  </xdr:twoCellAnchor>
  <xdr:twoCellAnchor>
    <xdr:from>
      <xdr:col>2</xdr:col>
      <xdr:colOff>152985</xdr:colOff>
      <xdr:row>99</xdr:row>
      <xdr:rowOff>120153</xdr:rowOff>
    </xdr:from>
    <xdr:to>
      <xdr:col>2</xdr:col>
      <xdr:colOff>585430</xdr:colOff>
      <xdr:row>99</xdr:row>
      <xdr:rowOff>295579</xdr:rowOff>
    </xdr:to>
    <xdr:pic>
      <xdr:nvPicPr>
        <xdr:cNvPr id="123" name="Grafik 122">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69"/>
        <a:stretch>
          <a:fillRect/>
        </a:stretch>
      </xdr:blipFill>
      <xdr:spPr>
        <a:xfrm rot="4034817">
          <a:off x="1576895" y="36577168"/>
          <a:ext cx="175426" cy="4324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731520</xdr:colOff>
          <xdr:row>16</xdr:row>
          <xdr:rowOff>30480</xdr:rowOff>
        </xdr:from>
        <xdr:to>
          <xdr:col>12</xdr:col>
          <xdr:colOff>457200</xdr:colOff>
          <xdr:row>17</xdr:row>
          <xdr:rowOff>30480</xdr:rowOff>
        </xdr:to>
        <xdr:sp macro="" textlink="">
          <xdr:nvSpPr>
            <xdr:cNvPr id="72749" name="Option Button 45" hidden="1">
              <a:extLst>
                <a:ext uri="{63B3BB69-23CF-44E3-9099-C40C66FF867C}">
                  <a14:compatExt spid="_x0000_s72749"/>
                </a:ext>
                <a:ext uri="{FF2B5EF4-FFF2-40B4-BE49-F238E27FC236}">
                  <a16:creationId xmlns:a16="http://schemas.microsoft.com/office/drawing/2014/main" id="{00000000-0008-0000-0900-00002D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196745</xdr:colOff>
      <xdr:row>97</xdr:row>
      <xdr:rowOff>47624</xdr:rowOff>
    </xdr:from>
    <xdr:to>
      <xdr:col>2</xdr:col>
      <xdr:colOff>564911</xdr:colOff>
      <xdr:row>97</xdr:row>
      <xdr:rowOff>354805</xdr:rowOff>
    </xdr:to>
    <xdr:pic>
      <xdr:nvPicPr>
        <xdr:cNvPr id="2" name="Grafik 100">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62</xdr:row>
      <xdr:rowOff>57150</xdr:rowOff>
    </xdr:from>
    <xdr:to>
      <xdr:col>2</xdr:col>
      <xdr:colOff>622977</xdr:colOff>
      <xdr:row>62</xdr:row>
      <xdr:rowOff>354356</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71"/>
        <a:stretch>
          <a:fillRect/>
        </a:stretch>
      </xdr:blipFill>
      <xdr:spPr>
        <a:xfrm>
          <a:off x="1476375" y="19259550"/>
          <a:ext cx="480102" cy="2972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7620</xdr:colOff>
          <xdr:row>20</xdr:row>
          <xdr:rowOff>15240</xdr:rowOff>
        </xdr:from>
        <xdr:to>
          <xdr:col>11</xdr:col>
          <xdr:colOff>541020</xdr:colOff>
          <xdr:row>21</xdr:row>
          <xdr:rowOff>0</xdr:rowOff>
        </xdr:to>
        <xdr:sp macro="" textlink="">
          <xdr:nvSpPr>
            <xdr:cNvPr id="91438" name="Option Button 1326" hidden="1">
              <a:extLst>
                <a:ext uri="{63B3BB69-23CF-44E3-9099-C40C66FF867C}">
                  <a14:compatExt spid="_x0000_s91438"/>
                </a:ext>
                <a:ext uri="{FF2B5EF4-FFF2-40B4-BE49-F238E27FC236}">
                  <a16:creationId xmlns:a16="http://schemas.microsoft.com/office/drawing/2014/main" id="{00000000-0008-0000-0900-00002E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xdr:colOff>
          <xdr:row>21</xdr:row>
          <xdr:rowOff>15240</xdr:rowOff>
        </xdr:from>
        <xdr:to>
          <xdr:col>11</xdr:col>
          <xdr:colOff>548640</xdr:colOff>
          <xdr:row>22</xdr:row>
          <xdr:rowOff>0</xdr:rowOff>
        </xdr:to>
        <xdr:sp macro="" textlink="">
          <xdr:nvSpPr>
            <xdr:cNvPr id="91439" name="Option Button 1327" hidden="1">
              <a:extLst>
                <a:ext uri="{63B3BB69-23CF-44E3-9099-C40C66FF867C}">
                  <a14:compatExt spid="_x0000_s91439"/>
                </a:ext>
                <a:ext uri="{FF2B5EF4-FFF2-40B4-BE49-F238E27FC236}">
                  <a16:creationId xmlns:a16="http://schemas.microsoft.com/office/drawing/2014/main" id="{00000000-0008-0000-0900-00002F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723900</xdr:colOff>
          <xdr:row>20</xdr:row>
          <xdr:rowOff>22860</xdr:rowOff>
        </xdr:from>
        <xdr:to>
          <xdr:col>12</xdr:col>
          <xdr:colOff>320040</xdr:colOff>
          <xdr:row>21</xdr:row>
          <xdr:rowOff>7620</xdr:rowOff>
        </xdr:to>
        <xdr:sp macro="" textlink="">
          <xdr:nvSpPr>
            <xdr:cNvPr id="91440" name="Option Button 1328" hidden="1">
              <a:extLst>
                <a:ext uri="{63B3BB69-23CF-44E3-9099-C40C66FF867C}">
                  <a14:compatExt spid="_x0000_s91440"/>
                </a:ext>
                <a:ext uri="{FF2B5EF4-FFF2-40B4-BE49-F238E27FC236}">
                  <a16:creationId xmlns:a16="http://schemas.microsoft.com/office/drawing/2014/main" id="{00000000-0008-0000-0900-000030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716280</xdr:colOff>
          <xdr:row>21</xdr:row>
          <xdr:rowOff>15240</xdr:rowOff>
        </xdr:from>
        <xdr:to>
          <xdr:col>12</xdr:col>
          <xdr:colOff>312420</xdr:colOff>
          <xdr:row>22</xdr:row>
          <xdr:rowOff>0</xdr:rowOff>
        </xdr:to>
        <xdr:sp macro="" textlink="">
          <xdr:nvSpPr>
            <xdr:cNvPr id="91441" name="Option Button 1329" hidden="1">
              <a:extLst>
                <a:ext uri="{63B3BB69-23CF-44E3-9099-C40C66FF867C}">
                  <a14:compatExt spid="_x0000_s91441"/>
                </a:ext>
                <a:ext uri="{FF2B5EF4-FFF2-40B4-BE49-F238E27FC236}">
                  <a16:creationId xmlns:a16="http://schemas.microsoft.com/office/drawing/2014/main" id="{00000000-0008-0000-0900-000031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77825" name="Group Box 1" hidden="1">
              <a:extLst>
                <a:ext uri="{63B3BB69-23CF-44E3-9099-C40C66FF867C}">
                  <a14:compatExt spid="_x0000_s77825"/>
                </a:ext>
                <a:ext uri="{FF2B5EF4-FFF2-40B4-BE49-F238E27FC236}">
                  <a16:creationId xmlns:a16="http://schemas.microsoft.com/office/drawing/2014/main" id="{00000000-0008-0000-0B00-00000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20</xdr:row>
          <xdr:rowOff>0</xdr:rowOff>
        </xdr:to>
        <xdr:sp macro="" textlink="">
          <xdr:nvSpPr>
            <xdr:cNvPr id="77826" name="Group Box 2" hidden="1">
              <a:extLst>
                <a:ext uri="{63B3BB69-23CF-44E3-9099-C40C66FF867C}">
                  <a14:compatExt spid="_x0000_s77826"/>
                </a:ext>
                <a:ext uri="{FF2B5EF4-FFF2-40B4-BE49-F238E27FC236}">
                  <a16:creationId xmlns:a16="http://schemas.microsoft.com/office/drawing/2014/main" id="{00000000-0008-0000-0B00-000002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77827" name="Group Box 3" hidden="1">
              <a:extLst>
                <a:ext uri="{63B3BB69-23CF-44E3-9099-C40C66FF867C}">
                  <a14:compatExt spid="_x0000_s77827"/>
                </a:ext>
                <a:ext uri="{FF2B5EF4-FFF2-40B4-BE49-F238E27FC236}">
                  <a16:creationId xmlns:a16="http://schemas.microsoft.com/office/drawing/2014/main" id="{00000000-0008-0000-0B00-000003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77828" name="Option Button 4" hidden="1">
              <a:extLst>
                <a:ext uri="{63B3BB69-23CF-44E3-9099-C40C66FF867C}">
                  <a14:compatExt spid="_x0000_s77828"/>
                </a:ext>
                <a:ext uri="{FF2B5EF4-FFF2-40B4-BE49-F238E27FC236}">
                  <a16:creationId xmlns:a16="http://schemas.microsoft.com/office/drawing/2014/main" id="{00000000-0008-0000-0B00-000004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22860</xdr:rowOff>
        </xdr:from>
        <xdr:to>
          <xdr:col>7</xdr:col>
          <xdr:colOff>731520</xdr:colOff>
          <xdr:row>16</xdr:row>
          <xdr:rowOff>0</xdr:rowOff>
        </xdr:to>
        <xdr:sp macro="" textlink="">
          <xdr:nvSpPr>
            <xdr:cNvPr id="77829" name="Option Button 5" hidden="1">
              <a:extLst>
                <a:ext uri="{63B3BB69-23CF-44E3-9099-C40C66FF867C}">
                  <a14:compatExt spid="_x0000_s77829"/>
                </a:ext>
                <a:ext uri="{FF2B5EF4-FFF2-40B4-BE49-F238E27FC236}">
                  <a16:creationId xmlns:a16="http://schemas.microsoft.com/office/drawing/2014/main" id="{00000000-0008-0000-0B00-000005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22860</xdr:rowOff>
        </xdr:from>
        <xdr:to>
          <xdr:col>7</xdr:col>
          <xdr:colOff>731520</xdr:colOff>
          <xdr:row>17</xdr:row>
          <xdr:rowOff>0</xdr:rowOff>
        </xdr:to>
        <xdr:sp macro="" textlink="">
          <xdr:nvSpPr>
            <xdr:cNvPr id="77830" name="Option Button 6" hidden="1">
              <a:extLst>
                <a:ext uri="{63B3BB69-23CF-44E3-9099-C40C66FF867C}">
                  <a14:compatExt spid="_x0000_s77830"/>
                </a:ext>
                <a:ext uri="{FF2B5EF4-FFF2-40B4-BE49-F238E27FC236}">
                  <a16:creationId xmlns:a16="http://schemas.microsoft.com/office/drawing/2014/main" id="{00000000-0008-0000-0B00-000006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22860</xdr:rowOff>
        </xdr:from>
        <xdr:to>
          <xdr:col>7</xdr:col>
          <xdr:colOff>731520</xdr:colOff>
          <xdr:row>18</xdr:row>
          <xdr:rowOff>0</xdr:rowOff>
        </xdr:to>
        <xdr:sp macro="" textlink="">
          <xdr:nvSpPr>
            <xdr:cNvPr id="77831" name="Option Button 7" hidden="1">
              <a:extLst>
                <a:ext uri="{63B3BB69-23CF-44E3-9099-C40C66FF867C}">
                  <a14:compatExt spid="_x0000_s77831"/>
                </a:ext>
                <a:ext uri="{FF2B5EF4-FFF2-40B4-BE49-F238E27FC236}">
                  <a16:creationId xmlns:a16="http://schemas.microsoft.com/office/drawing/2014/main" id="{00000000-0008-0000-0B00-00000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19" name="Grafik 130">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20" name="Grafik 131">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21" name="Grafik 1">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22" name="Grafik 133">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23" name="Grafik 135">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24" name="Grafik 136">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41</xdr:row>
      <xdr:rowOff>62865</xdr:rowOff>
    </xdr:from>
    <xdr:to>
      <xdr:col>2</xdr:col>
      <xdr:colOff>464820</xdr:colOff>
      <xdr:row>41</xdr:row>
      <xdr:rowOff>360807</xdr:rowOff>
    </xdr:to>
    <xdr:pic>
      <xdr:nvPicPr>
        <xdr:cNvPr id="25" name="Grafik 137">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26" name="Grafik 138">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27" name="Grafik 139">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137160</xdr:colOff>
          <xdr:row>12</xdr:row>
          <xdr:rowOff>182880</xdr:rowOff>
        </xdr:to>
        <xdr:sp macro="" textlink="">
          <xdr:nvSpPr>
            <xdr:cNvPr id="77841" name="Option Button 17" hidden="1">
              <a:extLst>
                <a:ext uri="{63B3BB69-23CF-44E3-9099-C40C66FF867C}">
                  <a14:compatExt spid="_x0000_s77841"/>
                </a:ext>
                <a:ext uri="{FF2B5EF4-FFF2-40B4-BE49-F238E27FC236}">
                  <a16:creationId xmlns:a16="http://schemas.microsoft.com/office/drawing/2014/main" id="{00000000-0008-0000-0B00-000011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77842" name="Option Button 18" hidden="1">
              <a:extLst>
                <a:ext uri="{63B3BB69-23CF-44E3-9099-C40C66FF867C}">
                  <a14:compatExt spid="_x0000_s77842"/>
                </a:ext>
                <a:ext uri="{FF2B5EF4-FFF2-40B4-BE49-F238E27FC236}">
                  <a16:creationId xmlns:a16="http://schemas.microsoft.com/office/drawing/2014/main" id="{00000000-0008-0000-0B00-000012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42</xdr:row>
      <xdr:rowOff>38100</xdr:rowOff>
    </xdr:from>
    <xdr:to>
      <xdr:col>2</xdr:col>
      <xdr:colOff>587126</xdr:colOff>
      <xdr:row>42</xdr:row>
      <xdr:rowOff>381632</xdr:rowOff>
    </xdr:to>
    <xdr:pic>
      <xdr:nvPicPr>
        <xdr:cNvPr id="32" name="Grafik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54</xdr:row>
      <xdr:rowOff>64635</xdr:rowOff>
    </xdr:from>
    <xdr:to>
      <xdr:col>2</xdr:col>
      <xdr:colOff>632223</xdr:colOff>
      <xdr:row>54</xdr:row>
      <xdr:rowOff>357187</xdr:rowOff>
    </xdr:to>
    <xdr:pic>
      <xdr:nvPicPr>
        <xdr:cNvPr id="34" name="Grafik 35">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107326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55</xdr:row>
      <xdr:rowOff>64635</xdr:rowOff>
    </xdr:from>
    <xdr:to>
      <xdr:col>2</xdr:col>
      <xdr:colOff>633569</xdr:colOff>
      <xdr:row>55</xdr:row>
      <xdr:rowOff>360589</xdr:rowOff>
    </xdr:to>
    <xdr:pic>
      <xdr:nvPicPr>
        <xdr:cNvPr id="35" name="Grafik 38">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1113268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56</xdr:row>
      <xdr:rowOff>64635</xdr:rowOff>
    </xdr:from>
    <xdr:to>
      <xdr:col>2</xdr:col>
      <xdr:colOff>487754</xdr:colOff>
      <xdr:row>56</xdr:row>
      <xdr:rowOff>353786</xdr:rowOff>
    </xdr:to>
    <xdr:pic>
      <xdr:nvPicPr>
        <xdr:cNvPr id="36" name="Grafik 39">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1153273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57</xdr:row>
      <xdr:rowOff>71439</xdr:rowOff>
    </xdr:from>
    <xdr:to>
      <xdr:col>2</xdr:col>
      <xdr:colOff>528066</xdr:colOff>
      <xdr:row>57</xdr:row>
      <xdr:rowOff>347664</xdr:rowOff>
    </xdr:to>
    <xdr:pic>
      <xdr:nvPicPr>
        <xdr:cNvPr id="37" name="Grafik 40">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1193958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51</xdr:row>
      <xdr:rowOff>64635</xdr:rowOff>
    </xdr:from>
    <xdr:to>
      <xdr:col>2</xdr:col>
      <xdr:colOff>629329</xdr:colOff>
      <xdr:row>51</xdr:row>
      <xdr:rowOff>360590</xdr:rowOff>
    </xdr:to>
    <xdr:pic>
      <xdr:nvPicPr>
        <xdr:cNvPr id="38" name="Grafik 148">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9932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53</xdr:row>
      <xdr:rowOff>30307</xdr:rowOff>
    </xdr:from>
    <xdr:to>
      <xdr:col>2</xdr:col>
      <xdr:colOff>644695</xdr:colOff>
      <xdr:row>53</xdr:row>
      <xdr:rowOff>355023</xdr:rowOff>
    </xdr:to>
    <xdr:pic>
      <xdr:nvPicPr>
        <xdr:cNvPr id="39" name="Grafik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16"/>
        <a:stretch>
          <a:fillRect/>
        </a:stretch>
      </xdr:blipFill>
      <xdr:spPr>
        <a:xfrm>
          <a:off x="1427609" y="1029825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77846" name="Group Box 22" hidden="1">
              <a:extLst>
                <a:ext uri="{63B3BB69-23CF-44E3-9099-C40C66FF867C}">
                  <a14:compatExt spid="_x0000_s77846"/>
                </a:ext>
                <a:ext uri="{FF2B5EF4-FFF2-40B4-BE49-F238E27FC236}">
                  <a16:creationId xmlns:a16="http://schemas.microsoft.com/office/drawing/2014/main" id="{00000000-0008-0000-0B00-000016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7847" name="Option Button 23" hidden="1">
              <a:extLst>
                <a:ext uri="{63B3BB69-23CF-44E3-9099-C40C66FF867C}">
                  <a14:compatExt spid="_x0000_s77847"/>
                </a:ext>
                <a:ext uri="{FF2B5EF4-FFF2-40B4-BE49-F238E27FC236}">
                  <a16:creationId xmlns:a16="http://schemas.microsoft.com/office/drawing/2014/main" id="{00000000-0008-0000-0B00-00001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77848" name="Option Button 24" hidden="1">
              <a:extLst>
                <a:ext uri="{63B3BB69-23CF-44E3-9099-C40C66FF867C}">
                  <a14:compatExt spid="_x0000_s77848"/>
                </a:ext>
                <a:ext uri="{FF2B5EF4-FFF2-40B4-BE49-F238E27FC236}">
                  <a16:creationId xmlns:a16="http://schemas.microsoft.com/office/drawing/2014/main" id="{00000000-0008-0000-0B00-000018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xdr:col>
      <xdr:colOff>0</xdr:colOff>
      <xdr:row>0</xdr:row>
      <xdr:rowOff>0</xdr:rowOff>
    </xdr:from>
    <xdr:to>
      <xdr:col>5</xdr:col>
      <xdr:colOff>275105</xdr:colOff>
      <xdr:row>5</xdr:row>
      <xdr:rowOff>100293</xdr:rowOff>
    </xdr:to>
    <xdr:pic>
      <xdr:nvPicPr>
        <xdr:cNvPr id="40" name="Grafik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editAs="oneCell">
    <xdr:from>
      <xdr:col>0</xdr:col>
      <xdr:colOff>0</xdr:colOff>
      <xdr:row>0</xdr:row>
      <xdr:rowOff>0</xdr:rowOff>
    </xdr:from>
    <xdr:to>
      <xdr:col>1</xdr:col>
      <xdr:colOff>600075</xdr:colOff>
      <xdr:row>4</xdr:row>
      <xdr:rowOff>140634</xdr:rowOff>
    </xdr:to>
    <xdr:pic>
      <xdr:nvPicPr>
        <xdr:cNvPr id="41" name="Grafik 4">
          <a:extLst>
            <a:ext uri="{FF2B5EF4-FFF2-40B4-BE49-F238E27FC236}">
              <a16:creationId xmlns:a16="http://schemas.microsoft.com/office/drawing/2014/main" id="{00000000-0008-0000-0B00-000029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0" y="0"/>
          <a:ext cx="1250016" cy="1250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5</xdr:col>
          <xdr:colOff>563880</xdr:colOff>
          <xdr:row>18</xdr:row>
          <xdr:rowOff>22860</xdr:rowOff>
        </xdr:from>
        <xdr:to>
          <xdr:col>7</xdr:col>
          <xdr:colOff>731520</xdr:colOff>
          <xdr:row>19</xdr:row>
          <xdr:rowOff>0</xdr:rowOff>
        </xdr:to>
        <xdr:sp macro="" textlink="">
          <xdr:nvSpPr>
            <xdr:cNvPr id="77850" name="Option Button 26" hidden="1">
              <a:extLst>
                <a:ext uri="{63B3BB69-23CF-44E3-9099-C40C66FF867C}">
                  <a14:compatExt spid="_x0000_s77850"/>
                </a:ext>
                <a:ext uri="{FF2B5EF4-FFF2-40B4-BE49-F238E27FC236}">
                  <a16:creationId xmlns:a16="http://schemas.microsoft.com/office/drawing/2014/main" id="{00000000-0008-0000-0B00-00001A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22860</xdr:rowOff>
        </xdr:from>
        <xdr:to>
          <xdr:col>11</xdr:col>
          <xdr:colOff>0</xdr:colOff>
          <xdr:row>16</xdr:row>
          <xdr:rowOff>0</xdr:rowOff>
        </xdr:to>
        <xdr:sp macro="" textlink="">
          <xdr:nvSpPr>
            <xdr:cNvPr id="77851" name="Option Button 27" hidden="1">
              <a:extLst>
                <a:ext uri="{63B3BB69-23CF-44E3-9099-C40C66FF867C}">
                  <a14:compatExt spid="_x0000_s77851"/>
                </a:ext>
                <a:ext uri="{FF2B5EF4-FFF2-40B4-BE49-F238E27FC236}">
                  <a16:creationId xmlns:a16="http://schemas.microsoft.com/office/drawing/2014/main" id="{00000000-0008-0000-0B00-00001B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22860</xdr:rowOff>
        </xdr:from>
        <xdr:to>
          <xdr:col>11</xdr:col>
          <xdr:colOff>0</xdr:colOff>
          <xdr:row>17</xdr:row>
          <xdr:rowOff>0</xdr:rowOff>
        </xdr:to>
        <xdr:sp macro="" textlink="">
          <xdr:nvSpPr>
            <xdr:cNvPr id="77852" name="Option Button 28" hidden="1">
              <a:extLst>
                <a:ext uri="{63B3BB69-23CF-44E3-9099-C40C66FF867C}">
                  <a14:compatExt spid="_x0000_s77852"/>
                </a:ext>
                <a:ext uri="{FF2B5EF4-FFF2-40B4-BE49-F238E27FC236}">
                  <a16:creationId xmlns:a16="http://schemas.microsoft.com/office/drawing/2014/main" id="{00000000-0008-0000-0B00-00001C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22860</xdr:rowOff>
        </xdr:from>
        <xdr:to>
          <xdr:col>11</xdr:col>
          <xdr:colOff>0</xdr:colOff>
          <xdr:row>18</xdr:row>
          <xdr:rowOff>0</xdr:rowOff>
        </xdr:to>
        <xdr:sp macro="" textlink="">
          <xdr:nvSpPr>
            <xdr:cNvPr id="77853" name="Option Button 29" hidden="1">
              <a:extLst>
                <a:ext uri="{63B3BB69-23CF-44E3-9099-C40C66FF867C}">
                  <a14:compatExt spid="_x0000_s77853"/>
                </a:ext>
                <a:ext uri="{FF2B5EF4-FFF2-40B4-BE49-F238E27FC236}">
                  <a16:creationId xmlns:a16="http://schemas.microsoft.com/office/drawing/2014/main" id="{00000000-0008-0000-0B00-00001D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30</xdr:row>
      <xdr:rowOff>59055</xdr:rowOff>
    </xdr:from>
    <xdr:to>
      <xdr:col>2</xdr:col>
      <xdr:colOff>554567</xdr:colOff>
      <xdr:row>30</xdr:row>
      <xdr:rowOff>352425</xdr:rowOff>
    </xdr:to>
    <xdr:pic>
      <xdr:nvPicPr>
        <xdr:cNvPr id="42" name="Grafik 13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48843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43" name="Grafik 133">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09244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44" name="Grafik 135">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889254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45" name="Grafik 136">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969264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43</xdr:row>
      <xdr:rowOff>62865</xdr:rowOff>
    </xdr:from>
    <xdr:to>
      <xdr:col>2</xdr:col>
      <xdr:colOff>551180</xdr:colOff>
      <xdr:row>43</xdr:row>
      <xdr:rowOff>360045</xdr:rowOff>
    </xdr:to>
    <xdr:pic>
      <xdr:nvPicPr>
        <xdr:cNvPr id="46" name="Grafik 138">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45</xdr:row>
      <xdr:rowOff>62865</xdr:rowOff>
    </xdr:from>
    <xdr:to>
      <xdr:col>2</xdr:col>
      <xdr:colOff>475129</xdr:colOff>
      <xdr:row>45</xdr:row>
      <xdr:rowOff>360045</xdr:rowOff>
    </xdr:to>
    <xdr:pic>
      <xdr:nvPicPr>
        <xdr:cNvPr id="47" name="Grafik 139">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47</xdr:row>
      <xdr:rowOff>19051</xdr:rowOff>
    </xdr:from>
    <xdr:to>
      <xdr:col>2</xdr:col>
      <xdr:colOff>529590</xdr:colOff>
      <xdr:row>47</xdr:row>
      <xdr:rowOff>381001</xdr:rowOff>
    </xdr:to>
    <xdr:pic>
      <xdr:nvPicPr>
        <xdr:cNvPr id="48" name="Grafik 4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19"/>
        <a:stretch>
          <a:fillRect/>
        </a:stretch>
      </xdr:blipFill>
      <xdr:spPr>
        <a:xfrm>
          <a:off x="1571625" y="13249276"/>
          <a:ext cx="253365" cy="361950"/>
        </a:xfrm>
        <a:prstGeom prst="rect">
          <a:avLst/>
        </a:prstGeom>
      </xdr:spPr>
    </xdr:pic>
    <xdr:clientData/>
  </xdr:twoCellAnchor>
  <xdr:twoCellAnchor>
    <xdr:from>
      <xdr:col>2</xdr:col>
      <xdr:colOff>276225</xdr:colOff>
      <xdr:row>48</xdr:row>
      <xdr:rowOff>19051</xdr:rowOff>
    </xdr:from>
    <xdr:to>
      <xdr:col>2</xdr:col>
      <xdr:colOff>529590</xdr:colOff>
      <xdr:row>48</xdr:row>
      <xdr:rowOff>381001</xdr:rowOff>
    </xdr:to>
    <xdr:pic>
      <xdr:nvPicPr>
        <xdr:cNvPr id="49" name="Grafik 48">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50" name="Grafik 49">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323850</xdr:colOff>
      <xdr:row>49</xdr:row>
      <xdr:rowOff>19729</xdr:rowOff>
    </xdr:from>
    <xdr:to>
      <xdr:col>2</xdr:col>
      <xdr:colOff>561975</xdr:colOff>
      <xdr:row>49</xdr:row>
      <xdr:rowOff>385422</xdr:rowOff>
    </xdr:to>
    <xdr:pic>
      <xdr:nvPicPr>
        <xdr:cNvPr id="51" name="Grafik 50">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21"/>
        <a:stretch>
          <a:fillRect/>
        </a:stretch>
      </xdr:blipFill>
      <xdr:spPr>
        <a:xfrm>
          <a:off x="1619250" y="14050054"/>
          <a:ext cx="238125" cy="365693"/>
        </a:xfrm>
        <a:prstGeom prst="rect">
          <a:avLst/>
        </a:prstGeom>
      </xdr:spPr>
    </xdr:pic>
    <xdr:clientData/>
  </xdr:twoCellAnchor>
  <xdr:twoCellAnchor>
    <xdr:from>
      <xdr:col>2</xdr:col>
      <xdr:colOff>137541</xdr:colOff>
      <xdr:row>50</xdr:row>
      <xdr:rowOff>125867</xdr:rowOff>
    </xdr:from>
    <xdr:to>
      <xdr:col>2</xdr:col>
      <xdr:colOff>642366</xdr:colOff>
      <xdr:row>50</xdr:row>
      <xdr:rowOff>278267</xdr:rowOff>
    </xdr:to>
    <xdr:pic>
      <xdr:nvPicPr>
        <xdr:cNvPr id="52" name="Grafik 166">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145562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60</xdr:row>
      <xdr:rowOff>64635</xdr:rowOff>
    </xdr:from>
    <xdr:to>
      <xdr:col>2</xdr:col>
      <xdr:colOff>677404</xdr:colOff>
      <xdr:row>60</xdr:row>
      <xdr:rowOff>352085</xdr:rowOff>
    </xdr:to>
    <xdr:pic>
      <xdr:nvPicPr>
        <xdr:cNvPr id="54" name="Grafik 63">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4597" t="10809" r="2196" b="12961"/>
        <a:stretch>
          <a:fillRect/>
        </a:stretch>
      </xdr:blipFill>
      <xdr:spPr bwMode="auto">
        <a:xfrm>
          <a:off x="1397903" y="1889556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64</xdr:row>
      <xdr:rowOff>21479</xdr:rowOff>
    </xdr:from>
    <xdr:to>
      <xdr:col>2</xdr:col>
      <xdr:colOff>655545</xdr:colOff>
      <xdr:row>64</xdr:row>
      <xdr:rowOff>372597</xdr:rowOff>
    </xdr:to>
    <xdr:pic>
      <xdr:nvPicPr>
        <xdr:cNvPr id="55" name="Grafik 54">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24"/>
        <a:stretch>
          <a:fillRect/>
        </a:stretch>
      </xdr:blipFill>
      <xdr:spPr>
        <a:xfrm>
          <a:off x="1424268" y="20452604"/>
          <a:ext cx="526677" cy="351118"/>
        </a:xfrm>
        <a:prstGeom prst="rect">
          <a:avLst/>
        </a:prstGeom>
      </xdr:spPr>
    </xdr:pic>
    <xdr:clientData/>
  </xdr:twoCellAnchor>
  <xdr:twoCellAnchor>
    <xdr:from>
      <xdr:col>2</xdr:col>
      <xdr:colOff>304800</xdr:colOff>
      <xdr:row>58</xdr:row>
      <xdr:rowOff>19050</xdr:rowOff>
    </xdr:from>
    <xdr:to>
      <xdr:col>2</xdr:col>
      <xdr:colOff>428625</xdr:colOff>
      <xdr:row>58</xdr:row>
      <xdr:rowOff>381000</xdr:rowOff>
    </xdr:to>
    <xdr:pic>
      <xdr:nvPicPr>
        <xdr:cNvPr id="56" name="Grafik 55">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25"/>
        <a:stretch>
          <a:fillRect/>
        </a:stretch>
      </xdr:blipFill>
      <xdr:spPr>
        <a:xfrm>
          <a:off x="1600200" y="18049875"/>
          <a:ext cx="123825" cy="361950"/>
        </a:xfrm>
        <a:prstGeom prst="rect">
          <a:avLst/>
        </a:prstGeom>
      </xdr:spPr>
    </xdr:pic>
    <xdr:clientData/>
  </xdr:twoCellAnchor>
  <xdr:twoCellAnchor>
    <xdr:from>
      <xdr:col>2</xdr:col>
      <xdr:colOff>152985</xdr:colOff>
      <xdr:row>59</xdr:row>
      <xdr:rowOff>120153</xdr:rowOff>
    </xdr:from>
    <xdr:to>
      <xdr:col>2</xdr:col>
      <xdr:colOff>585430</xdr:colOff>
      <xdr:row>59</xdr:row>
      <xdr:rowOff>295579</xdr:rowOff>
    </xdr:to>
    <xdr:pic>
      <xdr:nvPicPr>
        <xdr:cNvPr id="57" name="Grafik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26"/>
        <a:stretch>
          <a:fillRect/>
        </a:stretch>
      </xdr:blipFill>
      <xdr:spPr>
        <a:xfrm rot="4034817">
          <a:off x="1576895" y="18422518"/>
          <a:ext cx="175426" cy="432445"/>
        </a:xfrm>
        <a:prstGeom prst="rect">
          <a:avLst/>
        </a:prstGeom>
      </xdr:spPr>
    </xdr:pic>
    <xdr:clientData/>
  </xdr:twoCellAnchor>
  <xdr:twoCellAnchor>
    <xdr:from>
      <xdr:col>2</xdr:col>
      <xdr:colOff>119875</xdr:colOff>
      <xdr:row>61</xdr:row>
      <xdr:rowOff>27877</xdr:rowOff>
    </xdr:from>
    <xdr:to>
      <xdr:col>2</xdr:col>
      <xdr:colOff>678364</xdr:colOff>
      <xdr:row>61</xdr:row>
      <xdr:rowOff>373656</xdr:rowOff>
    </xdr:to>
    <xdr:pic>
      <xdr:nvPicPr>
        <xdr:cNvPr id="58" name="Grafik 57">
          <a:extLst>
            <a:ext uri="{FF2B5EF4-FFF2-40B4-BE49-F238E27FC236}">
              <a16:creationId xmlns:a16="http://schemas.microsoft.com/office/drawing/2014/main" id="{00000000-0008-0000-0B00-00003A000000}"/>
            </a:ext>
          </a:extLst>
        </xdr:cNvPr>
        <xdr:cNvPicPr>
          <a:picLocks noChangeAspect="1"/>
        </xdr:cNvPicPr>
      </xdr:nvPicPr>
      <xdr:blipFill rotWithShape="1">
        <a:blip xmlns:r="http://schemas.openxmlformats.org/officeDocument/2006/relationships" r:embed="rId27"/>
        <a:srcRect t="4886" b="13458"/>
        <a:stretch/>
      </xdr:blipFill>
      <xdr:spPr>
        <a:xfrm>
          <a:off x="1415275" y="19258852"/>
          <a:ext cx="558489" cy="345779"/>
        </a:xfrm>
        <a:prstGeom prst="rect">
          <a:avLst/>
        </a:prstGeom>
      </xdr:spPr>
    </xdr:pic>
    <xdr:clientData/>
  </xdr:twoCellAnchor>
  <xdr:twoCellAnchor>
    <xdr:from>
      <xdr:col>2</xdr:col>
      <xdr:colOff>274757</xdr:colOff>
      <xdr:row>63</xdr:row>
      <xdr:rowOff>18316</xdr:rowOff>
    </xdr:from>
    <xdr:to>
      <xdr:col>2</xdr:col>
      <xdr:colOff>532488</xdr:colOff>
      <xdr:row>63</xdr:row>
      <xdr:rowOff>373673</xdr:rowOff>
    </xdr:to>
    <xdr:pic>
      <xdr:nvPicPr>
        <xdr:cNvPr id="59" name="Grafik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28"/>
        <a:stretch>
          <a:fillRect/>
        </a:stretch>
      </xdr:blipFill>
      <xdr:spPr>
        <a:xfrm>
          <a:off x="1570157" y="20049391"/>
          <a:ext cx="257731" cy="355357"/>
        </a:xfrm>
        <a:prstGeom prst="rect">
          <a:avLst/>
        </a:prstGeom>
      </xdr:spPr>
    </xdr:pic>
    <xdr:clientData/>
  </xdr:twoCellAnchor>
  <xdr:twoCellAnchor>
    <xdr:from>
      <xdr:col>2</xdr:col>
      <xdr:colOff>315055</xdr:colOff>
      <xdr:row>62</xdr:row>
      <xdr:rowOff>19366</xdr:rowOff>
    </xdr:from>
    <xdr:to>
      <xdr:col>2</xdr:col>
      <xdr:colOff>461593</xdr:colOff>
      <xdr:row>62</xdr:row>
      <xdr:rowOff>391991</xdr:rowOff>
    </xdr:to>
    <xdr:pic>
      <xdr:nvPicPr>
        <xdr:cNvPr id="60" name="Grafik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29"/>
        <a:stretch>
          <a:fillRect/>
        </a:stretch>
      </xdr:blipFill>
      <xdr:spPr>
        <a:xfrm>
          <a:off x="1610455" y="19650391"/>
          <a:ext cx="146538" cy="372625"/>
        </a:xfrm>
        <a:prstGeom prst="rect">
          <a:avLst/>
        </a:prstGeom>
      </xdr:spPr>
    </xdr:pic>
    <xdr:clientData/>
  </xdr:twoCellAnchor>
  <xdr:twoCellAnchor>
    <xdr:from>
      <xdr:col>2</xdr:col>
      <xdr:colOff>142875</xdr:colOff>
      <xdr:row>52</xdr:row>
      <xdr:rowOff>57150</xdr:rowOff>
    </xdr:from>
    <xdr:to>
      <xdr:col>2</xdr:col>
      <xdr:colOff>622977</xdr:colOff>
      <xdr:row>52</xdr:row>
      <xdr:rowOff>354356</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30"/>
        <a:stretch>
          <a:fillRect/>
        </a:stretch>
      </xdr:blipFill>
      <xdr:spPr>
        <a:xfrm>
          <a:off x="1468755" y="19396710"/>
          <a:ext cx="480102" cy="2972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655320</xdr:colOff>
          <xdr:row>9</xdr:row>
          <xdr:rowOff>0</xdr:rowOff>
        </xdr:to>
        <xdr:sp macro="" textlink="">
          <xdr:nvSpPr>
            <xdr:cNvPr id="1031" name="Group Box 7" hidden="1">
              <a:extLst>
                <a:ext uri="{63B3BB69-23CF-44E3-9099-C40C66FF867C}">
                  <a14:compatExt spid="_x0000_s1031"/>
                </a:ext>
                <a:ext uri="{FF2B5EF4-FFF2-40B4-BE49-F238E27FC236}">
                  <a16:creationId xmlns:a16="http://schemas.microsoft.com/office/drawing/2014/main" id="{00000000-0008-0000-0C00-00000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655320</xdr:colOff>
          <xdr:row>21</xdr:row>
          <xdr:rowOff>0</xdr:rowOff>
        </xdr:to>
        <xdr:sp macro="" textlink="">
          <xdr:nvSpPr>
            <xdr:cNvPr id="1033" name="Group Box 9" hidden="1">
              <a:extLst>
                <a:ext uri="{63B3BB69-23CF-44E3-9099-C40C66FF867C}">
                  <a14:compatExt spid="_x0000_s1033"/>
                </a:ext>
                <a:ext uri="{FF2B5EF4-FFF2-40B4-BE49-F238E27FC236}">
                  <a16:creationId xmlns:a16="http://schemas.microsoft.com/office/drawing/2014/main" id="{00000000-0008-0000-0C00-00000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655320</xdr:colOff>
          <xdr:row>13</xdr:row>
          <xdr:rowOff>0</xdr:rowOff>
        </xdr:to>
        <xdr:sp macro="" textlink="">
          <xdr:nvSpPr>
            <xdr:cNvPr id="1080" name="Group Box 56" hidden="1">
              <a:extLst>
                <a:ext uri="{63B3BB69-23CF-44E3-9099-C40C66FF867C}">
                  <a14:compatExt spid="_x0000_s1080"/>
                </a:ext>
                <a:ext uri="{FF2B5EF4-FFF2-40B4-BE49-F238E27FC236}">
                  <a16:creationId xmlns:a16="http://schemas.microsoft.com/office/drawing/2014/main" id="{00000000-0008-0000-0C00-00003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1088" name="Option Button 64" hidden="1">
              <a:extLst>
                <a:ext uri="{63B3BB69-23CF-44E3-9099-C40C66FF867C}">
                  <a14:compatExt spid="_x0000_s1088"/>
                </a:ext>
                <a:ext uri="{FF2B5EF4-FFF2-40B4-BE49-F238E27FC236}">
                  <a16:creationId xmlns:a16="http://schemas.microsoft.com/office/drawing/2014/main" id="{00000000-0008-0000-0C00-00004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1091" name="Option Button 67" hidden="1">
              <a:extLst>
                <a:ext uri="{63B3BB69-23CF-44E3-9099-C40C66FF867C}">
                  <a14:compatExt spid="_x0000_s1091"/>
                </a:ext>
                <a:ext uri="{FF2B5EF4-FFF2-40B4-BE49-F238E27FC236}">
                  <a16:creationId xmlns:a16="http://schemas.microsoft.com/office/drawing/2014/main" id="{00000000-0008-0000-0C00-00004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1092" name="Option Button 68" hidden="1">
              <a:extLst>
                <a:ext uri="{63B3BB69-23CF-44E3-9099-C40C66FF867C}">
                  <a14:compatExt spid="_x0000_s1092"/>
                </a:ext>
                <a:ext uri="{FF2B5EF4-FFF2-40B4-BE49-F238E27FC236}">
                  <a16:creationId xmlns:a16="http://schemas.microsoft.com/office/drawing/2014/main" id="{00000000-0008-0000-0C00-00004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1094" name="Option Button 70" hidden="1">
              <a:extLst>
                <a:ext uri="{63B3BB69-23CF-44E3-9099-C40C66FF867C}">
                  <a14:compatExt spid="_x0000_s1094"/>
                </a:ext>
                <a:ext uri="{FF2B5EF4-FFF2-40B4-BE49-F238E27FC236}">
                  <a16:creationId xmlns:a16="http://schemas.microsoft.com/office/drawing/2014/main" id="{00000000-0008-0000-0C00-00004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1095" name="Option Button 71" hidden="1">
              <a:extLst>
                <a:ext uri="{63B3BB69-23CF-44E3-9099-C40C66FF867C}">
                  <a14:compatExt spid="_x0000_s1095"/>
                </a:ext>
                <a:ext uri="{FF2B5EF4-FFF2-40B4-BE49-F238E27FC236}">
                  <a16:creationId xmlns:a16="http://schemas.microsoft.com/office/drawing/2014/main" id="{00000000-0008-0000-0C00-00004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1096" name="Option Button 72" hidden="1">
              <a:extLst>
                <a:ext uri="{63B3BB69-23CF-44E3-9099-C40C66FF867C}">
                  <a14:compatExt spid="_x0000_s1096"/>
                </a:ext>
                <a:ext uri="{FF2B5EF4-FFF2-40B4-BE49-F238E27FC236}">
                  <a16:creationId xmlns:a16="http://schemas.microsoft.com/office/drawing/2014/main" id="{00000000-0008-0000-0C00-00004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15</xdr:row>
          <xdr:rowOff>30480</xdr:rowOff>
        </xdr:from>
        <xdr:to>
          <xdr:col>8</xdr:col>
          <xdr:colOff>822960</xdr:colOff>
          <xdr:row>16</xdr:row>
          <xdr:rowOff>0</xdr:rowOff>
        </xdr:to>
        <xdr:sp macro="" textlink="">
          <xdr:nvSpPr>
            <xdr:cNvPr id="1098" name="Option Button 74" hidden="1">
              <a:extLst>
                <a:ext uri="{63B3BB69-23CF-44E3-9099-C40C66FF867C}">
                  <a14:compatExt spid="_x0000_s1098"/>
                </a:ext>
                <a:ext uri="{FF2B5EF4-FFF2-40B4-BE49-F238E27FC236}">
                  <a16:creationId xmlns:a16="http://schemas.microsoft.com/office/drawing/2014/main" id="{00000000-0008-0000-0C00-00004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16</xdr:row>
          <xdr:rowOff>30480</xdr:rowOff>
        </xdr:from>
        <xdr:to>
          <xdr:col>8</xdr:col>
          <xdr:colOff>822960</xdr:colOff>
          <xdr:row>17</xdr:row>
          <xdr:rowOff>0</xdr:rowOff>
        </xdr:to>
        <xdr:sp macro="" textlink="">
          <xdr:nvSpPr>
            <xdr:cNvPr id="1099" name="Option Button 75" hidden="1">
              <a:extLst>
                <a:ext uri="{63B3BB69-23CF-44E3-9099-C40C66FF867C}">
                  <a14:compatExt spid="_x0000_s1099"/>
                </a:ext>
                <a:ext uri="{FF2B5EF4-FFF2-40B4-BE49-F238E27FC236}">
                  <a16:creationId xmlns:a16="http://schemas.microsoft.com/office/drawing/2014/main" id="{00000000-0008-0000-0C00-00004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17</xdr:row>
          <xdr:rowOff>30480</xdr:rowOff>
        </xdr:from>
        <xdr:to>
          <xdr:col>8</xdr:col>
          <xdr:colOff>822960</xdr:colOff>
          <xdr:row>18</xdr:row>
          <xdr:rowOff>0</xdr:rowOff>
        </xdr:to>
        <xdr:sp macro="" textlink="">
          <xdr:nvSpPr>
            <xdr:cNvPr id="1102" name="Option Button 78" hidden="1">
              <a:extLst>
                <a:ext uri="{63B3BB69-23CF-44E3-9099-C40C66FF867C}">
                  <a14:compatExt spid="_x0000_s1102"/>
                </a:ext>
                <a:ext uri="{FF2B5EF4-FFF2-40B4-BE49-F238E27FC236}">
                  <a16:creationId xmlns:a16="http://schemas.microsoft.com/office/drawing/2014/main" id="{00000000-0008-0000-0C00-00004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18</xdr:row>
          <xdr:rowOff>30480</xdr:rowOff>
        </xdr:from>
        <xdr:to>
          <xdr:col>8</xdr:col>
          <xdr:colOff>822960</xdr:colOff>
          <xdr:row>19</xdr:row>
          <xdr:rowOff>0</xdr:rowOff>
        </xdr:to>
        <xdr:sp macro="" textlink="">
          <xdr:nvSpPr>
            <xdr:cNvPr id="1103" name="Option Button 79" hidden="1">
              <a:extLst>
                <a:ext uri="{63B3BB69-23CF-44E3-9099-C40C66FF867C}">
                  <a14:compatExt spid="_x0000_s1103"/>
                </a:ext>
                <a:ext uri="{FF2B5EF4-FFF2-40B4-BE49-F238E27FC236}">
                  <a16:creationId xmlns:a16="http://schemas.microsoft.com/office/drawing/2014/main" id="{00000000-0008-0000-0C00-00004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35</xdr:row>
      <xdr:rowOff>60237</xdr:rowOff>
    </xdr:from>
    <xdr:to>
      <xdr:col>2</xdr:col>
      <xdr:colOff>566148</xdr:colOff>
      <xdr:row>35</xdr:row>
      <xdr:rowOff>360533</xdr:rowOff>
    </xdr:to>
    <xdr:pic>
      <xdr:nvPicPr>
        <xdr:cNvPr id="45" name="Grafik 7">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37006" y="742877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37</xdr:row>
      <xdr:rowOff>56284</xdr:rowOff>
    </xdr:from>
    <xdr:to>
      <xdr:col>2</xdr:col>
      <xdr:colOff>538873</xdr:colOff>
      <xdr:row>37</xdr:row>
      <xdr:rowOff>356755</xdr:rowOff>
    </xdr:to>
    <xdr:pic>
      <xdr:nvPicPr>
        <xdr:cNvPr id="46" name="Grafik 8">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38</xdr:row>
      <xdr:rowOff>67542</xdr:rowOff>
    </xdr:from>
    <xdr:to>
      <xdr:col>2</xdr:col>
      <xdr:colOff>544698</xdr:colOff>
      <xdr:row>38</xdr:row>
      <xdr:rowOff>355023</xdr:rowOff>
    </xdr:to>
    <xdr:pic>
      <xdr:nvPicPr>
        <xdr:cNvPr id="47" name="Grafik 9">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39</xdr:row>
      <xdr:rowOff>60616</xdr:rowOff>
    </xdr:from>
    <xdr:to>
      <xdr:col>2</xdr:col>
      <xdr:colOff>511503</xdr:colOff>
      <xdr:row>39</xdr:row>
      <xdr:rowOff>363684</xdr:rowOff>
    </xdr:to>
    <xdr:pic>
      <xdr:nvPicPr>
        <xdr:cNvPr id="48" name="Grafik 10">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40</xdr:row>
      <xdr:rowOff>58882</xdr:rowOff>
    </xdr:from>
    <xdr:to>
      <xdr:col>2</xdr:col>
      <xdr:colOff>559175</xdr:colOff>
      <xdr:row>40</xdr:row>
      <xdr:rowOff>359353</xdr:rowOff>
    </xdr:to>
    <xdr:pic>
      <xdr:nvPicPr>
        <xdr:cNvPr id="49" name="Grafik 11">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42</xdr:row>
      <xdr:rowOff>65809</xdr:rowOff>
    </xdr:from>
    <xdr:to>
      <xdr:col>2</xdr:col>
      <xdr:colOff>592559</xdr:colOff>
      <xdr:row>42</xdr:row>
      <xdr:rowOff>354698</xdr:rowOff>
    </xdr:to>
    <xdr:pic>
      <xdr:nvPicPr>
        <xdr:cNvPr id="50" name="Grafik 12">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41</xdr:row>
      <xdr:rowOff>73603</xdr:rowOff>
    </xdr:from>
    <xdr:to>
      <xdr:col>2</xdr:col>
      <xdr:colOff>598187</xdr:colOff>
      <xdr:row>41</xdr:row>
      <xdr:rowOff>340303</xdr:rowOff>
    </xdr:to>
    <xdr:pic>
      <xdr:nvPicPr>
        <xdr:cNvPr id="51" name="Grafik 147">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43</xdr:row>
      <xdr:rowOff>68037</xdr:rowOff>
    </xdr:from>
    <xdr:to>
      <xdr:col>2</xdr:col>
      <xdr:colOff>652769</xdr:colOff>
      <xdr:row>43</xdr:row>
      <xdr:rowOff>350385</xdr:rowOff>
    </xdr:to>
    <xdr:pic>
      <xdr:nvPicPr>
        <xdr:cNvPr id="52" name="Grafik 13">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24387" y="9492184"/>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45</xdr:row>
      <xdr:rowOff>61232</xdr:rowOff>
    </xdr:from>
    <xdr:to>
      <xdr:col>2</xdr:col>
      <xdr:colOff>645727</xdr:colOff>
      <xdr:row>45</xdr:row>
      <xdr:rowOff>357187</xdr:rowOff>
    </xdr:to>
    <xdr:pic>
      <xdr:nvPicPr>
        <xdr:cNvPr id="61" name="Grafik 123">
          <a:extLst>
            <a:ext uri="{FF2B5EF4-FFF2-40B4-BE49-F238E27FC236}">
              <a16:creationId xmlns:a16="http://schemas.microsoft.com/office/drawing/2014/main" id="{00000000-0008-0000-0C00-00003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46</xdr:row>
      <xdr:rowOff>64635</xdr:rowOff>
    </xdr:from>
    <xdr:to>
      <xdr:col>2</xdr:col>
      <xdr:colOff>648874</xdr:colOff>
      <xdr:row>46</xdr:row>
      <xdr:rowOff>356081</xdr:rowOff>
    </xdr:to>
    <xdr:pic>
      <xdr:nvPicPr>
        <xdr:cNvPr id="62" name="Grafik 122">
          <a:extLst>
            <a:ext uri="{FF2B5EF4-FFF2-40B4-BE49-F238E27FC236}">
              <a16:creationId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47</xdr:row>
      <xdr:rowOff>64635</xdr:rowOff>
    </xdr:from>
    <xdr:to>
      <xdr:col>2</xdr:col>
      <xdr:colOff>510402</xdr:colOff>
      <xdr:row>47</xdr:row>
      <xdr:rowOff>357188</xdr:rowOff>
    </xdr:to>
    <xdr:pic>
      <xdr:nvPicPr>
        <xdr:cNvPr id="63" name="Grafik 16">
          <a:extLst>
            <a:ext uri="{FF2B5EF4-FFF2-40B4-BE49-F238E27FC236}">
              <a16:creationId xmlns:a16="http://schemas.microsoft.com/office/drawing/2014/main" id="{00000000-0008-0000-0C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48</xdr:row>
      <xdr:rowOff>64635</xdr:rowOff>
    </xdr:from>
    <xdr:to>
      <xdr:col>2</xdr:col>
      <xdr:colOff>541552</xdr:colOff>
      <xdr:row>48</xdr:row>
      <xdr:rowOff>360589</xdr:rowOff>
    </xdr:to>
    <xdr:pic>
      <xdr:nvPicPr>
        <xdr:cNvPr id="64" name="Grafik 17">
          <a:extLst>
            <a:ext uri="{FF2B5EF4-FFF2-40B4-BE49-F238E27FC236}">
              <a16:creationId xmlns:a16="http://schemas.microsoft.com/office/drawing/2014/main" id="{00000000-0008-0000-0C00-00004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229725</xdr:colOff>
      <xdr:row>49</xdr:row>
      <xdr:rowOff>64635</xdr:rowOff>
    </xdr:from>
    <xdr:to>
      <xdr:col>2</xdr:col>
      <xdr:colOff>578029</xdr:colOff>
      <xdr:row>49</xdr:row>
      <xdr:rowOff>360590</xdr:rowOff>
    </xdr:to>
    <xdr:pic>
      <xdr:nvPicPr>
        <xdr:cNvPr id="65" name="Grafik 18">
          <a:extLst>
            <a:ext uri="{FF2B5EF4-FFF2-40B4-BE49-F238E27FC236}">
              <a16:creationId xmlns:a16="http://schemas.microsoft.com/office/drawing/2014/main" id="{00000000-0008-0000-0C00-00004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26028" t="8432" r="11311" b="9721"/>
        <a:stretch>
          <a:fillRect/>
        </a:stretch>
      </xdr:blipFill>
      <xdr:spPr bwMode="auto">
        <a:xfrm>
          <a:off x="1555605" y="13071975"/>
          <a:ext cx="34830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51</xdr:row>
          <xdr:rowOff>68580</xdr:rowOff>
        </xdr:from>
        <xdr:to>
          <xdr:col>2</xdr:col>
          <xdr:colOff>601980</xdr:colOff>
          <xdr:row>51</xdr:row>
          <xdr:rowOff>350520</xdr:rowOff>
        </xdr:to>
        <xdr:sp macro="" textlink="">
          <xdr:nvSpPr>
            <xdr:cNvPr id="1107" name="Object 83" hidden="1">
              <a:extLst>
                <a:ext uri="{63B3BB69-23CF-44E3-9099-C40C66FF867C}">
                  <a14:compatExt spid="_x0000_s1107"/>
                </a:ext>
                <a:ext uri="{FF2B5EF4-FFF2-40B4-BE49-F238E27FC236}">
                  <a16:creationId xmlns:a16="http://schemas.microsoft.com/office/drawing/2014/main" id="{00000000-0008-0000-0C00-00005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52</xdr:row>
      <xdr:rowOff>69583</xdr:rowOff>
    </xdr:from>
    <xdr:to>
      <xdr:col>2</xdr:col>
      <xdr:colOff>567051</xdr:colOff>
      <xdr:row>52</xdr:row>
      <xdr:rowOff>350384</xdr:rowOff>
    </xdr:to>
    <xdr:pic>
      <xdr:nvPicPr>
        <xdr:cNvPr id="66" name="Grafik 20">
          <a:extLst>
            <a:ext uri="{FF2B5EF4-FFF2-40B4-BE49-F238E27FC236}">
              <a16:creationId xmlns:a16="http://schemas.microsoft.com/office/drawing/2014/main" id="{00000000-0008-0000-0C00-00004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508255" y="1226158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54</xdr:row>
      <xdr:rowOff>69584</xdr:rowOff>
    </xdr:from>
    <xdr:to>
      <xdr:col>2</xdr:col>
      <xdr:colOff>515424</xdr:colOff>
      <xdr:row>54</xdr:row>
      <xdr:rowOff>357188</xdr:rowOff>
    </xdr:to>
    <xdr:pic>
      <xdr:nvPicPr>
        <xdr:cNvPr id="67" name="Grafik 21">
          <a:extLst>
            <a:ext uri="{FF2B5EF4-FFF2-40B4-BE49-F238E27FC236}">
              <a16:creationId xmlns:a16="http://schemas.microsoft.com/office/drawing/2014/main" id="{00000000-0008-0000-0C00-00004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6768" t="10905" r="26917" b="6537"/>
        <a:stretch>
          <a:fillRect/>
        </a:stretch>
      </xdr:blipFill>
      <xdr:spPr bwMode="auto">
        <a:xfrm>
          <a:off x="1559883" y="1266163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55</xdr:row>
      <xdr:rowOff>68037</xdr:rowOff>
    </xdr:from>
    <xdr:to>
      <xdr:col>2</xdr:col>
      <xdr:colOff>507315</xdr:colOff>
      <xdr:row>55</xdr:row>
      <xdr:rowOff>358104</xdr:rowOff>
    </xdr:to>
    <xdr:pic>
      <xdr:nvPicPr>
        <xdr:cNvPr id="68" name="Grafik 22">
          <a:extLst>
            <a:ext uri="{FF2B5EF4-FFF2-40B4-BE49-F238E27FC236}">
              <a16:creationId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22575" r="26430" b="4977"/>
        <a:stretch>
          <a:fillRect/>
        </a:stretch>
      </xdr:blipFill>
      <xdr:spPr bwMode="auto">
        <a:xfrm>
          <a:off x="1567992" y="1306013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56</xdr:row>
      <xdr:rowOff>68037</xdr:rowOff>
    </xdr:from>
    <xdr:to>
      <xdr:col>2</xdr:col>
      <xdr:colOff>585556</xdr:colOff>
      <xdr:row>56</xdr:row>
      <xdr:rowOff>350607</xdr:rowOff>
    </xdr:to>
    <xdr:pic>
      <xdr:nvPicPr>
        <xdr:cNvPr id="69" name="Grafik 23">
          <a:extLst>
            <a:ext uri="{FF2B5EF4-FFF2-40B4-BE49-F238E27FC236}">
              <a16:creationId xmlns:a16="http://schemas.microsoft.com/office/drawing/2014/main" id="{00000000-0008-0000-0C00-00004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13504" t="7817" r="17844" b="4201"/>
        <a:stretch>
          <a:fillRect/>
        </a:stretch>
      </xdr:blipFill>
      <xdr:spPr bwMode="auto">
        <a:xfrm>
          <a:off x="1489751" y="1346018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59</xdr:row>
      <xdr:rowOff>68037</xdr:rowOff>
    </xdr:from>
    <xdr:to>
      <xdr:col>2</xdr:col>
      <xdr:colOff>674002</xdr:colOff>
      <xdr:row>59</xdr:row>
      <xdr:rowOff>356222</xdr:rowOff>
    </xdr:to>
    <xdr:pic>
      <xdr:nvPicPr>
        <xdr:cNvPr id="70" name="Grafik 124">
          <a:extLst>
            <a:ext uri="{FF2B5EF4-FFF2-40B4-BE49-F238E27FC236}">
              <a16:creationId xmlns:a16="http://schemas.microsoft.com/office/drawing/2014/main" id="{00000000-0008-0000-0C00-00004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401304" y="1466033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60</xdr:row>
      <xdr:rowOff>64635</xdr:rowOff>
    </xdr:from>
    <xdr:to>
      <xdr:col>2</xdr:col>
      <xdr:colOff>678307</xdr:colOff>
      <xdr:row>60</xdr:row>
      <xdr:rowOff>357187</xdr:rowOff>
    </xdr:to>
    <xdr:pic>
      <xdr:nvPicPr>
        <xdr:cNvPr id="71" name="Grafik 128">
          <a:extLst>
            <a:ext uri="{FF2B5EF4-FFF2-40B4-BE49-F238E27FC236}">
              <a16:creationId xmlns:a16="http://schemas.microsoft.com/office/drawing/2014/main" id="{00000000-0008-0000-0C00-00004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396999" y="1505698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61</xdr:row>
      <xdr:rowOff>64635</xdr:rowOff>
    </xdr:from>
    <xdr:to>
      <xdr:col>2</xdr:col>
      <xdr:colOff>498413</xdr:colOff>
      <xdr:row>61</xdr:row>
      <xdr:rowOff>360590</xdr:rowOff>
    </xdr:to>
    <xdr:pic>
      <xdr:nvPicPr>
        <xdr:cNvPr id="72" name="Grafik 25">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27779" t="3114" r="29077" b="7933"/>
        <a:stretch>
          <a:fillRect/>
        </a:stretch>
      </xdr:blipFill>
      <xdr:spPr bwMode="auto">
        <a:xfrm>
          <a:off x="1576894" y="1545703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62</xdr:row>
      <xdr:rowOff>64635</xdr:rowOff>
    </xdr:from>
    <xdr:to>
      <xdr:col>2</xdr:col>
      <xdr:colOff>616688</xdr:colOff>
      <xdr:row>62</xdr:row>
      <xdr:rowOff>357188</xdr:rowOff>
    </xdr:to>
    <xdr:pic>
      <xdr:nvPicPr>
        <xdr:cNvPr id="73" name="Grafik 26">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58618" y="1585708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63</xdr:row>
      <xdr:rowOff>64635</xdr:rowOff>
    </xdr:from>
    <xdr:to>
      <xdr:col>2</xdr:col>
      <xdr:colOff>699623</xdr:colOff>
      <xdr:row>63</xdr:row>
      <xdr:rowOff>350384</xdr:rowOff>
    </xdr:to>
    <xdr:pic>
      <xdr:nvPicPr>
        <xdr:cNvPr id="74" name="Grafik 27">
          <a:extLst>
            <a:ext uri="{FF2B5EF4-FFF2-40B4-BE49-F238E27FC236}">
              <a16:creationId xmlns:a16="http://schemas.microsoft.com/office/drawing/2014/main" id="{00000000-0008-0000-0C00-00004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109" t="23206" r="15656" b="9187"/>
        <a:stretch>
          <a:fillRect/>
        </a:stretch>
      </xdr:blipFill>
      <xdr:spPr bwMode="auto">
        <a:xfrm>
          <a:off x="1375683" y="1625713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64</xdr:row>
      <xdr:rowOff>64635</xdr:rowOff>
    </xdr:from>
    <xdr:to>
      <xdr:col>2</xdr:col>
      <xdr:colOff>534565</xdr:colOff>
      <xdr:row>64</xdr:row>
      <xdr:rowOff>360590</xdr:rowOff>
    </xdr:to>
    <xdr:pic>
      <xdr:nvPicPr>
        <xdr:cNvPr id="75" name="Grafik 28">
          <a:extLst>
            <a:ext uri="{FF2B5EF4-FFF2-40B4-BE49-F238E27FC236}">
              <a16:creationId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16399" r="22188" b="7098"/>
        <a:stretch>
          <a:fillRect/>
        </a:stretch>
      </xdr:blipFill>
      <xdr:spPr bwMode="auto">
        <a:xfrm>
          <a:off x="1540741" y="1665718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65</xdr:row>
      <xdr:rowOff>66180</xdr:rowOff>
    </xdr:from>
    <xdr:to>
      <xdr:col>2</xdr:col>
      <xdr:colOff>534529</xdr:colOff>
      <xdr:row>65</xdr:row>
      <xdr:rowOff>360911</xdr:rowOff>
    </xdr:to>
    <xdr:pic>
      <xdr:nvPicPr>
        <xdr:cNvPr id="76" name="Grafik 29">
          <a:extLst>
            <a:ext uri="{FF2B5EF4-FFF2-40B4-BE49-F238E27FC236}">
              <a16:creationId xmlns:a16="http://schemas.microsoft.com/office/drawing/2014/main" id="{00000000-0008-0000-0C00-00004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8322" t="11278" r="19684" b="9023"/>
        <a:stretch>
          <a:fillRect/>
        </a:stretch>
      </xdr:blipFill>
      <xdr:spPr bwMode="auto">
        <a:xfrm>
          <a:off x="1540778" y="1705878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66</xdr:row>
      <xdr:rowOff>66181</xdr:rowOff>
    </xdr:from>
    <xdr:to>
      <xdr:col>2</xdr:col>
      <xdr:colOff>597462</xdr:colOff>
      <xdr:row>66</xdr:row>
      <xdr:rowOff>356492</xdr:rowOff>
    </xdr:to>
    <xdr:pic>
      <xdr:nvPicPr>
        <xdr:cNvPr id="77" name="Grafik 30">
          <a:extLst>
            <a:ext uri="{FF2B5EF4-FFF2-40B4-BE49-F238E27FC236}">
              <a16:creationId xmlns:a16="http://schemas.microsoft.com/office/drawing/2014/main" id="{00000000-0008-0000-0C00-00004D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5411" b="15266"/>
        <a:stretch>
          <a:fillRect/>
        </a:stretch>
      </xdr:blipFill>
      <xdr:spPr bwMode="auto">
        <a:xfrm>
          <a:off x="1477845" y="1745883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67</xdr:row>
      <xdr:rowOff>64635</xdr:rowOff>
    </xdr:from>
    <xdr:to>
      <xdr:col>2</xdr:col>
      <xdr:colOff>587257</xdr:colOff>
      <xdr:row>67</xdr:row>
      <xdr:rowOff>359256</xdr:rowOff>
    </xdr:to>
    <xdr:pic>
      <xdr:nvPicPr>
        <xdr:cNvPr id="79" name="Grafik 6">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88050" y="1825738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68</xdr:row>
      <xdr:rowOff>64635</xdr:rowOff>
    </xdr:from>
    <xdr:to>
      <xdr:col>2</xdr:col>
      <xdr:colOff>599503</xdr:colOff>
      <xdr:row>68</xdr:row>
      <xdr:rowOff>359910</xdr:rowOff>
    </xdr:to>
    <xdr:pic>
      <xdr:nvPicPr>
        <xdr:cNvPr id="80" name="Grafik 135">
          <a:extLst>
            <a:ext uri="{FF2B5EF4-FFF2-40B4-BE49-F238E27FC236}">
              <a16:creationId xmlns:a16="http://schemas.microsoft.com/office/drawing/2014/main" id="{00000000-0008-0000-0C00-00005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1664" t="16180" r="16446" b="17677"/>
        <a:stretch>
          <a:fillRect/>
        </a:stretch>
      </xdr:blipFill>
      <xdr:spPr bwMode="auto">
        <a:xfrm>
          <a:off x="1475803" y="1865743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72</xdr:row>
      <xdr:rowOff>64635</xdr:rowOff>
    </xdr:from>
    <xdr:to>
      <xdr:col>2</xdr:col>
      <xdr:colOff>632223</xdr:colOff>
      <xdr:row>72</xdr:row>
      <xdr:rowOff>357187</xdr:rowOff>
    </xdr:to>
    <xdr:pic>
      <xdr:nvPicPr>
        <xdr:cNvPr id="82" name="Grafik 35">
          <a:extLst>
            <a:ext uri="{FF2B5EF4-FFF2-40B4-BE49-F238E27FC236}">
              <a16:creationId xmlns:a16="http://schemas.microsoft.com/office/drawing/2014/main" id="{00000000-0008-0000-0C00-000052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30981" t="31726" r="24564" b="28786"/>
        <a:stretch>
          <a:fillRect/>
        </a:stretch>
      </xdr:blipFill>
      <xdr:spPr bwMode="auto">
        <a:xfrm>
          <a:off x="1443084" y="194575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73</xdr:row>
      <xdr:rowOff>64635</xdr:rowOff>
    </xdr:from>
    <xdr:to>
      <xdr:col>2</xdr:col>
      <xdr:colOff>633569</xdr:colOff>
      <xdr:row>73</xdr:row>
      <xdr:rowOff>360589</xdr:rowOff>
    </xdr:to>
    <xdr:pic>
      <xdr:nvPicPr>
        <xdr:cNvPr id="83" name="Grafik 38">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13091" t="12276" r="8710" b="19930"/>
        <a:stretch>
          <a:fillRect/>
        </a:stretch>
      </xdr:blipFill>
      <xdr:spPr bwMode="auto">
        <a:xfrm>
          <a:off x="1441737" y="202576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74</xdr:row>
      <xdr:rowOff>64635</xdr:rowOff>
    </xdr:from>
    <xdr:to>
      <xdr:col>2</xdr:col>
      <xdr:colOff>487754</xdr:colOff>
      <xdr:row>74</xdr:row>
      <xdr:rowOff>353786</xdr:rowOff>
    </xdr:to>
    <xdr:pic>
      <xdr:nvPicPr>
        <xdr:cNvPr id="84" name="Grafik 39">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34956" t="15669" r="34590" b="13824"/>
        <a:stretch>
          <a:fillRect/>
        </a:stretch>
      </xdr:blipFill>
      <xdr:spPr bwMode="auto">
        <a:xfrm>
          <a:off x="1587552" y="206576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78</xdr:row>
      <xdr:rowOff>66180</xdr:rowOff>
    </xdr:from>
    <xdr:to>
      <xdr:col>2</xdr:col>
      <xdr:colOff>500728</xdr:colOff>
      <xdr:row>78</xdr:row>
      <xdr:rowOff>357188</xdr:rowOff>
    </xdr:to>
    <xdr:pic>
      <xdr:nvPicPr>
        <xdr:cNvPr id="86" name="Grafik 41">
          <a:extLst>
            <a:ext uri="{FF2B5EF4-FFF2-40B4-BE49-F238E27FC236}">
              <a16:creationId xmlns:a16="http://schemas.microsoft.com/office/drawing/2014/main" id="{00000000-0008-0000-0C00-000056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24969" t="2814" r="25528"/>
        <a:stretch>
          <a:fillRect/>
        </a:stretch>
      </xdr:blipFill>
      <xdr:spPr bwMode="auto">
        <a:xfrm>
          <a:off x="1574578" y="214593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79</xdr:row>
      <xdr:rowOff>66181</xdr:rowOff>
    </xdr:from>
    <xdr:to>
      <xdr:col>2</xdr:col>
      <xdr:colOff>500447</xdr:colOff>
      <xdr:row>79</xdr:row>
      <xdr:rowOff>353785</xdr:rowOff>
    </xdr:to>
    <xdr:pic>
      <xdr:nvPicPr>
        <xdr:cNvPr id="87" name="Grafik 42">
          <a:extLst>
            <a:ext uri="{FF2B5EF4-FFF2-40B4-BE49-F238E27FC236}">
              <a16:creationId xmlns:a16="http://schemas.microsoft.com/office/drawing/2014/main" id="{00000000-0008-0000-0C00-000057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27586" t="3592" r="28188" b="9271"/>
        <a:stretch>
          <a:fillRect/>
        </a:stretch>
      </xdr:blipFill>
      <xdr:spPr bwMode="auto">
        <a:xfrm>
          <a:off x="1574860" y="218593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80</xdr:row>
      <xdr:rowOff>66183</xdr:rowOff>
    </xdr:from>
    <xdr:to>
      <xdr:col>2</xdr:col>
      <xdr:colOff>507412</xdr:colOff>
      <xdr:row>80</xdr:row>
      <xdr:rowOff>360591</xdr:rowOff>
    </xdr:to>
    <xdr:pic>
      <xdr:nvPicPr>
        <xdr:cNvPr id="88" name="Grafik 43">
          <a:extLst>
            <a:ext uri="{FF2B5EF4-FFF2-40B4-BE49-F238E27FC236}">
              <a16:creationId xmlns:a16="http://schemas.microsoft.com/office/drawing/2014/main" id="{00000000-0008-0000-0C00-000058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18970" t="7681" r="33746" b="11191"/>
        <a:stretch>
          <a:fillRect/>
        </a:stretch>
      </xdr:blipFill>
      <xdr:spPr bwMode="auto">
        <a:xfrm>
          <a:off x="1567895" y="222594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81</xdr:row>
      <xdr:rowOff>64636</xdr:rowOff>
    </xdr:from>
    <xdr:to>
      <xdr:col>2</xdr:col>
      <xdr:colOff>474310</xdr:colOff>
      <xdr:row>81</xdr:row>
      <xdr:rowOff>360590</xdr:rowOff>
    </xdr:to>
    <xdr:pic>
      <xdr:nvPicPr>
        <xdr:cNvPr id="89" name="Grafik 44">
          <a:extLst>
            <a:ext uri="{FF2B5EF4-FFF2-40B4-BE49-F238E27FC236}">
              <a16:creationId xmlns:a16="http://schemas.microsoft.com/office/drawing/2014/main" id="{00000000-0008-0000-0C00-000059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34373" t="6560" r="32944" b="5733"/>
        <a:stretch>
          <a:fillRect/>
        </a:stretch>
      </xdr:blipFill>
      <xdr:spPr bwMode="auto">
        <a:xfrm>
          <a:off x="1600996" y="226579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83</xdr:row>
      <xdr:rowOff>88731</xdr:rowOff>
    </xdr:from>
    <xdr:to>
      <xdr:col>2</xdr:col>
      <xdr:colOff>570673</xdr:colOff>
      <xdr:row>83</xdr:row>
      <xdr:rowOff>329690</xdr:rowOff>
    </xdr:to>
    <xdr:pic>
      <xdr:nvPicPr>
        <xdr:cNvPr id="90" name="Grafik 46">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515520" y="26010338"/>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84</xdr:row>
      <xdr:rowOff>64635</xdr:rowOff>
    </xdr:from>
    <xdr:to>
      <xdr:col>2</xdr:col>
      <xdr:colOff>497853</xdr:colOff>
      <xdr:row>84</xdr:row>
      <xdr:rowOff>353786</xdr:rowOff>
    </xdr:to>
    <xdr:pic>
      <xdr:nvPicPr>
        <xdr:cNvPr id="91" name="Grafik 47">
          <a:extLst>
            <a:ext uri="{FF2B5EF4-FFF2-40B4-BE49-F238E27FC236}">
              <a16:creationId xmlns:a16="http://schemas.microsoft.com/office/drawing/2014/main" id="{00000000-0008-0000-0C00-00005B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20462" t="6029" r="38539" b="9200"/>
        <a:stretch>
          <a:fillRect/>
        </a:stretch>
      </xdr:blipFill>
      <xdr:spPr bwMode="auto">
        <a:xfrm>
          <a:off x="1577454" y="2385808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86</xdr:row>
      <xdr:rowOff>64635</xdr:rowOff>
    </xdr:from>
    <xdr:to>
      <xdr:col>2</xdr:col>
      <xdr:colOff>482327</xdr:colOff>
      <xdr:row>86</xdr:row>
      <xdr:rowOff>357187</xdr:rowOff>
    </xdr:to>
    <xdr:pic>
      <xdr:nvPicPr>
        <xdr:cNvPr id="92" name="Grafik 48">
          <a:extLst>
            <a:ext uri="{FF2B5EF4-FFF2-40B4-BE49-F238E27FC236}">
              <a16:creationId xmlns:a16="http://schemas.microsoft.com/office/drawing/2014/main" id="{00000000-0008-0000-0C00-00005C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l="40997" t="2327" r="23866" b="9785"/>
        <a:stretch>
          <a:fillRect/>
        </a:stretch>
      </xdr:blipFill>
      <xdr:spPr bwMode="auto">
        <a:xfrm>
          <a:off x="1592980" y="242581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87</xdr:row>
      <xdr:rowOff>64635</xdr:rowOff>
    </xdr:from>
    <xdr:to>
      <xdr:col>2</xdr:col>
      <xdr:colOff>585555</xdr:colOff>
      <xdr:row>87</xdr:row>
      <xdr:rowOff>358738</xdr:rowOff>
    </xdr:to>
    <xdr:pic>
      <xdr:nvPicPr>
        <xdr:cNvPr id="93" name="Grafik 19">
          <a:extLst>
            <a:ext uri="{FF2B5EF4-FFF2-40B4-BE49-F238E27FC236}">
              <a16:creationId xmlns:a16="http://schemas.microsoft.com/office/drawing/2014/main" id="{00000000-0008-0000-0C00-00005D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89751" y="246581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88</xdr:row>
      <xdr:rowOff>88449</xdr:rowOff>
    </xdr:from>
    <xdr:to>
      <xdr:col>2</xdr:col>
      <xdr:colOff>551878</xdr:colOff>
      <xdr:row>88</xdr:row>
      <xdr:rowOff>326574</xdr:rowOff>
    </xdr:to>
    <xdr:pic>
      <xdr:nvPicPr>
        <xdr:cNvPr id="94" name="Grafik 49">
          <a:extLst>
            <a:ext uri="{FF2B5EF4-FFF2-40B4-BE49-F238E27FC236}">
              <a16:creationId xmlns:a16="http://schemas.microsoft.com/office/drawing/2014/main" id="{00000000-0008-0000-0C00-00005E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l="25175" t="22807" r="20856" b="5193"/>
        <a:stretch>
          <a:fillRect/>
        </a:stretch>
      </xdr:blipFill>
      <xdr:spPr bwMode="auto">
        <a:xfrm>
          <a:off x="1523428" y="250820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89</xdr:row>
      <xdr:rowOff>64635</xdr:rowOff>
    </xdr:from>
    <xdr:to>
      <xdr:col>2</xdr:col>
      <xdr:colOff>476699</xdr:colOff>
      <xdr:row>89</xdr:row>
      <xdr:rowOff>360707</xdr:rowOff>
    </xdr:to>
    <xdr:pic>
      <xdr:nvPicPr>
        <xdr:cNvPr id="95" name="Grafik 50">
          <a:extLst>
            <a:ext uri="{FF2B5EF4-FFF2-40B4-BE49-F238E27FC236}">
              <a16:creationId xmlns:a16="http://schemas.microsoft.com/office/drawing/2014/main" id="{00000000-0008-0000-0C00-00005F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29245" r="32980"/>
        <a:stretch>
          <a:fillRect/>
        </a:stretch>
      </xdr:blipFill>
      <xdr:spPr bwMode="auto">
        <a:xfrm>
          <a:off x="1598608" y="254582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94</xdr:row>
      <xdr:rowOff>66182</xdr:rowOff>
    </xdr:from>
    <xdr:to>
      <xdr:col>2</xdr:col>
      <xdr:colOff>563444</xdr:colOff>
      <xdr:row>94</xdr:row>
      <xdr:rowOff>358338</xdr:rowOff>
    </xdr:to>
    <xdr:pic>
      <xdr:nvPicPr>
        <xdr:cNvPr id="97" name="Grafik 52">
          <a:extLst>
            <a:ext uri="{FF2B5EF4-FFF2-40B4-BE49-F238E27FC236}">
              <a16:creationId xmlns:a16="http://schemas.microsoft.com/office/drawing/2014/main" id="{00000000-0008-0000-0C00-000061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19099" t="21667" r="31839" b="15466"/>
        <a:stretch>
          <a:fillRect/>
        </a:stretch>
      </xdr:blipFill>
      <xdr:spPr bwMode="auto">
        <a:xfrm>
          <a:off x="1511862" y="2625993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273084</xdr:colOff>
      <xdr:row>95</xdr:row>
      <xdr:rowOff>66183</xdr:rowOff>
    </xdr:from>
    <xdr:to>
      <xdr:col>2</xdr:col>
      <xdr:colOff>506822</xdr:colOff>
      <xdr:row>95</xdr:row>
      <xdr:rowOff>363993</xdr:rowOff>
    </xdr:to>
    <xdr:pic>
      <xdr:nvPicPr>
        <xdr:cNvPr id="98" name="Grafik 53">
          <a:extLst>
            <a:ext uri="{FF2B5EF4-FFF2-40B4-BE49-F238E27FC236}">
              <a16:creationId xmlns:a16="http://schemas.microsoft.com/office/drawing/2014/main" id="{00000000-0008-0000-0C00-000062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l="25954" t="5661" r="29134" b="7796"/>
        <a:stretch>
          <a:fillRect/>
        </a:stretch>
      </xdr:blipFill>
      <xdr:spPr bwMode="auto">
        <a:xfrm>
          <a:off x="1568484" y="26659983"/>
          <a:ext cx="233738" cy="297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96</xdr:row>
      <xdr:rowOff>64635</xdr:rowOff>
    </xdr:from>
    <xdr:to>
      <xdr:col>2</xdr:col>
      <xdr:colOff>551538</xdr:colOff>
      <xdr:row>96</xdr:row>
      <xdr:rowOff>361600</xdr:rowOff>
    </xdr:to>
    <xdr:pic>
      <xdr:nvPicPr>
        <xdr:cNvPr id="99" name="Grafik 54">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20901" t="4411" r="21758" b="13615"/>
        <a:stretch>
          <a:fillRect/>
        </a:stretch>
      </xdr:blipFill>
      <xdr:spPr bwMode="auto">
        <a:xfrm>
          <a:off x="1523769" y="2705848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98</xdr:row>
      <xdr:rowOff>64634</xdr:rowOff>
    </xdr:from>
    <xdr:to>
      <xdr:col>2</xdr:col>
      <xdr:colOff>544574</xdr:colOff>
      <xdr:row>98</xdr:row>
      <xdr:rowOff>357188</xdr:rowOff>
    </xdr:to>
    <xdr:pic>
      <xdr:nvPicPr>
        <xdr:cNvPr id="100" name="Grafik 171">
          <a:extLst>
            <a:ext uri="{FF2B5EF4-FFF2-40B4-BE49-F238E27FC236}">
              <a16:creationId xmlns:a16="http://schemas.microsoft.com/office/drawing/2014/main" id="{00000000-0008-0000-0C00-000064000000}"/>
            </a:ext>
          </a:extLst>
        </xdr:cNvPr>
        <xdr:cNvPicPr>
          <a:picLocks noChangeAspect="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26962" t="11852" r="19055" b="12289"/>
        <a:stretch/>
      </xdr:blipFill>
      <xdr:spPr bwMode="auto">
        <a:xfrm>
          <a:off x="1561132" y="274585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137541</xdr:colOff>
      <xdr:row>99</xdr:row>
      <xdr:rowOff>125867</xdr:rowOff>
    </xdr:from>
    <xdr:to>
      <xdr:col>2</xdr:col>
      <xdr:colOff>642366</xdr:colOff>
      <xdr:row>99</xdr:row>
      <xdr:rowOff>278267</xdr:rowOff>
    </xdr:to>
    <xdr:pic>
      <xdr:nvPicPr>
        <xdr:cNvPr id="101" name="Grafik 166">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l="27518" t="31212" r="23257" b="45096"/>
        <a:stretch>
          <a:fillRect/>
        </a:stretch>
      </xdr:blipFill>
      <xdr:spPr bwMode="auto">
        <a:xfrm>
          <a:off x="1432941" y="27919817"/>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100</xdr:row>
      <xdr:rowOff>64635</xdr:rowOff>
    </xdr:from>
    <xdr:to>
      <xdr:col>2</xdr:col>
      <xdr:colOff>689991</xdr:colOff>
      <xdr:row>100</xdr:row>
      <xdr:rowOff>340860</xdr:rowOff>
    </xdr:to>
    <xdr:pic>
      <xdr:nvPicPr>
        <xdr:cNvPr id="103" name="Grafik 56">
          <a:extLst>
            <a:ext uri="{FF2B5EF4-FFF2-40B4-BE49-F238E27FC236}">
              <a16:creationId xmlns:a16="http://schemas.microsoft.com/office/drawing/2014/main" id="{00000000-0008-0000-0C00-000067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10638" t="23158" r="9213" b="18840"/>
        <a:stretch>
          <a:fillRect/>
        </a:stretch>
      </xdr:blipFill>
      <xdr:spPr bwMode="auto">
        <a:xfrm>
          <a:off x="1385316" y="28258635"/>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101</xdr:row>
      <xdr:rowOff>64635</xdr:rowOff>
    </xdr:from>
    <xdr:to>
      <xdr:col>2</xdr:col>
      <xdr:colOff>640756</xdr:colOff>
      <xdr:row>101</xdr:row>
      <xdr:rowOff>360590</xdr:rowOff>
    </xdr:to>
    <xdr:pic>
      <xdr:nvPicPr>
        <xdr:cNvPr id="105" name="Grafik 58">
          <a:extLst>
            <a:ext uri="{FF2B5EF4-FFF2-40B4-BE49-F238E27FC236}">
              <a16:creationId xmlns:a16="http://schemas.microsoft.com/office/drawing/2014/main" id="{00000000-0008-0000-0C00-00006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l="6664" t="4916" r="3174" b="4167"/>
        <a:stretch>
          <a:fillRect/>
        </a:stretch>
      </xdr:blipFill>
      <xdr:spPr bwMode="auto">
        <a:xfrm>
          <a:off x="1434551" y="290587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102</xdr:row>
          <xdr:rowOff>68580</xdr:rowOff>
        </xdr:from>
        <xdr:to>
          <xdr:col>2</xdr:col>
          <xdr:colOff>601980</xdr:colOff>
          <xdr:row>102</xdr:row>
          <xdr:rowOff>350520</xdr:rowOff>
        </xdr:to>
        <xdr:sp macro="" textlink="">
          <xdr:nvSpPr>
            <xdr:cNvPr id="1110" name="Object 86" hidden="1">
              <a:extLst>
                <a:ext uri="{63B3BB69-23CF-44E3-9099-C40C66FF867C}">
                  <a14:compatExt spid="_x0000_s1110"/>
                </a:ext>
                <a:ext uri="{FF2B5EF4-FFF2-40B4-BE49-F238E27FC236}">
                  <a16:creationId xmlns:a16="http://schemas.microsoft.com/office/drawing/2014/main" id="{00000000-0008-0000-0C00-00005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103</xdr:row>
      <xdr:rowOff>64635</xdr:rowOff>
    </xdr:from>
    <xdr:to>
      <xdr:col>2</xdr:col>
      <xdr:colOff>565761</xdr:colOff>
      <xdr:row>103</xdr:row>
      <xdr:rowOff>352901</xdr:rowOff>
    </xdr:to>
    <xdr:pic>
      <xdr:nvPicPr>
        <xdr:cNvPr id="106" name="Grafik 60">
          <a:extLst>
            <a:ext uri="{FF2B5EF4-FFF2-40B4-BE49-F238E27FC236}">
              <a16:creationId xmlns:a16="http://schemas.microsoft.com/office/drawing/2014/main" id="{00000000-0008-0000-0C00-00006A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l="13971" t="7262" r="13695" b="2553"/>
        <a:stretch>
          <a:fillRect/>
        </a:stretch>
      </xdr:blipFill>
      <xdr:spPr bwMode="auto">
        <a:xfrm>
          <a:off x="1509546" y="298588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104</xdr:row>
      <xdr:rowOff>64635</xdr:rowOff>
    </xdr:from>
    <xdr:to>
      <xdr:col>2</xdr:col>
      <xdr:colOff>585808</xdr:colOff>
      <xdr:row>104</xdr:row>
      <xdr:rowOff>350384</xdr:rowOff>
    </xdr:to>
    <xdr:pic>
      <xdr:nvPicPr>
        <xdr:cNvPr id="107" name="Grafik 61">
          <a:extLst>
            <a:ext uri="{FF2B5EF4-FFF2-40B4-BE49-F238E27FC236}">
              <a16:creationId xmlns:a16="http://schemas.microsoft.com/office/drawing/2014/main" id="{00000000-0008-0000-0C00-00006B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l="16917" t="8696" r="12199" b="12032"/>
        <a:stretch>
          <a:fillRect/>
        </a:stretch>
      </xdr:blipFill>
      <xdr:spPr bwMode="auto">
        <a:xfrm>
          <a:off x="1489499" y="302588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105</xdr:row>
      <xdr:rowOff>64635</xdr:rowOff>
    </xdr:from>
    <xdr:to>
      <xdr:col>2</xdr:col>
      <xdr:colOff>561743</xdr:colOff>
      <xdr:row>105</xdr:row>
      <xdr:rowOff>352408</xdr:rowOff>
    </xdr:to>
    <xdr:pic>
      <xdr:nvPicPr>
        <xdr:cNvPr id="108" name="Grafik 62">
          <a:extLst>
            <a:ext uri="{FF2B5EF4-FFF2-40B4-BE49-F238E27FC236}">
              <a16:creationId xmlns:a16="http://schemas.microsoft.com/office/drawing/2014/main" id="{00000000-0008-0000-0C00-00006C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l="21242" t="18465" r="20113" b="6117"/>
        <a:stretch>
          <a:fillRect/>
        </a:stretch>
      </xdr:blipFill>
      <xdr:spPr bwMode="auto">
        <a:xfrm>
          <a:off x="1513563" y="306589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108</xdr:row>
      <xdr:rowOff>64635</xdr:rowOff>
    </xdr:from>
    <xdr:to>
      <xdr:col>2</xdr:col>
      <xdr:colOff>677404</xdr:colOff>
      <xdr:row>108</xdr:row>
      <xdr:rowOff>352085</xdr:rowOff>
    </xdr:to>
    <xdr:pic>
      <xdr:nvPicPr>
        <xdr:cNvPr id="109" name="Grafik 63">
          <a:extLst>
            <a:ext uri="{FF2B5EF4-FFF2-40B4-BE49-F238E27FC236}">
              <a16:creationId xmlns:a16="http://schemas.microsoft.com/office/drawing/2014/main" id="{00000000-0008-0000-0C00-00006D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l="4597" t="10809" r="2196" b="12961"/>
        <a:stretch>
          <a:fillRect/>
        </a:stretch>
      </xdr:blipFill>
      <xdr:spPr bwMode="auto">
        <a:xfrm>
          <a:off x="1397903" y="310589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23</xdr:row>
          <xdr:rowOff>0</xdr:rowOff>
        </xdr:from>
        <xdr:to>
          <xdr:col>7</xdr:col>
          <xdr:colOff>762000</xdr:colOff>
          <xdr:row>29</xdr:row>
          <xdr:rowOff>106680</xdr:rowOff>
        </xdr:to>
        <xdr:sp macro="" textlink="">
          <xdr:nvSpPr>
            <xdr:cNvPr id="1112" name="Group Box 88" hidden="1">
              <a:extLst>
                <a:ext uri="{63B3BB69-23CF-44E3-9099-C40C66FF867C}">
                  <a14:compatExt spid="_x0000_s1112"/>
                </a:ext>
                <a:ext uri="{FF2B5EF4-FFF2-40B4-BE49-F238E27FC236}">
                  <a16:creationId xmlns:a16="http://schemas.microsoft.com/office/drawing/2014/main" id="{00000000-0008-0000-0C00-00005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24</xdr:row>
          <xdr:rowOff>7620</xdr:rowOff>
        </xdr:from>
        <xdr:to>
          <xdr:col>6</xdr:col>
          <xdr:colOff>335280</xdr:colOff>
          <xdr:row>24</xdr:row>
          <xdr:rowOff>182880</xdr:rowOff>
        </xdr:to>
        <xdr:sp macro="" textlink="">
          <xdr:nvSpPr>
            <xdr:cNvPr id="1123" name="Option Button 99" hidden="1">
              <a:extLst>
                <a:ext uri="{63B3BB69-23CF-44E3-9099-C40C66FF867C}">
                  <a14:compatExt spid="_x0000_s1123"/>
                </a:ext>
                <a:ext uri="{FF2B5EF4-FFF2-40B4-BE49-F238E27FC236}">
                  <a16:creationId xmlns:a16="http://schemas.microsoft.com/office/drawing/2014/main" id="{00000000-0008-0000-0C00-00006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678180</xdr:colOff>
          <xdr:row>22</xdr:row>
          <xdr:rowOff>175260</xdr:rowOff>
        </xdr:from>
        <xdr:to>
          <xdr:col>12</xdr:col>
          <xdr:colOff>68580</xdr:colOff>
          <xdr:row>29</xdr:row>
          <xdr:rowOff>121920</xdr:rowOff>
        </xdr:to>
        <xdr:sp macro="" textlink="">
          <xdr:nvSpPr>
            <xdr:cNvPr id="1138" name="Group Box 114" hidden="1">
              <a:extLst>
                <a:ext uri="{63B3BB69-23CF-44E3-9099-C40C66FF867C}">
                  <a14:compatExt spid="_x0000_s1138"/>
                </a:ext>
                <a:ext uri="{FF2B5EF4-FFF2-40B4-BE49-F238E27FC236}">
                  <a16:creationId xmlns:a16="http://schemas.microsoft.com/office/drawing/2014/main" id="{00000000-0008-0000-0C00-00007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24</xdr:row>
          <xdr:rowOff>22860</xdr:rowOff>
        </xdr:from>
        <xdr:to>
          <xdr:col>9</xdr:col>
          <xdr:colOff>312420</xdr:colOff>
          <xdr:row>25</xdr:row>
          <xdr:rowOff>0</xdr:rowOff>
        </xdr:to>
        <xdr:sp macro="" textlink="">
          <xdr:nvSpPr>
            <xdr:cNvPr id="1139" name="Option Button 115" hidden="1">
              <a:extLst>
                <a:ext uri="{63B3BB69-23CF-44E3-9099-C40C66FF867C}">
                  <a14:compatExt spid="_x0000_s1139"/>
                </a:ext>
                <a:ext uri="{FF2B5EF4-FFF2-40B4-BE49-F238E27FC236}">
                  <a16:creationId xmlns:a16="http://schemas.microsoft.com/office/drawing/2014/main" id="{00000000-0008-0000-0C00-00007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25</xdr:row>
          <xdr:rowOff>7620</xdr:rowOff>
        </xdr:from>
        <xdr:to>
          <xdr:col>6</xdr:col>
          <xdr:colOff>335280</xdr:colOff>
          <xdr:row>25</xdr:row>
          <xdr:rowOff>182880</xdr:rowOff>
        </xdr:to>
        <xdr:sp macro="" textlink="">
          <xdr:nvSpPr>
            <xdr:cNvPr id="1156" name="Option Button 132" hidden="1">
              <a:extLst>
                <a:ext uri="{63B3BB69-23CF-44E3-9099-C40C66FF867C}">
                  <a14:compatExt spid="_x0000_s1156"/>
                </a:ext>
                <a:ext uri="{FF2B5EF4-FFF2-40B4-BE49-F238E27FC236}">
                  <a16:creationId xmlns:a16="http://schemas.microsoft.com/office/drawing/2014/main" id="{00000000-0008-0000-0C00-00008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26</xdr:row>
          <xdr:rowOff>22860</xdr:rowOff>
        </xdr:from>
        <xdr:to>
          <xdr:col>9</xdr:col>
          <xdr:colOff>312420</xdr:colOff>
          <xdr:row>27</xdr:row>
          <xdr:rowOff>0</xdr:rowOff>
        </xdr:to>
        <xdr:sp macro="" textlink="">
          <xdr:nvSpPr>
            <xdr:cNvPr id="1157" name="Option Button 133" hidden="1">
              <a:extLst>
                <a:ext uri="{63B3BB69-23CF-44E3-9099-C40C66FF867C}">
                  <a14:compatExt spid="_x0000_s1157"/>
                </a:ext>
                <a:ext uri="{FF2B5EF4-FFF2-40B4-BE49-F238E27FC236}">
                  <a16:creationId xmlns:a16="http://schemas.microsoft.com/office/drawing/2014/main" id="{00000000-0008-0000-0C00-00008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26</xdr:row>
          <xdr:rowOff>7620</xdr:rowOff>
        </xdr:from>
        <xdr:to>
          <xdr:col>6</xdr:col>
          <xdr:colOff>335280</xdr:colOff>
          <xdr:row>26</xdr:row>
          <xdr:rowOff>182880</xdr:rowOff>
        </xdr:to>
        <xdr:sp macro="" textlink="">
          <xdr:nvSpPr>
            <xdr:cNvPr id="1158" name="Option Button 134" hidden="1">
              <a:extLst>
                <a:ext uri="{63B3BB69-23CF-44E3-9099-C40C66FF867C}">
                  <a14:compatExt spid="_x0000_s1158"/>
                </a:ext>
                <a:ext uri="{FF2B5EF4-FFF2-40B4-BE49-F238E27FC236}">
                  <a16:creationId xmlns:a16="http://schemas.microsoft.com/office/drawing/2014/main" id="{00000000-0008-0000-0C00-00008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26</xdr:row>
          <xdr:rowOff>22860</xdr:rowOff>
        </xdr:from>
        <xdr:to>
          <xdr:col>9</xdr:col>
          <xdr:colOff>312420</xdr:colOff>
          <xdr:row>27</xdr:row>
          <xdr:rowOff>0</xdr:rowOff>
        </xdr:to>
        <xdr:sp macro="" textlink="">
          <xdr:nvSpPr>
            <xdr:cNvPr id="1159" name="Option Button 135" hidden="1">
              <a:extLst>
                <a:ext uri="{63B3BB69-23CF-44E3-9099-C40C66FF867C}">
                  <a14:compatExt spid="_x0000_s1159"/>
                </a:ext>
                <a:ext uri="{FF2B5EF4-FFF2-40B4-BE49-F238E27FC236}">
                  <a16:creationId xmlns:a16="http://schemas.microsoft.com/office/drawing/2014/main" id="{00000000-0008-0000-0C00-00008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27</xdr:row>
          <xdr:rowOff>0</xdr:rowOff>
        </xdr:from>
        <xdr:to>
          <xdr:col>6</xdr:col>
          <xdr:colOff>335280</xdr:colOff>
          <xdr:row>27</xdr:row>
          <xdr:rowOff>182880</xdr:rowOff>
        </xdr:to>
        <xdr:sp macro="" textlink="">
          <xdr:nvSpPr>
            <xdr:cNvPr id="1160" name="Option Button 136" hidden="1">
              <a:extLst>
                <a:ext uri="{63B3BB69-23CF-44E3-9099-C40C66FF867C}">
                  <a14:compatExt spid="_x0000_s1160"/>
                </a:ext>
                <a:ext uri="{FF2B5EF4-FFF2-40B4-BE49-F238E27FC236}">
                  <a16:creationId xmlns:a16="http://schemas.microsoft.com/office/drawing/2014/main" id="{00000000-0008-0000-0C00-00008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27</xdr:row>
          <xdr:rowOff>7620</xdr:rowOff>
        </xdr:from>
        <xdr:to>
          <xdr:col>9</xdr:col>
          <xdr:colOff>312420</xdr:colOff>
          <xdr:row>28</xdr:row>
          <xdr:rowOff>0</xdr:rowOff>
        </xdr:to>
        <xdr:sp macro="" textlink="">
          <xdr:nvSpPr>
            <xdr:cNvPr id="1161" name="Option Button 137" hidden="1">
              <a:extLst>
                <a:ext uri="{63B3BB69-23CF-44E3-9099-C40C66FF867C}">
                  <a14:compatExt spid="_x0000_s1161"/>
                </a:ext>
                <a:ext uri="{FF2B5EF4-FFF2-40B4-BE49-F238E27FC236}">
                  <a16:creationId xmlns:a16="http://schemas.microsoft.com/office/drawing/2014/main" id="{00000000-0008-0000-0C00-00008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28</xdr:row>
          <xdr:rowOff>0</xdr:rowOff>
        </xdr:from>
        <xdr:to>
          <xdr:col>6</xdr:col>
          <xdr:colOff>335280</xdr:colOff>
          <xdr:row>28</xdr:row>
          <xdr:rowOff>182880</xdr:rowOff>
        </xdr:to>
        <xdr:sp macro="" textlink="">
          <xdr:nvSpPr>
            <xdr:cNvPr id="1162" name="Option Button 138" hidden="1">
              <a:extLst>
                <a:ext uri="{63B3BB69-23CF-44E3-9099-C40C66FF867C}">
                  <a14:compatExt spid="_x0000_s1162"/>
                </a:ext>
                <a:ext uri="{FF2B5EF4-FFF2-40B4-BE49-F238E27FC236}">
                  <a16:creationId xmlns:a16="http://schemas.microsoft.com/office/drawing/2014/main" id="{00000000-0008-0000-0C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28</xdr:row>
          <xdr:rowOff>7620</xdr:rowOff>
        </xdr:from>
        <xdr:to>
          <xdr:col>9</xdr:col>
          <xdr:colOff>312420</xdr:colOff>
          <xdr:row>29</xdr:row>
          <xdr:rowOff>0</xdr:rowOff>
        </xdr:to>
        <xdr:sp macro="" textlink="">
          <xdr:nvSpPr>
            <xdr:cNvPr id="1163" name="Option Button 139" hidden="1">
              <a:extLst>
                <a:ext uri="{63B3BB69-23CF-44E3-9099-C40C66FF867C}">
                  <a14:compatExt spid="_x0000_s1163"/>
                </a:ext>
                <a:ext uri="{FF2B5EF4-FFF2-40B4-BE49-F238E27FC236}">
                  <a16:creationId xmlns:a16="http://schemas.microsoft.com/office/drawing/2014/main" id="{00000000-0008-0000-0C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50</xdr:row>
      <xdr:rowOff>70450</xdr:rowOff>
    </xdr:from>
    <xdr:to>
      <xdr:col>2</xdr:col>
      <xdr:colOff>645534</xdr:colOff>
      <xdr:row>50</xdr:row>
      <xdr:rowOff>332836</xdr:rowOff>
    </xdr:to>
    <xdr:pic>
      <xdr:nvPicPr>
        <xdr:cNvPr id="112" name="Grafik 3">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l="26704" t="5402" r="1610" b="10881"/>
        <a:stretch>
          <a:fillRect/>
        </a:stretch>
      </xdr:blipFill>
      <xdr:spPr bwMode="auto">
        <a:xfrm>
          <a:off x="1393346" y="87382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289560</xdr:colOff>
          <xdr:row>12</xdr:row>
          <xdr:rowOff>182880</xdr:rowOff>
        </xdr:to>
        <xdr:sp macro="" textlink="">
          <xdr:nvSpPr>
            <xdr:cNvPr id="1164" name="Option Button 140" hidden="1">
              <a:extLst>
                <a:ext uri="{63B3BB69-23CF-44E3-9099-C40C66FF867C}">
                  <a14:compatExt spid="_x0000_s1164"/>
                </a:ext>
                <a:ext uri="{FF2B5EF4-FFF2-40B4-BE49-F238E27FC236}">
                  <a16:creationId xmlns:a16="http://schemas.microsoft.com/office/drawing/2014/main" id="{00000000-0008-0000-0C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640080</xdr:colOff>
          <xdr:row>12</xdr:row>
          <xdr:rowOff>182880</xdr:rowOff>
        </xdr:to>
        <xdr:sp macro="" textlink="">
          <xdr:nvSpPr>
            <xdr:cNvPr id="1165" name="Option Button 141" hidden="1">
              <a:extLst>
                <a:ext uri="{63B3BB69-23CF-44E3-9099-C40C66FF867C}">
                  <a14:compatExt spid="_x0000_s1165"/>
                </a:ext>
                <a:ext uri="{FF2B5EF4-FFF2-40B4-BE49-F238E27FC236}">
                  <a16:creationId xmlns:a16="http://schemas.microsoft.com/office/drawing/2014/main" id="{00000000-0008-0000-0C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85</xdr:row>
      <xdr:rowOff>32426</xdr:rowOff>
    </xdr:from>
    <xdr:to>
      <xdr:col>2</xdr:col>
      <xdr:colOff>507607</xdr:colOff>
      <xdr:row>85</xdr:row>
      <xdr:rowOff>364769</xdr:rowOff>
    </xdr:to>
    <xdr:pic>
      <xdr:nvPicPr>
        <xdr:cNvPr id="113" name="Grafik 48">
          <a:extLst>
            <a:ext uri="{FF2B5EF4-FFF2-40B4-BE49-F238E27FC236}">
              <a16:creationId xmlns:a16="http://schemas.microsoft.com/office/drawing/2014/main" id="{00000000-0008-0000-0C00-000071000000}"/>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28358" r="28359"/>
        <a:stretch/>
      </xdr:blipFill>
      <xdr:spPr bwMode="auto">
        <a:xfrm>
          <a:off x="1588852" y="6622915"/>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97</xdr:row>
      <xdr:rowOff>36047</xdr:rowOff>
    </xdr:from>
    <xdr:to>
      <xdr:col>2</xdr:col>
      <xdr:colOff>551268</xdr:colOff>
      <xdr:row>97</xdr:row>
      <xdr:rowOff>368011</xdr:rowOff>
    </xdr:to>
    <xdr:pic>
      <xdr:nvPicPr>
        <xdr:cNvPr id="114" name="Grafik 54">
          <a:extLst>
            <a:ext uri="{FF2B5EF4-FFF2-40B4-BE49-F238E27FC236}">
              <a16:creationId xmlns:a16="http://schemas.microsoft.com/office/drawing/2014/main" id="{00000000-0008-0000-0C00-000072000000}"/>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29582" t="14686" r="13469" b="1"/>
        <a:stretch/>
      </xdr:blipFill>
      <xdr:spPr bwMode="auto">
        <a:xfrm>
          <a:off x="1554668" y="29334081"/>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69</xdr:row>
      <xdr:rowOff>64635</xdr:rowOff>
    </xdr:from>
    <xdr:to>
      <xdr:col>2</xdr:col>
      <xdr:colOff>629329</xdr:colOff>
      <xdr:row>69</xdr:row>
      <xdr:rowOff>360590</xdr:rowOff>
    </xdr:to>
    <xdr:pic>
      <xdr:nvPicPr>
        <xdr:cNvPr id="115" name="Grafik 148">
          <a:extLst>
            <a:ext uri="{FF2B5EF4-FFF2-40B4-BE49-F238E27FC236}">
              <a16:creationId xmlns:a16="http://schemas.microsoft.com/office/drawing/2014/main" id="{00000000-0008-0000-0C00-000073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b="17012"/>
        <a:stretch>
          <a:fillRect/>
        </a:stretch>
      </xdr:blipFill>
      <xdr:spPr bwMode="auto">
        <a:xfrm>
          <a:off x="1445978" y="19457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71</xdr:row>
      <xdr:rowOff>30307</xdr:rowOff>
    </xdr:from>
    <xdr:to>
      <xdr:col>2</xdr:col>
      <xdr:colOff>644695</xdr:colOff>
      <xdr:row>71</xdr:row>
      <xdr:rowOff>355023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54"/>
        <a:stretch>
          <a:fillRect/>
        </a:stretch>
      </xdr:blipFill>
      <xdr:spPr>
        <a:xfrm>
          <a:off x="1431073" y="20167023"/>
          <a:ext cx="512486" cy="324716"/>
        </a:xfrm>
        <a:prstGeom prst="rect">
          <a:avLst/>
        </a:prstGeom>
      </xdr:spPr>
    </xdr:pic>
    <xdr:clientData/>
  </xdr:twoCellAnchor>
  <xdr:twoCellAnchor>
    <xdr:from>
      <xdr:col>2</xdr:col>
      <xdr:colOff>181573</xdr:colOff>
      <xdr:row>76</xdr:row>
      <xdr:rowOff>33138</xdr:rowOff>
    </xdr:from>
    <xdr:to>
      <xdr:col>2</xdr:col>
      <xdr:colOff>559149</xdr:colOff>
      <xdr:row>76</xdr:row>
      <xdr:rowOff>376670</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5"/>
        <a:stretch>
          <a:fillRect/>
        </a:stretch>
      </xdr:blipFill>
      <xdr:spPr>
        <a:xfrm>
          <a:off x="1480437" y="22161445"/>
          <a:ext cx="377576" cy="343532"/>
        </a:xfrm>
        <a:prstGeom prst="rect">
          <a:avLst/>
        </a:prstGeom>
      </xdr:spPr>
    </xdr:pic>
    <xdr:clientData/>
  </xdr:twoCellAnchor>
  <xdr:twoCellAnchor>
    <xdr:from>
      <xdr:col>2</xdr:col>
      <xdr:colOff>228108</xdr:colOff>
      <xdr:row>77</xdr:row>
      <xdr:rowOff>38965</xdr:rowOff>
    </xdr:from>
    <xdr:to>
      <xdr:col>2</xdr:col>
      <xdr:colOff>559068</xdr:colOff>
      <xdr:row>77</xdr:row>
      <xdr:rowOff>372341</xdr:rowOff>
    </xdr:to>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6"/>
        <a:stretch>
          <a:fillRect/>
        </a:stretch>
      </xdr:blipFill>
      <xdr:spPr>
        <a:xfrm>
          <a:off x="1526972" y="6632863"/>
          <a:ext cx="330960" cy="333376"/>
        </a:xfrm>
        <a:prstGeom prst="rect">
          <a:avLst/>
        </a:prstGeom>
      </xdr:spPr>
    </xdr:pic>
    <xdr:clientData/>
  </xdr:twoCellAnchor>
  <xdr:twoCellAnchor>
    <xdr:from>
      <xdr:col>2</xdr:col>
      <xdr:colOff>287092</xdr:colOff>
      <xdr:row>92</xdr:row>
      <xdr:rowOff>11414</xdr:rowOff>
    </xdr:from>
    <xdr:to>
      <xdr:col>2</xdr:col>
      <xdr:colOff>525888</xdr:colOff>
      <xdr:row>92</xdr:row>
      <xdr:rowOff>388310</xdr:rowOff>
    </xdr:to>
    <xdr:pic>
      <xdr:nvPicPr>
        <xdr:cNvPr id="118" name="Grafik 52">
          <a:extLst>
            <a:ext uri="{FF2B5EF4-FFF2-40B4-BE49-F238E27FC236}">
              <a16:creationId xmlns:a16="http://schemas.microsoft.com/office/drawing/2014/main" id="{00000000-0008-0000-0C00-000076000000}"/>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34274" r="22423" b="8872"/>
        <a:stretch/>
      </xdr:blipFill>
      <xdr:spPr bwMode="auto">
        <a:xfrm>
          <a:off x="1580346" y="27792217"/>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112</xdr:row>
      <xdr:rowOff>21479</xdr:rowOff>
    </xdr:from>
    <xdr:to>
      <xdr:col>2</xdr:col>
      <xdr:colOff>655545</xdr:colOff>
      <xdr:row>112</xdr:row>
      <xdr:rowOff>372597</xdr:rowOff>
    </xdr:to>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8"/>
        <a:stretch>
          <a:fillRect/>
        </a:stretch>
      </xdr:blipFill>
      <xdr:spPr>
        <a:xfrm>
          <a:off x="1423147" y="7411758"/>
          <a:ext cx="526677" cy="351118"/>
        </a:xfrm>
        <a:prstGeom prst="rect">
          <a:avLst/>
        </a:prstGeom>
      </xdr:spPr>
    </xdr:pic>
    <xdr:clientData/>
  </xdr:twoCellAnchor>
  <xdr:twoCellAnchor>
    <xdr:from>
      <xdr:col>2</xdr:col>
      <xdr:colOff>164124</xdr:colOff>
      <xdr:row>113</xdr:row>
      <xdr:rowOff>17586</xdr:rowOff>
    </xdr:from>
    <xdr:to>
      <xdr:col>2</xdr:col>
      <xdr:colOff>630222</xdr:colOff>
      <xdr:row>113</xdr:row>
      <xdr:rowOff>386862</xdr:rowOff>
    </xdr:to>
    <xdr:pic>
      <xdr:nvPicPr>
        <xdr:cNvPr id="8" name="Grafik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59"/>
        <a:stretch>
          <a:fillRect/>
        </a:stretch>
      </xdr:blipFill>
      <xdr:spPr>
        <a:xfrm>
          <a:off x="1459524" y="7816363"/>
          <a:ext cx="466098" cy="369276"/>
        </a:xfrm>
        <a:prstGeom prst="rect">
          <a:avLst/>
        </a:prstGeom>
      </xdr:spPr>
    </xdr:pic>
    <xdr:clientData/>
  </xdr:twoCellAnchor>
  <xdr:twoCellAnchor>
    <xdr:from>
      <xdr:col>2</xdr:col>
      <xdr:colOff>324958</xdr:colOff>
      <xdr:row>82</xdr:row>
      <xdr:rowOff>56040</xdr:rowOff>
    </xdr:from>
    <xdr:to>
      <xdr:col>2</xdr:col>
      <xdr:colOff>460126</xdr:colOff>
      <xdr:row>82</xdr:row>
      <xdr:rowOff>351240</xdr:rowOff>
    </xdr:to>
    <xdr:pic>
      <xdr:nvPicPr>
        <xdr:cNvPr id="9" name="Grafik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34425" r="35049"/>
        <a:stretch/>
      </xdr:blipFill>
      <xdr:spPr>
        <a:xfrm>
          <a:off x="1624840" y="25213246"/>
          <a:ext cx="135168" cy="295200"/>
        </a:xfrm>
        <a:prstGeom prst="rect">
          <a:avLst/>
        </a:prstGeom>
      </xdr:spPr>
    </xdr:pic>
    <xdr:clientData/>
  </xdr:twoCellAnchor>
  <xdr:twoCellAnchor>
    <xdr:from>
      <xdr:col>2</xdr:col>
      <xdr:colOff>190496</xdr:colOff>
      <xdr:row>44</xdr:row>
      <xdr:rowOff>67242</xdr:rowOff>
    </xdr:from>
    <xdr:to>
      <xdr:col>2</xdr:col>
      <xdr:colOff>611696</xdr:colOff>
      <xdr:row>44</xdr:row>
      <xdr:rowOff>348042</xdr:rowOff>
    </xdr:to>
    <xdr:pic>
      <xdr:nvPicPr>
        <xdr:cNvPr id="10" name="Grafik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490378" y="9894801"/>
          <a:ext cx="421200" cy="28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655320</xdr:colOff>
          <xdr:row>11</xdr:row>
          <xdr:rowOff>0</xdr:rowOff>
        </xdr:to>
        <xdr:sp macro="" textlink="">
          <xdr:nvSpPr>
            <xdr:cNvPr id="1183" name="Group Box 159" hidden="1">
              <a:extLst>
                <a:ext uri="{63B3BB69-23CF-44E3-9099-C40C66FF867C}">
                  <a14:compatExt spid="_x0000_s1183"/>
                </a:ext>
                <a:ext uri="{FF2B5EF4-FFF2-40B4-BE49-F238E27FC236}">
                  <a16:creationId xmlns:a16="http://schemas.microsoft.com/office/drawing/2014/main" id="{00000000-0008-0000-0C00-00009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1184" name="Option Button 160" hidden="1">
              <a:extLst>
                <a:ext uri="{63B3BB69-23CF-44E3-9099-C40C66FF867C}">
                  <a14:compatExt spid="_x0000_s1184"/>
                </a:ext>
                <a:ext uri="{FF2B5EF4-FFF2-40B4-BE49-F238E27FC236}">
                  <a16:creationId xmlns:a16="http://schemas.microsoft.com/office/drawing/2014/main" id="{00000000-0008-0000-0C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C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15240</xdr:rowOff>
    </xdr:from>
    <xdr:to>
      <xdr:col>1</xdr:col>
      <xdr:colOff>563880</xdr:colOff>
      <xdr:row>4</xdr:row>
      <xdr:rowOff>149074</xdr:rowOff>
    </xdr:to>
    <xdr:pic>
      <xdr:nvPicPr>
        <xdr:cNvPr id="116" name="Grafik 4">
          <a:extLst>
            <a:ext uri="{FF2B5EF4-FFF2-40B4-BE49-F238E27FC236}">
              <a16:creationId xmlns:a16="http://schemas.microsoft.com/office/drawing/2014/main" id="{00000000-0008-0000-0C00-000074000000}"/>
            </a:ext>
          </a:extLst>
        </xdr:cNvPr>
        <xdr:cNvPicPr>
          <a:picLocks/>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bwMode="auto">
        <a:xfrm>
          <a:off x="0" y="15240"/>
          <a:ext cx="1234440" cy="1253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529726</xdr:colOff>
      <xdr:row>5</xdr:row>
      <xdr:rowOff>110399</xdr:rowOff>
    </xdr:to>
    <xdr:pic>
      <xdr:nvPicPr>
        <xdr:cNvPr id="117" name="Grafik 116">
          <a:extLst>
            <a:ext uri="{FF2B5EF4-FFF2-40B4-BE49-F238E27FC236}">
              <a16:creationId xmlns:a16="http://schemas.microsoft.com/office/drawing/2014/main" id="{00000000-0008-0000-0C00-000075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2081893" y="0"/>
          <a:ext cx="2149248" cy="1430564"/>
        </a:xfrm>
        <a:prstGeom prst="rect">
          <a:avLst/>
        </a:prstGeom>
      </xdr:spPr>
    </xdr:pic>
    <xdr:clientData/>
  </xdr:twoCellAnchor>
  <xdr:twoCellAnchor>
    <xdr:from>
      <xdr:col>2</xdr:col>
      <xdr:colOff>156882</xdr:colOff>
      <xdr:row>36</xdr:row>
      <xdr:rowOff>56029</xdr:rowOff>
    </xdr:from>
    <xdr:to>
      <xdr:col>2</xdr:col>
      <xdr:colOff>511904</xdr:colOff>
      <xdr:row>36</xdr:row>
      <xdr:rowOff>356325</xdr:rowOff>
    </xdr:to>
    <xdr:pic>
      <xdr:nvPicPr>
        <xdr:cNvPr id="119" name="Grafik 7">
          <a:extLst>
            <a:ext uri="{FF2B5EF4-FFF2-40B4-BE49-F238E27FC236}">
              <a16:creationId xmlns:a16="http://schemas.microsoft.com/office/drawing/2014/main" id="{00000000-0008-0000-0C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56764" y="7855323"/>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67235</xdr:rowOff>
    </xdr:from>
    <xdr:to>
      <xdr:col>2</xdr:col>
      <xdr:colOff>544696</xdr:colOff>
      <xdr:row>53</xdr:row>
      <xdr:rowOff>348036</xdr:rowOff>
    </xdr:to>
    <xdr:pic>
      <xdr:nvPicPr>
        <xdr:cNvPr id="120" name="Grafik 20">
          <a:extLst>
            <a:ext uri="{FF2B5EF4-FFF2-40B4-BE49-F238E27FC236}">
              <a16:creationId xmlns:a16="http://schemas.microsoft.com/office/drawing/2014/main" id="{00000000-0008-0000-0C00-00007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490382" y="14724529"/>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199890</xdr:colOff>
      <xdr:row>93</xdr:row>
      <xdr:rowOff>33617</xdr:rowOff>
    </xdr:from>
    <xdr:to>
      <xdr:col>2</xdr:col>
      <xdr:colOff>560293</xdr:colOff>
      <xdr:row>93</xdr:row>
      <xdr:rowOff>394020</xdr:rowOff>
    </xdr:to>
    <xdr:pic>
      <xdr:nvPicPr>
        <xdr:cNvPr id="121" name="Grafik 52">
          <a:extLst>
            <a:ext uri="{FF2B5EF4-FFF2-40B4-BE49-F238E27FC236}">
              <a16:creationId xmlns:a16="http://schemas.microsoft.com/office/drawing/2014/main" id="{00000000-0008-0000-0C00-000079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bwMode="auto">
        <a:xfrm>
          <a:off x="1499772" y="30827382"/>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57</xdr:row>
      <xdr:rowOff>40196</xdr:rowOff>
    </xdr:from>
    <xdr:to>
      <xdr:col>2</xdr:col>
      <xdr:colOff>571500</xdr:colOff>
      <xdr:row>57</xdr:row>
      <xdr:rowOff>371476</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65"/>
        <a:stretch>
          <a:fillRect/>
        </a:stretch>
      </xdr:blipFill>
      <xdr:spPr>
        <a:xfrm>
          <a:off x="1514475" y="16223171"/>
          <a:ext cx="352425" cy="331280"/>
        </a:xfrm>
        <a:prstGeom prst="rect">
          <a:avLst/>
        </a:prstGeom>
      </xdr:spPr>
    </xdr:pic>
    <xdr:clientData/>
  </xdr:twoCellAnchor>
  <xdr:twoCellAnchor>
    <xdr:from>
      <xdr:col>2</xdr:col>
      <xdr:colOff>219075</xdr:colOff>
      <xdr:row>58</xdr:row>
      <xdr:rowOff>40196</xdr:rowOff>
    </xdr:from>
    <xdr:to>
      <xdr:col>2</xdr:col>
      <xdr:colOff>571500</xdr:colOff>
      <xdr:row>58</xdr:row>
      <xdr:rowOff>371476</xdr:rowOff>
    </xdr:to>
    <xdr:pic>
      <xdr:nvPicPr>
        <xdr:cNvPr id="122" name="Grafik 12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65"/>
        <a:stretch>
          <a:fillRect/>
        </a:stretch>
      </xdr:blipFill>
      <xdr:spPr>
        <a:xfrm>
          <a:off x="1514475" y="16223171"/>
          <a:ext cx="352425" cy="331280"/>
        </a:xfrm>
        <a:prstGeom prst="rect">
          <a:avLst/>
        </a:prstGeom>
      </xdr:spPr>
    </xdr:pic>
    <xdr:clientData/>
  </xdr:twoCellAnchor>
  <xdr:twoCellAnchor>
    <xdr:from>
      <xdr:col>2</xdr:col>
      <xdr:colOff>238125</xdr:colOff>
      <xdr:row>75</xdr:row>
      <xdr:rowOff>47625</xdr:rowOff>
    </xdr:from>
    <xdr:to>
      <xdr:col>2</xdr:col>
      <xdr:colOff>533363</xdr:colOff>
      <xdr:row>75</xdr:row>
      <xdr:rowOff>361911</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66"/>
        <a:stretch>
          <a:fillRect/>
        </a:stretch>
      </xdr:blipFill>
      <xdr:spPr>
        <a:xfrm>
          <a:off x="1533525" y="23431500"/>
          <a:ext cx="295238" cy="314286"/>
        </a:xfrm>
        <a:prstGeom prst="rect">
          <a:avLst/>
        </a:prstGeom>
      </xdr:spPr>
    </xdr:pic>
    <xdr:clientData/>
  </xdr:twoCellAnchor>
  <xdr:twoCellAnchor>
    <xdr:from>
      <xdr:col>2</xdr:col>
      <xdr:colOff>200025</xdr:colOff>
      <xdr:row>90</xdr:row>
      <xdr:rowOff>19050</xdr:rowOff>
    </xdr:from>
    <xdr:to>
      <xdr:col>2</xdr:col>
      <xdr:colOff>581025</xdr:colOff>
      <xdr:row>90</xdr:row>
      <xdr:rowOff>394002</xdr:rowOff>
    </xdr:to>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67"/>
        <a:stretch>
          <a:fillRect/>
        </a:stretch>
      </xdr:blipFill>
      <xdr:spPr>
        <a:xfrm>
          <a:off x="1495425" y="29403675"/>
          <a:ext cx="381000" cy="374952"/>
        </a:xfrm>
        <a:prstGeom prst="rect">
          <a:avLst/>
        </a:prstGeom>
      </xdr:spPr>
    </xdr:pic>
    <xdr:clientData/>
  </xdr:twoCellAnchor>
  <xdr:twoCellAnchor>
    <xdr:from>
      <xdr:col>2</xdr:col>
      <xdr:colOff>200025</xdr:colOff>
      <xdr:row>91</xdr:row>
      <xdr:rowOff>19050</xdr:rowOff>
    </xdr:from>
    <xdr:to>
      <xdr:col>2</xdr:col>
      <xdr:colOff>581025</xdr:colOff>
      <xdr:row>91</xdr:row>
      <xdr:rowOff>394002</xdr:rowOff>
    </xdr:to>
    <xdr:pic>
      <xdr:nvPicPr>
        <xdr:cNvPr id="124" name="Grafik 123">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67"/>
        <a:stretch>
          <a:fillRect/>
        </a:stretch>
      </xdr:blipFill>
      <xdr:spPr>
        <a:xfrm>
          <a:off x="1495425" y="29403675"/>
          <a:ext cx="381000" cy="374952"/>
        </a:xfrm>
        <a:prstGeom prst="rect">
          <a:avLst/>
        </a:prstGeom>
      </xdr:spPr>
    </xdr:pic>
    <xdr:clientData/>
  </xdr:twoCellAnchor>
  <xdr:twoCellAnchor>
    <xdr:from>
      <xdr:col>2</xdr:col>
      <xdr:colOff>304800</xdr:colOff>
      <xdr:row>106</xdr:row>
      <xdr:rowOff>19050</xdr:rowOff>
    </xdr:from>
    <xdr:to>
      <xdr:col>2</xdr:col>
      <xdr:colOff>428625</xdr:colOff>
      <xdr:row>106</xdr:row>
      <xdr:rowOff>381000</xdr:rowOff>
    </xdr:to>
    <xdr:pic>
      <xdr:nvPicPr>
        <xdr:cNvPr id="12" name="Grafik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68"/>
        <a:stretch>
          <a:fillRect/>
        </a:stretch>
      </xdr:blipFill>
      <xdr:spPr>
        <a:xfrm>
          <a:off x="1600200" y="36204525"/>
          <a:ext cx="123825" cy="361950"/>
        </a:xfrm>
        <a:prstGeom prst="rect">
          <a:avLst/>
        </a:prstGeom>
      </xdr:spPr>
    </xdr:pic>
    <xdr:clientData/>
  </xdr:twoCellAnchor>
  <xdr:twoCellAnchor>
    <xdr:from>
      <xdr:col>2</xdr:col>
      <xdr:colOff>152985</xdr:colOff>
      <xdr:row>107</xdr:row>
      <xdr:rowOff>120153</xdr:rowOff>
    </xdr:from>
    <xdr:to>
      <xdr:col>2</xdr:col>
      <xdr:colOff>585430</xdr:colOff>
      <xdr:row>107</xdr:row>
      <xdr:rowOff>295579</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69"/>
        <a:stretch>
          <a:fillRect/>
        </a:stretch>
      </xdr:blipFill>
      <xdr:spPr>
        <a:xfrm rot="4034817">
          <a:off x="1576895" y="36577168"/>
          <a:ext cx="175426" cy="432445"/>
        </a:xfrm>
        <a:prstGeom prst="rect">
          <a:avLst/>
        </a:prstGeom>
      </xdr:spPr>
    </xdr:pic>
    <xdr:clientData/>
  </xdr:twoCellAnchor>
  <xdr:twoCellAnchor>
    <xdr:from>
      <xdr:col>2</xdr:col>
      <xdr:colOff>119875</xdr:colOff>
      <xdr:row>109</xdr:row>
      <xdr:rowOff>27877</xdr:rowOff>
    </xdr:from>
    <xdr:to>
      <xdr:col>2</xdr:col>
      <xdr:colOff>678364</xdr:colOff>
      <xdr:row>109</xdr:row>
      <xdr:rowOff>373656</xdr:rowOff>
    </xdr:to>
    <xdr:pic>
      <xdr:nvPicPr>
        <xdr:cNvPr id="14" name="Grafik 13">
          <a:extLst>
            <a:ext uri="{FF2B5EF4-FFF2-40B4-BE49-F238E27FC236}">
              <a16:creationId xmlns:a16="http://schemas.microsoft.com/office/drawing/2014/main" id="{00000000-0008-0000-0C00-00000E000000}"/>
            </a:ext>
          </a:extLst>
        </xdr:cNvPr>
        <xdr:cNvPicPr>
          <a:picLocks noChangeAspect="1"/>
        </xdr:cNvPicPr>
      </xdr:nvPicPr>
      <xdr:blipFill rotWithShape="1">
        <a:blip xmlns:r="http://schemas.openxmlformats.org/officeDocument/2006/relationships" r:embed="rId70"/>
        <a:srcRect t="4886" b="13458"/>
        <a:stretch/>
      </xdr:blipFill>
      <xdr:spPr>
        <a:xfrm>
          <a:off x="1411558" y="37375170"/>
          <a:ext cx="558489" cy="345779"/>
        </a:xfrm>
        <a:prstGeom prst="rect">
          <a:avLst/>
        </a:prstGeom>
      </xdr:spPr>
    </xdr:pic>
    <xdr:clientData/>
  </xdr:twoCellAnchor>
  <xdr:twoCellAnchor>
    <xdr:from>
      <xdr:col>2</xdr:col>
      <xdr:colOff>274757</xdr:colOff>
      <xdr:row>111</xdr:row>
      <xdr:rowOff>18316</xdr:rowOff>
    </xdr:from>
    <xdr:to>
      <xdr:col>2</xdr:col>
      <xdr:colOff>532488</xdr:colOff>
      <xdr:row>111</xdr:row>
      <xdr:rowOff>373673</xdr:rowOff>
    </xdr:to>
    <xdr:pic>
      <xdr:nvPicPr>
        <xdr:cNvPr id="127" name="Grafik 126">
          <a:extLst>
            <a:ext uri="{FF2B5EF4-FFF2-40B4-BE49-F238E27FC236}">
              <a16:creationId xmlns:a16="http://schemas.microsoft.com/office/drawing/2014/main" id="{00000000-0008-0000-0C00-00007F000000}"/>
            </a:ext>
          </a:extLst>
        </xdr:cNvPr>
        <xdr:cNvPicPr>
          <a:picLocks noChangeAspect="1"/>
        </xdr:cNvPicPr>
      </xdr:nvPicPr>
      <xdr:blipFill>
        <a:blip xmlns:r="http://schemas.openxmlformats.org/officeDocument/2006/relationships" r:embed="rId71"/>
        <a:stretch>
          <a:fillRect/>
        </a:stretch>
      </xdr:blipFill>
      <xdr:spPr>
        <a:xfrm>
          <a:off x="1570157" y="32450941"/>
          <a:ext cx="257731" cy="355357"/>
        </a:xfrm>
        <a:prstGeom prst="rect">
          <a:avLst/>
        </a:prstGeom>
      </xdr:spPr>
    </xdr:pic>
    <xdr:clientData/>
  </xdr:twoCellAnchor>
  <xdr:twoCellAnchor>
    <xdr:from>
      <xdr:col>2</xdr:col>
      <xdr:colOff>324580</xdr:colOff>
      <xdr:row>110</xdr:row>
      <xdr:rowOff>19366</xdr:rowOff>
    </xdr:from>
    <xdr:to>
      <xdr:col>2</xdr:col>
      <xdr:colOff>471118</xdr:colOff>
      <xdr:row>110</xdr:row>
      <xdr:rowOff>391991</xdr:rowOff>
    </xdr:to>
    <xdr:pic>
      <xdr:nvPicPr>
        <xdr:cNvPr id="128" name="Grafik 127">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72"/>
        <a:stretch>
          <a:fillRect/>
        </a:stretch>
      </xdr:blipFill>
      <xdr:spPr>
        <a:xfrm>
          <a:off x="1619980" y="38205091"/>
          <a:ext cx="146538" cy="372625"/>
        </a:xfrm>
        <a:prstGeom prst="rect">
          <a:avLst/>
        </a:prstGeom>
      </xdr:spPr>
    </xdr:pic>
    <xdr:clientData/>
  </xdr:twoCellAnchor>
  <xdr:twoCellAnchor>
    <xdr:from>
      <xdr:col>2</xdr:col>
      <xdr:colOff>152400</xdr:colOff>
      <xdr:row>70</xdr:row>
      <xdr:rowOff>53340</xdr:rowOff>
    </xdr:from>
    <xdr:to>
      <xdr:col>2</xdr:col>
      <xdr:colOff>631151</xdr:colOff>
      <xdr:row>70</xdr:row>
      <xdr:rowOff>349295</xdr:rowOff>
    </xdr:to>
    <xdr:pic>
      <xdr:nvPicPr>
        <xdr:cNvPr id="15" name="Grafik 148">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b="17012"/>
        <a:stretch>
          <a:fillRect/>
        </a:stretch>
      </xdr:blipFill>
      <xdr:spPr bwMode="auto">
        <a:xfrm>
          <a:off x="1478280" y="18714720"/>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19</xdr:row>
          <xdr:rowOff>30480</xdr:rowOff>
        </xdr:from>
        <xdr:to>
          <xdr:col>8</xdr:col>
          <xdr:colOff>822960</xdr:colOff>
          <xdr:row>20</xdr:row>
          <xdr:rowOff>0</xdr:rowOff>
        </xdr:to>
        <xdr:sp macro="" textlink="">
          <xdr:nvSpPr>
            <xdr:cNvPr id="1187" name="Option Button 163" hidden="1">
              <a:extLst>
                <a:ext uri="{63B3BB69-23CF-44E3-9099-C40C66FF867C}">
                  <a14:compatExt spid="_x0000_s1187"/>
                </a:ext>
                <a:ext uri="{FF2B5EF4-FFF2-40B4-BE49-F238E27FC236}">
                  <a16:creationId xmlns:a16="http://schemas.microsoft.com/office/drawing/2014/main" id="{00000000-0008-0000-0C00-0000A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58369" name="Group Box 1" hidden="1">
              <a:extLst>
                <a:ext uri="{63B3BB69-23CF-44E3-9099-C40C66FF867C}">
                  <a14:compatExt spid="_x0000_s58369"/>
                </a:ext>
                <a:ext uri="{FF2B5EF4-FFF2-40B4-BE49-F238E27FC236}">
                  <a16:creationId xmlns:a16="http://schemas.microsoft.com/office/drawing/2014/main" id="{00000000-0008-0000-0D00-00000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647700</xdr:colOff>
          <xdr:row>21</xdr:row>
          <xdr:rowOff>0</xdr:rowOff>
        </xdr:to>
        <xdr:sp macro="" textlink="">
          <xdr:nvSpPr>
            <xdr:cNvPr id="58371" name="Group Box 3" hidden="1">
              <a:extLst>
                <a:ext uri="{63B3BB69-23CF-44E3-9099-C40C66FF867C}">
                  <a14:compatExt spid="_x0000_s58371"/>
                </a:ext>
                <a:ext uri="{FF2B5EF4-FFF2-40B4-BE49-F238E27FC236}">
                  <a16:creationId xmlns:a16="http://schemas.microsoft.com/office/drawing/2014/main" id="{00000000-0008-0000-0D00-00000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8377" name="Group Box 9" hidden="1">
              <a:extLst>
                <a:ext uri="{63B3BB69-23CF-44E3-9099-C40C66FF867C}">
                  <a14:compatExt spid="_x0000_s58377"/>
                </a:ext>
                <a:ext uri="{FF2B5EF4-FFF2-40B4-BE49-F238E27FC236}">
                  <a16:creationId xmlns:a16="http://schemas.microsoft.com/office/drawing/2014/main" id="{00000000-0008-0000-0D00-00000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8383" name="Option Button 15" hidden="1">
              <a:extLst>
                <a:ext uri="{63B3BB69-23CF-44E3-9099-C40C66FF867C}">
                  <a14:compatExt spid="_x0000_s58383"/>
                </a:ext>
                <a:ext uri="{FF2B5EF4-FFF2-40B4-BE49-F238E27FC236}">
                  <a16:creationId xmlns:a16="http://schemas.microsoft.com/office/drawing/2014/main" id="{00000000-0008-0000-0D00-00000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58385" name="Option Button 17" hidden="1">
              <a:extLst>
                <a:ext uri="{63B3BB69-23CF-44E3-9099-C40C66FF867C}">
                  <a14:compatExt spid="_x0000_s58385"/>
                </a:ext>
                <a:ext uri="{FF2B5EF4-FFF2-40B4-BE49-F238E27FC236}">
                  <a16:creationId xmlns:a16="http://schemas.microsoft.com/office/drawing/2014/main" id="{00000000-0008-0000-0D00-000011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58386" name="Option Button 18" hidden="1">
              <a:extLst>
                <a:ext uri="{63B3BB69-23CF-44E3-9099-C40C66FF867C}">
                  <a14:compatExt spid="_x0000_s58386"/>
                </a:ext>
                <a:ext uri="{FF2B5EF4-FFF2-40B4-BE49-F238E27FC236}">
                  <a16:creationId xmlns:a16="http://schemas.microsoft.com/office/drawing/2014/main" id="{00000000-0008-0000-0D00-000012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160020</xdr:colOff>
          <xdr:row>18</xdr:row>
          <xdr:rowOff>0</xdr:rowOff>
        </xdr:to>
        <xdr:sp macro="" textlink="">
          <xdr:nvSpPr>
            <xdr:cNvPr id="58391" name="Option Button 23" hidden="1">
              <a:extLst>
                <a:ext uri="{63B3BB69-23CF-44E3-9099-C40C66FF867C}">
                  <a14:compatExt spid="_x0000_s58391"/>
                </a:ext>
                <a:ext uri="{FF2B5EF4-FFF2-40B4-BE49-F238E27FC236}">
                  <a16:creationId xmlns:a16="http://schemas.microsoft.com/office/drawing/2014/main" id="{00000000-0008-0000-0D00-000017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160020</xdr:colOff>
          <xdr:row>19</xdr:row>
          <xdr:rowOff>0</xdr:rowOff>
        </xdr:to>
        <xdr:sp macro="" textlink="">
          <xdr:nvSpPr>
            <xdr:cNvPr id="58395" name="Option Button 27" hidden="1">
              <a:extLst>
                <a:ext uri="{63B3BB69-23CF-44E3-9099-C40C66FF867C}">
                  <a14:compatExt spid="_x0000_s58395"/>
                </a:ext>
                <a:ext uri="{FF2B5EF4-FFF2-40B4-BE49-F238E27FC236}">
                  <a16:creationId xmlns:a16="http://schemas.microsoft.com/office/drawing/2014/main" id="{00000000-0008-0000-0D00-00001B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160020</xdr:colOff>
          <xdr:row>20</xdr:row>
          <xdr:rowOff>0</xdr:rowOff>
        </xdr:to>
        <xdr:sp macro="" textlink="">
          <xdr:nvSpPr>
            <xdr:cNvPr id="58396" name="Option Button 28" hidden="1">
              <a:extLst>
                <a:ext uri="{63B3BB69-23CF-44E3-9099-C40C66FF867C}">
                  <a14:compatExt spid="_x0000_s58396"/>
                </a:ext>
                <a:ext uri="{FF2B5EF4-FFF2-40B4-BE49-F238E27FC236}">
                  <a16:creationId xmlns:a16="http://schemas.microsoft.com/office/drawing/2014/main" id="{00000000-0008-0000-0D00-00001C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37" name="Grafik 130">
          <a:extLst>
            <a:ext uri="{FF2B5EF4-FFF2-40B4-BE49-F238E27FC236}">
              <a16:creationId xmlns:a16="http://schemas.microsoft.com/office/drawing/2014/main" id="{00000000-0008-0000-0D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38" name="Grafik 131">
          <a:extLst>
            <a:ext uri="{FF2B5EF4-FFF2-40B4-BE49-F238E27FC236}">
              <a16:creationId xmlns:a16="http://schemas.microsoft.com/office/drawing/2014/main" id="{00000000-0008-0000-0D00-00002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39" name="Grafik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40" name="Grafik 133">
          <a:extLst>
            <a:ext uri="{FF2B5EF4-FFF2-40B4-BE49-F238E27FC236}">
              <a16:creationId xmlns:a16="http://schemas.microsoft.com/office/drawing/2014/main" id="{00000000-0008-0000-0D00-00002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41" name="Grafik 135">
          <a:extLst>
            <a:ext uri="{FF2B5EF4-FFF2-40B4-BE49-F238E27FC236}">
              <a16:creationId xmlns:a16="http://schemas.microsoft.com/office/drawing/2014/main" id="{00000000-0008-0000-0D00-00002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42" name="Grafik 136">
          <a:extLst>
            <a:ext uri="{FF2B5EF4-FFF2-40B4-BE49-F238E27FC236}">
              <a16:creationId xmlns:a16="http://schemas.microsoft.com/office/drawing/2014/main" id="{00000000-0008-0000-0D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42</xdr:row>
      <xdr:rowOff>62865</xdr:rowOff>
    </xdr:from>
    <xdr:to>
      <xdr:col>2</xdr:col>
      <xdr:colOff>464820</xdr:colOff>
      <xdr:row>42</xdr:row>
      <xdr:rowOff>360807</xdr:rowOff>
    </xdr:to>
    <xdr:pic>
      <xdr:nvPicPr>
        <xdr:cNvPr id="43" name="Grafik 137">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45</xdr:row>
      <xdr:rowOff>62865</xdr:rowOff>
    </xdr:from>
    <xdr:to>
      <xdr:col>2</xdr:col>
      <xdr:colOff>551180</xdr:colOff>
      <xdr:row>45</xdr:row>
      <xdr:rowOff>360045</xdr:rowOff>
    </xdr:to>
    <xdr:pic>
      <xdr:nvPicPr>
        <xdr:cNvPr id="44" name="Grafik 138">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47</xdr:row>
      <xdr:rowOff>62865</xdr:rowOff>
    </xdr:from>
    <xdr:to>
      <xdr:col>2</xdr:col>
      <xdr:colOff>475129</xdr:colOff>
      <xdr:row>47</xdr:row>
      <xdr:rowOff>360045</xdr:rowOff>
    </xdr:to>
    <xdr:pic>
      <xdr:nvPicPr>
        <xdr:cNvPr id="45" name="Grafik 139">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137160</xdr:colOff>
          <xdr:row>12</xdr:row>
          <xdr:rowOff>182880</xdr:rowOff>
        </xdr:to>
        <xdr:sp macro="" textlink="">
          <xdr:nvSpPr>
            <xdr:cNvPr id="58399" name="Option Button 31" hidden="1">
              <a:extLst>
                <a:ext uri="{63B3BB69-23CF-44E3-9099-C40C66FF867C}">
                  <a14:compatExt spid="_x0000_s58399"/>
                </a:ext>
                <a:ext uri="{FF2B5EF4-FFF2-40B4-BE49-F238E27FC236}">
                  <a16:creationId xmlns:a16="http://schemas.microsoft.com/office/drawing/2014/main" id="{00000000-0008-0000-0D00-00001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8400" name="Option Button 32" hidden="1">
              <a:extLst>
                <a:ext uri="{63B3BB69-23CF-44E3-9099-C40C66FF867C}">
                  <a14:compatExt spid="_x0000_s58400"/>
                </a:ext>
                <a:ext uri="{FF2B5EF4-FFF2-40B4-BE49-F238E27FC236}">
                  <a16:creationId xmlns:a16="http://schemas.microsoft.com/office/drawing/2014/main" id="{00000000-0008-0000-0D00-000020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43</xdr:row>
      <xdr:rowOff>38100</xdr:rowOff>
    </xdr:from>
    <xdr:to>
      <xdr:col>2</xdr:col>
      <xdr:colOff>587126</xdr:colOff>
      <xdr:row>43</xdr:row>
      <xdr:rowOff>381632</xdr:rowOff>
    </xdr:to>
    <xdr:pic>
      <xdr:nvPicPr>
        <xdr:cNvPr id="49" name="Grafik 48">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55</xdr:row>
      <xdr:rowOff>64635</xdr:rowOff>
    </xdr:from>
    <xdr:to>
      <xdr:col>2</xdr:col>
      <xdr:colOff>632223</xdr:colOff>
      <xdr:row>55</xdr:row>
      <xdr:rowOff>357187</xdr:rowOff>
    </xdr:to>
    <xdr:pic>
      <xdr:nvPicPr>
        <xdr:cNvPr id="54" name="Grafik 35">
          <a:extLst>
            <a:ext uri="{FF2B5EF4-FFF2-40B4-BE49-F238E27FC236}">
              <a16:creationId xmlns:a16="http://schemas.microsoft.com/office/drawing/2014/main" id="{00000000-0008-0000-0D00-00003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56</xdr:row>
      <xdr:rowOff>64635</xdr:rowOff>
    </xdr:from>
    <xdr:to>
      <xdr:col>2</xdr:col>
      <xdr:colOff>633569</xdr:colOff>
      <xdr:row>56</xdr:row>
      <xdr:rowOff>360589</xdr:rowOff>
    </xdr:to>
    <xdr:pic>
      <xdr:nvPicPr>
        <xdr:cNvPr id="55" name="Grafik 38">
          <a:extLst>
            <a:ext uri="{FF2B5EF4-FFF2-40B4-BE49-F238E27FC236}">
              <a16:creationId xmlns:a16="http://schemas.microsoft.com/office/drawing/2014/main" id="{00000000-0008-0000-0D00-00003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57</xdr:row>
      <xdr:rowOff>64635</xdr:rowOff>
    </xdr:from>
    <xdr:to>
      <xdr:col>2</xdr:col>
      <xdr:colOff>487754</xdr:colOff>
      <xdr:row>57</xdr:row>
      <xdr:rowOff>353786</xdr:rowOff>
    </xdr:to>
    <xdr:pic>
      <xdr:nvPicPr>
        <xdr:cNvPr id="56" name="Grafik 39">
          <a:extLst>
            <a:ext uri="{FF2B5EF4-FFF2-40B4-BE49-F238E27FC236}">
              <a16:creationId xmlns:a16="http://schemas.microsoft.com/office/drawing/2014/main" id="{00000000-0008-0000-0D00-00003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58</xdr:row>
      <xdr:rowOff>71439</xdr:rowOff>
    </xdr:from>
    <xdr:to>
      <xdr:col>2</xdr:col>
      <xdr:colOff>528066</xdr:colOff>
      <xdr:row>58</xdr:row>
      <xdr:rowOff>347664</xdr:rowOff>
    </xdr:to>
    <xdr:pic>
      <xdr:nvPicPr>
        <xdr:cNvPr id="57" name="Grafik 40">
          <a:extLst>
            <a:ext uri="{FF2B5EF4-FFF2-40B4-BE49-F238E27FC236}">
              <a16:creationId xmlns:a16="http://schemas.microsoft.com/office/drawing/2014/main" id="{00000000-0008-0000-0D00-00003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2186463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53</xdr:row>
      <xdr:rowOff>64635</xdr:rowOff>
    </xdr:from>
    <xdr:to>
      <xdr:col>2</xdr:col>
      <xdr:colOff>629329</xdr:colOff>
      <xdr:row>53</xdr:row>
      <xdr:rowOff>360590</xdr:rowOff>
    </xdr:to>
    <xdr:pic>
      <xdr:nvPicPr>
        <xdr:cNvPr id="58" name="Grafik 148">
          <a:extLst>
            <a:ext uri="{FF2B5EF4-FFF2-40B4-BE49-F238E27FC236}">
              <a16:creationId xmlns:a16="http://schemas.microsoft.com/office/drawing/2014/main" id="{00000000-0008-0000-0D00-00003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54</xdr:row>
      <xdr:rowOff>30307</xdr:rowOff>
    </xdr:from>
    <xdr:to>
      <xdr:col>2</xdr:col>
      <xdr:colOff>644695</xdr:colOff>
      <xdr:row>54</xdr:row>
      <xdr:rowOff>355023</xdr:rowOff>
    </xdr:to>
    <xdr:pic>
      <xdr:nvPicPr>
        <xdr:cNvPr id="59" name="Grafik 58">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6"/>
        <a:stretch>
          <a:fillRect/>
        </a:stretch>
      </xdr:blipFill>
      <xdr:spPr>
        <a:xfrm>
          <a:off x="1427609" y="2022330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8407" name="Group Box 39" hidden="1">
              <a:extLst>
                <a:ext uri="{63B3BB69-23CF-44E3-9099-C40C66FF867C}">
                  <a14:compatExt spid="_x0000_s58407"/>
                </a:ext>
                <a:ext uri="{FF2B5EF4-FFF2-40B4-BE49-F238E27FC236}">
                  <a16:creationId xmlns:a16="http://schemas.microsoft.com/office/drawing/2014/main" id="{00000000-0008-0000-0D00-00002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8408" name="Option Button 40" hidden="1">
              <a:extLst>
                <a:ext uri="{63B3BB69-23CF-44E3-9099-C40C66FF867C}">
                  <a14:compatExt spid="_x0000_s58408"/>
                </a:ext>
                <a:ext uri="{FF2B5EF4-FFF2-40B4-BE49-F238E27FC236}">
                  <a16:creationId xmlns:a16="http://schemas.microsoft.com/office/drawing/2014/main" id="{00000000-0008-0000-0D00-000028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8409" name="Option Button 41" hidden="1">
              <a:extLst>
                <a:ext uri="{63B3BB69-23CF-44E3-9099-C40C66FF867C}">
                  <a14:compatExt spid="_x0000_s58409"/>
                </a:ext>
                <a:ext uri="{FF2B5EF4-FFF2-40B4-BE49-F238E27FC236}">
                  <a16:creationId xmlns:a16="http://schemas.microsoft.com/office/drawing/2014/main" id="{00000000-0008-0000-0D00-000029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605790</xdr:colOff>
      <xdr:row>4</xdr:row>
      <xdr:rowOff>142143</xdr:rowOff>
    </xdr:to>
    <xdr:pic>
      <xdr:nvPicPr>
        <xdr:cNvPr id="47" name="Grafik 4">
          <a:extLst>
            <a:ext uri="{FF2B5EF4-FFF2-40B4-BE49-F238E27FC236}">
              <a16:creationId xmlns:a16="http://schemas.microsoft.com/office/drawing/2014/main" id="{00000000-0008-0000-0D00-00002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0" y="0"/>
          <a:ext cx="1250016"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271295</xdr:colOff>
      <xdr:row>5</xdr:row>
      <xdr:rowOff>106008</xdr:rowOff>
    </xdr:to>
    <xdr:pic>
      <xdr:nvPicPr>
        <xdr:cNvPr id="48" name="Grafik 47">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xdr:from>
      <xdr:col>2</xdr:col>
      <xdr:colOff>228600</xdr:colOff>
      <xdr:row>30</xdr:row>
      <xdr:rowOff>59055</xdr:rowOff>
    </xdr:from>
    <xdr:to>
      <xdr:col>2</xdr:col>
      <xdr:colOff>554567</xdr:colOff>
      <xdr:row>30</xdr:row>
      <xdr:rowOff>352425</xdr:rowOff>
    </xdr:to>
    <xdr:pic>
      <xdr:nvPicPr>
        <xdr:cNvPr id="50" name="Grafik 130">
          <a:extLst>
            <a:ext uri="{FF2B5EF4-FFF2-40B4-BE49-F238E27FC236}">
              <a16:creationId xmlns:a16="http://schemas.microsoft.com/office/drawing/2014/main" id="{00000000-0008-0000-0D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92658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51" name="Grafik 135">
          <a:extLst>
            <a:ext uri="{FF2B5EF4-FFF2-40B4-BE49-F238E27FC236}">
              <a16:creationId xmlns:a16="http://schemas.microsoft.com/office/drawing/2014/main" id="{00000000-0008-0000-0D00-00003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929259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52" name="Grafik 133">
          <a:extLst>
            <a:ext uri="{FF2B5EF4-FFF2-40B4-BE49-F238E27FC236}">
              <a16:creationId xmlns:a16="http://schemas.microsoft.com/office/drawing/2014/main" id="{00000000-0008-0000-0D00-00003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49249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60" name="Grafik 136">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1009269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62" name="Grafik 138">
          <a:extLst>
            <a:ext uri="{FF2B5EF4-FFF2-40B4-BE49-F238E27FC236}">
              <a16:creationId xmlns:a16="http://schemas.microsoft.com/office/drawing/2014/main" id="{00000000-0008-0000-0D00-00003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63" name="Grafik 139">
          <a:extLst>
            <a:ext uri="{FF2B5EF4-FFF2-40B4-BE49-F238E27FC236}">
              <a16:creationId xmlns:a16="http://schemas.microsoft.com/office/drawing/2014/main" id="{00000000-0008-0000-0D00-00003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49</xdr:row>
      <xdr:rowOff>19051</xdr:rowOff>
    </xdr:from>
    <xdr:to>
      <xdr:col>2</xdr:col>
      <xdr:colOff>529590</xdr:colOff>
      <xdr:row>49</xdr:row>
      <xdr:rowOff>381001</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276225</xdr:colOff>
      <xdr:row>48</xdr:row>
      <xdr:rowOff>19051</xdr:rowOff>
    </xdr:from>
    <xdr:to>
      <xdr:col>2</xdr:col>
      <xdr:colOff>529590</xdr:colOff>
      <xdr:row>48</xdr:row>
      <xdr:rowOff>381001</xdr:rowOff>
    </xdr:to>
    <xdr:pic>
      <xdr:nvPicPr>
        <xdr:cNvPr id="65" name="Grafik 64">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9"/>
        <a:stretch>
          <a:fillRect/>
        </a:stretch>
      </xdr:blipFill>
      <xdr:spPr>
        <a:xfrm>
          <a:off x="1571625" y="13649326"/>
          <a:ext cx="253365" cy="361950"/>
        </a:xfrm>
        <a:prstGeom prst="rect">
          <a:avLst/>
        </a:prstGeom>
      </xdr:spPr>
    </xdr:pic>
    <xdr:clientData/>
  </xdr:twoCellAnchor>
  <xdr:twoCellAnchor>
    <xdr:from>
      <xdr:col>2</xdr:col>
      <xdr:colOff>314325</xdr:colOff>
      <xdr:row>50</xdr:row>
      <xdr:rowOff>19729</xdr:rowOff>
    </xdr:from>
    <xdr:to>
      <xdr:col>2</xdr:col>
      <xdr:colOff>552450</xdr:colOff>
      <xdr:row>50</xdr:row>
      <xdr:rowOff>385422</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1"/>
        <a:stretch>
          <a:fillRect/>
        </a:stretch>
      </xdr:blipFill>
      <xdr:spPr>
        <a:xfrm>
          <a:off x="1609725" y="14050054"/>
          <a:ext cx="238125" cy="365693"/>
        </a:xfrm>
        <a:prstGeom prst="rect">
          <a:avLst/>
        </a:prstGeom>
      </xdr:spPr>
    </xdr:pic>
    <xdr:clientData/>
  </xdr:twoCellAnchor>
  <xdr:twoCellAnchor>
    <xdr:from>
      <xdr:col>2</xdr:col>
      <xdr:colOff>137541</xdr:colOff>
      <xdr:row>51</xdr:row>
      <xdr:rowOff>125867</xdr:rowOff>
    </xdr:from>
    <xdr:to>
      <xdr:col>2</xdr:col>
      <xdr:colOff>642366</xdr:colOff>
      <xdr:row>51</xdr:row>
      <xdr:rowOff>278267</xdr:rowOff>
    </xdr:to>
    <xdr:pic>
      <xdr:nvPicPr>
        <xdr:cNvPr id="67" name="Grafik 166">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331109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61</xdr:row>
      <xdr:rowOff>64635</xdr:rowOff>
    </xdr:from>
    <xdr:to>
      <xdr:col>2</xdr:col>
      <xdr:colOff>677404</xdr:colOff>
      <xdr:row>61</xdr:row>
      <xdr:rowOff>352085</xdr:rowOff>
    </xdr:to>
    <xdr:pic>
      <xdr:nvPicPr>
        <xdr:cNvPr id="73" name="Grafik 63">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4597" t="10809" r="2196" b="12961"/>
        <a:stretch>
          <a:fillRect/>
        </a:stretch>
      </xdr:blipFill>
      <xdr:spPr bwMode="auto">
        <a:xfrm>
          <a:off x="1397903" y="3705021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65</xdr:row>
      <xdr:rowOff>21479</xdr:rowOff>
    </xdr:from>
    <xdr:to>
      <xdr:col>2</xdr:col>
      <xdr:colOff>655545</xdr:colOff>
      <xdr:row>65</xdr:row>
      <xdr:rowOff>372597</xdr:rowOff>
    </xdr:to>
    <xdr:pic>
      <xdr:nvPicPr>
        <xdr:cNvPr id="74" name="Grafik 73">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24"/>
        <a:stretch>
          <a:fillRect/>
        </a:stretch>
      </xdr:blipFill>
      <xdr:spPr>
        <a:xfrm>
          <a:off x="1424268" y="38607254"/>
          <a:ext cx="526677" cy="351118"/>
        </a:xfrm>
        <a:prstGeom prst="rect">
          <a:avLst/>
        </a:prstGeom>
      </xdr:spPr>
    </xdr:pic>
    <xdr:clientData/>
  </xdr:twoCellAnchor>
  <xdr:twoCellAnchor>
    <xdr:from>
      <xdr:col>2</xdr:col>
      <xdr:colOff>304800</xdr:colOff>
      <xdr:row>59</xdr:row>
      <xdr:rowOff>19050</xdr:rowOff>
    </xdr:from>
    <xdr:to>
      <xdr:col>2</xdr:col>
      <xdr:colOff>428625</xdr:colOff>
      <xdr:row>59</xdr:row>
      <xdr:rowOff>381000</xdr:rowOff>
    </xdr:to>
    <xdr:pic>
      <xdr:nvPicPr>
        <xdr:cNvPr id="75" name="Grafik 74">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25"/>
        <a:stretch>
          <a:fillRect/>
        </a:stretch>
      </xdr:blipFill>
      <xdr:spPr>
        <a:xfrm>
          <a:off x="1600200" y="36204525"/>
          <a:ext cx="123825" cy="361950"/>
        </a:xfrm>
        <a:prstGeom prst="rect">
          <a:avLst/>
        </a:prstGeom>
      </xdr:spPr>
    </xdr:pic>
    <xdr:clientData/>
  </xdr:twoCellAnchor>
  <xdr:twoCellAnchor>
    <xdr:from>
      <xdr:col>2</xdr:col>
      <xdr:colOff>152985</xdr:colOff>
      <xdr:row>60</xdr:row>
      <xdr:rowOff>120153</xdr:rowOff>
    </xdr:from>
    <xdr:to>
      <xdr:col>2</xdr:col>
      <xdr:colOff>585430</xdr:colOff>
      <xdr:row>60</xdr:row>
      <xdr:rowOff>295579</xdr:rowOff>
    </xdr:to>
    <xdr:pic>
      <xdr:nvPicPr>
        <xdr:cNvPr id="76" name="Grafik 75">
          <a:extLst>
            <a:ext uri="{FF2B5EF4-FFF2-40B4-BE49-F238E27FC236}">
              <a16:creationId xmlns:a16="http://schemas.microsoft.com/office/drawing/2014/main" id="{00000000-0008-0000-0D00-00004C000000}"/>
            </a:ext>
          </a:extLst>
        </xdr:cNvPr>
        <xdr:cNvPicPr>
          <a:picLocks noChangeAspect="1"/>
        </xdr:cNvPicPr>
      </xdr:nvPicPr>
      <xdr:blipFill>
        <a:blip xmlns:r="http://schemas.openxmlformats.org/officeDocument/2006/relationships" r:embed="rId26"/>
        <a:stretch>
          <a:fillRect/>
        </a:stretch>
      </xdr:blipFill>
      <xdr:spPr>
        <a:xfrm rot="4034817">
          <a:off x="1576895" y="36577168"/>
          <a:ext cx="175426" cy="432445"/>
        </a:xfrm>
        <a:prstGeom prst="rect">
          <a:avLst/>
        </a:prstGeom>
      </xdr:spPr>
    </xdr:pic>
    <xdr:clientData/>
  </xdr:twoCellAnchor>
  <xdr:twoCellAnchor>
    <xdr:from>
      <xdr:col>2</xdr:col>
      <xdr:colOff>119875</xdr:colOff>
      <xdr:row>62</xdr:row>
      <xdr:rowOff>27877</xdr:rowOff>
    </xdr:from>
    <xdr:to>
      <xdr:col>2</xdr:col>
      <xdr:colOff>678364</xdr:colOff>
      <xdr:row>62</xdr:row>
      <xdr:rowOff>373656</xdr:rowOff>
    </xdr:to>
    <xdr:pic>
      <xdr:nvPicPr>
        <xdr:cNvPr id="77" name="Grafik 76">
          <a:extLst>
            <a:ext uri="{FF2B5EF4-FFF2-40B4-BE49-F238E27FC236}">
              <a16:creationId xmlns:a16="http://schemas.microsoft.com/office/drawing/2014/main" id="{00000000-0008-0000-0D00-00004D000000}"/>
            </a:ext>
          </a:extLst>
        </xdr:cNvPr>
        <xdr:cNvPicPr>
          <a:picLocks noChangeAspect="1"/>
        </xdr:cNvPicPr>
      </xdr:nvPicPr>
      <xdr:blipFill rotWithShape="1">
        <a:blip xmlns:r="http://schemas.openxmlformats.org/officeDocument/2006/relationships" r:embed="rId27"/>
        <a:srcRect t="4886" b="13458"/>
        <a:stretch/>
      </xdr:blipFill>
      <xdr:spPr>
        <a:xfrm>
          <a:off x="1415275" y="37413502"/>
          <a:ext cx="558489" cy="345779"/>
        </a:xfrm>
        <a:prstGeom prst="rect">
          <a:avLst/>
        </a:prstGeom>
      </xdr:spPr>
    </xdr:pic>
    <xdr:clientData/>
  </xdr:twoCellAnchor>
  <xdr:twoCellAnchor>
    <xdr:from>
      <xdr:col>2</xdr:col>
      <xdr:colOff>274757</xdr:colOff>
      <xdr:row>64</xdr:row>
      <xdr:rowOff>18316</xdr:rowOff>
    </xdr:from>
    <xdr:to>
      <xdr:col>2</xdr:col>
      <xdr:colOff>532488</xdr:colOff>
      <xdr:row>64</xdr:row>
      <xdr:rowOff>373673</xdr:rowOff>
    </xdr:to>
    <xdr:pic>
      <xdr:nvPicPr>
        <xdr:cNvPr id="78" name="Grafik 77">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28"/>
        <a:stretch>
          <a:fillRect/>
        </a:stretch>
      </xdr:blipFill>
      <xdr:spPr>
        <a:xfrm>
          <a:off x="1570157" y="38204041"/>
          <a:ext cx="257731" cy="355357"/>
        </a:xfrm>
        <a:prstGeom prst="rect">
          <a:avLst/>
        </a:prstGeom>
      </xdr:spPr>
    </xdr:pic>
    <xdr:clientData/>
  </xdr:twoCellAnchor>
  <xdr:twoCellAnchor>
    <xdr:from>
      <xdr:col>2</xdr:col>
      <xdr:colOff>324580</xdr:colOff>
      <xdr:row>63</xdr:row>
      <xdr:rowOff>19366</xdr:rowOff>
    </xdr:from>
    <xdr:to>
      <xdr:col>2</xdr:col>
      <xdr:colOff>471118</xdr:colOff>
      <xdr:row>63</xdr:row>
      <xdr:rowOff>391991</xdr:rowOff>
    </xdr:to>
    <xdr:pic>
      <xdr:nvPicPr>
        <xdr:cNvPr id="79" name="Grafik 78">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29"/>
        <a:stretch>
          <a:fillRect/>
        </a:stretch>
      </xdr:blipFill>
      <xdr:spPr>
        <a:xfrm>
          <a:off x="1619980" y="19650391"/>
          <a:ext cx="146538" cy="372625"/>
        </a:xfrm>
        <a:prstGeom prst="rect">
          <a:avLst/>
        </a:prstGeom>
      </xdr:spPr>
    </xdr:pic>
    <xdr:clientData/>
  </xdr:twoCellAnchor>
  <xdr:twoCellAnchor>
    <xdr:from>
      <xdr:col>2</xdr:col>
      <xdr:colOff>236220</xdr:colOff>
      <xdr:row>41</xdr:row>
      <xdr:rowOff>15240</xdr:rowOff>
    </xdr:from>
    <xdr:to>
      <xdr:col>2</xdr:col>
      <xdr:colOff>550545</xdr:colOff>
      <xdr:row>41</xdr:row>
      <xdr:rowOff>371080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0"/>
        <a:stretch>
          <a:fillRect/>
        </a:stretch>
      </xdr:blipFill>
      <xdr:spPr>
        <a:xfrm>
          <a:off x="1562100" y="10873740"/>
          <a:ext cx="314325" cy="355840"/>
        </a:xfrm>
        <a:prstGeom prst="rect">
          <a:avLst/>
        </a:prstGeom>
      </xdr:spPr>
    </xdr:pic>
    <xdr:clientData/>
  </xdr:twoCellAnchor>
  <xdr:twoCellAnchor>
    <xdr:from>
      <xdr:col>2</xdr:col>
      <xdr:colOff>147684</xdr:colOff>
      <xdr:row>52</xdr:row>
      <xdr:rowOff>64635</xdr:rowOff>
    </xdr:from>
    <xdr:to>
      <xdr:col>2</xdr:col>
      <xdr:colOff>632223</xdr:colOff>
      <xdr:row>52</xdr:row>
      <xdr:rowOff>357187</xdr:rowOff>
    </xdr:to>
    <xdr:pic>
      <xdr:nvPicPr>
        <xdr:cNvPr id="6" name="Grafik 3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73564" y="2236075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52</xdr:row>
      <xdr:rowOff>53340</xdr:rowOff>
    </xdr:from>
    <xdr:to>
      <xdr:col>2</xdr:col>
      <xdr:colOff>631151</xdr:colOff>
      <xdr:row>52</xdr:row>
      <xdr:rowOff>349295</xdr:rowOff>
    </xdr:to>
    <xdr:pic>
      <xdr:nvPicPr>
        <xdr:cNvPr id="7" name="Grafik 148">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b="17012"/>
        <a:stretch>
          <a:fillRect/>
        </a:stretch>
      </xdr:blipFill>
      <xdr:spPr bwMode="auto">
        <a:xfrm>
          <a:off x="1478280" y="21541740"/>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14</xdr:row>
          <xdr:rowOff>175260</xdr:rowOff>
        </xdr:from>
        <xdr:to>
          <xdr:col>7</xdr:col>
          <xdr:colOff>609600</xdr:colOff>
          <xdr:row>15</xdr:row>
          <xdr:rowOff>175260</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9"/>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708660</xdr:colOff>
          <xdr:row>9</xdr:row>
          <xdr:rowOff>0</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708660</xdr:colOff>
          <xdr:row>21</xdr:row>
          <xdr:rowOff>0</xdr:rowOff>
        </xdr:to>
        <xdr:sp macro="" textlink="">
          <xdr:nvSpPr>
            <xdr:cNvPr id="5123" name="Group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7</xdr:col>
          <xdr:colOff>655320</xdr:colOff>
          <xdr:row>16</xdr:row>
          <xdr:rowOff>175260</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7</xdr:col>
          <xdr:colOff>655320</xdr:colOff>
          <xdr:row>17</xdr:row>
          <xdr:rowOff>175260</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22860</xdr:rowOff>
        </xdr:from>
        <xdr:to>
          <xdr:col>7</xdr:col>
          <xdr:colOff>655320</xdr:colOff>
          <xdr:row>18</xdr:row>
          <xdr:rowOff>182880</xdr:rowOff>
        </xdr:to>
        <xdr:sp macro="" textlink="">
          <xdr:nvSpPr>
            <xdr:cNvPr id="5131" name="Option Butto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22860</xdr:rowOff>
        </xdr:from>
        <xdr:to>
          <xdr:col>7</xdr:col>
          <xdr:colOff>655320</xdr:colOff>
          <xdr:row>19</xdr:row>
          <xdr:rowOff>182880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22860</xdr:rowOff>
        </xdr:from>
        <xdr:to>
          <xdr:col>7</xdr:col>
          <xdr:colOff>670560</xdr:colOff>
          <xdr:row>20</xdr:row>
          <xdr:rowOff>182880</xdr:rowOff>
        </xdr:to>
        <xdr:sp macro="" textlink="">
          <xdr:nvSpPr>
            <xdr:cNvPr id="5133" name="Option Button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15</xdr:row>
          <xdr:rowOff>22860</xdr:rowOff>
        </xdr:from>
        <xdr:to>
          <xdr:col>10</xdr:col>
          <xdr:colOff>708660</xdr:colOff>
          <xdr:row>16</xdr:row>
          <xdr:rowOff>22860</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16</xdr:row>
          <xdr:rowOff>30480</xdr:rowOff>
        </xdr:from>
        <xdr:to>
          <xdr:col>11</xdr:col>
          <xdr:colOff>121920</xdr:colOff>
          <xdr:row>17</xdr:row>
          <xdr:rowOff>0</xdr:rowOff>
        </xdr:to>
        <xdr:sp macro="" textlink="">
          <xdr:nvSpPr>
            <xdr:cNvPr id="5135" name="Option Button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17</xdr:row>
          <xdr:rowOff>22860</xdr:rowOff>
        </xdr:from>
        <xdr:to>
          <xdr:col>11</xdr:col>
          <xdr:colOff>60960</xdr:colOff>
          <xdr:row>18</xdr:row>
          <xdr:rowOff>22860</xdr:rowOff>
        </xdr:to>
        <xdr:sp macro="" textlink="">
          <xdr:nvSpPr>
            <xdr:cNvPr id="5136" name="Option Butto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18</xdr:row>
          <xdr:rowOff>45720</xdr:rowOff>
        </xdr:from>
        <xdr:to>
          <xdr:col>11</xdr:col>
          <xdr:colOff>114300</xdr:colOff>
          <xdr:row>19</xdr:row>
          <xdr:rowOff>7620</xdr:rowOff>
        </xdr:to>
        <xdr:sp macro="" textlink="">
          <xdr:nvSpPr>
            <xdr:cNvPr id="5137" name="Option Button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708660</xdr:colOff>
          <xdr:row>13</xdr:row>
          <xdr:rowOff>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373380</xdr:colOff>
          <xdr:row>12</xdr:row>
          <xdr:rowOff>182880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144" name="Option Button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145" name="Option Button 25"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19</xdr:row>
          <xdr:rowOff>22860</xdr:rowOff>
        </xdr:from>
        <xdr:to>
          <xdr:col>11</xdr:col>
          <xdr:colOff>114300</xdr:colOff>
          <xdr:row>19</xdr:row>
          <xdr:rowOff>175260</xdr:rowOff>
        </xdr:to>
        <xdr:sp macro="" textlink="">
          <xdr:nvSpPr>
            <xdr:cNvPr id="5150" name="Option Button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708660</xdr:colOff>
          <xdr:row>11</xdr:row>
          <xdr:rowOff>0</xdr:rowOff>
        </xdr:to>
        <xdr:sp macro="" textlink="">
          <xdr:nvSpPr>
            <xdr:cNvPr id="5159" name="Group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162" name="Option Button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163" name="Option Button 43" hidden="1">
              <a:extLst>
                <a:ext uri="{63B3BB69-23CF-44E3-9099-C40C66FF867C}">
                  <a14:compatExt spid="_x0000_s5163"/>
                </a:ext>
                <a:ext uri="{FF2B5EF4-FFF2-40B4-BE49-F238E27FC236}">
                  <a16:creationId xmlns:a16="http://schemas.microsoft.com/office/drawing/2014/main" id="{00000000-0008-0000-0100-00002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606002</xdr:colOff>
      <xdr:row>4</xdr:row>
      <xdr:rowOff>149074</xdr:rowOff>
    </xdr:to>
    <xdr:pic>
      <xdr:nvPicPr>
        <xdr:cNvPr id="102" name="Grafik 4">
          <a:extLst>
            <a:ext uri="{FF2B5EF4-FFF2-40B4-BE49-F238E27FC236}">
              <a16:creationId xmlns:a16="http://schemas.microsoft.com/office/drawing/2014/main" id="{00000000-0008-0000-0100-000066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xdr:col>
      <xdr:colOff>0</xdr:colOff>
      <xdr:row>0</xdr:row>
      <xdr:rowOff>0</xdr:rowOff>
    </xdr:from>
    <xdr:to>
      <xdr:col>5</xdr:col>
      <xdr:colOff>470806</xdr:colOff>
      <xdr:row>5</xdr:row>
      <xdr:rowOff>155651</xdr:rowOff>
    </xdr:to>
    <xdr:pic>
      <xdr:nvPicPr>
        <xdr:cNvPr id="104" name="Grafik 2">
          <a:extLst>
            <a:ext uri="{FF2B5EF4-FFF2-40B4-BE49-F238E27FC236}">
              <a16:creationId xmlns:a16="http://schemas.microsoft.com/office/drawing/2014/main" id="{00000000-0008-0000-0100-00006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242" t="11410" r="7718" b="12080"/>
        <a:stretch/>
      </xdr:blipFill>
      <xdr:spPr bwMode="auto">
        <a:xfrm>
          <a:off x="2076450" y="0"/>
          <a:ext cx="2099581" cy="14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25601" name="Group Box 1" hidden="1">
              <a:extLst>
                <a:ext uri="{63B3BB69-23CF-44E3-9099-C40C66FF867C}">
                  <a14:compatExt spid="_x0000_s25601"/>
                </a:ext>
                <a:ext uri="{FF2B5EF4-FFF2-40B4-BE49-F238E27FC236}">
                  <a16:creationId xmlns:a16="http://schemas.microsoft.com/office/drawing/2014/main" id="{00000000-0008-0000-0200-00000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173608</xdr:colOff>
      <xdr:row>43</xdr:row>
      <xdr:rowOff>49601</xdr:rowOff>
    </xdr:from>
    <xdr:to>
      <xdr:col>2</xdr:col>
      <xdr:colOff>583183</xdr:colOff>
      <xdr:row>43</xdr:row>
      <xdr:rowOff>354401</xdr:rowOff>
    </xdr:to>
    <xdr:pic>
      <xdr:nvPicPr>
        <xdr:cNvPr id="32" name="Grafik 14">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0200-000012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0200-00001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0200-00001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25624" name="Option Button 24" hidden="1">
              <a:extLst>
                <a:ext uri="{63B3BB69-23CF-44E3-9099-C40C66FF867C}">
                  <a14:compatExt spid="_x0000_s25624"/>
                </a:ext>
                <a:ext uri="{FF2B5EF4-FFF2-40B4-BE49-F238E27FC236}">
                  <a16:creationId xmlns:a16="http://schemas.microsoft.com/office/drawing/2014/main" id="{00000000-0008-0000-0200-00001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25625" name="Option Button 25" hidden="1">
              <a:extLst>
                <a:ext uri="{63B3BB69-23CF-44E3-9099-C40C66FF867C}">
                  <a14:compatExt spid="_x0000_s25625"/>
                </a:ext>
                <a:ext uri="{FF2B5EF4-FFF2-40B4-BE49-F238E27FC236}">
                  <a16:creationId xmlns:a16="http://schemas.microsoft.com/office/drawing/2014/main" id="{00000000-0008-0000-0200-000019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96612</xdr:colOff>
      <xdr:row>78</xdr:row>
      <xdr:rowOff>54430</xdr:rowOff>
    </xdr:from>
    <xdr:to>
      <xdr:col>2</xdr:col>
      <xdr:colOff>651783</xdr:colOff>
      <xdr:row>78</xdr:row>
      <xdr:rowOff>353368</xdr:rowOff>
    </xdr:to>
    <xdr:pic>
      <xdr:nvPicPr>
        <xdr:cNvPr id="94" name="Grafik 1805">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79" t="15874" r="5510" b="17451"/>
        <a:stretch>
          <a:fillRect/>
        </a:stretch>
      </xdr:blipFill>
      <xdr:spPr bwMode="auto">
        <a:xfrm>
          <a:off x="1392012" y="207236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25632" name="Group Box 32" hidden="1">
              <a:extLst>
                <a:ext uri="{63B3BB69-23CF-44E3-9099-C40C66FF867C}">
                  <a14:compatExt spid="_x0000_s25632"/>
                </a:ext>
                <a:ext uri="{FF2B5EF4-FFF2-40B4-BE49-F238E27FC236}">
                  <a16:creationId xmlns:a16="http://schemas.microsoft.com/office/drawing/2014/main" id="{00000000-0008-0000-0200-000020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0200-00002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0200-00002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140238</xdr:rowOff>
    </xdr:to>
    <xdr:pic>
      <xdr:nvPicPr>
        <xdr:cNvPr id="107" name="Grafik 4">
          <a:extLst>
            <a:ext uri="{FF2B5EF4-FFF2-40B4-BE49-F238E27FC236}">
              <a16:creationId xmlns:a16="http://schemas.microsoft.com/office/drawing/2014/main" id="{00000000-0008-0000-0200-00006B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214750</xdr:colOff>
      <xdr:row>4</xdr:row>
      <xdr:rowOff>79040</xdr:rowOff>
    </xdr:to>
    <xdr:pic>
      <xdr:nvPicPr>
        <xdr:cNvPr id="108" name="Grafik 99">
          <a:extLst>
            <a:ext uri="{FF2B5EF4-FFF2-40B4-BE49-F238E27FC236}">
              <a16:creationId xmlns:a16="http://schemas.microsoft.com/office/drawing/2014/main" id="{00000000-0008-0000-0200-00006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287" b="24370"/>
        <a:stretch/>
      </xdr:blipFill>
      <xdr:spPr bwMode="auto">
        <a:xfrm>
          <a:off x="2084294" y="0"/>
          <a:ext cx="2636565" cy="1188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556260</xdr:colOff>
          <xdr:row>14</xdr:row>
          <xdr:rowOff>182880</xdr:rowOff>
        </xdr:from>
        <xdr:to>
          <xdr:col>7</xdr:col>
          <xdr:colOff>784860</xdr:colOff>
          <xdr:row>15</xdr:row>
          <xdr:rowOff>175260</xdr:rowOff>
        </xdr:to>
        <xdr:sp macro="" textlink="">
          <xdr:nvSpPr>
            <xdr:cNvPr id="25661" name="Option Button 61" hidden="1">
              <a:extLst>
                <a:ext uri="{63B3BB69-23CF-44E3-9099-C40C66FF867C}">
                  <a14:compatExt spid="_x0000_s25661"/>
                </a:ext>
                <a:ext uri="{FF2B5EF4-FFF2-40B4-BE49-F238E27FC236}">
                  <a16:creationId xmlns:a16="http://schemas.microsoft.com/office/drawing/2014/main" id="{00000000-0008-0000-0200-00003D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182880</xdr:rowOff>
        </xdr:from>
        <xdr:to>
          <xdr:col>7</xdr:col>
          <xdr:colOff>784860</xdr:colOff>
          <xdr:row>16</xdr:row>
          <xdr:rowOff>175260</xdr:rowOff>
        </xdr:to>
        <xdr:sp macro="" textlink="">
          <xdr:nvSpPr>
            <xdr:cNvPr id="25662" name="Option Button 62" hidden="1">
              <a:extLst>
                <a:ext uri="{63B3BB69-23CF-44E3-9099-C40C66FF867C}">
                  <a14:compatExt spid="_x0000_s25662"/>
                </a:ext>
                <a:ext uri="{FF2B5EF4-FFF2-40B4-BE49-F238E27FC236}">
                  <a16:creationId xmlns:a16="http://schemas.microsoft.com/office/drawing/2014/main" id="{00000000-0008-0000-0200-00003E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182880</xdr:rowOff>
        </xdr:from>
        <xdr:to>
          <xdr:col>7</xdr:col>
          <xdr:colOff>784860</xdr:colOff>
          <xdr:row>17</xdr:row>
          <xdr:rowOff>175260</xdr:rowOff>
        </xdr:to>
        <xdr:sp macro="" textlink="">
          <xdr:nvSpPr>
            <xdr:cNvPr id="25663" name="Option Button 63" hidden="1">
              <a:extLst>
                <a:ext uri="{63B3BB69-23CF-44E3-9099-C40C66FF867C}">
                  <a14:compatExt spid="_x0000_s25663"/>
                </a:ext>
                <a:ext uri="{FF2B5EF4-FFF2-40B4-BE49-F238E27FC236}">
                  <a16:creationId xmlns:a16="http://schemas.microsoft.com/office/drawing/2014/main" id="{00000000-0008-0000-0200-00003F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182880</xdr:rowOff>
        </xdr:from>
        <xdr:to>
          <xdr:col>7</xdr:col>
          <xdr:colOff>784860</xdr:colOff>
          <xdr:row>18</xdr:row>
          <xdr:rowOff>175260</xdr:rowOff>
        </xdr:to>
        <xdr:sp macro="" textlink="">
          <xdr:nvSpPr>
            <xdr:cNvPr id="25664" name="Option Button 64" hidden="1">
              <a:extLst>
                <a:ext uri="{63B3BB69-23CF-44E3-9099-C40C66FF867C}">
                  <a14:compatExt spid="_x0000_s25664"/>
                </a:ext>
                <a:ext uri="{FF2B5EF4-FFF2-40B4-BE49-F238E27FC236}">
                  <a16:creationId xmlns:a16="http://schemas.microsoft.com/office/drawing/2014/main" id="{00000000-0008-0000-0200-000040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22860</xdr:rowOff>
        </xdr:from>
        <xdr:to>
          <xdr:col>7</xdr:col>
          <xdr:colOff>800100</xdr:colOff>
          <xdr:row>20</xdr:row>
          <xdr:rowOff>0</xdr:rowOff>
        </xdr:to>
        <xdr:sp macro="" textlink="">
          <xdr:nvSpPr>
            <xdr:cNvPr id="25665" name="Option Button 65" hidden="1">
              <a:extLst>
                <a:ext uri="{63B3BB69-23CF-44E3-9099-C40C66FF867C}">
                  <a14:compatExt spid="_x0000_s25665"/>
                </a:ext>
                <a:ext uri="{FF2B5EF4-FFF2-40B4-BE49-F238E27FC236}">
                  <a16:creationId xmlns:a16="http://schemas.microsoft.com/office/drawing/2014/main" id="{00000000-0008-0000-0200-00004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182880</xdr:rowOff>
        </xdr:from>
        <xdr:to>
          <xdr:col>7</xdr:col>
          <xdr:colOff>800100</xdr:colOff>
          <xdr:row>21</xdr:row>
          <xdr:rowOff>0</xdr:rowOff>
        </xdr:to>
        <xdr:sp macro="" textlink="">
          <xdr:nvSpPr>
            <xdr:cNvPr id="25666" name="Option Button 66" hidden="1">
              <a:extLst>
                <a:ext uri="{63B3BB69-23CF-44E3-9099-C40C66FF867C}">
                  <a14:compatExt spid="_x0000_s25666"/>
                </a:ext>
                <a:ext uri="{FF2B5EF4-FFF2-40B4-BE49-F238E27FC236}">
                  <a16:creationId xmlns:a16="http://schemas.microsoft.com/office/drawing/2014/main" id="{00000000-0008-0000-0200-00004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14</xdr:row>
          <xdr:rowOff>175260</xdr:rowOff>
        </xdr:from>
        <xdr:to>
          <xdr:col>11</xdr:col>
          <xdr:colOff>45720</xdr:colOff>
          <xdr:row>15</xdr:row>
          <xdr:rowOff>175260</xdr:rowOff>
        </xdr:to>
        <xdr:sp macro="" textlink="">
          <xdr:nvSpPr>
            <xdr:cNvPr id="25667" name="Option Button 67" hidden="1">
              <a:extLst>
                <a:ext uri="{63B3BB69-23CF-44E3-9099-C40C66FF867C}">
                  <a14:compatExt spid="_x0000_s25667"/>
                </a:ext>
                <a:ext uri="{FF2B5EF4-FFF2-40B4-BE49-F238E27FC236}">
                  <a16:creationId xmlns:a16="http://schemas.microsoft.com/office/drawing/2014/main" id="{00000000-0008-0000-0200-00004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190500</xdr:rowOff>
        </xdr:from>
        <xdr:to>
          <xdr:col>10</xdr:col>
          <xdr:colOff>723900</xdr:colOff>
          <xdr:row>17</xdr:row>
          <xdr:rowOff>0</xdr:rowOff>
        </xdr:to>
        <xdr:sp macro="" textlink="">
          <xdr:nvSpPr>
            <xdr:cNvPr id="25668" name="Option Button 68" hidden="1">
              <a:extLst>
                <a:ext uri="{63B3BB69-23CF-44E3-9099-C40C66FF867C}">
                  <a14:compatExt spid="_x0000_s25668"/>
                </a:ext>
                <a:ext uri="{FF2B5EF4-FFF2-40B4-BE49-F238E27FC236}">
                  <a16:creationId xmlns:a16="http://schemas.microsoft.com/office/drawing/2014/main" id="{00000000-0008-0000-0200-00004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22860</xdr:rowOff>
        </xdr:from>
        <xdr:to>
          <xdr:col>11</xdr:col>
          <xdr:colOff>60960</xdr:colOff>
          <xdr:row>18</xdr:row>
          <xdr:rowOff>0</xdr:rowOff>
        </xdr:to>
        <xdr:sp macro="" textlink="">
          <xdr:nvSpPr>
            <xdr:cNvPr id="25669" name="Option Button 69" hidden="1">
              <a:extLst>
                <a:ext uri="{63B3BB69-23CF-44E3-9099-C40C66FF867C}">
                  <a14:compatExt spid="_x0000_s25669"/>
                </a:ext>
                <a:ext uri="{FF2B5EF4-FFF2-40B4-BE49-F238E27FC236}">
                  <a16:creationId xmlns:a16="http://schemas.microsoft.com/office/drawing/2014/main" id="{00000000-0008-0000-0200-000045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11</xdr:col>
          <xdr:colOff>60960</xdr:colOff>
          <xdr:row>18</xdr:row>
          <xdr:rowOff>175260</xdr:rowOff>
        </xdr:to>
        <xdr:sp macro="" textlink="">
          <xdr:nvSpPr>
            <xdr:cNvPr id="25671" name="Option Button 71" hidden="1">
              <a:extLst>
                <a:ext uri="{63B3BB69-23CF-44E3-9099-C40C66FF867C}">
                  <a14:compatExt spid="_x0000_s25671"/>
                </a:ext>
                <a:ext uri="{FF2B5EF4-FFF2-40B4-BE49-F238E27FC236}">
                  <a16:creationId xmlns:a16="http://schemas.microsoft.com/office/drawing/2014/main" id="{00000000-0008-0000-0200-000047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161925</xdr:colOff>
      <xdr:row>50</xdr:row>
      <xdr:rowOff>38100</xdr:rowOff>
    </xdr:from>
    <xdr:to>
      <xdr:col>2</xdr:col>
      <xdr:colOff>598846</xdr:colOff>
      <xdr:row>50</xdr:row>
      <xdr:rowOff>381000</xdr:rowOff>
    </xdr:to>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stretch>
          <a:fillRect/>
        </a:stretch>
      </xdr:blipFill>
      <xdr:spPr>
        <a:xfrm>
          <a:off x="1457325" y="14468475"/>
          <a:ext cx="436921" cy="342900"/>
        </a:xfrm>
        <a:prstGeom prst="rect">
          <a:avLst/>
        </a:prstGeom>
      </xdr:spPr>
    </xdr:pic>
    <xdr:clientData/>
  </xdr:twoCellAnchor>
  <xdr:twoCellAnchor>
    <xdr:from>
      <xdr:col>2</xdr:col>
      <xdr:colOff>57150</xdr:colOff>
      <xdr:row>51</xdr:row>
      <xdr:rowOff>28575</xdr:rowOff>
    </xdr:from>
    <xdr:to>
      <xdr:col>2</xdr:col>
      <xdr:colOff>719710</xdr:colOff>
      <xdr:row>51</xdr:row>
      <xdr:rowOff>381000</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1352550" y="14458950"/>
          <a:ext cx="662560" cy="3524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19</xdr:row>
          <xdr:rowOff>0</xdr:rowOff>
        </xdr:from>
        <xdr:to>
          <xdr:col>11</xdr:col>
          <xdr:colOff>60960</xdr:colOff>
          <xdr:row>19</xdr:row>
          <xdr:rowOff>175260</xdr:rowOff>
        </xdr:to>
        <xdr:sp macro="" textlink="">
          <xdr:nvSpPr>
            <xdr:cNvPr id="25672" name="Option Button 72" hidden="1">
              <a:extLst>
                <a:ext uri="{63B3BB69-23CF-44E3-9099-C40C66FF867C}">
                  <a14:compatExt spid="_x0000_s25672"/>
                </a:ext>
                <a:ext uri="{FF2B5EF4-FFF2-40B4-BE49-F238E27FC236}">
                  <a16:creationId xmlns:a16="http://schemas.microsoft.com/office/drawing/2014/main" id="{00000000-0008-0000-0200-00004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13</xdr:row>
          <xdr:rowOff>182880</xdr:rowOff>
        </xdr:from>
        <xdr:to>
          <xdr:col>13</xdr:col>
          <xdr:colOff>670560</xdr:colOff>
          <xdr:row>21</xdr:row>
          <xdr:rowOff>60960</xdr:rowOff>
        </xdr:to>
        <xdr:sp macro="" textlink="">
          <xdr:nvSpPr>
            <xdr:cNvPr id="25674" name="Group Box 74" hidden="1">
              <a:extLst>
                <a:ext uri="{63B3BB69-23CF-44E3-9099-C40C66FF867C}">
                  <a14:compatExt spid="_x0000_s25674"/>
                </a:ext>
                <a:ext uri="{FF2B5EF4-FFF2-40B4-BE49-F238E27FC236}">
                  <a16:creationId xmlns:a16="http://schemas.microsoft.com/office/drawing/2014/main" id="{00000000-0008-0000-0200-00004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670560</xdr:colOff>
          <xdr:row>9</xdr:row>
          <xdr:rowOff>0</xdr:rowOff>
        </xdr:to>
        <xdr:sp macro="" textlink="">
          <xdr:nvSpPr>
            <xdr:cNvPr id="62465" name="Group Box 1" hidden="1">
              <a:extLst>
                <a:ext uri="{63B3BB69-23CF-44E3-9099-C40C66FF867C}">
                  <a14:compatExt spid="_x0000_s62465"/>
                </a:ext>
                <a:ext uri="{FF2B5EF4-FFF2-40B4-BE49-F238E27FC236}">
                  <a16:creationId xmlns:a16="http://schemas.microsoft.com/office/drawing/2014/main" id="{00000000-0008-0000-0300-000001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162215</xdr:colOff>
      <xdr:row>38</xdr:row>
      <xdr:rowOff>53975</xdr:rowOff>
    </xdr:from>
    <xdr:to>
      <xdr:col>2</xdr:col>
      <xdr:colOff>606320</xdr:colOff>
      <xdr:row>38</xdr:row>
      <xdr:rowOff>350045</xdr:rowOff>
    </xdr:to>
    <xdr:pic>
      <xdr:nvPicPr>
        <xdr:cNvPr id="8" name="Grafik 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615" y="792162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792480</xdr:colOff>
          <xdr:row>16</xdr:row>
          <xdr:rowOff>22860</xdr:rowOff>
        </xdr:to>
        <xdr:sp macro="" textlink="">
          <xdr:nvSpPr>
            <xdr:cNvPr id="62467" name="Option Button 3" hidden="1">
              <a:extLst>
                <a:ext uri="{63B3BB69-23CF-44E3-9099-C40C66FF867C}">
                  <a14:compatExt spid="_x0000_s62467"/>
                </a:ext>
                <a:ext uri="{FF2B5EF4-FFF2-40B4-BE49-F238E27FC236}">
                  <a16:creationId xmlns:a16="http://schemas.microsoft.com/office/drawing/2014/main" id="{00000000-0008-0000-03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792480</xdr:colOff>
          <xdr:row>17</xdr:row>
          <xdr:rowOff>22860</xdr:rowOff>
        </xdr:to>
        <xdr:sp macro="" textlink="">
          <xdr:nvSpPr>
            <xdr:cNvPr id="62468" name="Option Button 4" hidden="1">
              <a:extLst>
                <a:ext uri="{63B3BB69-23CF-44E3-9099-C40C66FF867C}">
                  <a14:compatExt spid="_x0000_s62468"/>
                </a:ext>
                <a:ext uri="{FF2B5EF4-FFF2-40B4-BE49-F238E27FC236}">
                  <a16:creationId xmlns:a16="http://schemas.microsoft.com/office/drawing/2014/main" id="{00000000-0008-0000-0300-00000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792480</xdr:colOff>
          <xdr:row>18</xdr:row>
          <xdr:rowOff>22860</xdr:rowOff>
        </xdr:to>
        <xdr:sp macro="" textlink="">
          <xdr:nvSpPr>
            <xdr:cNvPr id="62469" name="Option Button 5" hidden="1">
              <a:extLst>
                <a:ext uri="{63B3BB69-23CF-44E3-9099-C40C66FF867C}">
                  <a14:compatExt spid="_x0000_s62469"/>
                </a:ext>
                <a:ext uri="{FF2B5EF4-FFF2-40B4-BE49-F238E27FC236}">
                  <a16:creationId xmlns:a16="http://schemas.microsoft.com/office/drawing/2014/main" id="{00000000-0008-0000-0300-00000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792480</xdr:colOff>
          <xdr:row>19</xdr:row>
          <xdr:rowOff>22860</xdr:rowOff>
        </xdr:to>
        <xdr:sp macro="" textlink="">
          <xdr:nvSpPr>
            <xdr:cNvPr id="62470" name="Option Button 6" hidden="1">
              <a:extLst>
                <a:ext uri="{63B3BB69-23CF-44E3-9099-C40C66FF867C}">
                  <a14:compatExt spid="_x0000_s62470"/>
                </a:ext>
                <a:ext uri="{FF2B5EF4-FFF2-40B4-BE49-F238E27FC236}">
                  <a16:creationId xmlns:a16="http://schemas.microsoft.com/office/drawing/2014/main" id="{00000000-0008-0000-0300-00000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22860</xdr:rowOff>
        </xdr:from>
        <xdr:to>
          <xdr:col>7</xdr:col>
          <xdr:colOff>807720</xdr:colOff>
          <xdr:row>20</xdr:row>
          <xdr:rowOff>7620</xdr:rowOff>
        </xdr:to>
        <xdr:sp macro="" textlink="">
          <xdr:nvSpPr>
            <xdr:cNvPr id="62471" name="Option Button 7" hidden="1">
              <a:extLst>
                <a:ext uri="{63B3BB69-23CF-44E3-9099-C40C66FF867C}">
                  <a14:compatExt spid="_x0000_s62471"/>
                </a:ext>
                <a:ext uri="{FF2B5EF4-FFF2-40B4-BE49-F238E27FC236}">
                  <a16:creationId xmlns:a16="http://schemas.microsoft.com/office/drawing/2014/main" id="{00000000-0008-0000-0300-00000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0</xdr:rowOff>
        </xdr:from>
        <xdr:to>
          <xdr:col>7</xdr:col>
          <xdr:colOff>807720</xdr:colOff>
          <xdr:row>21</xdr:row>
          <xdr:rowOff>22860</xdr:rowOff>
        </xdr:to>
        <xdr:sp macro="" textlink="">
          <xdr:nvSpPr>
            <xdr:cNvPr id="62472" name="Option Button 8" hidden="1">
              <a:extLst>
                <a:ext uri="{63B3BB69-23CF-44E3-9099-C40C66FF867C}">
                  <a14:compatExt spid="_x0000_s62472"/>
                </a:ext>
                <a:ext uri="{FF2B5EF4-FFF2-40B4-BE49-F238E27FC236}">
                  <a16:creationId xmlns:a16="http://schemas.microsoft.com/office/drawing/2014/main" id="{00000000-0008-0000-0300-00000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7620</xdr:rowOff>
        </xdr:from>
        <xdr:to>
          <xdr:col>10</xdr:col>
          <xdr:colOff>723900</xdr:colOff>
          <xdr:row>16</xdr:row>
          <xdr:rowOff>22860</xdr:rowOff>
        </xdr:to>
        <xdr:sp macro="" textlink="">
          <xdr:nvSpPr>
            <xdr:cNvPr id="62473" name="Option Button 9" hidden="1">
              <a:extLst>
                <a:ext uri="{63B3BB69-23CF-44E3-9099-C40C66FF867C}">
                  <a14:compatExt spid="_x0000_s62473"/>
                </a:ext>
                <a:ext uri="{FF2B5EF4-FFF2-40B4-BE49-F238E27FC236}">
                  <a16:creationId xmlns:a16="http://schemas.microsoft.com/office/drawing/2014/main" id="{00000000-0008-0000-0300-00000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16</xdr:row>
          <xdr:rowOff>7620</xdr:rowOff>
        </xdr:from>
        <xdr:to>
          <xdr:col>10</xdr:col>
          <xdr:colOff>518160</xdr:colOff>
          <xdr:row>17</xdr:row>
          <xdr:rowOff>7620</xdr:rowOff>
        </xdr:to>
        <xdr:sp macro="" textlink="">
          <xdr:nvSpPr>
            <xdr:cNvPr id="62474" name="Option Button 10" hidden="1">
              <a:extLst>
                <a:ext uri="{63B3BB69-23CF-44E3-9099-C40C66FF867C}">
                  <a14:compatExt spid="_x0000_s62474"/>
                </a:ext>
                <a:ext uri="{FF2B5EF4-FFF2-40B4-BE49-F238E27FC236}">
                  <a16:creationId xmlns:a16="http://schemas.microsoft.com/office/drawing/2014/main" id="{00000000-0008-0000-0300-00000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39</xdr:row>
      <xdr:rowOff>70450</xdr:rowOff>
    </xdr:from>
    <xdr:to>
      <xdr:col>2</xdr:col>
      <xdr:colOff>645534</xdr:colOff>
      <xdr:row>39</xdr:row>
      <xdr:rowOff>332836</xdr:rowOff>
    </xdr:to>
    <xdr:pic>
      <xdr:nvPicPr>
        <xdr:cNvPr id="18" name="Grafik 3">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6704" t="5402" r="1610" b="10881"/>
        <a:stretch>
          <a:fillRect/>
        </a:stretch>
      </xdr:blipFill>
      <xdr:spPr bwMode="auto">
        <a:xfrm>
          <a:off x="1393346" y="833815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78</xdr:row>
      <xdr:rowOff>53737</xdr:rowOff>
    </xdr:from>
    <xdr:to>
      <xdr:col>2</xdr:col>
      <xdr:colOff>564622</xdr:colOff>
      <xdr:row>78</xdr:row>
      <xdr:rowOff>347213</xdr:rowOff>
    </xdr:to>
    <xdr:pic>
      <xdr:nvPicPr>
        <xdr:cNvPr id="50" name="Grafik 1805">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499" t="9016" r="15376" b="9836"/>
        <a:stretch>
          <a:fillRect/>
        </a:stretch>
      </xdr:blipFill>
      <xdr:spPr bwMode="auto">
        <a:xfrm>
          <a:off x="1489315" y="2272323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670560</xdr:colOff>
          <xdr:row>13</xdr:row>
          <xdr:rowOff>0</xdr:rowOff>
        </xdr:to>
        <xdr:sp macro="" textlink="">
          <xdr:nvSpPr>
            <xdr:cNvPr id="62476" name="Group Box 12" hidden="1">
              <a:extLst>
                <a:ext uri="{63B3BB69-23CF-44E3-9099-C40C66FF867C}">
                  <a14:compatExt spid="_x0000_s62476"/>
                </a:ext>
                <a:ext uri="{FF2B5EF4-FFF2-40B4-BE49-F238E27FC236}">
                  <a16:creationId xmlns:a16="http://schemas.microsoft.com/office/drawing/2014/main" id="{00000000-0008-0000-0300-00000C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350520</xdr:colOff>
          <xdr:row>12</xdr:row>
          <xdr:rowOff>182880</xdr:rowOff>
        </xdr:to>
        <xdr:sp macro="" textlink="">
          <xdr:nvSpPr>
            <xdr:cNvPr id="62477" name="Option Button 13" hidden="1">
              <a:extLst>
                <a:ext uri="{63B3BB69-23CF-44E3-9099-C40C66FF867C}">
                  <a14:compatExt spid="_x0000_s62477"/>
                </a:ext>
                <a:ext uri="{FF2B5EF4-FFF2-40B4-BE49-F238E27FC236}">
                  <a16:creationId xmlns:a16="http://schemas.microsoft.com/office/drawing/2014/main" id="{00000000-0008-0000-0300-00000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62478" name="Option Button 14" hidden="1">
              <a:extLst>
                <a:ext uri="{63B3BB69-23CF-44E3-9099-C40C66FF867C}">
                  <a14:compatExt spid="_x0000_s62478"/>
                </a:ext>
                <a:ext uri="{FF2B5EF4-FFF2-40B4-BE49-F238E27FC236}">
                  <a16:creationId xmlns:a16="http://schemas.microsoft.com/office/drawing/2014/main" id="{00000000-0008-0000-0300-00000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62479" name="Option Button 15" hidden="1">
              <a:extLst>
                <a:ext uri="{63B3BB69-23CF-44E3-9099-C40C66FF867C}">
                  <a14:compatExt spid="_x0000_s62479"/>
                </a:ext>
                <a:ext uri="{FF2B5EF4-FFF2-40B4-BE49-F238E27FC236}">
                  <a16:creationId xmlns:a16="http://schemas.microsoft.com/office/drawing/2014/main" id="{00000000-0008-0000-0300-00000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62480" name="Option Button 16" hidden="1">
              <a:extLst>
                <a:ext uri="{63B3BB69-23CF-44E3-9099-C40C66FF867C}">
                  <a14:compatExt spid="_x0000_s62480"/>
                </a:ext>
                <a:ext uri="{FF2B5EF4-FFF2-40B4-BE49-F238E27FC236}">
                  <a16:creationId xmlns:a16="http://schemas.microsoft.com/office/drawing/2014/main" id="{00000000-0008-0000-0300-00001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96612</xdr:colOff>
      <xdr:row>79</xdr:row>
      <xdr:rowOff>54430</xdr:rowOff>
    </xdr:from>
    <xdr:to>
      <xdr:col>2</xdr:col>
      <xdr:colOff>651783</xdr:colOff>
      <xdr:row>79</xdr:row>
      <xdr:rowOff>353368</xdr:rowOff>
    </xdr:to>
    <xdr:pic>
      <xdr:nvPicPr>
        <xdr:cNvPr id="74" name="Grafik 1805">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279" t="15874" r="5510" b="17451"/>
        <a:stretch>
          <a:fillRect/>
        </a:stretch>
      </xdr:blipFill>
      <xdr:spPr bwMode="auto">
        <a:xfrm>
          <a:off x="1392012" y="231239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17</xdr:row>
          <xdr:rowOff>22860</xdr:rowOff>
        </xdr:from>
        <xdr:to>
          <xdr:col>10</xdr:col>
          <xdr:colOff>723900</xdr:colOff>
          <xdr:row>17</xdr:row>
          <xdr:rowOff>182880</xdr:rowOff>
        </xdr:to>
        <xdr:sp macro="" textlink="">
          <xdr:nvSpPr>
            <xdr:cNvPr id="62482" name="Option Button 18" hidden="1">
              <a:extLst>
                <a:ext uri="{63B3BB69-23CF-44E3-9099-C40C66FF867C}">
                  <a14:compatExt spid="_x0000_s62482"/>
                </a:ext>
                <a:ext uri="{FF2B5EF4-FFF2-40B4-BE49-F238E27FC236}">
                  <a16:creationId xmlns:a16="http://schemas.microsoft.com/office/drawing/2014/main" id="{00000000-0008-0000-0300-00001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670560</xdr:colOff>
          <xdr:row>11</xdr:row>
          <xdr:rowOff>0</xdr:rowOff>
        </xdr:to>
        <xdr:sp macro="" textlink="">
          <xdr:nvSpPr>
            <xdr:cNvPr id="62494" name="Group Box 30" hidden="1">
              <a:extLst>
                <a:ext uri="{63B3BB69-23CF-44E3-9099-C40C66FF867C}">
                  <a14:compatExt spid="_x0000_s62494"/>
                </a:ext>
                <a:ext uri="{FF2B5EF4-FFF2-40B4-BE49-F238E27FC236}">
                  <a16:creationId xmlns:a16="http://schemas.microsoft.com/office/drawing/2014/main" id="{00000000-0008-0000-0300-00001E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62495" name="Option Button 31" hidden="1">
              <a:extLst>
                <a:ext uri="{63B3BB69-23CF-44E3-9099-C40C66FF867C}">
                  <a14:compatExt spid="_x0000_s62495"/>
                </a:ext>
                <a:ext uri="{FF2B5EF4-FFF2-40B4-BE49-F238E27FC236}">
                  <a16:creationId xmlns:a16="http://schemas.microsoft.com/office/drawing/2014/main" id="{00000000-0008-0000-0300-00001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62496" name="Option Button 32" hidden="1">
              <a:extLst>
                <a:ext uri="{63B3BB69-23CF-44E3-9099-C40C66FF867C}">
                  <a14:compatExt spid="_x0000_s62496"/>
                </a:ext>
                <a:ext uri="{FF2B5EF4-FFF2-40B4-BE49-F238E27FC236}">
                  <a16:creationId xmlns:a16="http://schemas.microsoft.com/office/drawing/2014/main" id="{00000000-0008-0000-0300-00002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588249</xdr:colOff>
      <xdr:row>4</xdr:row>
      <xdr:rowOff>136428</xdr:rowOff>
    </xdr:to>
    <xdr:pic>
      <xdr:nvPicPr>
        <xdr:cNvPr id="97" name="Grafik 4">
          <a:extLst>
            <a:ext uri="{FF2B5EF4-FFF2-40B4-BE49-F238E27FC236}">
              <a16:creationId xmlns:a16="http://schemas.microsoft.com/office/drawing/2014/main" id="{00000000-0008-0000-0300-000061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701379</xdr:colOff>
      <xdr:row>4</xdr:row>
      <xdr:rowOff>136490</xdr:rowOff>
    </xdr:to>
    <xdr:pic>
      <xdr:nvPicPr>
        <xdr:cNvPr id="98" name="Grafik 99">
          <a:extLst>
            <a:ext uri="{FF2B5EF4-FFF2-40B4-BE49-F238E27FC236}">
              <a16:creationId xmlns:a16="http://schemas.microsoft.com/office/drawing/2014/main" id="{00000000-0008-0000-0300-00006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24" t="19050" r="3207" b="15228"/>
        <a:stretch/>
      </xdr:blipFill>
      <xdr:spPr bwMode="auto">
        <a:xfrm>
          <a:off x="2084294" y="0"/>
          <a:ext cx="2341248" cy="1257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191503</xdr:colOff>
      <xdr:row>52</xdr:row>
      <xdr:rowOff>30078</xdr:rowOff>
    </xdr:from>
    <xdr:to>
      <xdr:col>2</xdr:col>
      <xdr:colOff>643566</xdr:colOff>
      <xdr:row>52</xdr:row>
      <xdr:rowOff>390196</xdr:rowOff>
    </xdr:to>
    <xdr:pic>
      <xdr:nvPicPr>
        <xdr:cNvPr id="103" name="Grafik 102">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7"/>
        <a:stretch>
          <a:fillRect/>
        </a:stretch>
      </xdr:blipFill>
      <xdr:spPr>
        <a:xfrm>
          <a:off x="1582153" y="14965278"/>
          <a:ext cx="452063" cy="360118"/>
        </a:xfrm>
        <a:prstGeom prst="rect">
          <a:avLst/>
        </a:prstGeom>
      </xdr:spPr>
    </xdr:pic>
    <xdr:clientData/>
  </xdr:twoCellAnchor>
  <xdr:twoCellAnchor>
    <xdr:from>
      <xdr:col>2</xdr:col>
      <xdr:colOff>191503</xdr:colOff>
      <xdr:row>53</xdr:row>
      <xdr:rowOff>32083</xdr:rowOff>
    </xdr:from>
    <xdr:to>
      <xdr:col>2</xdr:col>
      <xdr:colOff>643566</xdr:colOff>
      <xdr:row>53</xdr:row>
      <xdr:rowOff>392201</xdr:rowOff>
    </xdr:to>
    <xdr:pic>
      <xdr:nvPicPr>
        <xdr:cNvPr id="104" name="Grafik 103">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7"/>
        <a:stretch>
          <a:fillRect/>
        </a:stretch>
      </xdr:blipFill>
      <xdr:spPr>
        <a:xfrm>
          <a:off x="1582153" y="15372096"/>
          <a:ext cx="452063" cy="360118"/>
        </a:xfrm>
        <a:prstGeom prst="rect">
          <a:avLst/>
        </a:prstGeom>
      </xdr:spPr>
    </xdr:pic>
    <xdr:clientData/>
  </xdr:twoCellAnchor>
  <xdr:twoCellAnchor>
    <xdr:from>
      <xdr:col>2</xdr:col>
      <xdr:colOff>19051</xdr:colOff>
      <xdr:row>51</xdr:row>
      <xdr:rowOff>19051</xdr:rowOff>
    </xdr:from>
    <xdr:to>
      <xdr:col>2</xdr:col>
      <xdr:colOff>750995</xdr:colOff>
      <xdr:row>51</xdr:row>
      <xdr:rowOff>381001</xdr:rowOff>
    </xdr:to>
    <xdr:pic>
      <xdr:nvPicPr>
        <xdr:cNvPr id="12" name="Grafik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a:stretch>
          <a:fillRect/>
        </a:stretch>
      </xdr:blipFill>
      <xdr:spPr>
        <a:xfrm>
          <a:off x="1314451" y="14449426"/>
          <a:ext cx="731944"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18</xdr:row>
          <xdr:rowOff>7620</xdr:rowOff>
        </xdr:from>
        <xdr:to>
          <xdr:col>11</xdr:col>
          <xdr:colOff>0</xdr:colOff>
          <xdr:row>18</xdr:row>
          <xdr:rowOff>182880</xdr:rowOff>
        </xdr:to>
        <xdr:sp macro="" textlink="">
          <xdr:nvSpPr>
            <xdr:cNvPr id="62498" name="Option Button 34" hidden="1">
              <a:extLst>
                <a:ext uri="{63B3BB69-23CF-44E3-9099-C40C66FF867C}">
                  <a14:compatExt spid="_x0000_s62498"/>
                </a:ext>
                <a:ext uri="{FF2B5EF4-FFF2-40B4-BE49-F238E27FC236}">
                  <a16:creationId xmlns:a16="http://schemas.microsoft.com/office/drawing/2014/main" id="{00000000-0008-0000-0300-00002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731520</xdr:colOff>
          <xdr:row>18</xdr:row>
          <xdr:rowOff>182880</xdr:rowOff>
        </xdr:from>
        <xdr:to>
          <xdr:col>11</xdr:col>
          <xdr:colOff>38100</xdr:colOff>
          <xdr:row>20</xdr:row>
          <xdr:rowOff>0</xdr:rowOff>
        </xdr:to>
        <xdr:sp macro="" textlink="">
          <xdr:nvSpPr>
            <xdr:cNvPr id="62499" name="Option Button 35" hidden="1">
              <a:extLst>
                <a:ext uri="{63B3BB69-23CF-44E3-9099-C40C66FF867C}">
                  <a14:compatExt spid="_x0000_s62499"/>
                </a:ext>
                <a:ext uri="{FF2B5EF4-FFF2-40B4-BE49-F238E27FC236}">
                  <a16:creationId xmlns:a16="http://schemas.microsoft.com/office/drawing/2014/main" id="{00000000-0008-0000-0300-00002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13</xdr:row>
          <xdr:rowOff>144780</xdr:rowOff>
        </xdr:from>
        <xdr:to>
          <xdr:col>13</xdr:col>
          <xdr:colOff>716280</xdr:colOff>
          <xdr:row>21</xdr:row>
          <xdr:rowOff>53340</xdr:rowOff>
        </xdr:to>
        <xdr:sp macro="" textlink="">
          <xdr:nvSpPr>
            <xdr:cNvPr id="62967" name="Group Box 503" hidden="1">
              <a:extLst>
                <a:ext uri="{63B3BB69-23CF-44E3-9099-C40C66FF867C}">
                  <a14:compatExt spid="_x0000_s62967"/>
                </a:ext>
                <a:ext uri="{FF2B5EF4-FFF2-40B4-BE49-F238E27FC236}">
                  <a16:creationId xmlns:a16="http://schemas.microsoft.com/office/drawing/2014/main" id="{00000000-0008-0000-0300-0000F7F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15361" name="Group Box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30480</xdr:rowOff>
        </xdr:from>
        <xdr:to>
          <xdr:col>7</xdr:col>
          <xdr:colOff>624840</xdr:colOff>
          <xdr:row>15</xdr:row>
          <xdr:rowOff>171450</xdr:rowOff>
        </xdr:to>
        <xdr:sp macro="" textlink="">
          <xdr:nvSpPr>
            <xdr:cNvPr id="15369" name="Option Button 9" hidden="1">
              <a:extLst>
                <a:ext uri="{63B3BB69-23CF-44E3-9099-C40C66FF867C}">
                  <a14:compatExt spid="_x0000_s15369"/>
                </a:ext>
                <a:ext uri="{FF2B5EF4-FFF2-40B4-BE49-F238E27FC236}">
                  <a16:creationId xmlns:a16="http://schemas.microsoft.com/office/drawing/2014/main" id="{00000000-0008-0000-0400-00000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22860</xdr:rowOff>
        </xdr:from>
        <xdr:to>
          <xdr:col>7</xdr:col>
          <xdr:colOff>624840</xdr:colOff>
          <xdr:row>16</xdr:row>
          <xdr:rowOff>171450</xdr:rowOff>
        </xdr:to>
        <xdr:sp macro="" textlink="">
          <xdr:nvSpPr>
            <xdr:cNvPr id="15370" name="Option Button 10" hidden="1">
              <a:extLst>
                <a:ext uri="{63B3BB69-23CF-44E3-9099-C40C66FF867C}">
                  <a14:compatExt spid="_x0000_s15370"/>
                </a:ext>
                <a:ext uri="{FF2B5EF4-FFF2-40B4-BE49-F238E27FC236}">
                  <a16:creationId xmlns:a16="http://schemas.microsoft.com/office/drawing/2014/main" id="{00000000-0008-0000-0400-00000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22860</xdr:rowOff>
        </xdr:from>
        <xdr:to>
          <xdr:col>7</xdr:col>
          <xdr:colOff>624840</xdr:colOff>
          <xdr:row>17</xdr:row>
          <xdr:rowOff>171450</xdr:rowOff>
        </xdr:to>
        <xdr:sp macro="" textlink="">
          <xdr:nvSpPr>
            <xdr:cNvPr id="15371" name="Option Button 11" hidden="1">
              <a:extLst>
                <a:ext uri="{63B3BB69-23CF-44E3-9099-C40C66FF867C}">
                  <a14:compatExt spid="_x0000_s15371"/>
                </a:ext>
                <a:ext uri="{FF2B5EF4-FFF2-40B4-BE49-F238E27FC236}">
                  <a16:creationId xmlns:a16="http://schemas.microsoft.com/office/drawing/2014/main" id="{00000000-0008-0000-0400-00000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22860</xdr:rowOff>
        </xdr:from>
        <xdr:to>
          <xdr:col>7</xdr:col>
          <xdr:colOff>624840</xdr:colOff>
          <xdr:row>18</xdr:row>
          <xdr:rowOff>171450</xdr:rowOff>
        </xdr:to>
        <xdr:sp macro="" textlink="">
          <xdr:nvSpPr>
            <xdr:cNvPr id="15372" name="Option Button 12" hidden="1">
              <a:extLst>
                <a:ext uri="{63B3BB69-23CF-44E3-9099-C40C66FF867C}">
                  <a14:compatExt spid="_x0000_s15372"/>
                </a:ext>
                <a:ext uri="{FF2B5EF4-FFF2-40B4-BE49-F238E27FC236}">
                  <a16:creationId xmlns:a16="http://schemas.microsoft.com/office/drawing/2014/main" id="{00000000-0008-0000-0400-00000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19</xdr:row>
          <xdr:rowOff>22860</xdr:rowOff>
        </xdr:from>
        <xdr:to>
          <xdr:col>7</xdr:col>
          <xdr:colOff>628650</xdr:colOff>
          <xdr:row>19</xdr:row>
          <xdr:rowOff>171450</xdr:rowOff>
        </xdr:to>
        <xdr:sp macro="" textlink="">
          <xdr:nvSpPr>
            <xdr:cNvPr id="15373" name="Option Button 13" hidden="1">
              <a:extLst>
                <a:ext uri="{63B3BB69-23CF-44E3-9099-C40C66FF867C}">
                  <a14:compatExt spid="_x0000_s15373"/>
                </a:ext>
                <a:ext uri="{FF2B5EF4-FFF2-40B4-BE49-F238E27FC236}">
                  <a16:creationId xmlns:a16="http://schemas.microsoft.com/office/drawing/2014/main" id="{00000000-0008-0000-0400-00000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20</xdr:row>
          <xdr:rowOff>30480</xdr:rowOff>
        </xdr:from>
        <xdr:to>
          <xdr:col>7</xdr:col>
          <xdr:colOff>628650</xdr:colOff>
          <xdr:row>21</xdr:row>
          <xdr:rowOff>0</xdr:rowOff>
        </xdr:to>
        <xdr:sp macro="" textlink="">
          <xdr:nvSpPr>
            <xdr:cNvPr id="15374" name="Option Button 14" hidden="1">
              <a:extLst>
                <a:ext uri="{63B3BB69-23CF-44E3-9099-C40C66FF867C}">
                  <a14:compatExt spid="_x0000_s15374"/>
                </a:ext>
                <a:ext uri="{FF2B5EF4-FFF2-40B4-BE49-F238E27FC236}">
                  <a16:creationId xmlns:a16="http://schemas.microsoft.com/office/drawing/2014/main" id="{00000000-0008-0000-0400-00000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14</xdr:row>
          <xdr:rowOff>182880</xdr:rowOff>
        </xdr:from>
        <xdr:to>
          <xdr:col>10</xdr:col>
          <xdr:colOff>701040</xdr:colOff>
          <xdr:row>16</xdr:row>
          <xdr:rowOff>0</xdr:rowOff>
        </xdr:to>
        <xdr:sp macro="" textlink="">
          <xdr:nvSpPr>
            <xdr:cNvPr id="15375" name="Option Button 15" hidden="1">
              <a:extLst>
                <a:ext uri="{63B3BB69-23CF-44E3-9099-C40C66FF867C}">
                  <a14:compatExt spid="_x0000_s15375"/>
                </a:ext>
                <a:ext uri="{FF2B5EF4-FFF2-40B4-BE49-F238E27FC236}">
                  <a16:creationId xmlns:a16="http://schemas.microsoft.com/office/drawing/2014/main" id="{00000000-0008-0000-0400-00000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16</xdr:row>
          <xdr:rowOff>22860</xdr:rowOff>
        </xdr:from>
        <xdr:to>
          <xdr:col>10</xdr:col>
          <xdr:colOff>704850</xdr:colOff>
          <xdr:row>17</xdr:row>
          <xdr:rowOff>19050</xdr:rowOff>
        </xdr:to>
        <xdr:sp macro="" textlink="">
          <xdr:nvSpPr>
            <xdr:cNvPr id="15376" name="Option Button 16" hidden="1">
              <a:extLst>
                <a:ext uri="{63B3BB69-23CF-44E3-9099-C40C66FF867C}">
                  <a14:compatExt spid="_x0000_s15376"/>
                </a:ext>
                <a:ext uri="{FF2B5EF4-FFF2-40B4-BE49-F238E27FC236}">
                  <a16:creationId xmlns:a16="http://schemas.microsoft.com/office/drawing/2014/main" id="{00000000-0008-0000-0400-000010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17</xdr:row>
          <xdr:rowOff>38100</xdr:rowOff>
        </xdr:from>
        <xdr:to>
          <xdr:col>10</xdr:col>
          <xdr:colOff>704850</xdr:colOff>
          <xdr:row>18</xdr:row>
          <xdr:rowOff>0</xdr:rowOff>
        </xdr:to>
        <xdr:sp macro="" textlink="">
          <xdr:nvSpPr>
            <xdr:cNvPr id="15377" name="Option Button 17" hidden="1">
              <a:extLst>
                <a:ext uri="{63B3BB69-23CF-44E3-9099-C40C66FF867C}">
                  <a14:compatExt spid="_x0000_s15377"/>
                </a:ext>
                <a:ext uri="{FF2B5EF4-FFF2-40B4-BE49-F238E27FC236}">
                  <a16:creationId xmlns:a16="http://schemas.microsoft.com/office/drawing/2014/main" id="{00000000-0008-0000-0400-00001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183133</xdr:colOff>
      <xdr:row>40</xdr:row>
      <xdr:rowOff>59126</xdr:rowOff>
    </xdr:from>
    <xdr:to>
      <xdr:col>2</xdr:col>
      <xdr:colOff>592708</xdr:colOff>
      <xdr:row>40</xdr:row>
      <xdr:rowOff>363926</xdr:rowOff>
    </xdr:to>
    <xdr:pic>
      <xdr:nvPicPr>
        <xdr:cNvPr id="32" name="Grafik 14">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78533" y="912692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7620</xdr:rowOff>
        </xdr:from>
        <xdr:to>
          <xdr:col>13</xdr:col>
          <xdr:colOff>647700</xdr:colOff>
          <xdr:row>13</xdr:row>
          <xdr:rowOff>15240</xdr:rowOff>
        </xdr:to>
        <xdr:sp macro="" textlink="">
          <xdr:nvSpPr>
            <xdr:cNvPr id="15378" name="Group Box 18" hidden="1">
              <a:extLst>
                <a:ext uri="{63B3BB69-23CF-44E3-9099-C40C66FF867C}">
                  <a14:compatExt spid="_x0000_s15378"/>
                </a:ext>
                <a:ext uri="{FF2B5EF4-FFF2-40B4-BE49-F238E27FC236}">
                  <a16:creationId xmlns:a16="http://schemas.microsoft.com/office/drawing/2014/main" id="{00000000-0008-0000-0400-000012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457200</xdr:colOff>
          <xdr:row>8</xdr:row>
          <xdr:rowOff>169545</xdr:rowOff>
        </xdr:to>
        <xdr:sp macro="" textlink="">
          <xdr:nvSpPr>
            <xdr:cNvPr id="15384" name="Option Button 24" hidden="1">
              <a:extLst>
                <a:ext uri="{63B3BB69-23CF-44E3-9099-C40C66FF867C}">
                  <a14:compatExt spid="_x0000_s15384"/>
                </a:ext>
                <a:ext uri="{FF2B5EF4-FFF2-40B4-BE49-F238E27FC236}">
                  <a16:creationId xmlns:a16="http://schemas.microsoft.com/office/drawing/2014/main" id="{00000000-0008-0000-0400-00001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321945</xdr:colOff>
          <xdr:row>8</xdr:row>
          <xdr:rowOff>169545</xdr:rowOff>
        </xdr:to>
        <xdr:sp macro="" textlink="">
          <xdr:nvSpPr>
            <xdr:cNvPr id="15385" name="Option Button 25" hidden="1">
              <a:extLst>
                <a:ext uri="{63B3BB69-23CF-44E3-9099-C40C66FF867C}">
                  <a14:compatExt spid="_x0000_s15385"/>
                </a:ext>
                <a:ext uri="{FF2B5EF4-FFF2-40B4-BE49-F238E27FC236}">
                  <a16:creationId xmlns:a16="http://schemas.microsoft.com/office/drawing/2014/main" id="{00000000-0008-0000-0400-00001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184750</xdr:colOff>
      <xdr:row>30</xdr:row>
      <xdr:rowOff>54815</xdr:rowOff>
    </xdr:from>
    <xdr:to>
      <xdr:col>2</xdr:col>
      <xdr:colOff>593434</xdr:colOff>
      <xdr:row>30</xdr:row>
      <xdr:rowOff>367522</xdr:rowOff>
    </xdr:to>
    <xdr:pic>
      <xdr:nvPicPr>
        <xdr:cNvPr id="94" name="Grafik 107">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065" t="7690" r="10989" b="10440"/>
        <a:stretch>
          <a:fillRect/>
        </a:stretch>
      </xdr:blipFill>
      <xdr:spPr bwMode="auto">
        <a:xfrm>
          <a:off x="1480150" y="5122115"/>
          <a:ext cx="408684" cy="312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18</xdr:row>
          <xdr:rowOff>22860</xdr:rowOff>
        </xdr:from>
        <xdr:to>
          <xdr:col>10</xdr:col>
          <xdr:colOff>704850</xdr:colOff>
          <xdr:row>18</xdr:row>
          <xdr:rowOff>169545</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400-00001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281940</xdr:colOff>
          <xdr:row>12</xdr:row>
          <xdr:rowOff>169545</xdr:rowOff>
        </xdr:to>
        <xdr:sp macro="" textlink="">
          <xdr:nvSpPr>
            <xdr:cNvPr id="15390" name="Option Button 30" hidden="1">
              <a:extLst>
                <a:ext uri="{63B3BB69-23CF-44E3-9099-C40C66FF867C}">
                  <a14:compatExt spid="_x0000_s15390"/>
                </a:ext>
                <a:ext uri="{FF2B5EF4-FFF2-40B4-BE49-F238E27FC236}">
                  <a16:creationId xmlns:a16="http://schemas.microsoft.com/office/drawing/2014/main" id="{00000000-0008-0000-0400-00001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626745</xdr:colOff>
          <xdr:row>12</xdr:row>
          <xdr:rowOff>169545</xdr:rowOff>
        </xdr:to>
        <xdr:sp macro="" textlink="">
          <xdr:nvSpPr>
            <xdr:cNvPr id="15391" name="Option Button 31" hidden="1">
              <a:extLst>
                <a:ext uri="{63B3BB69-23CF-44E3-9099-C40C66FF867C}">
                  <a14:compatExt spid="_x0000_s15391"/>
                </a:ext>
                <a:ext uri="{FF2B5EF4-FFF2-40B4-BE49-F238E27FC236}">
                  <a16:creationId xmlns:a16="http://schemas.microsoft.com/office/drawing/2014/main" id="{00000000-0008-0000-0400-00001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15399" name="Group Box 39" hidden="1">
              <a:extLst>
                <a:ext uri="{63B3BB69-23CF-44E3-9099-C40C66FF867C}">
                  <a14:compatExt spid="_x0000_s15399"/>
                </a:ext>
                <a:ext uri="{FF2B5EF4-FFF2-40B4-BE49-F238E27FC236}">
                  <a16:creationId xmlns:a16="http://schemas.microsoft.com/office/drawing/2014/main" id="{00000000-0008-0000-0400-00002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436245</xdr:colOff>
          <xdr:row>10</xdr:row>
          <xdr:rowOff>169545</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400-00002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321945</xdr:colOff>
          <xdr:row>10</xdr:row>
          <xdr:rowOff>169545</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400-00002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593964</xdr:colOff>
      <xdr:row>4</xdr:row>
      <xdr:rowOff>136428</xdr:rowOff>
    </xdr:to>
    <xdr:pic>
      <xdr:nvPicPr>
        <xdr:cNvPr id="99" name="Grafik 4">
          <a:extLst>
            <a:ext uri="{FF2B5EF4-FFF2-40B4-BE49-F238E27FC236}">
              <a16:creationId xmlns:a16="http://schemas.microsoft.com/office/drawing/2014/main" id="{00000000-0008-0000-0400-000063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265579</xdr:colOff>
      <xdr:row>5</xdr:row>
      <xdr:rowOff>149167</xdr:rowOff>
    </xdr:to>
    <xdr:pic>
      <xdr:nvPicPr>
        <xdr:cNvPr id="100" name="Grafik 27">
          <a:extLst>
            <a:ext uri="{FF2B5EF4-FFF2-40B4-BE49-F238E27FC236}">
              <a16:creationId xmlns:a16="http://schemas.microsoft.com/office/drawing/2014/main" id="{00000000-0008-0000-0400-00006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383" t="5950" r="8283" b="11209"/>
        <a:stretch/>
      </xdr:blipFill>
      <xdr:spPr bwMode="auto">
        <a:xfrm>
          <a:off x="2086708" y="0"/>
          <a:ext cx="1965425" cy="1491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191503</xdr:colOff>
      <xdr:row>49</xdr:row>
      <xdr:rowOff>30078</xdr:rowOff>
    </xdr:from>
    <xdr:to>
      <xdr:col>2</xdr:col>
      <xdr:colOff>643566</xdr:colOff>
      <xdr:row>49</xdr:row>
      <xdr:rowOff>390196</xdr:rowOff>
    </xdr:to>
    <xdr:pic>
      <xdr:nvPicPr>
        <xdr:cNvPr id="103" name="Grafik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a:stretch>
          <a:fillRect/>
        </a:stretch>
      </xdr:blipFill>
      <xdr:spPr>
        <a:xfrm>
          <a:off x="1582153" y="14965278"/>
          <a:ext cx="452063" cy="360118"/>
        </a:xfrm>
        <a:prstGeom prst="rect">
          <a:avLst/>
        </a:prstGeom>
      </xdr:spPr>
    </xdr:pic>
    <xdr:clientData/>
  </xdr:twoCellAnchor>
  <xdr:twoCellAnchor>
    <xdr:from>
      <xdr:col>2</xdr:col>
      <xdr:colOff>191503</xdr:colOff>
      <xdr:row>50</xdr:row>
      <xdr:rowOff>32083</xdr:rowOff>
    </xdr:from>
    <xdr:to>
      <xdr:col>2</xdr:col>
      <xdr:colOff>643566</xdr:colOff>
      <xdr:row>50</xdr:row>
      <xdr:rowOff>392201</xdr:rowOff>
    </xdr:to>
    <xdr:pic>
      <xdr:nvPicPr>
        <xdr:cNvPr id="104" name="Grafik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a:stretch>
          <a:fillRect/>
        </a:stretch>
      </xdr:blipFill>
      <xdr:spPr>
        <a:xfrm>
          <a:off x="1582153" y="15372096"/>
          <a:ext cx="452063" cy="360118"/>
        </a:xfrm>
        <a:prstGeom prst="rect">
          <a:avLst/>
        </a:prstGeom>
      </xdr:spPr>
    </xdr:pic>
    <xdr:clientData/>
  </xdr:twoCellAnchor>
  <xdr:twoCellAnchor>
    <xdr:from>
      <xdr:col>2</xdr:col>
      <xdr:colOff>190500</xdr:colOff>
      <xdr:row>51</xdr:row>
      <xdr:rowOff>17545</xdr:rowOff>
    </xdr:from>
    <xdr:to>
      <xdr:col>2</xdr:col>
      <xdr:colOff>636671</xdr:colOff>
      <xdr:row>51</xdr:row>
      <xdr:rowOff>393834</xdr:rowOff>
    </xdr:to>
    <xdr:pic>
      <xdr:nvPicPr>
        <xdr:cNvPr id="105" name="Grafik 20">
          <a:extLst>
            <a:ext uri="{FF2B5EF4-FFF2-40B4-BE49-F238E27FC236}">
              <a16:creationId xmlns:a16="http://schemas.microsoft.com/office/drawing/2014/main" id="{00000000-0008-0000-0400-00006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85726</xdr:colOff>
      <xdr:row>48</xdr:row>
      <xdr:rowOff>19051</xdr:rowOff>
    </xdr:from>
    <xdr:to>
      <xdr:col>2</xdr:col>
      <xdr:colOff>689372</xdr:colOff>
      <xdr:row>48</xdr:row>
      <xdr:rowOff>390525</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7"/>
        <a:stretch>
          <a:fillRect/>
        </a:stretch>
      </xdr:blipFill>
      <xdr:spPr>
        <a:xfrm>
          <a:off x="1381126" y="13649326"/>
          <a:ext cx="603646" cy="3714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19</xdr:row>
          <xdr:rowOff>7620</xdr:rowOff>
        </xdr:from>
        <xdr:to>
          <xdr:col>10</xdr:col>
          <xdr:colOff>704850</xdr:colOff>
          <xdr:row>20</xdr:row>
          <xdr:rowOff>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400-00002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190500</xdr:colOff>
          <xdr:row>68</xdr:row>
          <xdr:rowOff>45720</xdr:rowOff>
        </xdr:from>
        <xdr:to>
          <xdr:col>2</xdr:col>
          <xdr:colOff>601980</xdr:colOff>
          <xdr:row>68</xdr:row>
          <xdr:rowOff>350520</xdr:rowOff>
        </xdr:to>
        <xdr:sp macro="" textlink="">
          <xdr:nvSpPr>
            <xdr:cNvPr id="15405" name="Object 45" hidden="1">
              <a:extLst>
                <a:ext uri="{63B3BB69-23CF-44E3-9099-C40C66FF867C}">
                  <a14:compatExt spid="_x0000_s15405"/>
                </a:ext>
                <a:ext uri="{FF2B5EF4-FFF2-40B4-BE49-F238E27FC236}">
                  <a16:creationId xmlns:a16="http://schemas.microsoft.com/office/drawing/2014/main" id="{00000000-0008-0000-0400-00002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121919</xdr:colOff>
      <xdr:row>91</xdr:row>
      <xdr:rowOff>76200</xdr:rowOff>
    </xdr:from>
    <xdr:to>
      <xdr:col>2</xdr:col>
      <xdr:colOff>682063</xdr:colOff>
      <xdr:row>91</xdr:row>
      <xdr:rowOff>377190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8"/>
        <a:stretch>
          <a:fillRect/>
        </a:stretch>
      </xdr:blipFill>
      <xdr:spPr>
        <a:xfrm>
          <a:off x="1447799" y="31127700"/>
          <a:ext cx="546809" cy="2971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533400</xdr:colOff>
          <xdr:row>14</xdr:row>
          <xdr:rowOff>0</xdr:rowOff>
        </xdr:from>
        <xdr:to>
          <xdr:col>14</xdr:col>
          <xdr:colOff>0</xdr:colOff>
          <xdr:row>21</xdr:row>
          <xdr:rowOff>19050</xdr:rowOff>
        </xdr:to>
        <xdr:sp macro="" textlink="">
          <xdr:nvSpPr>
            <xdr:cNvPr id="15408" name="Group Box 48" hidden="1">
              <a:extLst>
                <a:ext uri="{63B3BB69-23CF-44E3-9099-C40C66FF867C}">
                  <a14:compatExt spid="_x0000_s15408"/>
                </a:ext>
                <a:ext uri="{FF2B5EF4-FFF2-40B4-BE49-F238E27FC236}">
                  <a16:creationId xmlns:a16="http://schemas.microsoft.com/office/drawing/2014/main" id="{00000000-0008-0000-0400-000030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34817" name="Group Box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22860</xdr:rowOff>
        </xdr:from>
        <xdr:to>
          <xdr:col>7</xdr:col>
          <xdr:colOff>297180</xdr:colOff>
          <xdr:row>15</xdr:row>
          <xdr:rowOff>175260</xdr:rowOff>
        </xdr:to>
        <xdr:sp macro="" textlink="">
          <xdr:nvSpPr>
            <xdr:cNvPr id="34825" name="Option Button 9" hidden="1">
              <a:extLst>
                <a:ext uri="{63B3BB69-23CF-44E3-9099-C40C66FF867C}">
                  <a14:compatExt spid="_x0000_s34825"/>
                </a:ext>
                <a:ext uri="{FF2B5EF4-FFF2-40B4-BE49-F238E27FC236}">
                  <a16:creationId xmlns:a16="http://schemas.microsoft.com/office/drawing/2014/main" id="{00000000-0008-0000-0500-00000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22860</xdr:rowOff>
        </xdr:from>
        <xdr:to>
          <xdr:col>7</xdr:col>
          <xdr:colOff>297180</xdr:colOff>
          <xdr:row>16</xdr:row>
          <xdr:rowOff>175260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0500-00000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22860</xdr:rowOff>
        </xdr:from>
        <xdr:to>
          <xdr:col>7</xdr:col>
          <xdr:colOff>297180</xdr:colOff>
          <xdr:row>17</xdr:row>
          <xdr:rowOff>175260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0500-00000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22860</xdr:rowOff>
        </xdr:from>
        <xdr:to>
          <xdr:col>7</xdr:col>
          <xdr:colOff>297180</xdr:colOff>
          <xdr:row>18</xdr:row>
          <xdr:rowOff>175260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0500-00000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19</xdr:row>
          <xdr:rowOff>22860</xdr:rowOff>
        </xdr:from>
        <xdr:to>
          <xdr:col>7</xdr:col>
          <xdr:colOff>304800</xdr:colOff>
          <xdr:row>19</xdr:row>
          <xdr:rowOff>175260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0500-00000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20</xdr:row>
          <xdr:rowOff>22860</xdr:rowOff>
        </xdr:from>
        <xdr:to>
          <xdr:col>7</xdr:col>
          <xdr:colOff>304800</xdr:colOff>
          <xdr:row>21</xdr:row>
          <xdr:rowOff>7620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0500-00000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22860</xdr:rowOff>
        </xdr:from>
        <xdr:to>
          <xdr:col>10</xdr:col>
          <xdr:colOff>304800</xdr:colOff>
          <xdr:row>15</xdr:row>
          <xdr:rowOff>175260</xdr:rowOff>
        </xdr:to>
        <xdr:sp macro="" textlink="">
          <xdr:nvSpPr>
            <xdr:cNvPr id="34831" name="Option Button 15" hidden="1">
              <a:extLst>
                <a:ext uri="{63B3BB69-23CF-44E3-9099-C40C66FF867C}">
                  <a14:compatExt spid="_x0000_s34831"/>
                </a:ext>
                <a:ext uri="{FF2B5EF4-FFF2-40B4-BE49-F238E27FC236}">
                  <a16:creationId xmlns:a16="http://schemas.microsoft.com/office/drawing/2014/main" id="{00000000-0008-0000-0500-00000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16</xdr:row>
          <xdr:rowOff>7620</xdr:rowOff>
        </xdr:from>
        <xdr:to>
          <xdr:col>10</xdr:col>
          <xdr:colOff>723900</xdr:colOff>
          <xdr:row>17</xdr:row>
          <xdr:rowOff>7620</xdr:rowOff>
        </xdr:to>
        <xdr:sp macro="" textlink="">
          <xdr:nvSpPr>
            <xdr:cNvPr id="34832" name="Option Button 16" hidden="1">
              <a:extLst>
                <a:ext uri="{63B3BB69-23CF-44E3-9099-C40C66FF867C}">
                  <a14:compatExt spid="_x0000_s34832"/>
                </a:ext>
                <a:ext uri="{FF2B5EF4-FFF2-40B4-BE49-F238E27FC236}">
                  <a16:creationId xmlns:a16="http://schemas.microsoft.com/office/drawing/2014/main" id="{00000000-0008-0000-0500-00001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30480</xdr:rowOff>
        </xdr:from>
        <xdr:to>
          <xdr:col>10</xdr:col>
          <xdr:colOff>297180</xdr:colOff>
          <xdr:row>17</xdr:row>
          <xdr:rowOff>182880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0500-00001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192658</xdr:colOff>
      <xdr:row>42</xdr:row>
      <xdr:rowOff>49601</xdr:rowOff>
    </xdr:from>
    <xdr:to>
      <xdr:col>2</xdr:col>
      <xdr:colOff>602233</xdr:colOff>
      <xdr:row>42</xdr:row>
      <xdr:rowOff>354401</xdr:rowOff>
    </xdr:to>
    <xdr:pic>
      <xdr:nvPicPr>
        <xdr:cNvPr id="32" name="Grafik 14">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8805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212965</xdr:colOff>
      <xdr:row>77</xdr:row>
      <xdr:rowOff>53737</xdr:rowOff>
    </xdr:from>
    <xdr:to>
      <xdr:col>2</xdr:col>
      <xdr:colOff>583672</xdr:colOff>
      <xdr:row>77</xdr:row>
      <xdr:rowOff>347213</xdr:rowOff>
    </xdr:to>
    <xdr:pic>
      <xdr:nvPicPr>
        <xdr:cNvPr id="63" name="Grafik 1805">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6499" t="9016" r="15376" b="9836"/>
        <a:stretch>
          <a:fillRect/>
        </a:stretch>
      </xdr:blipFill>
      <xdr:spPr bwMode="auto">
        <a:xfrm>
          <a:off x="1508365" y="1992288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230757</xdr:colOff>
      <xdr:row>93</xdr:row>
      <xdr:rowOff>113401</xdr:rowOff>
    </xdr:from>
    <xdr:to>
      <xdr:col>2</xdr:col>
      <xdr:colOff>573657</xdr:colOff>
      <xdr:row>93</xdr:row>
      <xdr:rowOff>294376</xdr:rowOff>
    </xdr:to>
    <xdr:pic>
      <xdr:nvPicPr>
        <xdr:cNvPr id="79" name="Grafik 54">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7550" t="29231" r="22266" b="35603"/>
        <a:stretch>
          <a:fillRect/>
        </a:stretch>
      </xdr:blipFill>
      <xdr:spPr bwMode="auto">
        <a:xfrm>
          <a:off x="1526157" y="2678340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34834" name="Group Box 18" hidden="1">
              <a:extLst>
                <a:ext uri="{63B3BB69-23CF-44E3-9099-C40C66FF867C}">
                  <a14:compatExt spid="_x0000_s34834"/>
                </a:ext>
                <a:ext uri="{FF2B5EF4-FFF2-40B4-BE49-F238E27FC236}">
                  <a16:creationId xmlns:a16="http://schemas.microsoft.com/office/drawing/2014/main" id="{00000000-0008-0000-0500-00001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0500-00001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0500-00001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266016</xdr:colOff>
      <xdr:row>30</xdr:row>
      <xdr:rowOff>57400</xdr:rowOff>
    </xdr:from>
    <xdr:to>
      <xdr:col>2</xdr:col>
      <xdr:colOff>543107</xdr:colOff>
      <xdr:row>30</xdr:row>
      <xdr:rowOff>343150</xdr:rowOff>
    </xdr:to>
    <xdr:pic>
      <xdr:nvPicPr>
        <xdr:cNvPr id="94" name="Grafik 126">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6818" r="11363"/>
        <a:stretch>
          <a:fillRect/>
        </a:stretch>
      </xdr:blipFill>
      <xdr:spPr bwMode="auto">
        <a:xfrm>
          <a:off x="1561416" y="5124700"/>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178989</xdr:colOff>
      <xdr:row>31</xdr:row>
      <xdr:rowOff>57834</xdr:rowOff>
    </xdr:from>
    <xdr:to>
      <xdr:col>2</xdr:col>
      <xdr:colOff>620603</xdr:colOff>
      <xdr:row>31</xdr:row>
      <xdr:rowOff>352243</xdr:rowOff>
    </xdr:to>
    <xdr:pic>
      <xdr:nvPicPr>
        <xdr:cNvPr id="95" name="Grafik 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6158" t="16801" r="8621" b="20596"/>
        <a:stretch>
          <a:fillRect/>
        </a:stretch>
      </xdr:blipFill>
      <xdr:spPr bwMode="auto">
        <a:xfrm>
          <a:off x="1474389" y="5525184"/>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164816</xdr:colOff>
      <xdr:row>32</xdr:row>
      <xdr:rowOff>53253</xdr:rowOff>
    </xdr:from>
    <xdr:to>
      <xdr:col>2</xdr:col>
      <xdr:colOff>623748</xdr:colOff>
      <xdr:row>32</xdr:row>
      <xdr:rowOff>356321</xdr:rowOff>
    </xdr:to>
    <xdr:pic>
      <xdr:nvPicPr>
        <xdr:cNvPr id="96" name="Grafik 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4473" t="17323" r="7237" b="13597"/>
        <a:stretch>
          <a:fillRect/>
        </a:stretch>
      </xdr:blipFill>
      <xdr:spPr bwMode="auto">
        <a:xfrm>
          <a:off x="1460216" y="5920653"/>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223938</xdr:colOff>
      <xdr:row>70</xdr:row>
      <xdr:rowOff>53253</xdr:rowOff>
    </xdr:from>
    <xdr:to>
      <xdr:col>2</xdr:col>
      <xdr:colOff>552983</xdr:colOff>
      <xdr:row>70</xdr:row>
      <xdr:rowOff>356321</xdr:rowOff>
    </xdr:to>
    <xdr:pic>
      <xdr:nvPicPr>
        <xdr:cNvPr id="97" name="Grafik 10">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3012" t="7323" r="7765" b="6566"/>
        <a:stretch>
          <a:fillRect/>
        </a:stretch>
      </xdr:blipFill>
      <xdr:spPr bwMode="auto">
        <a:xfrm>
          <a:off x="1519338" y="17522103"/>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151941</xdr:colOff>
      <xdr:row>78</xdr:row>
      <xdr:rowOff>79553</xdr:rowOff>
    </xdr:from>
    <xdr:to>
      <xdr:col>2</xdr:col>
      <xdr:colOff>617099</xdr:colOff>
      <xdr:row>78</xdr:row>
      <xdr:rowOff>330022</xdr:rowOff>
    </xdr:to>
    <xdr:pic>
      <xdr:nvPicPr>
        <xdr:cNvPr id="98" name="Grafik 1805">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1279" t="15874" r="5510" b="17451"/>
        <a:stretch>
          <a:fillRect/>
        </a:stretch>
      </xdr:blipFill>
      <xdr:spPr bwMode="auto">
        <a:xfrm>
          <a:off x="1447341" y="20348753"/>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10</xdr:col>
          <xdr:colOff>297180</xdr:colOff>
          <xdr:row>18</xdr:row>
          <xdr:rowOff>175260</xdr:rowOff>
        </xdr:to>
        <xdr:sp macro="" textlink="">
          <xdr:nvSpPr>
            <xdr:cNvPr id="34844" name="Option Button 28" hidden="1">
              <a:extLst>
                <a:ext uri="{63B3BB69-23CF-44E3-9099-C40C66FF867C}">
                  <a14:compatExt spid="_x0000_s34844"/>
                </a:ext>
                <a:ext uri="{FF2B5EF4-FFF2-40B4-BE49-F238E27FC236}">
                  <a16:creationId xmlns:a16="http://schemas.microsoft.com/office/drawing/2014/main" id="{00000000-0008-0000-0500-00001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34845" name="Option Button 29" hidden="1">
              <a:extLst>
                <a:ext uri="{63B3BB69-23CF-44E3-9099-C40C66FF867C}">
                  <a14:compatExt spid="_x0000_s34845"/>
                </a:ext>
                <a:ext uri="{FF2B5EF4-FFF2-40B4-BE49-F238E27FC236}">
                  <a16:creationId xmlns:a16="http://schemas.microsoft.com/office/drawing/2014/main" id="{00000000-0008-0000-0500-00001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34846" name="Option Button 30" hidden="1">
              <a:extLst>
                <a:ext uri="{63B3BB69-23CF-44E3-9099-C40C66FF867C}">
                  <a14:compatExt spid="_x0000_s34846"/>
                </a:ext>
                <a:ext uri="{FF2B5EF4-FFF2-40B4-BE49-F238E27FC236}">
                  <a16:creationId xmlns:a16="http://schemas.microsoft.com/office/drawing/2014/main" id="{00000000-0008-0000-0500-00001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34849" name="Group Box 33" hidden="1">
              <a:extLst>
                <a:ext uri="{63B3BB69-23CF-44E3-9099-C40C66FF867C}">
                  <a14:compatExt spid="_x0000_s34849"/>
                </a:ext>
                <a:ext uri="{FF2B5EF4-FFF2-40B4-BE49-F238E27FC236}">
                  <a16:creationId xmlns:a16="http://schemas.microsoft.com/office/drawing/2014/main" id="{00000000-0008-0000-0500-00002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34850" name="Option Button 34" hidden="1">
              <a:extLst>
                <a:ext uri="{63B3BB69-23CF-44E3-9099-C40C66FF867C}">
                  <a14:compatExt spid="_x0000_s34850"/>
                </a:ext>
                <a:ext uri="{FF2B5EF4-FFF2-40B4-BE49-F238E27FC236}">
                  <a16:creationId xmlns:a16="http://schemas.microsoft.com/office/drawing/2014/main" id="{00000000-0008-0000-0500-00002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34851" name="Option Button 35" hidden="1">
              <a:extLst>
                <a:ext uri="{63B3BB69-23CF-44E3-9099-C40C66FF867C}">
                  <a14:compatExt spid="_x0000_s34851"/>
                </a:ext>
                <a:ext uri="{FF2B5EF4-FFF2-40B4-BE49-F238E27FC236}">
                  <a16:creationId xmlns:a16="http://schemas.microsoft.com/office/drawing/2014/main" id="{00000000-0008-0000-0500-00002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8" name="Grafik 4">
          <a:extLst>
            <a:ext uri="{FF2B5EF4-FFF2-40B4-BE49-F238E27FC236}">
              <a16:creationId xmlns:a16="http://schemas.microsoft.com/office/drawing/2014/main" id="{00000000-0008-0000-0500-00006C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4</xdr:col>
      <xdr:colOff>632408</xdr:colOff>
      <xdr:row>5</xdr:row>
      <xdr:rowOff>131753</xdr:rowOff>
    </xdr:to>
    <xdr:pic>
      <xdr:nvPicPr>
        <xdr:cNvPr id="109" name="Grafik 3">
          <a:extLst>
            <a:ext uri="{FF2B5EF4-FFF2-40B4-BE49-F238E27FC236}">
              <a16:creationId xmlns:a16="http://schemas.microsoft.com/office/drawing/2014/main" id="{00000000-0008-0000-0500-00006D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4361" r="11871" b="3818"/>
        <a:stretch/>
      </xdr:blipFill>
      <xdr:spPr bwMode="auto">
        <a:xfrm>
          <a:off x="2084294" y="0"/>
          <a:ext cx="1507700" cy="1476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4" name="Grafik 20">
          <a:extLst>
            <a:ext uri="{FF2B5EF4-FFF2-40B4-BE49-F238E27FC236}">
              <a16:creationId xmlns:a16="http://schemas.microsoft.com/office/drawing/2014/main" id="{00000000-0008-0000-0500-00007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50</xdr:row>
      <xdr:rowOff>15669</xdr:rowOff>
    </xdr:from>
    <xdr:to>
      <xdr:col>2</xdr:col>
      <xdr:colOff>676275</xdr:colOff>
      <xdr:row>50</xdr:row>
      <xdr:rowOff>390524</xdr:rowOff>
    </xdr:to>
    <xdr:pic>
      <xdr:nvPicPr>
        <xdr:cNvPr id="12" name="Grafik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2"/>
        <a:stretch>
          <a:fillRect/>
        </a:stretch>
      </xdr:blipFill>
      <xdr:spPr>
        <a:xfrm>
          <a:off x="1400174" y="14446044"/>
          <a:ext cx="571501" cy="37485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19</xdr:row>
          <xdr:rowOff>0</xdr:rowOff>
        </xdr:from>
        <xdr:to>
          <xdr:col>10</xdr:col>
          <xdr:colOff>304800</xdr:colOff>
          <xdr:row>19</xdr:row>
          <xdr:rowOff>160020</xdr:rowOff>
        </xdr:to>
        <xdr:sp macro="" textlink="">
          <xdr:nvSpPr>
            <xdr:cNvPr id="34852" name="Option Button 36" hidden="1">
              <a:extLst>
                <a:ext uri="{63B3BB69-23CF-44E3-9099-C40C66FF867C}">
                  <a14:compatExt spid="_x0000_s34852"/>
                </a:ext>
                <a:ext uri="{FF2B5EF4-FFF2-40B4-BE49-F238E27FC236}">
                  <a16:creationId xmlns:a16="http://schemas.microsoft.com/office/drawing/2014/main" id="{00000000-0008-0000-0500-00002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13</xdr:row>
          <xdr:rowOff>167640</xdr:rowOff>
        </xdr:from>
        <xdr:to>
          <xdr:col>13</xdr:col>
          <xdr:colOff>655320</xdr:colOff>
          <xdr:row>21</xdr:row>
          <xdr:rowOff>83820</xdr:rowOff>
        </xdr:to>
        <xdr:sp macro="" textlink="">
          <xdr:nvSpPr>
            <xdr:cNvPr id="34857" name="Group Box 41" hidden="1">
              <a:extLst>
                <a:ext uri="{63B3BB69-23CF-44E3-9099-C40C66FF867C}">
                  <a14:compatExt spid="_x0000_s34857"/>
                </a:ext>
                <a:ext uri="{FF2B5EF4-FFF2-40B4-BE49-F238E27FC236}">
                  <a16:creationId xmlns:a16="http://schemas.microsoft.com/office/drawing/2014/main" id="{00000000-0008-0000-0500-00002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30480</xdr:rowOff>
        </xdr:from>
        <xdr:to>
          <xdr:col>7</xdr:col>
          <xdr:colOff>312420</xdr:colOff>
          <xdr:row>15</xdr:row>
          <xdr:rowOff>175260</xdr:rowOff>
        </xdr:to>
        <xdr:sp macro="" textlink="">
          <xdr:nvSpPr>
            <xdr:cNvPr id="43017" name="Option Button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30480</xdr:rowOff>
        </xdr:from>
        <xdr:to>
          <xdr:col>7</xdr:col>
          <xdr:colOff>312420</xdr:colOff>
          <xdr:row>16</xdr:row>
          <xdr:rowOff>175260</xdr:rowOff>
        </xdr:to>
        <xdr:sp macro="" textlink="">
          <xdr:nvSpPr>
            <xdr:cNvPr id="43018" name="Option Button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30480</xdr:rowOff>
        </xdr:from>
        <xdr:to>
          <xdr:col>7</xdr:col>
          <xdr:colOff>312420</xdr:colOff>
          <xdr:row>17</xdr:row>
          <xdr:rowOff>175260</xdr:rowOff>
        </xdr:to>
        <xdr:sp macro="" textlink="">
          <xdr:nvSpPr>
            <xdr:cNvPr id="43019" name="Option Button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30480</xdr:rowOff>
        </xdr:from>
        <xdr:to>
          <xdr:col>7</xdr:col>
          <xdr:colOff>312420</xdr:colOff>
          <xdr:row>18</xdr:row>
          <xdr:rowOff>175260</xdr:rowOff>
        </xdr:to>
        <xdr:sp macro="" textlink="">
          <xdr:nvSpPr>
            <xdr:cNvPr id="43020" name="Option Button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19</xdr:row>
          <xdr:rowOff>22860</xdr:rowOff>
        </xdr:from>
        <xdr:to>
          <xdr:col>7</xdr:col>
          <xdr:colOff>297180</xdr:colOff>
          <xdr:row>19</xdr:row>
          <xdr:rowOff>175260</xdr:rowOff>
        </xdr:to>
        <xdr:sp macro="" textlink="">
          <xdr:nvSpPr>
            <xdr:cNvPr id="43021" name="Option Button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19</xdr:row>
          <xdr:rowOff>190500</xdr:rowOff>
        </xdr:from>
        <xdr:to>
          <xdr:col>7</xdr:col>
          <xdr:colOff>297180</xdr:colOff>
          <xdr:row>20</xdr:row>
          <xdr:rowOff>160020</xdr:rowOff>
        </xdr:to>
        <xdr:sp macro="" textlink="">
          <xdr:nvSpPr>
            <xdr:cNvPr id="43022" name="Option Button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15</xdr:row>
          <xdr:rowOff>22860</xdr:rowOff>
        </xdr:from>
        <xdr:to>
          <xdr:col>10</xdr:col>
          <xdr:colOff>304800</xdr:colOff>
          <xdr:row>15</xdr:row>
          <xdr:rowOff>175260</xdr:rowOff>
        </xdr:to>
        <xdr:sp macro="" textlink="">
          <xdr:nvSpPr>
            <xdr:cNvPr id="43023" name="Option Button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16</xdr:row>
          <xdr:rowOff>0</xdr:rowOff>
        </xdr:from>
        <xdr:to>
          <xdr:col>10</xdr:col>
          <xdr:colOff>381000</xdr:colOff>
          <xdr:row>17</xdr:row>
          <xdr:rowOff>0</xdr:rowOff>
        </xdr:to>
        <xdr:sp macro="" textlink="">
          <xdr:nvSpPr>
            <xdr:cNvPr id="43024" name="Option Button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17</xdr:row>
          <xdr:rowOff>22860</xdr:rowOff>
        </xdr:from>
        <xdr:to>
          <xdr:col>10</xdr:col>
          <xdr:colOff>304800</xdr:colOff>
          <xdr:row>17</xdr:row>
          <xdr:rowOff>175260</xdr:rowOff>
        </xdr:to>
        <xdr:sp macro="" textlink="">
          <xdr:nvSpPr>
            <xdr:cNvPr id="43025" name="Option Button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173608</xdr:colOff>
      <xdr:row>43</xdr:row>
      <xdr:rowOff>59126</xdr:rowOff>
    </xdr:from>
    <xdr:to>
      <xdr:col>2</xdr:col>
      <xdr:colOff>583183</xdr:colOff>
      <xdr:row>43</xdr:row>
      <xdr:rowOff>363926</xdr:rowOff>
    </xdr:to>
    <xdr:pic>
      <xdr:nvPicPr>
        <xdr:cNvPr id="32" name="Grafik 14">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103270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94</xdr:row>
      <xdr:rowOff>122926</xdr:rowOff>
    </xdr:from>
    <xdr:to>
      <xdr:col>2</xdr:col>
      <xdr:colOff>554607</xdr:colOff>
      <xdr:row>94</xdr:row>
      <xdr:rowOff>303901</xdr:rowOff>
    </xdr:to>
    <xdr:pic>
      <xdr:nvPicPr>
        <xdr:cNvPr id="79" name="Grafik 54">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7550" t="29231" r="22266" b="35603"/>
        <a:stretch>
          <a:fillRect/>
        </a:stretch>
      </xdr:blipFill>
      <xdr:spPr bwMode="auto">
        <a:xfrm>
          <a:off x="1507107" y="271929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43026" name="Group Box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43032" name="Option Button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43033" name="Option Button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246966</xdr:colOff>
      <xdr:row>30</xdr:row>
      <xdr:rowOff>66925</xdr:rowOff>
    </xdr:from>
    <xdr:to>
      <xdr:col>2</xdr:col>
      <xdr:colOff>524057</xdr:colOff>
      <xdr:row>30</xdr:row>
      <xdr:rowOff>352675</xdr:rowOff>
    </xdr:to>
    <xdr:pic>
      <xdr:nvPicPr>
        <xdr:cNvPr id="94" name="Grafik 126">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818" r="11363"/>
        <a:stretch>
          <a:fillRect/>
        </a:stretch>
      </xdr:blipFill>
      <xdr:spPr bwMode="auto">
        <a:xfrm>
          <a:off x="1542366" y="5134225"/>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159939</xdr:colOff>
      <xdr:row>31</xdr:row>
      <xdr:rowOff>67359</xdr:rowOff>
    </xdr:from>
    <xdr:to>
      <xdr:col>2</xdr:col>
      <xdr:colOff>601553</xdr:colOff>
      <xdr:row>31</xdr:row>
      <xdr:rowOff>361768</xdr:rowOff>
    </xdr:to>
    <xdr:pic>
      <xdr:nvPicPr>
        <xdr:cNvPr id="95" name="Grafik 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158" t="16801" r="8621" b="20596"/>
        <a:stretch>
          <a:fillRect/>
        </a:stretch>
      </xdr:blipFill>
      <xdr:spPr bwMode="auto">
        <a:xfrm>
          <a:off x="1455339" y="5534709"/>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145766</xdr:colOff>
      <xdr:row>32</xdr:row>
      <xdr:rowOff>62778</xdr:rowOff>
    </xdr:from>
    <xdr:to>
      <xdr:col>2</xdr:col>
      <xdr:colOff>604698</xdr:colOff>
      <xdr:row>32</xdr:row>
      <xdr:rowOff>365846</xdr:rowOff>
    </xdr:to>
    <xdr:pic>
      <xdr:nvPicPr>
        <xdr:cNvPr id="96" name="Grafik 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4473" t="17323" r="7237" b="13597"/>
        <a:stretch>
          <a:fillRect/>
        </a:stretch>
      </xdr:blipFill>
      <xdr:spPr bwMode="auto">
        <a:xfrm>
          <a:off x="1441166" y="5930178"/>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204888</xdr:colOff>
      <xdr:row>71</xdr:row>
      <xdr:rowOff>62778</xdr:rowOff>
    </xdr:from>
    <xdr:to>
      <xdr:col>2</xdr:col>
      <xdr:colOff>533933</xdr:colOff>
      <xdr:row>71</xdr:row>
      <xdr:rowOff>365846</xdr:rowOff>
    </xdr:to>
    <xdr:pic>
      <xdr:nvPicPr>
        <xdr:cNvPr id="97" name="Grafik 10">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3012" t="7323" r="7765" b="6566"/>
        <a:stretch>
          <a:fillRect/>
        </a:stretch>
      </xdr:blipFill>
      <xdr:spPr bwMode="auto">
        <a:xfrm>
          <a:off x="1500288" y="17931678"/>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132891</xdr:colOff>
      <xdr:row>79</xdr:row>
      <xdr:rowOff>89078</xdr:rowOff>
    </xdr:from>
    <xdr:to>
      <xdr:col>2</xdr:col>
      <xdr:colOff>598049</xdr:colOff>
      <xdr:row>79</xdr:row>
      <xdr:rowOff>339547</xdr:rowOff>
    </xdr:to>
    <xdr:pic>
      <xdr:nvPicPr>
        <xdr:cNvPr id="98" name="Grafik 1805">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1279" t="15874" r="5510" b="17451"/>
        <a:stretch>
          <a:fillRect/>
        </a:stretch>
      </xdr:blipFill>
      <xdr:spPr bwMode="auto">
        <a:xfrm>
          <a:off x="1428291" y="20758328"/>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33</xdr:row>
      <xdr:rowOff>66675</xdr:rowOff>
    </xdr:from>
    <xdr:to>
      <xdr:col>2</xdr:col>
      <xdr:colOff>588545</xdr:colOff>
      <xdr:row>33</xdr:row>
      <xdr:rowOff>342900</xdr:rowOff>
    </xdr:to>
    <xdr:pic>
      <xdr:nvPicPr>
        <xdr:cNvPr id="100" name="Grafik 106">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7992" t="19756" r="20074" b="16425"/>
        <a:stretch>
          <a:fillRect/>
        </a:stretch>
      </xdr:blipFill>
      <xdr:spPr bwMode="auto">
        <a:xfrm>
          <a:off x="1447800" y="6334125"/>
          <a:ext cx="43614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17</xdr:row>
          <xdr:rowOff>190500</xdr:rowOff>
        </xdr:from>
        <xdr:to>
          <xdr:col>10</xdr:col>
          <xdr:colOff>304800</xdr:colOff>
          <xdr:row>18</xdr:row>
          <xdr:rowOff>175260</xdr:rowOff>
        </xdr:to>
        <xdr:sp macro="" textlink="">
          <xdr:nvSpPr>
            <xdr:cNvPr id="43036" name="Option Button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43037" name="Option Button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43038" name="Option Button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43042" name="Group Box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43043" name="Option Button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43044" name="Option Button 36" hidden="1">
              <a:extLst>
                <a:ext uri="{63B3BB69-23CF-44E3-9099-C40C66FF867C}">
                  <a14:compatExt spid="_x0000_s43044"/>
                </a:ext>
                <a:ext uri="{FF2B5EF4-FFF2-40B4-BE49-F238E27FC236}">
                  <a16:creationId xmlns:a16="http://schemas.microsoft.com/office/drawing/2014/main" id="{00000000-0008-0000-0600-000024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7" name="Grafik 4">
          <a:extLst>
            <a:ext uri="{FF2B5EF4-FFF2-40B4-BE49-F238E27FC236}">
              <a16:creationId xmlns:a16="http://schemas.microsoft.com/office/drawing/2014/main" id="{00000000-0008-0000-0600-00006B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59840</xdr:colOff>
      <xdr:row>5</xdr:row>
      <xdr:rowOff>131445</xdr:rowOff>
    </xdr:to>
    <xdr:pic>
      <xdr:nvPicPr>
        <xdr:cNvPr id="108" name="Grafik 118">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17520" t="10370" r="20914" b="6482"/>
        <a:stretch>
          <a:fillRect/>
        </a:stretch>
      </xdr:blipFill>
      <xdr:spPr bwMode="auto">
        <a:xfrm>
          <a:off x="2076450" y="0"/>
          <a:ext cx="169433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54</xdr:row>
      <xdr:rowOff>17545</xdr:rowOff>
    </xdr:from>
    <xdr:to>
      <xdr:col>2</xdr:col>
      <xdr:colOff>636671</xdr:colOff>
      <xdr:row>54</xdr:row>
      <xdr:rowOff>393834</xdr:rowOff>
    </xdr:to>
    <xdr:pic>
      <xdr:nvPicPr>
        <xdr:cNvPr id="113" name="Grafik 20">
          <a:extLst>
            <a:ext uri="{FF2B5EF4-FFF2-40B4-BE49-F238E27FC236}">
              <a16:creationId xmlns:a16="http://schemas.microsoft.com/office/drawing/2014/main" id="{00000000-0008-0000-0600-000071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51</xdr:row>
      <xdr:rowOff>19050</xdr:rowOff>
    </xdr:from>
    <xdr:to>
      <xdr:col>2</xdr:col>
      <xdr:colOff>666750</xdr:colOff>
      <xdr:row>51</xdr:row>
      <xdr:rowOff>385349</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2"/>
        <a:stretch>
          <a:fillRect/>
        </a:stretch>
      </xdr:blipFill>
      <xdr:spPr>
        <a:xfrm>
          <a:off x="1381125" y="14849475"/>
          <a:ext cx="581025" cy="3662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19</xdr:row>
          <xdr:rowOff>0</xdr:rowOff>
        </xdr:from>
        <xdr:to>
          <xdr:col>10</xdr:col>
          <xdr:colOff>304800</xdr:colOff>
          <xdr:row>19</xdr:row>
          <xdr:rowOff>175260</xdr:rowOff>
        </xdr:to>
        <xdr:sp macro="" textlink="">
          <xdr:nvSpPr>
            <xdr:cNvPr id="43048" name="Option Button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13</xdr:row>
          <xdr:rowOff>182880</xdr:rowOff>
        </xdr:from>
        <xdr:to>
          <xdr:col>13</xdr:col>
          <xdr:colOff>632460</xdr:colOff>
          <xdr:row>21</xdr:row>
          <xdr:rowOff>22860</xdr:rowOff>
        </xdr:to>
        <xdr:sp macro="" textlink="">
          <xdr:nvSpPr>
            <xdr:cNvPr id="43049" name="Group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50177" name="Group Box 1" hidden="1">
              <a:extLst>
                <a:ext uri="{63B3BB69-23CF-44E3-9099-C40C66FF867C}">
                  <a14:compatExt spid="_x0000_s50177"/>
                </a:ext>
                <a:ext uri="{FF2B5EF4-FFF2-40B4-BE49-F238E27FC236}">
                  <a16:creationId xmlns:a16="http://schemas.microsoft.com/office/drawing/2014/main" id="{00000000-0008-0000-0700-00000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320040</xdr:colOff>
          <xdr:row>15</xdr:row>
          <xdr:rowOff>182880</xdr:rowOff>
        </xdr:to>
        <xdr:sp macro="" textlink="">
          <xdr:nvSpPr>
            <xdr:cNvPr id="50185" name="Option Button 9" hidden="1">
              <a:extLst>
                <a:ext uri="{63B3BB69-23CF-44E3-9099-C40C66FF867C}">
                  <a14:compatExt spid="_x0000_s50185"/>
                </a:ext>
                <a:ext uri="{FF2B5EF4-FFF2-40B4-BE49-F238E27FC236}">
                  <a16:creationId xmlns:a16="http://schemas.microsoft.com/office/drawing/2014/main" id="{00000000-0008-0000-07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320040</xdr:colOff>
          <xdr:row>16</xdr:row>
          <xdr:rowOff>182880</xdr:rowOff>
        </xdr:to>
        <xdr:sp macro="" textlink="">
          <xdr:nvSpPr>
            <xdr:cNvPr id="50186" name="Option Button 10" hidden="1">
              <a:extLst>
                <a:ext uri="{63B3BB69-23CF-44E3-9099-C40C66FF867C}">
                  <a14:compatExt spid="_x0000_s50186"/>
                </a:ext>
                <a:ext uri="{FF2B5EF4-FFF2-40B4-BE49-F238E27FC236}">
                  <a16:creationId xmlns:a16="http://schemas.microsoft.com/office/drawing/2014/main" id="{00000000-0008-0000-07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320040</xdr:colOff>
          <xdr:row>17</xdr:row>
          <xdr:rowOff>182880</xdr:rowOff>
        </xdr:to>
        <xdr:sp macro="" textlink="">
          <xdr:nvSpPr>
            <xdr:cNvPr id="50187" name="Option Button 11" hidden="1">
              <a:extLst>
                <a:ext uri="{63B3BB69-23CF-44E3-9099-C40C66FF867C}">
                  <a14:compatExt spid="_x0000_s50187"/>
                </a:ext>
                <a:ext uri="{FF2B5EF4-FFF2-40B4-BE49-F238E27FC236}">
                  <a16:creationId xmlns:a16="http://schemas.microsoft.com/office/drawing/2014/main" id="{00000000-0008-0000-07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320040</xdr:colOff>
          <xdr:row>18</xdr:row>
          <xdr:rowOff>182880</xdr:rowOff>
        </xdr:to>
        <xdr:sp macro="" textlink="">
          <xdr:nvSpPr>
            <xdr:cNvPr id="50188" name="Option Button 12" hidden="1">
              <a:extLst>
                <a:ext uri="{63B3BB69-23CF-44E3-9099-C40C66FF867C}">
                  <a14:compatExt spid="_x0000_s50188"/>
                </a:ext>
                <a:ext uri="{FF2B5EF4-FFF2-40B4-BE49-F238E27FC236}">
                  <a16:creationId xmlns:a16="http://schemas.microsoft.com/office/drawing/2014/main" id="{00000000-0008-0000-07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22860</xdr:rowOff>
        </xdr:from>
        <xdr:to>
          <xdr:col>7</xdr:col>
          <xdr:colOff>327660</xdr:colOff>
          <xdr:row>19</xdr:row>
          <xdr:rowOff>182880</xdr:rowOff>
        </xdr:to>
        <xdr:sp macro="" textlink="">
          <xdr:nvSpPr>
            <xdr:cNvPr id="50189" name="Option Button 13" hidden="1">
              <a:extLst>
                <a:ext uri="{63B3BB69-23CF-44E3-9099-C40C66FF867C}">
                  <a14:compatExt spid="_x0000_s50189"/>
                </a:ext>
                <a:ext uri="{FF2B5EF4-FFF2-40B4-BE49-F238E27FC236}">
                  <a16:creationId xmlns:a16="http://schemas.microsoft.com/office/drawing/2014/main" id="{00000000-0008-0000-07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22860</xdr:rowOff>
        </xdr:from>
        <xdr:to>
          <xdr:col>7</xdr:col>
          <xdr:colOff>312420</xdr:colOff>
          <xdr:row>21</xdr:row>
          <xdr:rowOff>7620</xdr:rowOff>
        </xdr:to>
        <xdr:sp macro="" textlink="">
          <xdr:nvSpPr>
            <xdr:cNvPr id="50190" name="Option Button 14" hidden="1">
              <a:extLst>
                <a:ext uri="{63B3BB69-23CF-44E3-9099-C40C66FF867C}">
                  <a14:compatExt spid="_x0000_s50190"/>
                </a:ext>
                <a:ext uri="{FF2B5EF4-FFF2-40B4-BE49-F238E27FC236}">
                  <a16:creationId xmlns:a16="http://schemas.microsoft.com/office/drawing/2014/main" id="{00000000-0008-0000-07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22860</xdr:rowOff>
        </xdr:from>
        <xdr:to>
          <xdr:col>10</xdr:col>
          <xdr:colOff>312420</xdr:colOff>
          <xdr:row>15</xdr:row>
          <xdr:rowOff>175260</xdr:rowOff>
        </xdr:to>
        <xdr:sp macro="" textlink="">
          <xdr:nvSpPr>
            <xdr:cNvPr id="50191" name="Option Button 15" hidden="1">
              <a:extLst>
                <a:ext uri="{63B3BB69-23CF-44E3-9099-C40C66FF867C}">
                  <a14:compatExt spid="_x0000_s50191"/>
                </a:ext>
                <a:ext uri="{FF2B5EF4-FFF2-40B4-BE49-F238E27FC236}">
                  <a16:creationId xmlns:a16="http://schemas.microsoft.com/office/drawing/2014/main" id="{00000000-0008-0000-0700-00000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22860</xdr:rowOff>
        </xdr:from>
        <xdr:to>
          <xdr:col>10</xdr:col>
          <xdr:colOff>388620</xdr:colOff>
          <xdr:row>17</xdr:row>
          <xdr:rowOff>22860</xdr:rowOff>
        </xdr:to>
        <xdr:sp macro="" textlink="">
          <xdr:nvSpPr>
            <xdr:cNvPr id="50192" name="Option Button 16" hidden="1">
              <a:extLst>
                <a:ext uri="{63B3BB69-23CF-44E3-9099-C40C66FF867C}">
                  <a14:compatExt spid="_x0000_s50192"/>
                </a:ext>
                <a:ext uri="{FF2B5EF4-FFF2-40B4-BE49-F238E27FC236}">
                  <a16:creationId xmlns:a16="http://schemas.microsoft.com/office/drawing/2014/main" id="{00000000-0008-0000-07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38100</xdr:rowOff>
        </xdr:from>
        <xdr:to>
          <xdr:col>10</xdr:col>
          <xdr:colOff>297180</xdr:colOff>
          <xdr:row>18</xdr:row>
          <xdr:rowOff>0</xdr:rowOff>
        </xdr:to>
        <xdr:sp macro="" textlink="">
          <xdr:nvSpPr>
            <xdr:cNvPr id="50193" name="Option Button 17" hidden="1">
              <a:extLst>
                <a:ext uri="{63B3BB69-23CF-44E3-9099-C40C66FF867C}">
                  <a14:compatExt spid="_x0000_s50193"/>
                </a:ext>
                <a:ext uri="{FF2B5EF4-FFF2-40B4-BE49-F238E27FC236}">
                  <a16:creationId xmlns:a16="http://schemas.microsoft.com/office/drawing/2014/main" id="{00000000-0008-0000-07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173608</xdr:colOff>
      <xdr:row>41</xdr:row>
      <xdr:rowOff>59126</xdr:rowOff>
    </xdr:from>
    <xdr:to>
      <xdr:col>2</xdr:col>
      <xdr:colOff>583183</xdr:colOff>
      <xdr:row>41</xdr:row>
      <xdr:rowOff>363926</xdr:rowOff>
    </xdr:to>
    <xdr:pic>
      <xdr:nvPicPr>
        <xdr:cNvPr id="32" name="Grafik 14">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95269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93</xdr:row>
      <xdr:rowOff>122926</xdr:rowOff>
    </xdr:from>
    <xdr:to>
      <xdr:col>2</xdr:col>
      <xdr:colOff>554607</xdr:colOff>
      <xdr:row>93</xdr:row>
      <xdr:rowOff>303901</xdr:rowOff>
    </xdr:to>
    <xdr:pic>
      <xdr:nvPicPr>
        <xdr:cNvPr id="79" name="Grafik 54">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7550" t="29231" r="22266" b="35603"/>
        <a:stretch>
          <a:fillRect/>
        </a:stretch>
      </xdr:blipFill>
      <xdr:spPr bwMode="auto">
        <a:xfrm>
          <a:off x="1507107" y="263928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0194" name="Group Box 18" hidden="1">
              <a:extLst>
                <a:ext uri="{63B3BB69-23CF-44E3-9099-C40C66FF867C}">
                  <a14:compatExt spid="_x0000_s50194"/>
                </a:ext>
                <a:ext uri="{FF2B5EF4-FFF2-40B4-BE49-F238E27FC236}">
                  <a16:creationId xmlns:a16="http://schemas.microsoft.com/office/drawing/2014/main" id="{00000000-0008-0000-0700-00001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0201" name="Option Button 25" hidden="1">
              <a:extLst>
                <a:ext uri="{63B3BB69-23CF-44E3-9099-C40C66FF867C}">
                  <a14:compatExt spid="_x0000_s50201"/>
                </a:ext>
                <a:ext uri="{FF2B5EF4-FFF2-40B4-BE49-F238E27FC236}">
                  <a16:creationId xmlns:a16="http://schemas.microsoft.com/office/drawing/2014/main" id="{00000000-0008-0000-0700-00001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190500</xdr:colOff>
          <xdr:row>70</xdr:row>
          <xdr:rowOff>68580</xdr:rowOff>
        </xdr:from>
        <xdr:to>
          <xdr:col>2</xdr:col>
          <xdr:colOff>601980</xdr:colOff>
          <xdr:row>70</xdr:row>
          <xdr:rowOff>373380</xdr:rowOff>
        </xdr:to>
        <xdr:sp macro="" textlink="">
          <xdr:nvSpPr>
            <xdr:cNvPr id="50204" name="Object 28" hidden="1">
              <a:extLst>
                <a:ext uri="{63B3BB69-23CF-44E3-9099-C40C66FF867C}">
                  <a14:compatExt spid="_x0000_s50204"/>
                </a:ext>
                <a:ext uri="{FF2B5EF4-FFF2-40B4-BE49-F238E27FC236}">
                  <a16:creationId xmlns:a16="http://schemas.microsoft.com/office/drawing/2014/main" id="{00000000-0008-0000-0700-00001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63954</xdr:colOff>
      <xdr:row>30</xdr:row>
      <xdr:rowOff>69397</xdr:rowOff>
    </xdr:from>
    <xdr:to>
      <xdr:col>2</xdr:col>
      <xdr:colOff>673053</xdr:colOff>
      <xdr:row>30</xdr:row>
      <xdr:rowOff>355147</xdr:rowOff>
    </xdr:to>
    <xdr:pic>
      <xdr:nvPicPr>
        <xdr:cNvPr id="96" name="Grafik 103">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030" t="17046" r="3316" b="18465"/>
        <a:stretch>
          <a:fillRect/>
        </a:stretch>
      </xdr:blipFill>
      <xdr:spPr bwMode="auto">
        <a:xfrm>
          <a:off x="1359354" y="5136697"/>
          <a:ext cx="609099"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156485</xdr:colOff>
      <xdr:row>31</xdr:row>
      <xdr:rowOff>74839</xdr:rowOff>
    </xdr:from>
    <xdr:to>
      <xdr:col>2</xdr:col>
      <xdr:colOff>574719</xdr:colOff>
      <xdr:row>31</xdr:row>
      <xdr:rowOff>356507</xdr:rowOff>
    </xdr:to>
    <xdr:pic>
      <xdr:nvPicPr>
        <xdr:cNvPr id="97" name="Grafik 102">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675" t="8551" r="13507" b="12268"/>
        <a:stretch>
          <a:fillRect/>
        </a:stretch>
      </xdr:blipFill>
      <xdr:spPr bwMode="auto">
        <a:xfrm>
          <a:off x="1451885" y="5542189"/>
          <a:ext cx="418234" cy="28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10</xdr:col>
          <xdr:colOff>297180</xdr:colOff>
          <xdr:row>18</xdr:row>
          <xdr:rowOff>175260</xdr:rowOff>
        </xdr:to>
        <xdr:sp macro="" textlink="">
          <xdr:nvSpPr>
            <xdr:cNvPr id="50206" name="Option Button 30" hidden="1">
              <a:extLst>
                <a:ext uri="{63B3BB69-23CF-44E3-9099-C40C66FF867C}">
                  <a14:compatExt spid="_x0000_s50206"/>
                </a:ext>
                <a:ext uri="{FF2B5EF4-FFF2-40B4-BE49-F238E27FC236}">
                  <a16:creationId xmlns:a16="http://schemas.microsoft.com/office/drawing/2014/main" id="{00000000-0008-0000-0700-00001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0207" name="Option Button 31" hidden="1">
              <a:extLst>
                <a:ext uri="{63B3BB69-23CF-44E3-9099-C40C66FF867C}">
                  <a14:compatExt spid="_x0000_s50207"/>
                </a:ext>
                <a:ext uri="{FF2B5EF4-FFF2-40B4-BE49-F238E27FC236}">
                  <a16:creationId xmlns:a16="http://schemas.microsoft.com/office/drawing/2014/main" id="{00000000-0008-0000-0700-00001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0208" name="Option Button 32" hidden="1">
              <a:extLst>
                <a:ext uri="{63B3BB69-23CF-44E3-9099-C40C66FF867C}">
                  <a14:compatExt spid="_x0000_s50208"/>
                </a:ext>
                <a:ext uri="{FF2B5EF4-FFF2-40B4-BE49-F238E27FC236}">
                  <a16:creationId xmlns:a16="http://schemas.microsoft.com/office/drawing/2014/main" id="{00000000-0008-0000-0700-00002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0216" name="Group Box 40" hidden="1">
              <a:extLst>
                <a:ext uri="{63B3BB69-23CF-44E3-9099-C40C66FF867C}">
                  <a14:compatExt spid="_x0000_s50216"/>
                </a:ext>
                <a:ext uri="{FF2B5EF4-FFF2-40B4-BE49-F238E27FC236}">
                  <a16:creationId xmlns:a16="http://schemas.microsoft.com/office/drawing/2014/main" id="{00000000-0008-0000-0700-00002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0217" name="Option Button 41" hidden="1">
              <a:extLst>
                <a:ext uri="{63B3BB69-23CF-44E3-9099-C40C66FF867C}">
                  <a14:compatExt spid="_x0000_s50217"/>
                </a:ext>
                <a:ext uri="{FF2B5EF4-FFF2-40B4-BE49-F238E27FC236}">
                  <a16:creationId xmlns:a16="http://schemas.microsoft.com/office/drawing/2014/main" id="{00000000-0008-0000-0700-00002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0218" name="Option Button 42" hidden="1">
              <a:extLst>
                <a:ext uri="{63B3BB69-23CF-44E3-9099-C40C66FF867C}">
                  <a14:compatExt spid="_x0000_s50218"/>
                </a:ext>
                <a:ext uri="{FF2B5EF4-FFF2-40B4-BE49-F238E27FC236}">
                  <a16:creationId xmlns:a16="http://schemas.microsoft.com/office/drawing/2014/main" id="{00000000-0008-0000-0700-00002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4" name="Grafik 4">
          <a:extLst>
            <a:ext uri="{FF2B5EF4-FFF2-40B4-BE49-F238E27FC236}">
              <a16:creationId xmlns:a16="http://schemas.microsoft.com/office/drawing/2014/main" id="{00000000-0008-0000-0700-000068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206539</xdr:colOff>
      <xdr:row>4</xdr:row>
      <xdr:rowOff>90768</xdr:rowOff>
    </xdr:to>
    <xdr:pic>
      <xdr:nvPicPr>
        <xdr:cNvPr id="105" name="Grafik 99">
          <a:extLst>
            <a:ext uri="{FF2B5EF4-FFF2-40B4-BE49-F238E27FC236}">
              <a16:creationId xmlns:a16="http://schemas.microsoft.com/office/drawing/2014/main" id="{00000000-0008-0000-0700-00006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9524" b="19524"/>
        <a:stretch/>
      </xdr:blipFill>
      <xdr:spPr bwMode="auto">
        <a:xfrm>
          <a:off x="2125980" y="0"/>
          <a:ext cx="2683039" cy="121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0" name="Grafik 20">
          <a:extLst>
            <a:ext uri="{FF2B5EF4-FFF2-40B4-BE49-F238E27FC236}">
              <a16:creationId xmlns:a16="http://schemas.microsoft.com/office/drawing/2014/main" id="{00000000-0008-0000-0700-00006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48</xdr:row>
      <xdr:rowOff>38100</xdr:rowOff>
    </xdr:from>
    <xdr:to>
      <xdr:col>2</xdr:col>
      <xdr:colOff>598846</xdr:colOff>
      <xdr:row>48</xdr:row>
      <xdr:rowOff>381000</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8"/>
        <a:stretch>
          <a:fillRect/>
        </a:stretch>
      </xdr:blipFill>
      <xdr:spPr>
        <a:xfrm>
          <a:off x="1457325" y="14468475"/>
          <a:ext cx="436921" cy="342900"/>
        </a:xfrm>
        <a:prstGeom prst="rect">
          <a:avLst/>
        </a:prstGeom>
      </xdr:spPr>
    </xdr:pic>
    <xdr:clientData/>
  </xdr:twoCellAnchor>
  <xdr:twoCellAnchor>
    <xdr:from>
      <xdr:col>2</xdr:col>
      <xdr:colOff>95250</xdr:colOff>
      <xdr:row>50</xdr:row>
      <xdr:rowOff>38100</xdr:rowOff>
    </xdr:from>
    <xdr:to>
      <xdr:col>2</xdr:col>
      <xdr:colOff>676275</xdr:colOff>
      <xdr:row>50</xdr:row>
      <xdr:rowOff>378062</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9"/>
        <a:stretch>
          <a:fillRect/>
        </a:stretch>
      </xdr:blipFill>
      <xdr:spPr>
        <a:xfrm>
          <a:off x="1390650" y="14468475"/>
          <a:ext cx="581025" cy="339962"/>
        </a:xfrm>
        <a:prstGeom prst="rect">
          <a:avLst/>
        </a:prstGeom>
      </xdr:spPr>
    </xdr:pic>
    <xdr:clientData/>
  </xdr:twoCellAnchor>
  <xdr:twoCellAnchor>
    <xdr:from>
      <xdr:col>2</xdr:col>
      <xdr:colOff>47625</xdr:colOff>
      <xdr:row>49</xdr:row>
      <xdr:rowOff>19051</xdr:rowOff>
    </xdr:from>
    <xdr:to>
      <xdr:col>2</xdr:col>
      <xdr:colOff>756123</xdr:colOff>
      <xdr:row>49</xdr:row>
      <xdr:rowOff>381001</xdr:rowOff>
    </xdr:to>
    <xdr:pic>
      <xdr:nvPicPr>
        <xdr:cNvPr id="13" name="Grafik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0"/>
        <a:stretch>
          <a:fillRect/>
        </a:stretch>
      </xdr:blipFill>
      <xdr:spPr>
        <a:xfrm>
          <a:off x="1343025" y="14049376"/>
          <a:ext cx="708498"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762000</xdr:colOff>
          <xdr:row>19</xdr:row>
          <xdr:rowOff>22860</xdr:rowOff>
        </xdr:from>
        <xdr:to>
          <xdr:col>10</xdr:col>
          <xdr:colOff>312420</xdr:colOff>
          <xdr:row>19</xdr:row>
          <xdr:rowOff>175260</xdr:rowOff>
        </xdr:to>
        <xdr:sp macro="" textlink="">
          <xdr:nvSpPr>
            <xdr:cNvPr id="50219" name="Option Button 43" hidden="1">
              <a:extLst>
                <a:ext uri="{63B3BB69-23CF-44E3-9099-C40C66FF867C}">
                  <a14:compatExt spid="_x0000_s50219"/>
                </a:ext>
                <a:ext uri="{FF2B5EF4-FFF2-40B4-BE49-F238E27FC236}">
                  <a16:creationId xmlns:a16="http://schemas.microsoft.com/office/drawing/2014/main" id="{00000000-0008-0000-0700-00002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548640</xdr:colOff>
          <xdr:row>13</xdr:row>
          <xdr:rowOff>152400</xdr:rowOff>
        </xdr:from>
        <xdr:to>
          <xdr:col>14</xdr:col>
          <xdr:colOff>0</xdr:colOff>
          <xdr:row>21</xdr:row>
          <xdr:rowOff>60960</xdr:rowOff>
        </xdr:to>
        <xdr:sp macro="" textlink="">
          <xdr:nvSpPr>
            <xdr:cNvPr id="50221" name="Group Box 45" hidden="1">
              <a:extLst>
                <a:ext uri="{63B3BB69-23CF-44E3-9099-C40C66FF867C}">
                  <a14:compatExt spid="_x0000_s50221"/>
                </a:ext>
                <a:ext uri="{FF2B5EF4-FFF2-40B4-BE49-F238E27FC236}">
                  <a16:creationId xmlns:a16="http://schemas.microsoft.com/office/drawing/2014/main" id="{00000000-0008-0000-0700-00002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57345" name="Group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12</xdr:col>
          <xdr:colOff>365760</xdr:colOff>
          <xdr:row>22</xdr:row>
          <xdr:rowOff>0</xdr:rowOff>
        </xdr:to>
        <xdr:sp macro="" textlink="">
          <xdr:nvSpPr>
            <xdr:cNvPr id="57347" name="Group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7353" name="Group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7358" name="Option Button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7359" name="Option Button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7620</xdr:rowOff>
        </xdr:from>
        <xdr:to>
          <xdr:col>7</xdr:col>
          <xdr:colOff>594360</xdr:colOff>
          <xdr:row>16</xdr:row>
          <xdr:rowOff>0</xdr:rowOff>
        </xdr:to>
        <xdr:sp macro="" textlink="">
          <xdr:nvSpPr>
            <xdr:cNvPr id="57361" name="Option Button 17"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16</xdr:row>
          <xdr:rowOff>7620</xdr:rowOff>
        </xdr:from>
        <xdr:to>
          <xdr:col>7</xdr:col>
          <xdr:colOff>594360</xdr:colOff>
          <xdr:row>17</xdr:row>
          <xdr:rowOff>0</xdr:rowOff>
        </xdr:to>
        <xdr:sp macro="" textlink="">
          <xdr:nvSpPr>
            <xdr:cNvPr id="57362" name="Option Button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xdr:row>
          <xdr:rowOff>7620</xdr:rowOff>
        </xdr:from>
        <xdr:to>
          <xdr:col>7</xdr:col>
          <xdr:colOff>594360</xdr:colOff>
          <xdr:row>18</xdr:row>
          <xdr:rowOff>0</xdr:rowOff>
        </xdr:to>
        <xdr:sp macro="" textlink="">
          <xdr:nvSpPr>
            <xdr:cNvPr id="57363" name="Option Button 19" hidden="1">
              <a:extLst>
                <a:ext uri="{63B3BB69-23CF-44E3-9099-C40C66FF867C}">
                  <a14:compatExt spid="_x0000_s57363"/>
                </a:ext>
                <a:ext uri="{FF2B5EF4-FFF2-40B4-BE49-F238E27FC236}">
                  <a16:creationId xmlns:a16="http://schemas.microsoft.com/office/drawing/2014/main" id="{00000000-0008-0000-0800-00001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18</xdr:row>
          <xdr:rowOff>7620</xdr:rowOff>
        </xdr:from>
        <xdr:to>
          <xdr:col>7</xdr:col>
          <xdr:colOff>594360</xdr:colOff>
          <xdr:row>19</xdr:row>
          <xdr:rowOff>0</xdr:rowOff>
        </xdr:to>
        <xdr:sp macro="" textlink="">
          <xdr:nvSpPr>
            <xdr:cNvPr id="57364" name="Option Button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7620</xdr:rowOff>
        </xdr:from>
        <xdr:to>
          <xdr:col>7</xdr:col>
          <xdr:colOff>594360</xdr:colOff>
          <xdr:row>20</xdr:row>
          <xdr:rowOff>0</xdr:rowOff>
        </xdr:to>
        <xdr:sp macro="" textlink="">
          <xdr:nvSpPr>
            <xdr:cNvPr id="57365" name="Option Button 21" hidden="1">
              <a:extLst>
                <a:ext uri="{63B3BB69-23CF-44E3-9099-C40C66FF867C}">
                  <a14:compatExt spid="_x0000_s57365"/>
                </a:ext>
                <a:ext uri="{FF2B5EF4-FFF2-40B4-BE49-F238E27FC236}">
                  <a16:creationId xmlns:a16="http://schemas.microsoft.com/office/drawing/2014/main" id="{00000000-0008-0000-0800-00001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20</xdr:row>
          <xdr:rowOff>7620</xdr:rowOff>
        </xdr:from>
        <xdr:to>
          <xdr:col>7</xdr:col>
          <xdr:colOff>594360</xdr:colOff>
          <xdr:row>21</xdr:row>
          <xdr:rowOff>0</xdr:rowOff>
        </xdr:to>
        <xdr:sp macro="" textlink="">
          <xdr:nvSpPr>
            <xdr:cNvPr id="57366" name="Option Button 22" hidden="1">
              <a:extLst>
                <a:ext uri="{63B3BB69-23CF-44E3-9099-C40C66FF867C}">
                  <a14:compatExt spid="_x0000_s57366"/>
                </a:ext>
                <a:ext uri="{FF2B5EF4-FFF2-40B4-BE49-F238E27FC236}">
                  <a16:creationId xmlns:a16="http://schemas.microsoft.com/office/drawing/2014/main" id="{00000000-0008-0000-0800-00001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7</xdr:col>
          <xdr:colOff>594360</xdr:colOff>
          <xdr:row>22</xdr:row>
          <xdr:rowOff>0</xdr:rowOff>
        </xdr:to>
        <xdr:sp macro="" textlink="">
          <xdr:nvSpPr>
            <xdr:cNvPr id="57367" name="Option Button 23" hidden="1">
              <a:extLst>
                <a:ext uri="{63B3BB69-23CF-44E3-9099-C40C66FF867C}">
                  <a14:compatExt spid="_x0000_s57367"/>
                </a:ext>
                <a:ext uri="{FF2B5EF4-FFF2-40B4-BE49-F238E27FC236}">
                  <a16:creationId xmlns:a16="http://schemas.microsoft.com/office/drawing/2014/main" id="{00000000-0008-0000-0800-00001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15</xdr:row>
          <xdr:rowOff>30480</xdr:rowOff>
        </xdr:from>
        <xdr:to>
          <xdr:col>9</xdr:col>
          <xdr:colOff>457200</xdr:colOff>
          <xdr:row>16</xdr:row>
          <xdr:rowOff>0</xdr:rowOff>
        </xdr:to>
        <xdr:sp macro="" textlink="">
          <xdr:nvSpPr>
            <xdr:cNvPr id="57368" name="Option Button 24" hidden="1">
              <a:extLst>
                <a:ext uri="{63B3BB69-23CF-44E3-9099-C40C66FF867C}">
                  <a14:compatExt spid="_x0000_s57368"/>
                </a:ext>
                <a:ext uri="{FF2B5EF4-FFF2-40B4-BE49-F238E27FC236}">
                  <a16:creationId xmlns:a16="http://schemas.microsoft.com/office/drawing/2014/main" id="{00000000-0008-0000-0800-00001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16</xdr:row>
          <xdr:rowOff>30480</xdr:rowOff>
        </xdr:from>
        <xdr:to>
          <xdr:col>9</xdr:col>
          <xdr:colOff>457200</xdr:colOff>
          <xdr:row>17</xdr:row>
          <xdr:rowOff>0</xdr:rowOff>
        </xdr:to>
        <xdr:sp macro="" textlink="">
          <xdr:nvSpPr>
            <xdr:cNvPr id="57369" name="Option Button 25" hidden="1">
              <a:extLst>
                <a:ext uri="{63B3BB69-23CF-44E3-9099-C40C66FF867C}">
                  <a14:compatExt spid="_x0000_s57369"/>
                </a:ext>
                <a:ext uri="{FF2B5EF4-FFF2-40B4-BE49-F238E27FC236}">
                  <a16:creationId xmlns:a16="http://schemas.microsoft.com/office/drawing/2014/main" id="{00000000-0008-0000-0800-00001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17</xdr:row>
          <xdr:rowOff>30480</xdr:rowOff>
        </xdr:from>
        <xdr:to>
          <xdr:col>9</xdr:col>
          <xdr:colOff>457200</xdr:colOff>
          <xdr:row>18</xdr:row>
          <xdr:rowOff>0</xdr:rowOff>
        </xdr:to>
        <xdr:sp macro="" textlink="">
          <xdr:nvSpPr>
            <xdr:cNvPr id="57370" name="Option Button 26" hidden="1">
              <a:extLst>
                <a:ext uri="{63B3BB69-23CF-44E3-9099-C40C66FF867C}">
                  <a14:compatExt spid="_x0000_s57370"/>
                </a:ext>
                <a:ext uri="{FF2B5EF4-FFF2-40B4-BE49-F238E27FC236}">
                  <a16:creationId xmlns:a16="http://schemas.microsoft.com/office/drawing/2014/main" id="{00000000-0008-0000-0800-00001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18</xdr:row>
          <xdr:rowOff>30480</xdr:rowOff>
        </xdr:from>
        <xdr:to>
          <xdr:col>9</xdr:col>
          <xdr:colOff>457200</xdr:colOff>
          <xdr:row>19</xdr:row>
          <xdr:rowOff>0</xdr:rowOff>
        </xdr:to>
        <xdr:sp macro="" textlink="">
          <xdr:nvSpPr>
            <xdr:cNvPr id="57371" name="Option Button 27" hidden="1">
              <a:extLst>
                <a:ext uri="{63B3BB69-23CF-44E3-9099-C40C66FF867C}">
                  <a14:compatExt spid="_x0000_s57371"/>
                </a:ext>
                <a:ext uri="{FF2B5EF4-FFF2-40B4-BE49-F238E27FC236}">
                  <a16:creationId xmlns:a16="http://schemas.microsoft.com/office/drawing/2014/main" id="{00000000-0008-0000-0800-00001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19</xdr:row>
          <xdr:rowOff>30480</xdr:rowOff>
        </xdr:from>
        <xdr:to>
          <xdr:col>9</xdr:col>
          <xdr:colOff>457200</xdr:colOff>
          <xdr:row>20</xdr:row>
          <xdr:rowOff>0</xdr:rowOff>
        </xdr:to>
        <xdr:sp macro="" textlink="">
          <xdr:nvSpPr>
            <xdr:cNvPr id="57372" name="Option Button 28" hidden="1">
              <a:extLst>
                <a:ext uri="{63B3BB69-23CF-44E3-9099-C40C66FF867C}">
                  <a14:compatExt spid="_x0000_s57372"/>
                </a:ext>
                <a:ext uri="{FF2B5EF4-FFF2-40B4-BE49-F238E27FC236}">
                  <a16:creationId xmlns:a16="http://schemas.microsoft.com/office/drawing/2014/main" id="{00000000-0008-0000-0800-00001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20</xdr:row>
          <xdr:rowOff>30480</xdr:rowOff>
        </xdr:from>
        <xdr:to>
          <xdr:col>9</xdr:col>
          <xdr:colOff>457200</xdr:colOff>
          <xdr:row>21</xdr:row>
          <xdr:rowOff>0</xdr:rowOff>
        </xdr:to>
        <xdr:sp macro="" textlink="">
          <xdr:nvSpPr>
            <xdr:cNvPr id="57373" name="Option Button 29" hidden="1">
              <a:extLst>
                <a:ext uri="{63B3BB69-23CF-44E3-9099-C40C66FF867C}">
                  <a14:compatExt spid="_x0000_s57373"/>
                </a:ext>
                <a:ext uri="{FF2B5EF4-FFF2-40B4-BE49-F238E27FC236}">
                  <a16:creationId xmlns:a16="http://schemas.microsoft.com/office/drawing/2014/main" id="{00000000-0008-0000-0800-00001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21</xdr:row>
          <xdr:rowOff>30480</xdr:rowOff>
        </xdr:from>
        <xdr:to>
          <xdr:col>9</xdr:col>
          <xdr:colOff>457200</xdr:colOff>
          <xdr:row>22</xdr:row>
          <xdr:rowOff>0</xdr:rowOff>
        </xdr:to>
        <xdr:sp macro="" textlink="">
          <xdr:nvSpPr>
            <xdr:cNvPr id="57374" name="Option Button 30" hidden="1">
              <a:extLst>
                <a:ext uri="{63B3BB69-23CF-44E3-9099-C40C66FF867C}">
                  <a14:compatExt spid="_x0000_s57374"/>
                </a:ext>
                <a:ext uri="{FF2B5EF4-FFF2-40B4-BE49-F238E27FC236}">
                  <a16:creationId xmlns:a16="http://schemas.microsoft.com/office/drawing/2014/main" id="{00000000-0008-0000-0800-00001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241081</xdr:colOff>
      <xdr:row>33</xdr:row>
      <xdr:rowOff>51238</xdr:rowOff>
    </xdr:from>
    <xdr:to>
      <xdr:col>2</xdr:col>
      <xdr:colOff>549823</xdr:colOff>
      <xdr:row>33</xdr:row>
      <xdr:rowOff>352064</xdr:rowOff>
    </xdr:to>
    <xdr:pic>
      <xdr:nvPicPr>
        <xdr:cNvPr id="38" name="Grafik 42">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6318688"/>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31</xdr:row>
      <xdr:rowOff>52476</xdr:rowOff>
    </xdr:from>
    <xdr:to>
      <xdr:col>2</xdr:col>
      <xdr:colOff>589108</xdr:colOff>
      <xdr:row>31</xdr:row>
      <xdr:rowOff>351735</xdr:rowOff>
    </xdr:to>
    <xdr:pic>
      <xdr:nvPicPr>
        <xdr:cNvPr id="39" name="Grafik 42">
          <a:extLst>
            <a:ext uri="{FF2B5EF4-FFF2-40B4-BE49-F238E27FC236}">
              <a16:creationId xmlns:a16="http://schemas.microsoft.com/office/drawing/2014/main" id="{00000000-0008-0000-0800-00002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51982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32</xdr:row>
      <xdr:rowOff>52476</xdr:rowOff>
    </xdr:from>
    <xdr:to>
      <xdr:col>2</xdr:col>
      <xdr:colOff>589108</xdr:colOff>
      <xdr:row>32</xdr:row>
      <xdr:rowOff>351735</xdr:rowOff>
    </xdr:to>
    <xdr:pic>
      <xdr:nvPicPr>
        <xdr:cNvPr id="40" name="Grafik 42">
          <a:extLst>
            <a:ext uri="{FF2B5EF4-FFF2-40B4-BE49-F238E27FC236}">
              <a16:creationId xmlns:a16="http://schemas.microsoft.com/office/drawing/2014/main" id="{00000000-0008-0000-0800-00002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9198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30</xdr:row>
      <xdr:rowOff>52476</xdr:rowOff>
    </xdr:from>
    <xdr:to>
      <xdr:col>2</xdr:col>
      <xdr:colOff>589108</xdr:colOff>
      <xdr:row>30</xdr:row>
      <xdr:rowOff>351735</xdr:rowOff>
    </xdr:to>
    <xdr:pic>
      <xdr:nvPicPr>
        <xdr:cNvPr id="41" name="Grafik 42">
          <a:extLst>
            <a:ext uri="{FF2B5EF4-FFF2-40B4-BE49-F238E27FC236}">
              <a16:creationId xmlns:a16="http://schemas.microsoft.com/office/drawing/2014/main" id="{00000000-0008-0000-0800-00002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1197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34</xdr:row>
      <xdr:rowOff>48883</xdr:rowOff>
    </xdr:from>
    <xdr:to>
      <xdr:col>2</xdr:col>
      <xdr:colOff>603689</xdr:colOff>
      <xdr:row>34</xdr:row>
      <xdr:rowOff>354402</xdr:rowOff>
    </xdr:to>
    <xdr:pic>
      <xdr:nvPicPr>
        <xdr:cNvPr id="43" name="Grafik 41">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6716383"/>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35</xdr:row>
      <xdr:rowOff>48884</xdr:rowOff>
    </xdr:from>
    <xdr:to>
      <xdr:col>2</xdr:col>
      <xdr:colOff>587312</xdr:colOff>
      <xdr:row>35</xdr:row>
      <xdr:rowOff>350807</xdr:rowOff>
    </xdr:to>
    <xdr:pic>
      <xdr:nvPicPr>
        <xdr:cNvPr id="44" name="Grafik 66">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7116434"/>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269216</xdr:colOff>
      <xdr:row>36</xdr:row>
      <xdr:rowOff>48883</xdr:rowOff>
    </xdr:from>
    <xdr:to>
      <xdr:col>2</xdr:col>
      <xdr:colOff>478255</xdr:colOff>
      <xdr:row>36</xdr:row>
      <xdr:rowOff>354402</xdr:rowOff>
    </xdr:to>
    <xdr:pic>
      <xdr:nvPicPr>
        <xdr:cNvPr id="45" name="Grafik 4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6365" t="5116" r="31250" b="11734"/>
        <a:stretch>
          <a:fillRect/>
        </a:stretch>
      </xdr:blipFill>
      <xdr:spPr bwMode="auto">
        <a:xfrm>
          <a:off x="1564616" y="7516483"/>
          <a:ext cx="209039"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240461</xdr:colOff>
      <xdr:row>37</xdr:row>
      <xdr:rowOff>48883</xdr:rowOff>
    </xdr:from>
    <xdr:to>
      <xdr:col>2</xdr:col>
      <xdr:colOff>533305</xdr:colOff>
      <xdr:row>37</xdr:row>
      <xdr:rowOff>357996</xdr:rowOff>
    </xdr:to>
    <xdr:pic>
      <xdr:nvPicPr>
        <xdr:cNvPr id="46" name="Grafik 39">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2823" t="6113" r="21400" b="4770"/>
        <a:stretch>
          <a:fillRect/>
        </a:stretch>
      </xdr:blipFill>
      <xdr:spPr bwMode="auto">
        <a:xfrm>
          <a:off x="1535861" y="7916533"/>
          <a:ext cx="292844"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125442</xdr:colOff>
      <xdr:row>38</xdr:row>
      <xdr:rowOff>45289</xdr:rowOff>
    </xdr:from>
    <xdr:to>
      <xdr:col>2</xdr:col>
      <xdr:colOff>639792</xdr:colOff>
      <xdr:row>38</xdr:row>
      <xdr:rowOff>350089</xdr:rowOff>
    </xdr:to>
    <xdr:pic>
      <xdr:nvPicPr>
        <xdr:cNvPr id="47" name="Grafik 2">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3165" t="31874" r="14166" b="39500"/>
        <a:stretch>
          <a:fillRect/>
        </a:stretch>
      </xdr:blipFill>
      <xdr:spPr bwMode="auto">
        <a:xfrm>
          <a:off x="1420842" y="8312989"/>
          <a:ext cx="5143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156733</xdr:colOff>
      <xdr:row>44</xdr:row>
      <xdr:rowOff>46758</xdr:rowOff>
    </xdr:from>
    <xdr:to>
      <xdr:col>2</xdr:col>
      <xdr:colOff>609290</xdr:colOff>
      <xdr:row>44</xdr:row>
      <xdr:rowOff>354155</xdr:rowOff>
    </xdr:to>
    <xdr:pic>
      <xdr:nvPicPr>
        <xdr:cNvPr id="48" name="Grafik 43">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4774" t="20183" r="20644" b="7898"/>
        <a:stretch>
          <a:fillRect/>
        </a:stretch>
      </xdr:blipFill>
      <xdr:spPr bwMode="auto">
        <a:xfrm>
          <a:off x="1452133" y="8714508"/>
          <a:ext cx="452557"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247648</xdr:colOff>
      <xdr:row>45</xdr:row>
      <xdr:rowOff>51087</xdr:rowOff>
    </xdr:from>
    <xdr:to>
      <xdr:col>2</xdr:col>
      <xdr:colOff>550717</xdr:colOff>
      <xdr:row>45</xdr:row>
      <xdr:rowOff>354156</xdr:rowOff>
    </xdr:to>
    <xdr:pic>
      <xdr:nvPicPr>
        <xdr:cNvPr id="49" name="Grafik 44">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355" r="4926" b="1785"/>
        <a:stretch>
          <a:fillRect/>
        </a:stretch>
      </xdr:blipFill>
      <xdr:spPr bwMode="auto">
        <a:xfrm>
          <a:off x="1543048" y="9118887"/>
          <a:ext cx="303069" cy="303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46</xdr:row>
      <xdr:rowOff>94385</xdr:rowOff>
    </xdr:from>
    <xdr:to>
      <xdr:col>2</xdr:col>
      <xdr:colOff>676275</xdr:colOff>
      <xdr:row>46</xdr:row>
      <xdr:rowOff>313460</xdr:rowOff>
    </xdr:to>
    <xdr:pic>
      <xdr:nvPicPr>
        <xdr:cNvPr id="50" name="Grafik 3">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26704" t="5402" r="1610" b="10881"/>
        <a:stretch>
          <a:fillRect/>
        </a:stretch>
      </xdr:blipFill>
      <xdr:spPr bwMode="auto">
        <a:xfrm>
          <a:off x="1400175" y="9562235"/>
          <a:ext cx="571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126423</xdr:colOff>
      <xdr:row>47</xdr:row>
      <xdr:rowOff>55418</xdr:rowOff>
    </xdr:from>
    <xdr:to>
      <xdr:col>2</xdr:col>
      <xdr:colOff>654627</xdr:colOff>
      <xdr:row>47</xdr:row>
      <xdr:rowOff>352533</xdr:rowOff>
    </xdr:to>
    <xdr:pic>
      <xdr:nvPicPr>
        <xdr:cNvPr id="51" name="Grafik 3">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1823" y="9923318"/>
          <a:ext cx="528204" cy="297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130753</xdr:colOff>
      <xdr:row>51</xdr:row>
      <xdr:rowOff>51089</xdr:rowOff>
    </xdr:from>
    <xdr:to>
      <xdr:col>2</xdr:col>
      <xdr:colOff>627448</xdr:colOff>
      <xdr:row>51</xdr:row>
      <xdr:rowOff>354157</xdr:rowOff>
    </xdr:to>
    <xdr:pic>
      <xdr:nvPicPr>
        <xdr:cNvPr id="53" name="Grafik 19">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204355</xdr:colOff>
      <xdr:row>55</xdr:row>
      <xdr:rowOff>51088</xdr:rowOff>
    </xdr:from>
    <xdr:to>
      <xdr:col>2</xdr:col>
      <xdr:colOff>573848</xdr:colOff>
      <xdr:row>55</xdr:row>
      <xdr:rowOff>349827</xdr:rowOff>
    </xdr:to>
    <xdr:pic>
      <xdr:nvPicPr>
        <xdr:cNvPr id="55" name="Grafik 34">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8125" t="33543" r="28694" b="15146"/>
        <a:stretch>
          <a:fillRect/>
        </a:stretch>
      </xdr:blipFill>
      <xdr:spPr bwMode="auto">
        <a:xfrm>
          <a:off x="1499755" y="11919238"/>
          <a:ext cx="369493"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148071</xdr:colOff>
      <xdr:row>56</xdr:row>
      <xdr:rowOff>55418</xdr:rowOff>
    </xdr:from>
    <xdr:to>
      <xdr:col>2</xdr:col>
      <xdr:colOff>583376</xdr:colOff>
      <xdr:row>56</xdr:row>
      <xdr:rowOff>354157</xdr:rowOff>
    </xdr:to>
    <xdr:pic>
      <xdr:nvPicPr>
        <xdr:cNvPr id="56" name="Grafik 32">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8598" t="34966" r="29924" b="17989"/>
        <a:stretch>
          <a:fillRect/>
        </a:stretch>
      </xdr:blipFill>
      <xdr:spPr bwMode="auto">
        <a:xfrm>
          <a:off x="1443471" y="12323618"/>
          <a:ext cx="435305"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230335</xdr:colOff>
      <xdr:row>57</xdr:row>
      <xdr:rowOff>46759</xdr:rowOff>
    </xdr:from>
    <xdr:to>
      <xdr:col>2</xdr:col>
      <xdr:colOff>542062</xdr:colOff>
      <xdr:row>57</xdr:row>
      <xdr:rowOff>358486</xdr:rowOff>
    </xdr:to>
    <xdr:pic>
      <xdr:nvPicPr>
        <xdr:cNvPr id="57" name="Grafik 33">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3485" t="8955" r="21684" b="10030"/>
        <a:stretch>
          <a:fillRect/>
        </a:stretch>
      </xdr:blipFill>
      <xdr:spPr bwMode="auto">
        <a:xfrm>
          <a:off x="1525735" y="12715009"/>
          <a:ext cx="311727"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122092</xdr:colOff>
      <xdr:row>60</xdr:row>
      <xdr:rowOff>46758</xdr:rowOff>
    </xdr:from>
    <xdr:to>
      <xdr:col>2</xdr:col>
      <xdr:colOff>637190</xdr:colOff>
      <xdr:row>60</xdr:row>
      <xdr:rowOff>354155</xdr:rowOff>
    </xdr:to>
    <xdr:pic>
      <xdr:nvPicPr>
        <xdr:cNvPr id="60" name="Grafik 26">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9943" t="13219" r="17329" b="17705"/>
        <a:stretch>
          <a:fillRect/>
        </a:stretch>
      </xdr:blipFill>
      <xdr:spPr bwMode="auto">
        <a:xfrm>
          <a:off x="1417492" y="13915158"/>
          <a:ext cx="515098"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234661</xdr:colOff>
      <xdr:row>61</xdr:row>
      <xdr:rowOff>55418</xdr:rowOff>
    </xdr:from>
    <xdr:to>
      <xdr:col>2</xdr:col>
      <xdr:colOff>521113</xdr:colOff>
      <xdr:row>61</xdr:row>
      <xdr:rowOff>349827</xdr:rowOff>
    </xdr:to>
    <xdr:pic>
      <xdr:nvPicPr>
        <xdr:cNvPr id="61" name="Grafik 25">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9735" t="7106" r="16573" b="10455"/>
        <a:stretch>
          <a:fillRect/>
        </a:stretch>
      </xdr:blipFill>
      <xdr:spPr bwMode="auto">
        <a:xfrm>
          <a:off x="1530061" y="14323868"/>
          <a:ext cx="286452"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63</xdr:row>
      <xdr:rowOff>72735</xdr:rowOff>
    </xdr:from>
    <xdr:to>
      <xdr:col>2</xdr:col>
      <xdr:colOff>628650</xdr:colOff>
      <xdr:row>63</xdr:row>
      <xdr:rowOff>332930</xdr:rowOff>
    </xdr:to>
    <xdr:pic>
      <xdr:nvPicPr>
        <xdr:cNvPr id="62" name="Grafik 24">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14128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64</xdr:row>
      <xdr:rowOff>72735</xdr:rowOff>
    </xdr:from>
    <xdr:to>
      <xdr:col>2</xdr:col>
      <xdr:colOff>628650</xdr:colOff>
      <xdr:row>64</xdr:row>
      <xdr:rowOff>332930</xdr:rowOff>
    </xdr:to>
    <xdr:pic>
      <xdr:nvPicPr>
        <xdr:cNvPr id="63" name="Grafik 2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5413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62</xdr:row>
      <xdr:rowOff>72735</xdr:rowOff>
    </xdr:from>
    <xdr:to>
      <xdr:col>2</xdr:col>
      <xdr:colOff>628650</xdr:colOff>
      <xdr:row>62</xdr:row>
      <xdr:rowOff>332930</xdr:rowOff>
    </xdr:to>
    <xdr:pic>
      <xdr:nvPicPr>
        <xdr:cNvPr id="65" name="Grafik 2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47412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169406</xdr:colOff>
      <xdr:row>66</xdr:row>
      <xdr:rowOff>51090</xdr:rowOff>
    </xdr:from>
    <xdr:to>
      <xdr:col>2</xdr:col>
      <xdr:colOff>573496</xdr:colOff>
      <xdr:row>66</xdr:row>
      <xdr:rowOff>354158</xdr:rowOff>
    </xdr:to>
    <xdr:pic>
      <xdr:nvPicPr>
        <xdr:cNvPr id="66" name="Grafik 20">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469288" y="17633119"/>
          <a:ext cx="404090"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181388</xdr:colOff>
      <xdr:row>65</xdr:row>
      <xdr:rowOff>54665</xdr:rowOff>
    </xdr:from>
    <xdr:to>
      <xdr:col>2</xdr:col>
      <xdr:colOff>574369</xdr:colOff>
      <xdr:row>65</xdr:row>
      <xdr:rowOff>349401</xdr:rowOff>
    </xdr:to>
    <xdr:pic>
      <xdr:nvPicPr>
        <xdr:cNvPr id="75" name="Grafik 25">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76788" y="15923315"/>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67</xdr:row>
      <xdr:rowOff>49530</xdr:rowOff>
    </xdr:from>
    <xdr:to>
      <xdr:col>2</xdr:col>
      <xdr:colOff>562118</xdr:colOff>
      <xdr:row>67</xdr:row>
      <xdr:rowOff>352892</xdr:rowOff>
    </xdr:to>
    <xdr:pic>
      <xdr:nvPicPr>
        <xdr:cNvPr id="76" name="Grafik 1812">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67182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68</xdr:row>
      <xdr:rowOff>49530</xdr:rowOff>
    </xdr:from>
    <xdr:to>
      <xdr:col>2</xdr:col>
      <xdr:colOff>562118</xdr:colOff>
      <xdr:row>68</xdr:row>
      <xdr:rowOff>352892</xdr:rowOff>
    </xdr:to>
    <xdr:pic>
      <xdr:nvPicPr>
        <xdr:cNvPr id="77" name="Grafik 1812">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1183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69</xdr:row>
      <xdr:rowOff>49530</xdr:rowOff>
    </xdr:from>
    <xdr:to>
      <xdr:col>2</xdr:col>
      <xdr:colOff>562118</xdr:colOff>
      <xdr:row>69</xdr:row>
      <xdr:rowOff>352892</xdr:rowOff>
    </xdr:to>
    <xdr:pic>
      <xdr:nvPicPr>
        <xdr:cNvPr id="78" name="Grafik 1812">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5183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70</xdr:row>
      <xdr:rowOff>49530</xdr:rowOff>
    </xdr:from>
    <xdr:to>
      <xdr:col>2</xdr:col>
      <xdr:colOff>562118</xdr:colOff>
      <xdr:row>70</xdr:row>
      <xdr:rowOff>352892</xdr:rowOff>
    </xdr:to>
    <xdr:pic>
      <xdr:nvPicPr>
        <xdr:cNvPr id="79" name="Grafik 1812">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9184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71</xdr:row>
      <xdr:rowOff>49530</xdr:rowOff>
    </xdr:from>
    <xdr:to>
      <xdr:col>2</xdr:col>
      <xdr:colOff>562118</xdr:colOff>
      <xdr:row>71</xdr:row>
      <xdr:rowOff>352892</xdr:rowOff>
    </xdr:to>
    <xdr:pic>
      <xdr:nvPicPr>
        <xdr:cNvPr id="80" name="Grafik 1812">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83184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495300</xdr:colOff>
          <xdr:row>15</xdr:row>
          <xdr:rowOff>30480</xdr:rowOff>
        </xdr:from>
        <xdr:to>
          <xdr:col>11</xdr:col>
          <xdr:colOff>762000</xdr:colOff>
          <xdr:row>16</xdr:row>
          <xdr:rowOff>0</xdr:rowOff>
        </xdr:to>
        <xdr:sp macro="" textlink="">
          <xdr:nvSpPr>
            <xdr:cNvPr id="57375" name="Option Button 31" hidden="1">
              <a:extLst>
                <a:ext uri="{63B3BB69-23CF-44E3-9099-C40C66FF867C}">
                  <a14:compatExt spid="_x0000_s57375"/>
                </a:ext>
                <a:ext uri="{FF2B5EF4-FFF2-40B4-BE49-F238E27FC236}">
                  <a16:creationId xmlns:a16="http://schemas.microsoft.com/office/drawing/2014/main" id="{00000000-0008-0000-0800-00001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15</xdr:row>
          <xdr:rowOff>190500</xdr:rowOff>
        </xdr:from>
        <xdr:to>
          <xdr:col>11</xdr:col>
          <xdr:colOff>762000</xdr:colOff>
          <xdr:row>17</xdr:row>
          <xdr:rowOff>0</xdr:rowOff>
        </xdr:to>
        <xdr:sp macro="" textlink="">
          <xdr:nvSpPr>
            <xdr:cNvPr id="57376" name="Option Button 32" hidden="1">
              <a:extLst>
                <a:ext uri="{63B3BB69-23CF-44E3-9099-C40C66FF867C}">
                  <a14:compatExt spid="_x0000_s57376"/>
                </a:ext>
                <a:ext uri="{FF2B5EF4-FFF2-40B4-BE49-F238E27FC236}">
                  <a16:creationId xmlns:a16="http://schemas.microsoft.com/office/drawing/2014/main" id="{00000000-0008-0000-0800-00002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16</xdr:row>
          <xdr:rowOff>190500</xdr:rowOff>
        </xdr:from>
        <xdr:to>
          <xdr:col>11</xdr:col>
          <xdr:colOff>762000</xdr:colOff>
          <xdr:row>18</xdr:row>
          <xdr:rowOff>0</xdr:rowOff>
        </xdr:to>
        <xdr:sp macro="" textlink="">
          <xdr:nvSpPr>
            <xdr:cNvPr id="57378" name="Option Button 34" hidden="1">
              <a:extLst>
                <a:ext uri="{63B3BB69-23CF-44E3-9099-C40C66FF867C}">
                  <a14:compatExt spid="_x0000_s57378"/>
                </a:ext>
                <a:ext uri="{FF2B5EF4-FFF2-40B4-BE49-F238E27FC236}">
                  <a16:creationId xmlns:a16="http://schemas.microsoft.com/office/drawing/2014/main" id="{00000000-0008-0000-0800-00002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7379" name="Option Button 35" hidden="1">
              <a:extLst>
                <a:ext uri="{63B3BB69-23CF-44E3-9099-C40C66FF867C}">
                  <a14:compatExt spid="_x0000_s57379"/>
                </a:ext>
                <a:ext uri="{FF2B5EF4-FFF2-40B4-BE49-F238E27FC236}">
                  <a16:creationId xmlns:a16="http://schemas.microsoft.com/office/drawing/2014/main" id="{00000000-0008-0000-0800-00002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7380" name="Option Button 36" hidden="1">
              <a:extLst>
                <a:ext uri="{63B3BB69-23CF-44E3-9099-C40C66FF867C}">
                  <a14:compatExt spid="_x0000_s57380"/>
                </a:ext>
                <a:ext uri="{FF2B5EF4-FFF2-40B4-BE49-F238E27FC236}">
                  <a16:creationId xmlns:a16="http://schemas.microsoft.com/office/drawing/2014/main" id="{00000000-0008-0000-0800-00002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17</xdr:row>
          <xdr:rowOff>190500</xdr:rowOff>
        </xdr:from>
        <xdr:to>
          <xdr:col>11</xdr:col>
          <xdr:colOff>762000</xdr:colOff>
          <xdr:row>19</xdr:row>
          <xdr:rowOff>0</xdr:rowOff>
        </xdr:to>
        <xdr:sp macro="" textlink="">
          <xdr:nvSpPr>
            <xdr:cNvPr id="57381" name="Option Button 37" hidden="1">
              <a:extLst>
                <a:ext uri="{63B3BB69-23CF-44E3-9099-C40C66FF867C}">
                  <a14:compatExt spid="_x0000_s57381"/>
                </a:ext>
                <a:ext uri="{FF2B5EF4-FFF2-40B4-BE49-F238E27FC236}">
                  <a16:creationId xmlns:a16="http://schemas.microsoft.com/office/drawing/2014/main" id="{00000000-0008-0000-0800-00002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18</xdr:row>
          <xdr:rowOff>190500</xdr:rowOff>
        </xdr:from>
        <xdr:to>
          <xdr:col>11</xdr:col>
          <xdr:colOff>762000</xdr:colOff>
          <xdr:row>20</xdr:row>
          <xdr:rowOff>0</xdr:rowOff>
        </xdr:to>
        <xdr:sp macro="" textlink="">
          <xdr:nvSpPr>
            <xdr:cNvPr id="57382" name="Option Button 38" hidden="1">
              <a:extLst>
                <a:ext uri="{63B3BB69-23CF-44E3-9099-C40C66FF867C}">
                  <a14:compatExt spid="_x0000_s57382"/>
                </a:ext>
                <a:ext uri="{FF2B5EF4-FFF2-40B4-BE49-F238E27FC236}">
                  <a16:creationId xmlns:a16="http://schemas.microsoft.com/office/drawing/2014/main" id="{00000000-0008-0000-0800-00002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130753</xdr:colOff>
      <xdr:row>52</xdr:row>
      <xdr:rowOff>51089</xdr:rowOff>
    </xdr:from>
    <xdr:to>
      <xdr:col>2</xdr:col>
      <xdr:colOff>627448</xdr:colOff>
      <xdr:row>52</xdr:row>
      <xdr:rowOff>354157</xdr:rowOff>
    </xdr:to>
    <xdr:pic>
      <xdr:nvPicPr>
        <xdr:cNvPr id="85" name="Grafik 19">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53</xdr:row>
      <xdr:rowOff>29483</xdr:rowOff>
    </xdr:from>
    <xdr:to>
      <xdr:col>2</xdr:col>
      <xdr:colOff>624263</xdr:colOff>
      <xdr:row>53</xdr:row>
      <xdr:rowOff>390524</xdr:rowOff>
    </xdr:to>
    <xdr:pic>
      <xdr:nvPicPr>
        <xdr:cNvPr id="86" name="Grafik 3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438275" y="11897633"/>
          <a:ext cx="481388" cy="3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7420" name="Group Box 76" hidden="1">
              <a:extLst>
                <a:ext uri="{63B3BB69-23CF-44E3-9099-C40C66FF867C}">
                  <a14:compatExt spid="_x0000_s57420"/>
                </a:ext>
                <a:ext uri="{FF2B5EF4-FFF2-40B4-BE49-F238E27FC236}">
                  <a16:creationId xmlns:a16="http://schemas.microsoft.com/office/drawing/2014/main" id="{00000000-0008-0000-0800-00004C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7421" name="Option Button 77" hidden="1">
              <a:extLst>
                <a:ext uri="{63B3BB69-23CF-44E3-9099-C40C66FF867C}">
                  <a14:compatExt spid="_x0000_s57421"/>
                </a:ext>
                <a:ext uri="{FF2B5EF4-FFF2-40B4-BE49-F238E27FC236}">
                  <a16:creationId xmlns:a16="http://schemas.microsoft.com/office/drawing/2014/main" id="{00000000-0008-0000-0800-00004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7422" name="Option Button 78" hidden="1">
              <a:extLst>
                <a:ext uri="{63B3BB69-23CF-44E3-9099-C40C66FF867C}">
                  <a14:compatExt spid="_x0000_s57422"/>
                </a:ext>
                <a:ext uri="{FF2B5EF4-FFF2-40B4-BE49-F238E27FC236}">
                  <a16:creationId xmlns:a16="http://schemas.microsoft.com/office/drawing/2014/main" id="{00000000-0008-0000-0800-00004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605394</xdr:colOff>
      <xdr:row>4</xdr:row>
      <xdr:rowOff>147858</xdr:rowOff>
    </xdr:to>
    <xdr:pic>
      <xdr:nvPicPr>
        <xdr:cNvPr id="89" name="Grafik 4">
          <a:extLst>
            <a:ext uri="{FF2B5EF4-FFF2-40B4-BE49-F238E27FC236}">
              <a16:creationId xmlns:a16="http://schemas.microsoft.com/office/drawing/2014/main" id="{00000000-0008-0000-0800-000059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198905</xdr:colOff>
      <xdr:row>5</xdr:row>
      <xdr:rowOff>72390</xdr:rowOff>
    </xdr:to>
    <xdr:pic>
      <xdr:nvPicPr>
        <xdr:cNvPr id="90" name="Grafik 18">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084294" y="0"/>
          <a:ext cx="1911164"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108113</xdr:colOff>
      <xdr:row>58</xdr:row>
      <xdr:rowOff>14286</xdr:rowOff>
    </xdr:from>
    <xdr:to>
      <xdr:col>2</xdr:col>
      <xdr:colOff>755814</xdr:colOff>
      <xdr:row>58</xdr:row>
      <xdr:rowOff>395287</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5"/>
        <a:stretch>
          <a:fillRect/>
        </a:stretch>
      </xdr:blipFill>
      <xdr:spPr>
        <a:xfrm>
          <a:off x="1498763" y="15925799"/>
          <a:ext cx="647701" cy="381001"/>
        </a:xfrm>
        <a:prstGeom prst="rect">
          <a:avLst/>
        </a:prstGeom>
      </xdr:spPr>
    </xdr:pic>
    <xdr:clientData/>
  </xdr:twoCellAnchor>
  <xdr:twoCellAnchor>
    <xdr:from>
      <xdr:col>2</xdr:col>
      <xdr:colOff>123827</xdr:colOff>
      <xdr:row>59</xdr:row>
      <xdr:rowOff>71438</xdr:rowOff>
    </xdr:from>
    <xdr:to>
      <xdr:col>2</xdr:col>
      <xdr:colOff>701972</xdr:colOff>
      <xdr:row>59</xdr:row>
      <xdr:rowOff>347663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6"/>
        <a:stretch>
          <a:fillRect/>
        </a:stretch>
      </xdr:blipFill>
      <xdr:spPr>
        <a:xfrm>
          <a:off x="1514477" y="16387763"/>
          <a:ext cx="578145" cy="276225"/>
        </a:xfrm>
        <a:prstGeom prst="rect">
          <a:avLst/>
        </a:prstGeom>
      </xdr:spPr>
    </xdr:pic>
    <xdr:clientData/>
  </xdr:twoCellAnchor>
  <xdr:twoCellAnchor>
    <xdr:from>
      <xdr:col>2</xdr:col>
      <xdr:colOff>109538</xdr:colOff>
      <xdr:row>72</xdr:row>
      <xdr:rowOff>33340</xdr:rowOff>
    </xdr:from>
    <xdr:to>
      <xdr:col>2</xdr:col>
      <xdr:colOff>686247</xdr:colOff>
      <xdr:row>72</xdr:row>
      <xdr:rowOff>370378</xdr:rowOff>
    </xdr:to>
    <xdr:pic>
      <xdr:nvPicPr>
        <xdr:cNvPr id="84" name="Grafik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27"/>
        <a:stretch>
          <a:fillRect/>
        </a:stretch>
      </xdr:blipFill>
      <xdr:spPr>
        <a:xfrm>
          <a:off x="1500188" y="30756228"/>
          <a:ext cx="576709" cy="337038"/>
        </a:xfrm>
        <a:prstGeom prst="rect">
          <a:avLst/>
        </a:prstGeom>
      </xdr:spPr>
    </xdr:pic>
    <xdr:clientData/>
  </xdr:twoCellAnchor>
  <xdr:twoCellAnchor>
    <xdr:from>
      <xdr:col>2</xdr:col>
      <xdr:colOff>228600</xdr:colOff>
      <xdr:row>73</xdr:row>
      <xdr:rowOff>9525</xdr:rowOff>
    </xdr:from>
    <xdr:to>
      <xdr:col>2</xdr:col>
      <xdr:colOff>547837</xdr:colOff>
      <xdr:row>73</xdr:row>
      <xdr:rowOff>381000</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270273</xdr:colOff>
      <xdr:row>48</xdr:row>
      <xdr:rowOff>23812</xdr:rowOff>
    </xdr:from>
    <xdr:to>
      <xdr:col>2</xdr:col>
      <xdr:colOff>556817</xdr:colOff>
      <xdr:row>48</xdr:row>
      <xdr:rowOff>385762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9"/>
        <a:stretch>
          <a:fillRect/>
        </a:stretch>
      </xdr:blipFill>
      <xdr:spPr>
        <a:xfrm>
          <a:off x="1660923" y="11887200"/>
          <a:ext cx="286544" cy="361950"/>
        </a:xfrm>
        <a:prstGeom prst="rect">
          <a:avLst/>
        </a:prstGeom>
      </xdr:spPr>
    </xdr:pic>
    <xdr:clientData/>
  </xdr:twoCellAnchor>
  <xdr:twoCellAnchor>
    <xdr:from>
      <xdr:col>2</xdr:col>
      <xdr:colOff>228600</xdr:colOff>
      <xdr:row>74</xdr:row>
      <xdr:rowOff>9525</xdr:rowOff>
    </xdr:from>
    <xdr:to>
      <xdr:col>2</xdr:col>
      <xdr:colOff>547837</xdr:colOff>
      <xdr:row>74</xdr:row>
      <xdr:rowOff>381000</xdr:rowOff>
    </xdr:to>
    <xdr:pic>
      <xdr:nvPicPr>
        <xdr:cNvPr id="93" name="Grafik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228600</xdr:colOff>
      <xdr:row>75</xdr:row>
      <xdr:rowOff>9525</xdr:rowOff>
    </xdr:from>
    <xdr:to>
      <xdr:col>2</xdr:col>
      <xdr:colOff>547837</xdr:colOff>
      <xdr:row>75</xdr:row>
      <xdr:rowOff>381000</xdr:rowOff>
    </xdr:to>
    <xdr:pic>
      <xdr:nvPicPr>
        <xdr:cNvPr id="94" name="Grafik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228600</xdr:colOff>
      <xdr:row>76</xdr:row>
      <xdr:rowOff>9525</xdr:rowOff>
    </xdr:from>
    <xdr:to>
      <xdr:col>2</xdr:col>
      <xdr:colOff>547837</xdr:colOff>
      <xdr:row>76</xdr:row>
      <xdr:rowOff>381000</xdr:rowOff>
    </xdr:to>
    <xdr:pic>
      <xdr:nvPicPr>
        <xdr:cNvPr id="95" name="Grafik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270273</xdr:colOff>
      <xdr:row>49</xdr:row>
      <xdr:rowOff>23812</xdr:rowOff>
    </xdr:from>
    <xdr:to>
      <xdr:col>2</xdr:col>
      <xdr:colOff>556817</xdr:colOff>
      <xdr:row>49</xdr:row>
      <xdr:rowOff>385762</xdr:rowOff>
    </xdr:to>
    <xdr:pic>
      <xdr:nvPicPr>
        <xdr:cNvPr id="96" name="Grafik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29"/>
        <a:stretch>
          <a:fillRect/>
        </a:stretch>
      </xdr:blipFill>
      <xdr:spPr>
        <a:xfrm>
          <a:off x="1660923" y="11887200"/>
          <a:ext cx="286544" cy="361950"/>
        </a:xfrm>
        <a:prstGeom prst="rect">
          <a:avLst/>
        </a:prstGeom>
      </xdr:spPr>
    </xdr:pic>
    <xdr:clientData/>
  </xdr:twoCellAnchor>
  <xdr:twoCellAnchor>
    <xdr:from>
      <xdr:col>2</xdr:col>
      <xdr:colOff>171451</xdr:colOff>
      <xdr:row>54</xdr:row>
      <xdr:rowOff>28575</xdr:rowOff>
    </xdr:from>
    <xdr:to>
      <xdr:col>2</xdr:col>
      <xdr:colOff>629963</xdr:colOff>
      <xdr:row>54</xdr:row>
      <xdr:rowOff>376238</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0"/>
        <a:stretch>
          <a:fillRect/>
        </a:stretch>
      </xdr:blipFill>
      <xdr:spPr>
        <a:xfrm>
          <a:off x="1562101" y="13916025"/>
          <a:ext cx="458512" cy="347663"/>
        </a:xfrm>
        <a:prstGeom prst="rect">
          <a:avLst/>
        </a:prstGeom>
      </xdr:spPr>
    </xdr:pic>
    <xdr:clientData/>
  </xdr:twoCellAnchor>
  <xdr:twoCellAnchor>
    <xdr:from>
      <xdr:col>2</xdr:col>
      <xdr:colOff>274757</xdr:colOff>
      <xdr:row>78</xdr:row>
      <xdr:rowOff>18316</xdr:rowOff>
    </xdr:from>
    <xdr:to>
      <xdr:col>2</xdr:col>
      <xdr:colOff>532488</xdr:colOff>
      <xdr:row>78</xdr:row>
      <xdr:rowOff>373673</xdr:rowOff>
    </xdr:to>
    <xdr:pic>
      <xdr:nvPicPr>
        <xdr:cNvPr id="97" name="Grafik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31"/>
        <a:stretch>
          <a:fillRect/>
        </a:stretch>
      </xdr:blipFill>
      <xdr:spPr>
        <a:xfrm>
          <a:off x="1665407" y="31550829"/>
          <a:ext cx="257731" cy="355357"/>
        </a:xfrm>
        <a:prstGeom prst="rect">
          <a:avLst/>
        </a:prstGeom>
      </xdr:spPr>
    </xdr:pic>
    <xdr:clientData/>
  </xdr:twoCellAnchor>
  <xdr:twoCellAnchor>
    <xdr:from>
      <xdr:col>2</xdr:col>
      <xdr:colOff>315055</xdr:colOff>
      <xdr:row>77</xdr:row>
      <xdr:rowOff>19366</xdr:rowOff>
    </xdr:from>
    <xdr:to>
      <xdr:col>2</xdr:col>
      <xdr:colOff>461593</xdr:colOff>
      <xdr:row>77</xdr:row>
      <xdr:rowOff>391991</xdr:rowOff>
    </xdr:to>
    <xdr:pic>
      <xdr:nvPicPr>
        <xdr:cNvPr id="98" name="Grafik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32"/>
        <a:stretch>
          <a:fillRect/>
        </a:stretch>
      </xdr:blipFill>
      <xdr:spPr>
        <a:xfrm>
          <a:off x="1610455" y="23441341"/>
          <a:ext cx="146538" cy="372625"/>
        </a:xfrm>
        <a:prstGeom prst="rect">
          <a:avLst/>
        </a:prstGeom>
      </xdr:spPr>
    </xdr:pic>
    <xdr:clientData/>
  </xdr:twoCellAnchor>
  <xdr:twoCellAnchor>
    <xdr:from>
      <xdr:col>2</xdr:col>
      <xdr:colOff>132990</xdr:colOff>
      <xdr:row>50</xdr:row>
      <xdr:rowOff>52478</xdr:rowOff>
    </xdr:from>
    <xdr:to>
      <xdr:col>2</xdr:col>
      <xdr:colOff>600642</xdr:colOff>
      <xdr:row>50</xdr:row>
      <xdr:rowOff>350808</xdr:rowOff>
    </xdr:to>
    <xdr:pic>
      <xdr:nvPicPr>
        <xdr:cNvPr id="81" name="Grafik 1804">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7597" t="13477" r="10893" b="7732"/>
        <a:stretch>
          <a:fillRect/>
        </a:stretch>
      </xdr:blipFill>
      <xdr:spPr bwMode="auto">
        <a:xfrm>
          <a:off x="1428390" y="2528420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185945</xdr:colOff>
      <xdr:row>39</xdr:row>
      <xdr:rowOff>52793</xdr:rowOff>
    </xdr:from>
    <xdr:to>
      <xdr:col>2</xdr:col>
      <xdr:colOff>584993</xdr:colOff>
      <xdr:row>39</xdr:row>
      <xdr:rowOff>347663</xdr:rowOff>
    </xdr:to>
    <xdr:pic>
      <xdr:nvPicPr>
        <xdr:cNvPr id="7" name="Grafik 25">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241081</xdr:colOff>
      <xdr:row>40</xdr:row>
      <xdr:rowOff>51238</xdr:rowOff>
    </xdr:from>
    <xdr:to>
      <xdr:col>2</xdr:col>
      <xdr:colOff>549823</xdr:colOff>
      <xdr:row>40</xdr:row>
      <xdr:rowOff>352064</xdr:rowOff>
    </xdr:to>
    <xdr:pic>
      <xdr:nvPicPr>
        <xdr:cNvPr id="8" name="Grafik 42">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7871263"/>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41</xdr:row>
      <xdr:rowOff>48883</xdr:rowOff>
    </xdr:from>
    <xdr:to>
      <xdr:col>2</xdr:col>
      <xdr:colOff>603689</xdr:colOff>
      <xdr:row>41</xdr:row>
      <xdr:rowOff>354402</xdr:rowOff>
    </xdr:to>
    <xdr:pic>
      <xdr:nvPicPr>
        <xdr:cNvPr id="9" name="Grafik 4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8268958"/>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42</xdr:row>
      <xdr:rowOff>48884</xdr:rowOff>
    </xdr:from>
    <xdr:to>
      <xdr:col>2</xdr:col>
      <xdr:colOff>587312</xdr:colOff>
      <xdr:row>42</xdr:row>
      <xdr:rowOff>350807</xdr:rowOff>
    </xdr:to>
    <xdr:pic>
      <xdr:nvPicPr>
        <xdr:cNvPr id="10" name="Grafik 6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8669009"/>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152401</xdr:colOff>
      <xdr:row>43</xdr:row>
      <xdr:rowOff>28576</xdr:rowOff>
    </xdr:from>
    <xdr:to>
      <xdr:col>2</xdr:col>
      <xdr:colOff>657623</xdr:colOff>
      <xdr:row>43</xdr:row>
      <xdr:rowOff>390526</xdr:rowOff>
    </xdr:to>
    <xdr:pic>
      <xdr:nvPicPr>
        <xdr:cNvPr id="12" name="Grafik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5"/>
        <a:stretch>
          <a:fillRect/>
        </a:stretch>
      </xdr:blipFill>
      <xdr:spPr>
        <a:xfrm>
          <a:off x="1447801" y="11849101"/>
          <a:ext cx="505222" cy="361950"/>
        </a:xfrm>
        <a:prstGeom prst="rect">
          <a:avLst/>
        </a:prstGeom>
      </xdr:spPr>
    </xdr:pic>
    <xdr:clientData/>
  </xdr:twoCellAnchor>
  <xdr:twoCellAnchor>
    <xdr:from>
      <xdr:col>2</xdr:col>
      <xdr:colOff>96635</xdr:colOff>
      <xdr:row>79</xdr:row>
      <xdr:rowOff>30478</xdr:rowOff>
    </xdr:from>
    <xdr:to>
      <xdr:col>2</xdr:col>
      <xdr:colOff>695849</xdr:colOff>
      <xdr:row>79</xdr:row>
      <xdr:rowOff>376236</xdr:rowOff>
    </xdr:to>
    <xdr:pic>
      <xdr:nvPicPr>
        <xdr:cNvPr id="11" name="Grafik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22515" y="36370258"/>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80</xdr:row>
      <xdr:rowOff>33339</xdr:rowOff>
    </xdr:from>
    <xdr:to>
      <xdr:col>2</xdr:col>
      <xdr:colOff>694464</xdr:colOff>
      <xdr:row>80</xdr:row>
      <xdr:rowOff>379097</xdr:rowOff>
    </xdr:to>
    <xdr:pic>
      <xdr:nvPicPr>
        <xdr:cNvPr id="13" name="Grafik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21130" y="36776979"/>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219079</xdr:colOff>
      <xdr:row>81</xdr:row>
      <xdr:rowOff>14287</xdr:rowOff>
    </xdr:from>
    <xdr:to>
      <xdr:col>2</xdr:col>
      <xdr:colOff>583040</xdr:colOff>
      <xdr:row>81</xdr:row>
      <xdr:rowOff>390524</xdr:rowOff>
    </xdr:to>
    <xdr:pic>
      <xdr:nvPicPr>
        <xdr:cNvPr id="14" name="Grafik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544959" y="27431047"/>
          <a:ext cx="363961" cy="376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97084</xdr:colOff>
      <xdr:row>82</xdr:row>
      <xdr:rowOff>23811</xdr:rowOff>
    </xdr:from>
    <xdr:to>
      <xdr:col>2</xdr:col>
      <xdr:colOff>696280</xdr:colOff>
      <xdr:row>82</xdr:row>
      <xdr:rowOff>381951</xdr:rowOff>
    </xdr:to>
    <xdr:pic>
      <xdr:nvPicPr>
        <xdr:cNvPr id="15" name="Grafik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422964" y="37575171"/>
          <a:ext cx="599196" cy="35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495300</xdr:colOff>
          <xdr:row>19</xdr:row>
          <xdr:rowOff>190500</xdr:rowOff>
        </xdr:from>
        <xdr:to>
          <xdr:col>11</xdr:col>
          <xdr:colOff>762000</xdr:colOff>
          <xdr:row>21</xdr:row>
          <xdr:rowOff>0</xdr:rowOff>
        </xdr:to>
        <xdr:sp macro="" textlink="">
          <xdr:nvSpPr>
            <xdr:cNvPr id="57423" name="Option Button 79" hidden="1">
              <a:extLst>
                <a:ext uri="{63B3BB69-23CF-44E3-9099-C40C66FF867C}">
                  <a14:compatExt spid="_x0000_s57423"/>
                </a:ext>
                <a:ext uri="{FF2B5EF4-FFF2-40B4-BE49-F238E27FC236}">
                  <a16:creationId xmlns:a16="http://schemas.microsoft.com/office/drawing/2014/main" id="{00000000-0008-0000-0800-00004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99">
  <rv s="0">
    <v>0</v>
    <v>5</v>
  </rv>
  <rv s="1">
    <v>2</v>
    <v>1</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53</v>
    <v>5</v>
  </rv>
  <rv s="0">
    <v>54</v>
    <v>5</v>
  </rv>
  <rv s="0">
    <v>55</v>
    <v>5</v>
  </rv>
  <rv s="0">
    <v>56</v>
    <v>5</v>
  </rv>
  <rv s="0">
    <v>57</v>
    <v>5</v>
  </rv>
  <rv s="0">
    <v>58</v>
    <v>5</v>
  </rv>
  <rv s="0">
    <v>59</v>
    <v>5</v>
  </rv>
  <rv s="0">
    <v>60</v>
    <v>5</v>
  </rv>
  <rv s="0">
    <v>61</v>
    <v>5</v>
  </rv>
  <rv s="0">
    <v>62</v>
    <v>5</v>
  </rv>
  <rv s="0">
    <v>63</v>
    <v>5</v>
  </rv>
  <rv s="0">
    <v>64</v>
    <v>5</v>
  </rv>
  <rv s="0">
    <v>65</v>
    <v>5</v>
  </rv>
  <rv s="0">
    <v>66</v>
    <v>5</v>
  </rv>
  <rv s="0">
    <v>67</v>
    <v>5</v>
  </rv>
  <rv s="0">
    <v>68</v>
    <v>5</v>
  </rv>
  <rv s="0">
    <v>69</v>
    <v>5</v>
  </rv>
  <rv s="0">
    <v>70</v>
    <v>5</v>
  </rv>
  <rv s="0">
    <v>71</v>
    <v>5</v>
  </rv>
  <rv s="0">
    <v>72</v>
    <v>5</v>
  </rv>
  <rv s="0">
    <v>73</v>
    <v>5</v>
  </rv>
  <rv s="0">
    <v>74</v>
    <v>5</v>
  </rv>
  <rv s="0">
    <v>75</v>
    <v>5</v>
  </rv>
  <rv s="0">
    <v>76</v>
    <v>5</v>
  </rv>
  <rv s="0">
    <v>77</v>
    <v>5</v>
  </rv>
  <rv s="0">
    <v>78</v>
    <v>5</v>
  </rv>
  <rv s="0">
    <v>79</v>
    <v>5</v>
  </rv>
  <rv s="0">
    <v>80</v>
    <v>5</v>
  </rv>
  <rv s="0">
    <v>81</v>
    <v>5</v>
  </rv>
  <rv s="0">
    <v>82</v>
    <v>5</v>
  </rv>
  <rv s="0">
    <v>83</v>
    <v>5</v>
  </rv>
  <rv s="0">
    <v>84</v>
    <v>5</v>
  </rv>
  <rv s="0">
    <v>85</v>
    <v>5</v>
  </rv>
  <rv s="0">
    <v>86</v>
    <v>5</v>
  </rv>
  <rv s="0">
    <v>87</v>
    <v>5</v>
  </rv>
  <rv s="0">
    <v>88</v>
    <v>5</v>
  </rv>
  <rv s="0">
    <v>89</v>
    <v>5</v>
  </rv>
  <rv s="0">
    <v>90</v>
    <v>5</v>
  </rv>
  <rv s="0">
    <v>91</v>
    <v>5</v>
  </rv>
  <rv s="0">
    <v>92</v>
    <v>5</v>
  </rv>
  <rv s="0">
    <v>93</v>
    <v>5</v>
  </rv>
  <rv s="0">
    <v>94</v>
    <v>5</v>
  </rv>
  <rv s="0">
    <v>95</v>
    <v>5</v>
  </rv>
  <rv s="0">
    <v>96</v>
    <v>5</v>
  </rv>
  <rv s="2">
    <v>2</v>
    <v>1</v>
  </rv>
</rvData>
</file>

<file path=xl/richData/rdrichvaluestructure.xml><?xml version="1.0" encoding="utf-8"?>
<rvStructures xmlns="http://schemas.microsoft.com/office/spreadsheetml/2017/richdata" count="3">
  <s t="_localImage">
    <k n="_rvRel:LocalImageIdentifier" t="i"/>
    <k n="CalcOrigin" t="i"/>
  </s>
  <s t="_error">
    <k n="errorType" t="i"/>
    <k n="subType" t="i"/>
  </s>
  <s t="_error">
    <k n="errorType" t="i"/>
    <k n="propagated" t="b"/>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197.xml"/><Relationship Id="rId18" Type="http://schemas.openxmlformats.org/officeDocument/2006/relationships/ctrlProp" Target="../ctrlProps/ctrlProp202.xml"/><Relationship Id="rId26" Type="http://schemas.openxmlformats.org/officeDocument/2006/relationships/ctrlProp" Target="../ctrlProps/ctrlProp210.xml"/><Relationship Id="rId3" Type="http://schemas.openxmlformats.org/officeDocument/2006/relationships/vmlDrawing" Target="../drawings/vmlDrawing19.vml"/><Relationship Id="rId21" Type="http://schemas.openxmlformats.org/officeDocument/2006/relationships/ctrlProp" Target="../ctrlProps/ctrlProp205.xml"/><Relationship Id="rId34" Type="http://schemas.openxmlformats.org/officeDocument/2006/relationships/ctrlProp" Target="../ctrlProps/ctrlProp218.xml"/><Relationship Id="rId7" Type="http://schemas.openxmlformats.org/officeDocument/2006/relationships/oleObject" Target="../embeddings/oleObject4.bin"/><Relationship Id="rId12" Type="http://schemas.openxmlformats.org/officeDocument/2006/relationships/ctrlProp" Target="../ctrlProps/ctrlProp196.xml"/><Relationship Id="rId17" Type="http://schemas.openxmlformats.org/officeDocument/2006/relationships/ctrlProp" Target="../ctrlProps/ctrlProp201.xml"/><Relationship Id="rId25" Type="http://schemas.openxmlformats.org/officeDocument/2006/relationships/ctrlProp" Target="../ctrlProps/ctrlProp209.xml"/><Relationship Id="rId33" Type="http://schemas.openxmlformats.org/officeDocument/2006/relationships/ctrlProp" Target="../ctrlProps/ctrlProp217.xml"/><Relationship Id="rId2" Type="http://schemas.openxmlformats.org/officeDocument/2006/relationships/drawing" Target="../drawings/drawing10.xml"/><Relationship Id="rId16" Type="http://schemas.openxmlformats.org/officeDocument/2006/relationships/ctrlProp" Target="../ctrlProps/ctrlProp200.xml"/><Relationship Id="rId20" Type="http://schemas.openxmlformats.org/officeDocument/2006/relationships/ctrlProp" Target="../ctrlProps/ctrlProp204.xml"/><Relationship Id="rId29" Type="http://schemas.openxmlformats.org/officeDocument/2006/relationships/ctrlProp" Target="../ctrlProps/ctrlProp213.xml"/><Relationship Id="rId1" Type="http://schemas.openxmlformats.org/officeDocument/2006/relationships/printerSettings" Target="../printerSettings/printerSettings10.bin"/><Relationship Id="rId6" Type="http://schemas.openxmlformats.org/officeDocument/2006/relationships/image" Target="../media/image199.emf"/><Relationship Id="rId11" Type="http://schemas.openxmlformats.org/officeDocument/2006/relationships/ctrlProp" Target="../ctrlProps/ctrlProp195.xml"/><Relationship Id="rId24" Type="http://schemas.openxmlformats.org/officeDocument/2006/relationships/ctrlProp" Target="../ctrlProps/ctrlProp208.xml"/><Relationship Id="rId32" Type="http://schemas.openxmlformats.org/officeDocument/2006/relationships/ctrlProp" Target="../ctrlProps/ctrlProp216.xml"/><Relationship Id="rId5" Type="http://schemas.openxmlformats.org/officeDocument/2006/relationships/oleObject" Target="../embeddings/oleObject3.bin"/><Relationship Id="rId15" Type="http://schemas.openxmlformats.org/officeDocument/2006/relationships/ctrlProp" Target="../ctrlProps/ctrlProp199.xml"/><Relationship Id="rId23" Type="http://schemas.openxmlformats.org/officeDocument/2006/relationships/ctrlProp" Target="../ctrlProps/ctrlProp207.xml"/><Relationship Id="rId28" Type="http://schemas.openxmlformats.org/officeDocument/2006/relationships/ctrlProp" Target="../ctrlProps/ctrlProp212.xml"/><Relationship Id="rId10" Type="http://schemas.openxmlformats.org/officeDocument/2006/relationships/ctrlProp" Target="../ctrlProps/ctrlProp194.xml"/><Relationship Id="rId19" Type="http://schemas.openxmlformats.org/officeDocument/2006/relationships/ctrlProp" Target="../ctrlProps/ctrlProp203.xml"/><Relationship Id="rId31" Type="http://schemas.openxmlformats.org/officeDocument/2006/relationships/ctrlProp" Target="../ctrlProps/ctrlProp215.xml"/><Relationship Id="rId4" Type="http://schemas.openxmlformats.org/officeDocument/2006/relationships/vmlDrawing" Target="../drawings/vmlDrawing20.vml"/><Relationship Id="rId9" Type="http://schemas.openxmlformats.org/officeDocument/2006/relationships/ctrlProp" Target="../ctrlProps/ctrlProp193.xml"/><Relationship Id="rId14" Type="http://schemas.openxmlformats.org/officeDocument/2006/relationships/ctrlProp" Target="../ctrlProps/ctrlProp198.xml"/><Relationship Id="rId22" Type="http://schemas.openxmlformats.org/officeDocument/2006/relationships/ctrlProp" Target="../ctrlProps/ctrlProp206.xml"/><Relationship Id="rId27" Type="http://schemas.openxmlformats.org/officeDocument/2006/relationships/ctrlProp" Target="../ctrlProps/ctrlProp211.xml"/><Relationship Id="rId30" Type="http://schemas.openxmlformats.org/officeDocument/2006/relationships/ctrlProp" Target="../ctrlProps/ctrlProp214.xml"/><Relationship Id="rId35" Type="http://schemas.openxmlformats.org/officeDocument/2006/relationships/ctrlProp" Target="../ctrlProps/ctrlProp219.xml"/><Relationship Id="rId8" Type="http://schemas.openxmlformats.org/officeDocument/2006/relationships/image" Target="../media/image200.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23.xml"/><Relationship Id="rId13" Type="http://schemas.openxmlformats.org/officeDocument/2006/relationships/ctrlProp" Target="../ctrlProps/ctrlProp228.xml"/><Relationship Id="rId18" Type="http://schemas.openxmlformats.org/officeDocument/2006/relationships/ctrlProp" Target="../ctrlProps/ctrlProp233.xml"/><Relationship Id="rId3" Type="http://schemas.openxmlformats.org/officeDocument/2006/relationships/vmlDrawing" Target="../drawings/vmlDrawing21.vml"/><Relationship Id="rId7" Type="http://schemas.openxmlformats.org/officeDocument/2006/relationships/ctrlProp" Target="../ctrlProps/ctrlProp222.xml"/><Relationship Id="rId12" Type="http://schemas.openxmlformats.org/officeDocument/2006/relationships/ctrlProp" Target="../ctrlProps/ctrlProp227.xml"/><Relationship Id="rId17" Type="http://schemas.openxmlformats.org/officeDocument/2006/relationships/ctrlProp" Target="../ctrlProps/ctrlProp232.xml"/><Relationship Id="rId2" Type="http://schemas.openxmlformats.org/officeDocument/2006/relationships/drawing" Target="../drawings/drawing11.xml"/><Relationship Id="rId16" Type="http://schemas.openxmlformats.org/officeDocument/2006/relationships/ctrlProp" Target="../ctrlProps/ctrlProp231.xml"/><Relationship Id="rId20" Type="http://schemas.openxmlformats.org/officeDocument/2006/relationships/ctrlProp" Target="../ctrlProps/ctrlProp235.xml"/><Relationship Id="rId1" Type="http://schemas.openxmlformats.org/officeDocument/2006/relationships/printerSettings" Target="../printerSettings/printerSettings12.bin"/><Relationship Id="rId6" Type="http://schemas.openxmlformats.org/officeDocument/2006/relationships/ctrlProp" Target="../ctrlProps/ctrlProp221.xml"/><Relationship Id="rId11" Type="http://schemas.openxmlformats.org/officeDocument/2006/relationships/ctrlProp" Target="../ctrlProps/ctrlProp226.xml"/><Relationship Id="rId5" Type="http://schemas.openxmlformats.org/officeDocument/2006/relationships/ctrlProp" Target="../ctrlProps/ctrlProp220.xml"/><Relationship Id="rId15" Type="http://schemas.openxmlformats.org/officeDocument/2006/relationships/ctrlProp" Target="../ctrlProps/ctrlProp230.xml"/><Relationship Id="rId10" Type="http://schemas.openxmlformats.org/officeDocument/2006/relationships/ctrlProp" Target="../ctrlProps/ctrlProp225.xml"/><Relationship Id="rId19" Type="http://schemas.openxmlformats.org/officeDocument/2006/relationships/ctrlProp" Target="../ctrlProps/ctrlProp234.xml"/><Relationship Id="rId4" Type="http://schemas.openxmlformats.org/officeDocument/2006/relationships/vmlDrawing" Target="../drawings/vmlDrawing22.vml"/><Relationship Id="rId9" Type="http://schemas.openxmlformats.org/officeDocument/2006/relationships/ctrlProp" Target="../ctrlProps/ctrlProp224.xml"/><Relationship Id="rId14" Type="http://schemas.openxmlformats.org/officeDocument/2006/relationships/ctrlProp" Target="../ctrlProps/ctrlProp22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240.xml"/><Relationship Id="rId18" Type="http://schemas.openxmlformats.org/officeDocument/2006/relationships/ctrlProp" Target="../ctrlProps/ctrlProp245.xml"/><Relationship Id="rId26" Type="http://schemas.openxmlformats.org/officeDocument/2006/relationships/ctrlProp" Target="../ctrlProps/ctrlProp253.xml"/><Relationship Id="rId39" Type="http://schemas.openxmlformats.org/officeDocument/2006/relationships/ctrlProp" Target="../ctrlProps/ctrlProp266.xml"/><Relationship Id="rId21" Type="http://schemas.openxmlformats.org/officeDocument/2006/relationships/ctrlProp" Target="../ctrlProps/ctrlProp248.xml"/><Relationship Id="rId34" Type="http://schemas.openxmlformats.org/officeDocument/2006/relationships/ctrlProp" Target="../ctrlProps/ctrlProp261.xml"/><Relationship Id="rId7" Type="http://schemas.openxmlformats.org/officeDocument/2006/relationships/oleObject" Target="../embeddings/oleObject6.bin"/><Relationship Id="rId12" Type="http://schemas.openxmlformats.org/officeDocument/2006/relationships/ctrlProp" Target="../ctrlProps/ctrlProp239.xml"/><Relationship Id="rId17" Type="http://schemas.openxmlformats.org/officeDocument/2006/relationships/ctrlProp" Target="../ctrlProps/ctrlProp244.xml"/><Relationship Id="rId25" Type="http://schemas.openxmlformats.org/officeDocument/2006/relationships/ctrlProp" Target="../ctrlProps/ctrlProp252.xml"/><Relationship Id="rId33" Type="http://schemas.openxmlformats.org/officeDocument/2006/relationships/ctrlProp" Target="../ctrlProps/ctrlProp260.xml"/><Relationship Id="rId38" Type="http://schemas.openxmlformats.org/officeDocument/2006/relationships/ctrlProp" Target="../ctrlProps/ctrlProp265.xml"/><Relationship Id="rId2" Type="http://schemas.openxmlformats.org/officeDocument/2006/relationships/drawing" Target="../drawings/drawing12.xml"/><Relationship Id="rId16" Type="http://schemas.openxmlformats.org/officeDocument/2006/relationships/ctrlProp" Target="../ctrlProps/ctrlProp243.xml"/><Relationship Id="rId20" Type="http://schemas.openxmlformats.org/officeDocument/2006/relationships/ctrlProp" Target="../ctrlProps/ctrlProp247.xml"/><Relationship Id="rId29" Type="http://schemas.openxmlformats.org/officeDocument/2006/relationships/ctrlProp" Target="../ctrlProps/ctrlProp256.xml"/><Relationship Id="rId1" Type="http://schemas.openxmlformats.org/officeDocument/2006/relationships/printerSettings" Target="../printerSettings/printerSettings13.bin"/><Relationship Id="rId6" Type="http://schemas.openxmlformats.org/officeDocument/2006/relationships/image" Target="../media/image199.emf"/><Relationship Id="rId11" Type="http://schemas.openxmlformats.org/officeDocument/2006/relationships/ctrlProp" Target="../ctrlProps/ctrlProp238.xml"/><Relationship Id="rId24" Type="http://schemas.openxmlformats.org/officeDocument/2006/relationships/ctrlProp" Target="../ctrlProps/ctrlProp251.xml"/><Relationship Id="rId32" Type="http://schemas.openxmlformats.org/officeDocument/2006/relationships/ctrlProp" Target="../ctrlProps/ctrlProp259.xml"/><Relationship Id="rId37" Type="http://schemas.openxmlformats.org/officeDocument/2006/relationships/ctrlProp" Target="../ctrlProps/ctrlProp264.xml"/><Relationship Id="rId5" Type="http://schemas.openxmlformats.org/officeDocument/2006/relationships/oleObject" Target="../embeddings/oleObject5.bin"/><Relationship Id="rId15" Type="http://schemas.openxmlformats.org/officeDocument/2006/relationships/ctrlProp" Target="../ctrlProps/ctrlProp242.xml"/><Relationship Id="rId23" Type="http://schemas.openxmlformats.org/officeDocument/2006/relationships/ctrlProp" Target="../ctrlProps/ctrlProp250.xml"/><Relationship Id="rId28" Type="http://schemas.openxmlformats.org/officeDocument/2006/relationships/ctrlProp" Target="../ctrlProps/ctrlProp255.xml"/><Relationship Id="rId36" Type="http://schemas.openxmlformats.org/officeDocument/2006/relationships/ctrlProp" Target="../ctrlProps/ctrlProp263.xml"/><Relationship Id="rId10" Type="http://schemas.openxmlformats.org/officeDocument/2006/relationships/ctrlProp" Target="../ctrlProps/ctrlProp237.xml"/><Relationship Id="rId19" Type="http://schemas.openxmlformats.org/officeDocument/2006/relationships/ctrlProp" Target="../ctrlProps/ctrlProp246.xml"/><Relationship Id="rId31" Type="http://schemas.openxmlformats.org/officeDocument/2006/relationships/ctrlProp" Target="../ctrlProps/ctrlProp258.xml"/><Relationship Id="rId4" Type="http://schemas.openxmlformats.org/officeDocument/2006/relationships/vmlDrawing" Target="../drawings/vmlDrawing24.vml"/><Relationship Id="rId9" Type="http://schemas.openxmlformats.org/officeDocument/2006/relationships/ctrlProp" Target="../ctrlProps/ctrlProp236.xml"/><Relationship Id="rId14" Type="http://schemas.openxmlformats.org/officeDocument/2006/relationships/ctrlProp" Target="../ctrlProps/ctrlProp241.xml"/><Relationship Id="rId22" Type="http://schemas.openxmlformats.org/officeDocument/2006/relationships/ctrlProp" Target="../ctrlProps/ctrlProp249.xml"/><Relationship Id="rId27" Type="http://schemas.openxmlformats.org/officeDocument/2006/relationships/ctrlProp" Target="../ctrlProps/ctrlProp254.xml"/><Relationship Id="rId30" Type="http://schemas.openxmlformats.org/officeDocument/2006/relationships/ctrlProp" Target="../ctrlProps/ctrlProp257.xml"/><Relationship Id="rId35" Type="http://schemas.openxmlformats.org/officeDocument/2006/relationships/ctrlProp" Target="../ctrlProps/ctrlProp262.xml"/><Relationship Id="rId8" Type="http://schemas.openxmlformats.org/officeDocument/2006/relationships/image" Target="../media/image200.emf"/><Relationship Id="rId3" Type="http://schemas.openxmlformats.org/officeDocument/2006/relationships/vmlDrawing" Target="../drawings/vmlDrawing23.v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70.xml"/><Relationship Id="rId13" Type="http://schemas.openxmlformats.org/officeDocument/2006/relationships/ctrlProp" Target="../ctrlProps/ctrlProp275.xml"/><Relationship Id="rId18" Type="http://schemas.openxmlformats.org/officeDocument/2006/relationships/ctrlProp" Target="../ctrlProps/ctrlProp280.xml"/><Relationship Id="rId3" Type="http://schemas.openxmlformats.org/officeDocument/2006/relationships/vmlDrawing" Target="../drawings/vmlDrawing25.vml"/><Relationship Id="rId7" Type="http://schemas.openxmlformats.org/officeDocument/2006/relationships/ctrlProp" Target="../ctrlProps/ctrlProp269.xml"/><Relationship Id="rId12" Type="http://schemas.openxmlformats.org/officeDocument/2006/relationships/ctrlProp" Target="../ctrlProps/ctrlProp274.xml"/><Relationship Id="rId17" Type="http://schemas.openxmlformats.org/officeDocument/2006/relationships/ctrlProp" Target="../ctrlProps/ctrlProp279.xml"/><Relationship Id="rId2" Type="http://schemas.openxmlformats.org/officeDocument/2006/relationships/drawing" Target="../drawings/drawing13.xml"/><Relationship Id="rId16" Type="http://schemas.openxmlformats.org/officeDocument/2006/relationships/ctrlProp" Target="../ctrlProps/ctrlProp278.xml"/><Relationship Id="rId1" Type="http://schemas.openxmlformats.org/officeDocument/2006/relationships/printerSettings" Target="../printerSettings/printerSettings14.bin"/><Relationship Id="rId6" Type="http://schemas.openxmlformats.org/officeDocument/2006/relationships/ctrlProp" Target="../ctrlProps/ctrlProp268.xml"/><Relationship Id="rId11" Type="http://schemas.openxmlformats.org/officeDocument/2006/relationships/ctrlProp" Target="../ctrlProps/ctrlProp273.xml"/><Relationship Id="rId5" Type="http://schemas.openxmlformats.org/officeDocument/2006/relationships/ctrlProp" Target="../ctrlProps/ctrlProp267.xml"/><Relationship Id="rId15" Type="http://schemas.openxmlformats.org/officeDocument/2006/relationships/ctrlProp" Target="../ctrlProps/ctrlProp277.xml"/><Relationship Id="rId10" Type="http://schemas.openxmlformats.org/officeDocument/2006/relationships/ctrlProp" Target="../ctrlProps/ctrlProp272.xml"/><Relationship Id="rId4" Type="http://schemas.openxmlformats.org/officeDocument/2006/relationships/vmlDrawing" Target="../drawings/vmlDrawing26.vml"/><Relationship Id="rId9" Type="http://schemas.openxmlformats.org/officeDocument/2006/relationships/ctrlProp" Target="../ctrlProps/ctrlProp271.xml"/><Relationship Id="rId14" Type="http://schemas.openxmlformats.org/officeDocument/2006/relationships/ctrlProp" Target="../ctrlProps/ctrlProp276.xml"/></Relationships>
</file>

<file path=xl/worksheets/_rels/sheet17.xml.rels><?xml version="1.0" encoding="UTF-8" standalone="yes"?>
<Relationships xmlns="http://schemas.openxmlformats.org/package/2006/relationships"><Relationship Id="rId8" Type="http://schemas.openxmlformats.org/officeDocument/2006/relationships/hyperlink" Target="https://re.jrc.ec.europa.eu/pvg_tools/en/" TargetMode="External"/><Relationship Id="rId13" Type="http://schemas.openxmlformats.org/officeDocument/2006/relationships/hyperlink" Target="https://re.jrc.ec.europa.eu/pvg_tools/en/" TargetMode="External"/><Relationship Id="rId3" Type="http://schemas.openxmlformats.org/officeDocument/2006/relationships/hyperlink" Target="https://re.jrc.ec.europa.eu/pvg_tools/en/" TargetMode="External"/><Relationship Id="rId7" Type="http://schemas.openxmlformats.org/officeDocument/2006/relationships/hyperlink" Target="https://re.jrc.ec.europa.eu/pvg_tools/en/" TargetMode="External"/><Relationship Id="rId12" Type="http://schemas.openxmlformats.org/officeDocument/2006/relationships/hyperlink" Target="https://re.jrc.ec.europa.eu/pvg_tools/en/" TargetMode="External"/><Relationship Id="rId2" Type="http://schemas.openxmlformats.org/officeDocument/2006/relationships/hyperlink" Target="https://re.jrc.ec.europa.eu/pvg_tools/en/" TargetMode="External"/><Relationship Id="rId16" Type="http://schemas.openxmlformats.org/officeDocument/2006/relationships/comments" Target="../comments1.xml"/><Relationship Id="rId1" Type="http://schemas.openxmlformats.org/officeDocument/2006/relationships/hyperlink" Target="https://re.jrc.ec.europa.eu/pvg_tools/en/" TargetMode="External"/><Relationship Id="rId6" Type="http://schemas.openxmlformats.org/officeDocument/2006/relationships/hyperlink" Target="https://re.jrc.ec.europa.eu/pvg_tools/en/" TargetMode="External"/><Relationship Id="rId11" Type="http://schemas.openxmlformats.org/officeDocument/2006/relationships/hyperlink" Target="https://re.jrc.ec.europa.eu/pvg_tools/en/" TargetMode="External"/><Relationship Id="rId5" Type="http://schemas.openxmlformats.org/officeDocument/2006/relationships/hyperlink" Target="https://re.jrc.ec.europa.eu/pvg_tools/en/" TargetMode="External"/><Relationship Id="rId15" Type="http://schemas.openxmlformats.org/officeDocument/2006/relationships/vmlDrawing" Target="../drawings/vmlDrawing27.vml"/><Relationship Id="rId10" Type="http://schemas.openxmlformats.org/officeDocument/2006/relationships/hyperlink" Target="https://re.jrc.ec.europa.eu/pvg_tools/en/" TargetMode="External"/><Relationship Id="rId4" Type="http://schemas.openxmlformats.org/officeDocument/2006/relationships/hyperlink" Target="https://re.jrc.ec.europa.eu/pvg_tools/en/" TargetMode="External"/><Relationship Id="rId9" Type="http://schemas.openxmlformats.org/officeDocument/2006/relationships/hyperlink" Target="https://re.jrc.ec.europa.eu/pvg_tools/en/" TargetMode="External"/><Relationship Id="rId14"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3" Type="http://schemas.openxmlformats.org/officeDocument/2006/relationships/vmlDrawing" Target="../drawings/vmlDrawing3.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2.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2.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vmlDrawing" Target="../drawings/vmlDrawing4.v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18" Type="http://schemas.openxmlformats.org/officeDocument/2006/relationships/ctrlProp" Target="../ctrlProps/ctrlProp51.xml"/><Relationship Id="rId3" Type="http://schemas.openxmlformats.org/officeDocument/2006/relationships/vmlDrawing" Target="../drawings/vmlDrawing5.vml"/><Relationship Id="rId21" Type="http://schemas.openxmlformats.org/officeDocument/2006/relationships/ctrlProp" Target="../ctrlProps/ctrlProp54.xml"/><Relationship Id="rId7" Type="http://schemas.openxmlformats.org/officeDocument/2006/relationships/ctrlProp" Target="../ctrlProps/ctrlProp40.xml"/><Relationship Id="rId12" Type="http://schemas.openxmlformats.org/officeDocument/2006/relationships/ctrlProp" Target="../ctrlProps/ctrlProp45.xml"/><Relationship Id="rId17" Type="http://schemas.openxmlformats.org/officeDocument/2006/relationships/ctrlProp" Target="../ctrlProps/ctrlProp50.xml"/><Relationship Id="rId25" Type="http://schemas.openxmlformats.org/officeDocument/2006/relationships/ctrlProp" Target="../ctrlProps/ctrlProp58.xml"/><Relationship Id="rId2" Type="http://schemas.openxmlformats.org/officeDocument/2006/relationships/drawing" Target="../drawings/drawing3.xml"/><Relationship Id="rId16" Type="http://schemas.openxmlformats.org/officeDocument/2006/relationships/ctrlProp" Target="../ctrlProps/ctrlProp49.xml"/><Relationship Id="rId20" Type="http://schemas.openxmlformats.org/officeDocument/2006/relationships/ctrlProp" Target="../ctrlProps/ctrlProp53.xml"/><Relationship Id="rId1" Type="http://schemas.openxmlformats.org/officeDocument/2006/relationships/printerSettings" Target="../printerSettings/printerSettings3.bin"/><Relationship Id="rId6" Type="http://schemas.openxmlformats.org/officeDocument/2006/relationships/ctrlProp" Target="../ctrlProps/ctrlProp39.xml"/><Relationship Id="rId11" Type="http://schemas.openxmlformats.org/officeDocument/2006/relationships/ctrlProp" Target="../ctrlProps/ctrlProp44.xml"/><Relationship Id="rId24" Type="http://schemas.openxmlformats.org/officeDocument/2006/relationships/ctrlProp" Target="../ctrlProps/ctrlProp57.xml"/><Relationship Id="rId5" Type="http://schemas.openxmlformats.org/officeDocument/2006/relationships/ctrlProp" Target="../ctrlProps/ctrlProp38.xml"/><Relationship Id="rId15" Type="http://schemas.openxmlformats.org/officeDocument/2006/relationships/ctrlProp" Target="../ctrlProps/ctrlProp48.xml"/><Relationship Id="rId23" Type="http://schemas.openxmlformats.org/officeDocument/2006/relationships/ctrlProp" Target="../ctrlProps/ctrlProp56.xml"/><Relationship Id="rId10" Type="http://schemas.openxmlformats.org/officeDocument/2006/relationships/ctrlProp" Target="../ctrlProps/ctrlProp43.xml"/><Relationship Id="rId19" Type="http://schemas.openxmlformats.org/officeDocument/2006/relationships/ctrlProp" Target="../ctrlProps/ctrlProp52.xml"/><Relationship Id="rId4" Type="http://schemas.openxmlformats.org/officeDocument/2006/relationships/vmlDrawing" Target="../drawings/vmlDrawing6.vml"/><Relationship Id="rId9" Type="http://schemas.openxmlformats.org/officeDocument/2006/relationships/ctrlProp" Target="../ctrlProps/ctrlProp42.xml"/><Relationship Id="rId14" Type="http://schemas.openxmlformats.org/officeDocument/2006/relationships/ctrlProp" Target="../ctrlProps/ctrlProp47.xml"/><Relationship Id="rId22" Type="http://schemas.openxmlformats.org/officeDocument/2006/relationships/ctrlProp" Target="../ctrlProps/ctrlProp5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18" Type="http://schemas.openxmlformats.org/officeDocument/2006/relationships/ctrlProp" Target="../ctrlProps/ctrlProp72.xml"/><Relationship Id="rId3" Type="http://schemas.openxmlformats.org/officeDocument/2006/relationships/vmlDrawing" Target="../drawings/vmlDrawing7.vml"/><Relationship Id="rId21" Type="http://schemas.openxmlformats.org/officeDocument/2006/relationships/ctrlProp" Target="../ctrlProps/ctrlProp75.x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2" Type="http://schemas.openxmlformats.org/officeDocument/2006/relationships/drawing" Target="../drawings/drawing4.xml"/><Relationship Id="rId16" Type="http://schemas.openxmlformats.org/officeDocument/2006/relationships/ctrlProp" Target="../ctrlProps/ctrlProp70.xml"/><Relationship Id="rId20" Type="http://schemas.openxmlformats.org/officeDocument/2006/relationships/ctrlProp" Target="../ctrlProps/ctrlProp74.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10" Type="http://schemas.openxmlformats.org/officeDocument/2006/relationships/ctrlProp" Target="../ctrlProps/ctrlProp64.xml"/><Relationship Id="rId19" Type="http://schemas.openxmlformats.org/officeDocument/2006/relationships/ctrlProp" Target="../ctrlProps/ctrlProp73.xml"/><Relationship Id="rId4" Type="http://schemas.openxmlformats.org/officeDocument/2006/relationships/vmlDrawing" Target="../drawings/vmlDrawing8.v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26" Type="http://schemas.openxmlformats.org/officeDocument/2006/relationships/ctrlProp" Target="../ctrlProps/ctrlProp99.xml"/><Relationship Id="rId3" Type="http://schemas.openxmlformats.org/officeDocument/2006/relationships/vmlDrawing" Target="../drawings/vmlDrawing9.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trlProp" Target="../ctrlProps/ctrlProp98.xml"/><Relationship Id="rId2" Type="http://schemas.openxmlformats.org/officeDocument/2006/relationships/drawing" Target="../drawings/drawing5.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image" Target="../media/image135.emf"/><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oleObject" Target="../embeddings/oleObject1.bin"/><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vmlDrawing" Target="../drawings/vmlDrawing10.vml"/><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 Id="rId27" Type="http://schemas.openxmlformats.org/officeDocument/2006/relationships/ctrlProp" Target="../ctrlProps/ctrlProp10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4.xml"/><Relationship Id="rId13" Type="http://schemas.openxmlformats.org/officeDocument/2006/relationships/ctrlProp" Target="../ctrlProps/ctrlProp109.xml"/><Relationship Id="rId18" Type="http://schemas.openxmlformats.org/officeDocument/2006/relationships/ctrlProp" Target="../ctrlProps/ctrlProp114.xml"/><Relationship Id="rId3" Type="http://schemas.openxmlformats.org/officeDocument/2006/relationships/vmlDrawing" Target="../drawings/vmlDrawing11.vml"/><Relationship Id="rId21" Type="http://schemas.openxmlformats.org/officeDocument/2006/relationships/ctrlProp" Target="../ctrlProps/ctrlProp117.xml"/><Relationship Id="rId7" Type="http://schemas.openxmlformats.org/officeDocument/2006/relationships/ctrlProp" Target="../ctrlProps/ctrlProp103.xml"/><Relationship Id="rId12" Type="http://schemas.openxmlformats.org/officeDocument/2006/relationships/ctrlProp" Target="../ctrlProps/ctrlProp108.xml"/><Relationship Id="rId17" Type="http://schemas.openxmlformats.org/officeDocument/2006/relationships/ctrlProp" Target="../ctrlProps/ctrlProp113.xml"/><Relationship Id="rId25" Type="http://schemas.openxmlformats.org/officeDocument/2006/relationships/ctrlProp" Target="../ctrlProps/ctrlProp121.xml"/><Relationship Id="rId2" Type="http://schemas.openxmlformats.org/officeDocument/2006/relationships/drawing" Target="../drawings/drawing6.xml"/><Relationship Id="rId16" Type="http://schemas.openxmlformats.org/officeDocument/2006/relationships/ctrlProp" Target="../ctrlProps/ctrlProp112.xml"/><Relationship Id="rId20" Type="http://schemas.openxmlformats.org/officeDocument/2006/relationships/ctrlProp" Target="../ctrlProps/ctrlProp116.xml"/><Relationship Id="rId1" Type="http://schemas.openxmlformats.org/officeDocument/2006/relationships/printerSettings" Target="../printerSettings/printerSettings6.bin"/><Relationship Id="rId6" Type="http://schemas.openxmlformats.org/officeDocument/2006/relationships/ctrlProp" Target="../ctrlProps/ctrlProp102.xml"/><Relationship Id="rId11" Type="http://schemas.openxmlformats.org/officeDocument/2006/relationships/ctrlProp" Target="../ctrlProps/ctrlProp107.xml"/><Relationship Id="rId24" Type="http://schemas.openxmlformats.org/officeDocument/2006/relationships/ctrlProp" Target="../ctrlProps/ctrlProp120.xml"/><Relationship Id="rId5" Type="http://schemas.openxmlformats.org/officeDocument/2006/relationships/ctrlProp" Target="../ctrlProps/ctrlProp101.xml"/><Relationship Id="rId15" Type="http://schemas.openxmlformats.org/officeDocument/2006/relationships/ctrlProp" Target="../ctrlProps/ctrlProp111.xml"/><Relationship Id="rId23" Type="http://schemas.openxmlformats.org/officeDocument/2006/relationships/ctrlProp" Target="../ctrlProps/ctrlProp119.xml"/><Relationship Id="rId10" Type="http://schemas.openxmlformats.org/officeDocument/2006/relationships/ctrlProp" Target="../ctrlProps/ctrlProp106.xml"/><Relationship Id="rId19" Type="http://schemas.openxmlformats.org/officeDocument/2006/relationships/ctrlProp" Target="../ctrlProps/ctrlProp115.xml"/><Relationship Id="rId4" Type="http://schemas.openxmlformats.org/officeDocument/2006/relationships/vmlDrawing" Target="../drawings/vmlDrawing12.vml"/><Relationship Id="rId9" Type="http://schemas.openxmlformats.org/officeDocument/2006/relationships/ctrlProp" Target="../ctrlProps/ctrlProp105.xml"/><Relationship Id="rId14" Type="http://schemas.openxmlformats.org/officeDocument/2006/relationships/ctrlProp" Target="../ctrlProps/ctrlProp110.xml"/><Relationship Id="rId22" Type="http://schemas.openxmlformats.org/officeDocument/2006/relationships/ctrlProp" Target="../ctrlProps/ctrlProp11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13.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5" Type="http://schemas.openxmlformats.org/officeDocument/2006/relationships/ctrlProp" Target="../ctrlProps/ctrlProp142.xml"/><Relationship Id="rId2" Type="http://schemas.openxmlformats.org/officeDocument/2006/relationships/drawing" Target="../drawings/drawing7.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7.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vmlDrawing" Target="../drawings/vmlDrawing14.v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trlProp" Target="../ctrlProps/ctrlProp149.xml"/><Relationship Id="rId18" Type="http://schemas.openxmlformats.org/officeDocument/2006/relationships/ctrlProp" Target="../ctrlProps/ctrlProp154.xml"/><Relationship Id="rId26" Type="http://schemas.openxmlformats.org/officeDocument/2006/relationships/ctrlProp" Target="../ctrlProps/ctrlProp162.xml"/><Relationship Id="rId3" Type="http://schemas.openxmlformats.org/officeDocument/2006/relationships/vmlDrawing" Target="../drawings/vmlDrawing15.vml"/><Relationship Id="rId21" Type="http://schemas.openxmlformats.org/officeDocument/2006/relationships/ctrlProp" Target="../ctrlProps/ctrlProp157.xml"/><Relationship Id="rId7" Type="http://schemas.openxmlformats.org/officeDocument/2006/relationships/ctrlProp" Target="../ctrlProps/ctrlProp143.xml"/><Relationship Id="rId12" Type="http://schemas.openxmlformats.org/officeDocument/2006/relationships/ctrlProp" Target="../ctrlProps/ctrlProp148.xml"/><Relationship Id="rId17" Type="http://schemas.openxmlformats.org/officeDocument/2006/relationships/ctrlProp" Target="../ctrlProps/ctrlProp153.xml"/><Relationship Id="rId25" Type="http://schemas.openxmlformats.org/officeDocument/2006/relationships/ctrlProp" Target="../ctrlProps/ctrlProp161.xml"/><Relationship Id="rId2" Type="http://schemas.openxmlformats.org/officeDocument/2006/relationships/drawing" Target="../drawings/drawing8.xml"/><Relationship Id="rId16" Type="http://schemas.openxmlformats.org/officeDocument/2006/relationships/ctrlProp" Target="../ctrlProps/ctrlProp152.xml"/><Relationship Id="rId20" Type="http://schemas.openxmlformats.org/officeDocument/2006/relationships/ctrlProp" Target="../ctrlProps/ctrlProp156.xml"/><Relationship Id="rId1" Type="http://schemas.openxmlformats.org/officeDocument/2006/relationships/printerSettings" Target="../printerSettings/printerSettings8.bin"/><Relationship Id="rId6" Type="http://schemas.openxmlformats.org/officeDocument/2006/relationships/image" Target="../media/image135.emf"/><Relationship Id="rId11" Type="http://schemas.openxmlformats.org/officeDocument/2006/relationships/ctrlProp" Target="../ctrlProps/ctrlProp147.xml"/><Relationship Id="rId24" Type="http://schemas.openxmlformats.org/officeDocument/2006/relationships/ctrlProp" Target="../ctrlProps/ctrlProp160.xml"/><Relationship Id="rId5" Type="http://schemas.openxmlformats.org/officeDocument/2006/relationships/oleObject" Target="../embeddings/oleObject2.bin"/><Relationship Id="rId15" Type="http://schemas.openxmlformats.org/officeDocument/2006/relationships/ctrlProp" Target="../ctrlProps/ctrlProp151.xml"/><Relationship Id="rId23" Type="http://schemas.openxmlformats.org/officeDocument/2006/relationships/ctrlProp" Target="../ctrlProps/ctrlProp159.xml"/><Relationship Id="rId10" Type="http://schemas.openxmlformats.org/officeDocument/2006/relationships/ctrlProp" Target="../ctrlProps/ctrlProp146.xml"/><Relationship Id="rId19" Type="http://schemas.openxmlformats.org/officeDocument/2006/relationships/ctrlProp" Target="../ctrlProps/ctrlProp155.xml"/><Relationship Id="rId4" Type="http://schemas.openxmlformats.org/officeDocument/2006/relationships/vmlDrawing" Target="../drawings/vmlDrawing16.vml"/><Relationship Id="rId9" Type="http://schemas.openxmlformats.org/officeDocument/2006/relationships/ctrlProp" Target="../ctrlProps/ctrlProp145.xml"/><Relationship Id="rId14" Type="http://schemas.openxmlformats.org/officeDocument/2006/relationships/ctrlProp" Target="../ctrlProps/ctrlProp150.xml"/><Relationship Id="rId22" Type="http://schemas.openxmlformats.org/officeDocument/2006/relationships/ctrlProp" Target="../ctrlProps/ctrlProp158.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17.vml"/><Relationship Id="rId21" Type="http://schemas.openxmlformats.org/officeDocument/2006/relationships/ctrlProp" Target="../ctrlProps/ctrlProp179.xml"/><Relationship Id="rId34" Type="http://schemas.openxmlformats.org/officeDocument/2006/relationships/ctrlProp" Target="../ctrlProps/ctrlProp192.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33" Type="http://schemas.openxmlformats.org/officeDocument/2006/relationships/ctrlProp" Target="../ctrlProps/ctrlProp191.xml"/><Relationship Id="rId2" Type="http://schemas.openxmlformats.org/officeDocument/2006/relationships/drawing" Target="../drawings/drawing9.xml"/><Relationship Id="rId16" Type="http://schemas.openxmlformats.org/officeDocument/2006/relationships/ctrlProp" Target="../ctrlProps/ctrlProp174.xml"/><Relationship Id="rId20" Type="http://schemas.openxmlformats.org/officeDocument/2006/relationships/ctrlProp" Target="../ctrlProps/ctrlProp178.xml"/><Relationship Id="rId29" Type="http://schemas.openxmlformats.org/officeDocument/2006/relationships/ctrlProp" Target="../ctrlProps/ctrlProp187.xml"/><Relationship Id="rId1" Type="http://schemas.openxmlformats.org/officeDocument/2006/relationships/printerSettings" Target="../printerSettings/printerSettings9.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32" Type="http://schemas.openxmlformats.org/officeDocument/2006/relationships/ctrlProp" Target="../ctrlProps/ctrlProp190.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28" Type="http://schemas.openxmlformats.org/officeDocument/2006/relationships/ctrlProp" Target="../ctrlProps/ctrlProp186.xml"/><Relationship Id="rId10" Type="http://schemas.openxmlformats.org/officeDocument/2006/relationships/ctrlProp" Target="../ctrlProps/ctrlProp168.xml"/><Relationship Id="rId19" Type="http://schemas.openxmlformats.org/officeDocument/2006/relationships/ctrlProp" Target="../ctrlProps/ctrlProp177.xml"/><Relationship Id="rId31" Type="http://schemas.openxmlformats.org/officeDocument/2006/relationships/ctrlProp" Target="../ctrlProps/ctrlProp189.xml"/><Relationship Id="rId4" Type="http://schemas.openxmlformats.org/officeDocument/2006/relationships/vmlDrawing" Target="../drawings/vmlDrawing18.v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 Id="rId27" Type="http://schemas.openxmlformats.org/officeDocument/2006/relationships/ctrlProp" Target="../ctrlProps/ctrlProp185.xml"/><Relationship Id="rId30" Type="http://schemas.openxmlformats.org/officeDocument/2006/relationships/ctrlProp" Target="../ctrlProps/ctrlProp188.xml"/><Relationship Id="rId8" Type="http://schemas.openxmlformats.org/officeDocument/2006/relationships/ctrlProp" Target="../ctrlProps/ctrlProp16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E60"/>
  <sheetViews>
    <sheetView showGridLines="0" tabSelected="1" zoomScaleNormal="100" workbookViewId="0">
      <selection activeCell="M2" sqref="M2"/>
    </sheetView>
  </sheetViews>
  <sheetFormatPr baseColWidth="10" defaultColWidth="0" defaultRowHeight="14.4" zeroHeight="1"/>
  <cols>
    <col min="1" max="1" width="3.6640625" customWidth="1"/>
    <col min="2" max="5" width="7.6640625" customWidth="1"/>
    <col min="6" max="6" width="3" customWidth="1"/>
    <col min="7" max="7" width="12.44140625" customWidth="1"/>
    <col min="8" max="8" width="4.6640625" customWidth="1"/>
    <col min="9" max="12" width="7.6640625" customWidth="1"/>
    <col min="13" max="13" width="11.6640625" customWidth="1"/>
    <col min="14" max="14" width="5.6640625" customWidth="1"/>
    <col min="15" max="21" width="1.44140625" hidden="1" customWidth="1"/>
    <col min="22" max="22" width="3" hidden="1" customWidth="1"/>
    <col min="23" max="30" width="1.44140625" hidden="1" customWidth="1"/>
    <col min="31" max="31" width="3" hidden="1" customWidth="1"/>
    <col min="32" max="16384" width="1.44140625" hidden="1"/>
  </cols>
  <sheetData>
    <row r="1" spans="3:31" ht="28.2">
      <c r="E1" s="612" t="str">
        <f>VLOOKUP(853,Sprachindex!$A:$Z,$O$7,FALSE)</f>
        <v>Sprache</v>
      </c>
      <c r="F1" s="613"/>
      <c r="G1" s="614"/>
      <c r="M1" s="2" t="str">
        <f>VLOOKUP(204,Sprachindex!$A:$Z,$O$7,FALSE)</f>
        <v>Bedienungsanleitung</v>
      </c>
    </row>
    <row r="2" spans="3:31">
      <c r="C2" s="1"/>
      <c r="E2" s="37"/>
      <c r="F2" s="38"/>
      <c r="G2" s="39" t="s">
        <v>0</v>
      </c>
      <c r="J2" s="42" t="s">
        <v>1</v>
      </c>
      <c r="K2" t="str">
        <f>VLOOKUP(261,Sprachindex!$A:$Z,Info!$O$7,FALSE)</f>
        <v>Dachplatte</v>
      </c>
    </row>
    <row r="3" spans="3:31">
      <c r="C3" s="1"/>
      <c r="E3" s="37"/>
      <c r="F3" s="38"/>
      <c r="G3" s="39" t="s">
        <v>2</v>
      </c>
      <c r="J3" s="42" t="s">
        <v>3</v>
      </c>
      <c r="K3" t="str">
        <f>VLOOKUP(263,Sprachindex!$A:$Z,Info!$O$7,FALSE)</f>
        <v>Dachplatte R.16</v>
      </c>
    </row>
    <row r="4" spans="3:31">
      <c r="C4" s="1"/>
      <c r="E4" s="37"/>
      <c r="F4" s="38"/>
      <c r="G4" s="39" t="s">
        <v>4</v>
      </c>
      <c r="J4" s="42" t="s">
        <v>5</v>
      </c>
      <c r="K4" t="str">
        <f>VLOOKUP(273,Sprachindex!$A:$Z,Info!$O$7,FALSE)</f>
        <v>Dachschindel</v>
      </c>
    </row>
    <row r="5" spans="3:31">
      <c r="C5" s="1"/>
      <c r="E5" s="37"/>
      <c r="F5" s="38"/>
      <c r="G5" s="39" t="s">
        <v>6</v>
      </c>
      <c r="J5" s="42" t="s">
        <v>7</v>
      </c>
      <c r="K5" t="str">
        <f>VLOOKUP(268,Sprachindex!$A:$Z,Info!$O$7,FALSE)</f>
        <v>Dachraute 44 × 44</v>
      </c>
      <c r="U5" t="s">
        <v>8</v>
      </c>
    </row>
    <row r="6" spans="3:31">
      <c r="C6" s="1"/>
      <c r="E6" s="37"/>
      <c r="F6" s="38"/>
      <c r="G6" s="39" t="s">
        <v>9</v>
      </c>
      <c r="J6" s="42" t="s">
        <v>10</v>
      </c>
      <c r="K6" t="str">
        <f>VLOOKUP(267,Sprachindex!$A:$Z,Info!$O$7,FALSE)</f>
        <v>Dachraute 29 × 29</v>
      </c>
      <c r="O6" s="168">
        <v>15</v>
      </c>
    </row>
    <row r="7" spans="3:31">
      <c r="E7" s="40"/>
      <c r="F7" s="41"/>
      <c r="G7" s="130" t="s">
        <v>11</v>
      </c>
      <c r="J7" s="42" t="s">
        <v>12</v>
      </c>
      <c r="K7" t="str">
        <f>VLOOKUP(260,Sprachindex!$A:$Z,Info!$O$7,FALSE)</f>
        <v>Dachpaneel FX.12</v>
      </c>
      <c r="O7" s="168">
        <f>O6+1</f>
        <v>16</v>
      </c>
      <c r="V7" s="167">
        <f>O7</f>
        <v>16</v>
      </c>
      <c r="AE7">
        <v>2</v>
      </c>
    </row>
    <row r="8" spans="3:31">
      <c r="E8" s="40"/>
      <c r="F8" s="41"/>
      <c r="G8" s="39" t="s">
        <v>13</v>
      </c>
      <c r="J8" s="42" t="s">
        <v>14</v>
      </c>
      <c r="K8" t="str">
        <f>VLOOKUP(666,Sprachindex!$A:$Z,Info!$O$7,FALSE)</f>
        <v>PREFALZ</v>
      </c>
      <c r="AE8">
        <v>10</v>
      </c>
    </row>
    <row r="9" spans="3:31">
      <c r="E9" s="40"/>
      <c r="F9" s="41"/>
      <c r="G9" s="39" t="s">
        <v>15</v>
      </c>
      <c r="J9" s="42" t="s">
        <v>16</v>
      </c>
      <c r="K9" t="str">
        <f>VLOOKUP(692,Sprachindex!$A:$Z,Info!$O$7,FALSE)</f>
        <v>Quadratrohr</v>
      </c>
      <c r="AE9">
        <v>12</v>
      </c>
    </row>
    <row r="10" spans="3:31">
      <c r="E10" s="40"/>
      <c r="F10" s="41"/>
      <c r="G10" s="39" t="s">
        <v>17</v>
      </c>
      <c r="J10" s="42" t="s">
        <v>18</v>
      </c>
      <c r="K10" t="str">
        <f>VLOOKUP(248,Sprachindex!$A:$Z,Info!$O$7,FALSE)</f>
        <v>Dachentwässerung</v>
      </c>
      <c r="AE10">
        <v>13</v>
      </c>
    </row>
    <row r="11" spans="3:31">
      <c r="E11" s="40"/>
      <c r="F11" s="41"/>
      <c r="G11" s="39" t="s">
        <v>19</v>
      </c>
      <c r="J11" s="42" t="s">
        <v>20</v>
      </c>
      <c r="K11" t="str">
        <f>VLOOKUP(276,Sprachindex!$A:$Z,Info!$O$7,FALSE)</f>
        <v>Dachschindel DS.19</v>
      </c>
      <c r="AE11">
        <v>14</v>
      </c>
    </row>
    <row r="12" spans="3:31">
      <c r="E12" s="108"/>
      <c r="F12" s="109"/>
      <c r="G12" s="131" t="s">
        <v>21</v>
      </c>
      <c r="J12" s="42"/>
    </row>
    <row r="13" spans="3:31">
      <c r="E13" s="108"/>
      <c r="F13" s="109"/>
      <c r="G13" s="110" t="s">
        <v>22</v>
      </c>
    </row>
    <row r="14" spans="3:31">
      <c r="E14" s="108"/>
      <c r="F14" s="109"/>
      <c r="G14" s="110" t="s">
        <v>23</v>
      </c>
    </row>
    <row r="15" spans="3:31">
      <c r="E15" s="108"/>
      <c r="F15" s="109"/>
      <c r="G15" s="110" t="s">
        <v>24</v>
      </c>
    </row>
    <row r="16" spans="3:31"/>
    <row r="17" spans="2:13">
      <c r="B17" s="27" t="str">
        <f>VLOOKUP(41,Sprachindex!$A:$Z,$O$7,FALSE)</f>
        <v>1: Das gewünschte Produkt durch Anklicken des Reiters auswählen.</v>
      </c>
      <c r="C17" s="28"/>
      <c r="D17" s="28"/>
      <c r="E17" s="28"/>
      <c r="F17" s="28"/>
      <c r="G17" s="28"/>
      <c r="H17" s="28"/>
      <c r="I17" s="28"/>
      <c r="J17" s="28"/>
      <c r="K17" s="28"/>
      <c r="L17" s="28"/>
      <c r="M17" s="29"/>
    </row>
    <row r="18" spans="2:13">
      <c r="B18" s="30"/>
      <c r="M18" s="31"/>
    </row>
    <row r="19" spans="2:13">
      <c r="B19" s="32"/>
      <c r="C19" s="33"/>
      <c r="D19" s="33"/>
      <c r="E19" s="33"/>
      <c r="F19" s="33"/>
      <c r="G19" s="33"/>
      <c r="H19" s="33"/>
      <c r="I19" s="33"/>
      <c r="J19" s="33"/>
      <c r="K19" s="33"/>
      <c r="L19" s="33"/>
      <c r="M19" s="34"/>
    </row>
    <row r="20" spans="2:13"/>
    <row r="21" spans="2:13">
      <c r="B21" s="606" t="str">
        <f>VLOOKUP(67,Sprachindex!$A:$Z,$O$7,FALSE)</f>
        <v>2: Sämtliche Felder, die grau hinterlegt sind, können befüllt werden oder sind mit einer vordefinierten Auswahlliste hinterlegt.</v>
      </c>
      <c r="C21" s="607"/>
      <c r="D21" s="607"/>
      <c r="E21" s="607"/>
      <c r="F21" s="607"/>
      <c r="G21" s="607"/>
      <c r="H21" s="607"/>
      <c r="I21" s="607"/>
      <c r="J21" s="607"/>
      <c r="K21" s="607"/>
      <c r="L21" s="607"/>
      <c r="M21" s="608"/>
    </row>
    <row r="22" spans="2:13">
      <c r="B22" s="609"/>
      <c r="C22" s="610"/>
      <c r="D22" s="610"/>
      <c r="E22" s="610"/>
      <c r="F22" s="610"/>
      <c r="G22" s="610"/>
      <c r="H22" s="610"/>
      <c r="I22" s="610"/>
      <c r="J22" s="610"/>
      <c r="K22" s="610"/>
      <c r="L22" s="610"/>
      <c r="M22" s="611"/>
    </row>
    <row r="23" spans="2:13">
      <c r="B23" s="30"/>
      <c r="C23" s="22"/>
      <c r="M23" s="31"/>
    </row>
    <row r="24" spans="2:13">
      <c r="B24" s="32"/>
      <c r="C24" s="33"/>
      <c r="D24" s="33"/>
      <c r="E24" s="33"/>
      <c r="F24" s="33"/>
      <c r="G24" s="33"/>
      <c r="H24" s="33"/>
      <c r="I24" s="33"/>
      <c r="J24" s="33"/>
      <c r="K24" s="33"/>
      <c r="L24" s="33"/>
      <c r="M24" s="34"/>
    </row>
    <row r="25" spans="2:13" ht="15" customHeight="1"/>
    <row r="26" spans="2:13">
      <c r="B26" s="27" t="str">
        <f>VLOOKUP(85,Sprachindex!$A:$Z,$O$7,FALSE)</f>
        <v>3: Sämtliche Optionsfelder können angewählt werden.</v>
      </c>
      <c r="C26" s="28"/>
      <c r="D26" s="28"/>
      <c r="E26" s="28"/>
      <c r="F26" s="28"/>
      <c r="G26" s="28"/>
      <c r="H26" s="28"/>
      <c r="I26" s="28"/>
      <c r="J26" s="28"/>
      <c r="K26" s="28"/>
      <c r="L26" s="28"/>
      <c r="M26" s="29"/>
    </row>
    <row r="27" spans="2:13">
      <c r="B27" s="30"/>
      <c r="M27" s="31"/>
    </row>
    <row r="28" spans="2:13">
      <c r="B28" s="32"/>
      <c r="C28" s="33"/>
      <c r="D28" s="33"/>
      <c r="E28" s="33"/>
      <c r="F28" s="33"/>
      <c r="G28" s="33"/>
      <c r="H28" s="33"/>
      <c r="I28" s="33"/>
      <c r="J28" s="33"/>
      <c r="K28" s="33"/>
      <c r="L28" s="33"/>
      <c r="M28" s="34"/>
    </row>
    <row r="29" spans="2:13"/>
    <row r="30" spans="2:13">
      <c r="B30" s="27" t="str">
        <f>VLOOKUP(99,Sprachindex!$A:$Z,$O$7,FALSE)</f>
        <v>4: Eventualpositionen können hier gekennzeichnet werden.</v>
      </c>
      <c r="C30" s="28"/>
      <c r="D30" s="28"/>
      <c r="E30" s="28"/>
      <c r="F30" s="28"/>
      <c r="G30" s="28"/>
      <c r="H30" s="28"/>
      <c r="I30" s="28"/>
      <c r="J30" s="28"/>
      <c r="K30" s="28"/>
      <c r="L30" s="28"/>
      <c r="M30" s="29"/>
    </row>
    <row r="31" spans="2:13">
      <c r="B31" s="30"/>
      <c r="M31" s="31"/>
    </row>
    <row r="32" spans="2:13">
      <c r="B32" s="30"/>
      <c r="M32" s="31"/>
    </row>
    <row r="33" spans="2:13">
      <c r="B33" s="30"/>
      <c r="M33" s="31"/>
    </row>
    <row r="34" spans="2:13">
      <c r="B34" s="32"/>
      <c r="C34" s="33"/>
      <c r="D34" s="33"/>
      <c r="E34" s="33"/>
      <c r="F34" s="33"/>
      <c r="G34" s="33"/>
      <c r="H34" s="33"/>
      <c r="I34" s="33"/>
      <c r="J34" s="33"/>
      <c r="K34" s="33"/>
      <c r="L34" s="33"/>
      <c r="M34" s="34"/>
    </row>
    <row r="35" spans="2:13"/>
    <row r="36" spans="2:13">
      <c r="B36" s="27" t="str">
        <f>VLOOKUP(115,Sprachindex!$A:$Z,$O$7,FALSE)</f>
        <v>5: Am Tabellenende können Artikel, die nicht in der Liste aufgelistet sind, eingetragen werden.</v>
      </c>
      <c r="C36" s="28"/>
      <c r="D36" s="28"/>
      <c r="E36" s="28"/>
      <c r="F36" s="28"/>
      <c r="G36" s="28"/>
      <c r="H36" s="28"/>
      <c r="I36" s="28"/>
      <c r="J36" s="28"/>
      <c r="K36" s="28"/>
      <c r="L36" s="28"/>
      <c r="M36" s="29"/>
    </row>
    <row r="37" spans="2:13">
      <c r="B37" s="30"/>
      <c r="M37" s="31"/>
    </row>
    <row r="38" spans="2:13">
      <c r="B38" s="32"/>
      <c r="C38" s="33"/>
      <c r="D38" s="33"/>
      <c r="E38" s="33"/>
      <c r="F38" s="33"/>
      <c r="G38" s="33"/>
      <c r="H38" s="33"/>
      <c r="I38" s="33"/>
      <c r="J38" s="33"/>
      <c r="K38" s="33"/>
      <c r="L38" s="33"/>
      <c r="M38" s="34"/>
    </row>
    <row r="39" spans="2:13"/>
    <row r="40" spans="2:13">
      <c r="B40" s="27" t="str">
        <f>VLOOKUP(124,Sprachindex!$A:$Z,$O$7,FALSE)</f>
        <v>6: Zusatzvermerke können hier eingefügt werden.</v>
      </c>
      <c r="C40" s="28"/>
      <c r="D40" s="28"/>
      <c r="E40" s="28"/>
      <c r="F40" s="28"/>
      <c r="G40" s="28"/>
      <c r="H40" s="28"/>
      <c r="I40" s="28"/>
      <c r="J40" s="28"/>
      <c r="K40" s="28"/>
      <c r="L40" s="28"/>
      <c r="M40" s="29"/>
    </row>
    <row r="41" spans="2:13">
      <c r="B41" s="30"/>
      <c r="M41" s="31"/>
    </row>
    <row r="42" spans="2:13">
      <c r="B42" s="30"/>
      <c r="M42" s="31"/>
    </row>
    <row r="43" spans="2:13">
      <c r="B43" s="30"/>
      <c r="M43" s="31"/>
    </row>
    <row r="44" spans="2:13">
      <c r="B44" s="32"/>
      <c r="C44" s="33"/>
      <c r="D44" s="33"/>
      <c r="E44" s="33"/>
      <c r="F44" s="33"/>
      <c r="G44" s="33"/>
      <c r="H44" s="33"/>
      <c r="I44" s="33"/>
      <c r="J44" s="33"/>
      <c r="K44" s="33"/>
      <c r="L44" s="33"/>
      <c r="M44" s="34"/>
    </row>
    <row r="45" spans="2:13"/>
    <row r="46" spans="2:13">
      <c r="B46" s="27" t="str">
        <f>VLOOKUP(130,Sprachindex!$A:$Z,$O$7,FALSE)</f>
        <v>7: Nicht benötigte Positionen können durch den Filter ausgeblendet werden.</v>
      </c>
      <c r="C46" s="28"/>
      <c r="D46" s="28"/>
      <c r="E46" s="28"/>
      <c r="F46" s="28"/>
      <c r="G46" s="28"/>
      <c r="H46" s="28"/>
      <c r="I46" s="28"/>
      <c r="J46" s="28"/>
      <c r="K46" s="28"/>
      <c r="L46" s="28"/>
      <c r="M46" s="29"/>
    </row>
    <row r="47" spans="2:13">
      <c r="B47" s="30"/>
      <c r="M47" s="31"/>
    </row>
    <row r="48" spans="2:13">
      <c r="B48" s="30"/>
      <c r="M48" s="31"/>
    </row>
    <row r="49" spans="2:13">
      <c r="B49" s="30"/>
      <c r="M49" s="31"/>
    </row>
    <row r="50" spans="2:13">
      <c r="B50" s="30"/>
      <c r="M50" s="31"/>
    </row>
    <row r="51" spans="2:13">
      <c r="B51" s="30"/>
      <c r="M51" s="31"/>
    </row>
    <row r="52" spans="2:13">
      <c r="B52" s="30"/>
      <c r="M52" s="31"/>
    </row>
    <row r="53" spans="2:13">
      <c r="B53" s="30"/>
      <c r="M53" s="31"/>
    </row>
    <row r="54" spans="2:13">
      <c r="B54" s="30"/>
      <c r="M54" s="31"/>
    </row>
    <row r="55" spans="2:13">
      <c r="B55" s="30"/>
      <c r="M55" s="31"/>
    </row>
    <row r="56" spans="2:13">
      <c r="B56" s="30"/>
      <c r="M56" s="31"/>
    </row>
    <row r="57" spans="2:13">
      <c r="B57" s="32"/>
      <c r="C57" s="33"/>
      <c r="D57" s="33"/>
      <c r="E57" s="33"/>
      <c r="F57" s="33"/>
      <c r="G57" s="33"/>
      <c r="H57" s="33"/>
      <c r="I57" s="33"/>
      <c r="J57" s="33"/>
      <c r="K57" s="33"/>
      <c r="L57" s="33"/>
      <c r="M57" s="34"/>
    </row>
    <row r="58" spans="2:13"/>
    <row r="59" spans="2:13">
      <c r="B59" s="16" t="str">
        <f>VLOOKUP(2097,Sprachindex!$A:$Z,Info!$O$7,FALSE)</f>
        <v>Produkttechnik</v>
      </c>
      <c r="C59" s="13"/>
      <c r="D59" s="13"/>
      <c r="E59" s="43"/>
      <c r="F59" s="43"/>
      <c r="G59" s="43"/>
      <c r="H59" s="43"/>
      <c r="I59" s="43"/>
      <c r="J59" s="43"/>
      <c r="K59" s="43"/>
      <c r="L59" s="17" t="str">
        <f>VLOOKUP(856,Sprachindex!$A:$Z,Info!$O$7,FALSE)</f>
        <v>Stand:</v>
      </c>
      <c r="M59" s="169">
        <v>45728</v>
      </c>
    </row>
    <row r="60" spans="2:13"/>
  </sheetData>
  <sheetProtection algorithmName="SHA-512" hashValue="m51Ds+OFd/mXAvReq9o313rJGKeN8nwJbeGz6mEP9EFdMTK62kNP1mFIiW8/TTbh5koCiDbeny4NNatOIPrQhg==" saltValue="FaMKzFZqOWGwlHwayO5GGA==" spinCount="100000" sheet="1" objects="1" selectLockedCells="1" selectUnlockedCells="1"/>
  <mergeCells count="2">
    <mergeCell ref="B21:M22"/>
    <mergeCell ref="E1:G1"/>
  </mergeCells>
  <pageMargins left="0.70866141732283472" right="0.70866141732283472" top="0.39370078740157483" bottom="0.78740157480314965" header="0.31496062992125984" footer="0.31496062992125984"/>
  <pageSetup paperSize="9" scale="8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0" r:id="rId5" name="Option Button 2">
              <controlPr defaultSize="0" autoFill="0" autoLine="0" autoPict="0" altText="">
                <anchor moveWithCells="1">
                  <from>
                    <xdr:col>4</xdr:col>
                    <xdr:colOff>144780</xdr:colOff>
                    <xdr:row>2</xdr:row>
                    <xdr:rowOff>30480</xdr:rowOff>
                  </from>
                  <to>
                    <xdr:col>6</xdr:col>
                    <xdr:colOff>609600</xdr:colOff>
                    <xdr:row>3</xdr:row>
                    <xdr:rowOff>0</xdr:rowOff>
                  </to>
                </anchor>
              </controlPr>
            </control>
          </mc:Choice>
        </mc:AlternateContent>
        <mc:AlternateContent xmlns:mc="http://schemas.openxmlformats.org/markup-compatibility/2006">
          <mc:Choice Requires="x14">
            <control shapeId="2049" r:id="rId6" name="Group Box 1">
              <controlPr defaultSize="0" print="0" autoFill="0" autoPict="0" altText="">
                <anchor moveWithCells="1">
                  <from>
                    <xdr:col>4</xdr:col>
                    <xdr:colOff>0</xdr:colOff>
                    <xdr:row>1</xdr:row>
                    <xdr:rowOff>0</xdr:rowOff>
                  </from>
                  <to>
                    <xdr:col>7</xdr:col>
                    <xdr:colOff>0</xdr:colOff>
                    <xdr:row>15</xdr:row>
                    <xdr:rowOff>0</xdr:rowOff>
                  </to>
                </anchor>
              </controlPr>
            </control>
          </mc:Choice>
        </mc:AlternateContent>
        <mc:AlternateContent xmlns:mc="http://schemas.openxmlformats.org/markup-compatibility/2006">
          <mc:Choice Requires="x14">
            <control shapeId="2051" r:id="rId7" name="Option Button 3">
              <controlPr defaultSize="0" autoFill="0" autoLine="0" autoPict="0" altText="">
                <anchor moveWithCells="1">
                  <from>
                    <xdr:col>4</xdr:col>
                    <xdr:colOff>144780</xdr:colOff>
                    <xdr:row>3</xdr:row>
                    <xdr:rowOff>30480</xdr:rowOff>
                  </from>
                  <to>
                    <xdr:col>6</xdr:col>
                    <xdr:colOff>609600</xdr:colOff>
                    <xdr:row>4</xdr:row>
                    <xdr:rowOff>0</xdr:rowOff>
                  </to>
                </anchor>
              </controlPr>
            </control>
          </mc:Choice>
        </mc:AlternateContent>
        <mc:AlternateContent xmlns:mc="http://schemas.openxmlformats.org/markup-compatibility/2006">
          <mc:Choice Requires="x14">
            <control shapeId="2052" r:id="rId8" name="Option Button 4">
              <controlPr defaultSize="0" autoFill="0" autoLine="0" autoPict="0" altText="">
                <anchor moveWithCells="1">
                  <from>
                    <xdr:col>4</xdr:col>
                    <xdr:colOff>144780</xdr:colOff>
                    <xdr:row>4</xdr:row>
                    <xdr:rowOff>30480</xdr:rowOff>
                  </from>
                  <to>
                    <xdr:col>6</xdr:col>
                    <xdr:colOff>754380</xdr:colOff>
                    <xdr:row>5</xdr:row>
                    <xdr:rowOff>0</xdr:rowOff>
                  </to>
                </anchor>
              </controlPr>
            </control>
          </mc:Choice>
        </mc:AlternateContent>
        <mc:AlternateContent xmlns:mc="http://schemas.openxmlformats.org/markup-compatibility/2006">
          <mc:Choice Requires="x14">
            <control shapeId="2053" r:id="rId9" name="Option Button 5">
              <controlPr defaultSize="0" autoFill="0" autoLine="0" autoPict="0" altText="">
                <anchor moveWithCells="1">
                  <from>
                    <xdr:col>4</xdr:col>
                    <xdr:colOff>144780</xdr:colOff>
                    <xdr:row>5</xdr:row>
                    <xdr:rowOff>30480</xdr:rowOff>
                  </from>
                  <to>
                    <xdr:col>6</xdr:col>
                    <xdr:colOff>609600</xdr:colOff>
                    <xdr:row>6</xdr:row>
                    <xdr:rowOff>0</xdr:rowOff>
                  </to>
                </anchor>
              </controlPr>
            </control>
          </mc:Choice>
        </mc:AlternateContent>
        <mc:AlternateContent xmlns:mc="http://schemas.openxmlformats.org/markup-compatibility/2006">
          <mc:Choice Requires="x14">
            <control shapeId="2054" r:id="rId10" name="Option Button 6">
              <controlPr defaultSize="0" autoFill="0" autoLine="0" autoPict="0" altText="">
                <anchor moveWithCells="1">
                  <from>
                    <xdr:col>6</xdr:col>
                    <xdr:colOff>716280</xdr:colOff>
                    <xdr:row>6</xdr:row>
                    <xdr:rowOff>30480</xdr:rowOff>
                  </from>
                  <to>
                    <xdr:col>6</xdr:col>
                    <xdr:colOff>754380</xdr:colOff>
                    <xdr:row>7</xdr:row>
                    <xdr:rowOff>0</xdr:rowOff>
                  </to>
                </anchor>
              </controlPr>
            </control>
          </mc:Choice>
        </mc:AlternateContent>
        <mc:AlternateContent xmlns:mc="http://schemas.openxmlformats.org/markup-compatibility/2006">
          <mc:Choice Requires="x14">
            <control shapeId="2055" r:id="rId11" name="Option Button 7">
              <controlPr defaultSize="0" autoFill="0" autoLine="0" autoPict="0" altText="">
                <anchor moveWithCells="1">
                  <from>
                    <xdr:col>4</xdr:col>
                    <xdr:colOff>144780</xdr:colOff>
                    <xdr:row>7</xdr:row>
                    <xdr:rowOff>30480</xdr:rowOff>
                  </from>
                  <to>
                    <xdr:col>6</xdr:col>
                    <xdr:colOff>609600</xdr:colOff>
                    <xdr:row>8</xdr:row>
                    <xdr:rowOff>0</xdr:rowOff>
                  </to>
                </anchor>
              </controlPr>
            </control>
          </mc:Choice>
        </mc:AlternateContent>
        <mc:AlternateContent xmlns:mc="http://schemas.openxmlformats.org/markup-compatibility/2006">
          <mc:Choice Requires="x14">
            <control shapeId="2056" r:id="rId12" name="Option Button 8">
              <controlPr defaultSize="0" autoFill="0" autoLine="0" autoPict="0" altText="">
                <anchor moveWithCells="1">
                  <from>
                    <xdr:col>4</xdr:col>
                    <xdr:colOff>144780</xdr:colOff>
                    <xdr:row>8</xdr:row>
                    <xdr:rowOff>30480</xdr:rowOff>
                  </from>
                  <to>
                    <xdr:col>6</xdr:col>
                    <xdr:colOff>609600</xdr:colOff>
                    <xdr:row>9</xdr:row>
                    <xdr:rowOff>0</xdr:rowOff>
                  </to>
                </anchor>
              </controlPr>
            </control>
          </mc:Choice>
        </mc:AlternateContent>
        <mc:AlternateContent xmlns:mc="http://schemas.openxmlformats.org/markup-compatibility/2006">
          <mc:Choice Requires="x14">
            <control shapeId="2057" r:id="rId13" name="Option Button 9">
              <controlPr defaultSize="0" autoFill="0" autoLine="0" autoPict="0" altText="">
                <anchor moveWithCells="1">
                  <from>
                    <xdr:col>4</xdr:col>
                    <xdr:colOff>144780</xdr:colOff>
                    <xdr:row>9</xdr:row>
                    <xdr:rowOff>30480</xdr:rowOff>
                  </from>
                  <to>
                    <xdr:col>6</xdr:col>
                    <xdr:colOff>609600</xdr:colOff>
                    <xdr:row>10</xdr:row>
                    <xdr:rowOff>0</xdr:rowOff>
                  </to>
                </anchor>
              </controlPr>
            </control>
          </mc:Choice>
        </mc:AlternateContent>
        <mc:AlternateContent xmlns:mc="http://schemas.openxmlformats.org/markup-compatibility/2006">
          <mc:Choice Requires="x14">
            <control shapeId="2058" r:id="rId14" name="Option Button 10">
              <controlPr defaultSize="0" autoFill="0" autoLine="0" autoPict="0" altText="">
                <anchor moveWithCells="1">
                  <from>
                    <xdr:col>4</xdr:col>
                    <xdr:colOff>144780</xdr:colOff>
                    <xdr:row>10</xdr:row>
                    <xdr:rowOff>30480</xdr:rowOff>
                  </from>
                  <to>
                    <xdr:col>6</xdr:col>
                    <xdr:colOff>609600</xdr:colOff>
                    <xdr:row>11</xdr:row>
                    <xdr:rowOff>0</xdr:rowOff>
                  </to>
                </anchor>
              </controlPr>
            </control>
          </mc:Choice>
        </mc:AlternateContent>
        <mc:AlternateContent xmlns:mc="http://schemas.openxmlformats.org/markup-compatibility/2006">
          <mc:Choice Requires="x14">
            <control shapeId="2059" r:id="rId15" name="Option Button 11">
              <controlPr defaultSize="0" autoFill="0" autoLine="0" autoPict="0" altText="">
                <anchor moveWithCells="1">
                  <from>
                    <xdr:col>6</xdr:col>
                    <xdr:colOff>716280</xdr:colOff>
                    <xdr:row>11</xdr:row>
                    <xdr:rowOff>30480</xdr:rowOff>
                  </from>
                  <to>
                    <xdr:col>6</xdr:col>
                    <xdr:colOff>754380</xdr:colOff>
                    <xdr:row>12</xdr:row>
                    <xdr:rowOff>0</xdr:rowOff>
                  </to>
                </anchor>
              </controlPr>
            </control>
          </mc:Choice>
        </mc:AlternateContent>
        <mc:AlternateContent xmlns:mc="http://schemas.openxmlformats.org/markup-compatibility/2006">
          <mc:Choice Requires="x14">
            <control shapeId="2060" r:id="rId16" name="Option Button 12">
              <controlPr defaultSize="0" autoFill="0" autoLine="0" autoPict="0" altText="">
                <anchor moveWithCells="1">
                  <from>
                    <xdr:col>4</xdr:col>
                    <xdr:colOff>144780</xdr:colOff>
                    <xdr:row>12</xdr:row>
                    <xdr:rowOff>30480</xdr:rowOff>
                  </from>
                  <to>
                    <xdr:col>6</xdr:col>
                    <xdr:colOff>609600</xdr:colOff>
                    <xdr:row>13</xdr:row>
                    <xdr:rowOff>0</xdr:rowOff>
                  </to>
                </anchor>
              </controlPr>
            </control>
          </mc:Choice>
        </mc:AlternateContent>
        <mc:AlternateContent xmlns:mc="http://schemas.openxmlformats.org/markup-compatibility/2006">
          <mc:Choice Requires="x14">
            <control shapeId="2061" r:id="rId17" name="Option Button 13">
              <controlPr defaultSize="0" autoFill="0" autoLine="0" autoPict="0" altText="">
                <anchor moveWithCells="1">
                  <from>
                    <xdr:col>4</xdr:col>
                    <xdr:colOff>144780</xdr:colOff>
                    <xdr:row>13</xdr:row>
                    <xdr:rowOff>30480</xdr:rowOff>
                  </from>
                  <to>
                    <xdr:col>6</xdr:col>
                    <xdr:colOff>609600</xdr:colOff>
                    <xdr:row>14</xdr:row>
                    <xdr:rowOff>0</xdr:rowOff>
                  </to>
                </anchor>
              </controlPr>
            </control>
          </mc:Choice>
        </mc:AlternateContent>
        <mc:AlternateContent xmlns:mc="http://schemas.openxmlformats.org/markup-compatibility/2006">
          <mc:Choice Requires="x14">
            <control shapeId="2062" r:id="rId18" name="Option Button 14">
              <controlPr defaultSize="0" autoFill="0" autoLine="0" autoPict="0" altText="">
                <anchor moveWithCells="1">
                  <from>
                    <xdr:col>4</xdr:col>
                    <xdr:colOff>144780</xdr:colOff>
                    <xdr:row>14</xdr:row>
                    <xdr:rowOff>30480</xdr:rowOff>
                  </from>
                  <to>
                    <xdr:col>6</xdr:col>
                    <xdr:colOff>609600</xdr:colOff>
                    <xdr:row>15</xdr:row>
                    <xdr:rowOff>0</xdr:rowOff>
                  </to>
                </anchor>
              </controlPr>
            </control>
          </mc:Choice>
        </mc:AlternateContent>
        <mc:AlternateContent xmlns:mc="http://schemas.openxmlformats.org/markup-compatibility/2006">
          <mc:Choice Requires="x14">
            <control shapeId="2063" r:id="rId19" name="Option Button 15">
              <controlPr defaultSize="0" autoFill="0" autoLine="0" autoPict="0" altText="">
                <anchor moveWithCells="1">
                  <from>
                    <xdr:col>6</xdr:col>
                    <xdr:colOff>647700</xdr:colOff>
                    <xdr:row>14</xdr:row>
                    <xdr:rowOff>60960</xdr:rowOff>
                  </from>
                  <to>
                    <xdr:col>6</xdr:col>
                    <xdr:colOff>693420</xdr:colOff>
                    <xdr:row>14</xdr:row>
                    <xdr:rowOff>106680</xdr:rowOff>
                  </to>
                </anchor>
              </controlPr>
            </control>
          </mc:Choice>
        </mc:AlternateContent>
        <mc:AlternateContent xmlns:mc="http://schemas.openxmlformats.org/markup-compatibility/2006">
          <mc:Choice Requires="x14">
            <control shapeId="2067" r:id="rId20" name="Option Button 19">
              <controlPr defaultSize="0" autoFill="0" autoLine="0" autoPict="0" altText="">
                <anchor moveWithCells="1">
                  <from>
                    <xdr:col>4</xdr:col>
                    <xdr:colOff>144780</xdr:colOff>
                    <xdr:row>1</xdr:row>
                    <xdr:rowOff>22860</xdr:rowOff>
                  </from>
                  <to>
                    <xdr:col>6</xdr:col>
                    <xdr:colOff>609600</xdr:colOff>
                    <xdr:row>1</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
  <dimension ref="A1:GV185"/>
  <sheetViews>
    <sheetView showGridLines="0" zoomScale="90" zoomScaleNormal="9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2.109375" style="1" customWidth="1"/>
    <col min="15" max="15" width="13.77734375" style="5" customWidth="1"/>
    <col min="16" max="16" width="9.6640625" style="5" customWidth="1"/>
    <col min="17" max="18" width="9.6640625" style="129" hidden="1" customWidth="1"/>
    <col min="19" max="19" width="9.6640625" style="5" hidden="1" customWidth="1"/>
    <col min="20" max="20" width="2.6640625" style="5" hidden="1" customWidth="1"/>
    <col min="21" max="21" width="26" style="9" hidden="1" customWidth="1"/>
    <col min="22" max="22" width="26" style="1" hidden="1" customWidth="1"/>
    <col min="23" max="33" width="8.6640625" style="1" hidden="1" customWidth="1"/>
    <col min="34" max="34" width="9" style="1" hidden="1" customWidth="1"/>
    <col min="35" max="35" width="8.6640625" style="1" hidden="1" customWidth="1"/>
    <col min="36" max="36" width="10.88671875" style="1" hidden="1" customWidth="1"/>
    <col min="37" max="46" width="8.6640625" style="1" hidden="1" customWidth="1"/>
    <col min="47" max="47" width="11.6640625" style="1" hidden="1" customWidth="1"/>
    <col min="48" max="50" width="8.6640625" style="1" hidden="1" customWidth="1"/>
    <col min="51" max="52" width="12.6640625" style="1" hidden="1" customWidth="1"/>
    <col min="53" max="165" width="8.6640625" style="1" hidden="1" customWidth="1"/>
    <col min="166" max="166" width="14.6640625" style="1" hidden="1" customWidth="1"/>
    <col min="167" max="204" width="8.6640625" style="1" hidden="1" customWidth="1"/>
    <col min="205" max="16384" width="11.5546875" style="1" hidden="1"/>
  </cols>
  <sheetData>
    <row r="1" spans="1:23" ht="28.2">
      <c r="N1" s="2" t="str">
        <f>VLOOKUP(272,Sprachindex!$A:$Z,Info!$O$7,FALSE)</f>
        <v>Dachrinnensysteme</v>
      </c>
    </row>
    <row r="2" spans="1:23" ht="28.2">
      <c r="D2" s="18"/>
      <c r="N2" s="2" t="str">
        <f>VLOOKUP(1417,Sprachindex!$A:$Z,Info!$O$7,FALSE)</f>
        <v>Dachentwässerung P.10</v>
      </c>
    </row>
    <row r="3" spans="1:23" ht="15" customHeight="1"/>
    <row r="4" spans="1:23" ht="17.25" customHeight="1">
      <c r="A4" s="67"/>
      <c r="B4" s="67"/>
      <c r="C4" s="67"/>
      <c r="D4" s="67"/>
      <c r="E4" s="67"/>
      <c r="F4" s="67"/>
      <c r="G4" s="67"/>
      <c r="H4" s="67"/>
      <c r="I4" s="67"/>
      <c r="J4" s="67"/>
      <c r="K4" s="67"/>
      <c r="L4" s="67"/>
      <c r="M4" s="67"/>
      <c r="N4" s="186"/>
      <c r="O4" s="68"/>
      <c r="P4" s="68"/>
      <c r="Q4" s="88"/>
      <c r="R4" s="88"/>
      <c r="S4" s="68"/>
      <c r="T4" s="68"/>
      <c r="V4" s="3"/>
    </row>
    <row r="5" spans="1:23" ht="17.25" customHeight="1">
      <c r="A5" s="67"/>
      <c r="B5" s="67"/>
      <c r="C5" s="67"/>
      <c r="D5" s="67"/>
      <c r="E5" s="67"/>
      <c r="F5" s="67"/>
      <c r="G5" s="67"/>
      <c r="H5" s="67"/>
      <c r="I5" s="67"/>
      <c r="J5" s="67"/>
      <c r="K5" s="67"/>
      <c r="L5" s="67"/>
      <c r="M5" s="67"/>
      <c r="N5" s="186"/>
      <c r="O5" s="68"/>
      <c r="P5" s="68"/>
      <c r="Q5" s="88"/>
      <c r="R5" s="88"/>
      <c r="S5" s="68"/>
      <c r="T5" s="68"/>
      <c r="V5" s="3"/>
    </row>
    <row r="6" spans="1:23" ht="17.25" customHeight="1">
      <c r="A6" s="67"/>
      <c r="B6" s="67"/>
      <c r="C6" s="67"/>
      <c r="D6" s="67"/>
      <c r="E6" s="67"/>
      <c r="F6" s="67"/>
      <c r="G6" s="67"/>
      <c r="H6" s="67"/>
      <c r="I6" s="67"/>
      <c r="J6" s="67"/>
      <c r="K6" s="67"/>
      <c r="L6" s="67"/>
      <c r="M6" s="67"/>
      <c r="N6" s="186"/>
      <c r="O6" s="94"/>
      <c r="P6" s="94"/>
      <c r="Q6" s="70"/>
      <c r="R6" s="70"/>
      <c r="S6" s="94"/>
      <c r="T6" s="94"/>
      <c r="V6" s="3"/>
    </row>
    <row r="7" spans="1:23" ht="17.25" customHeight="1">
      <c r="A7" s="67"/>
      <c r="B7" s="67"/>
      <c r="C7" s="67"/>
      <c r="D7" s="67"/>
      <c r="E7" s="67"/>
      <c r="F7" s="67"/>
      <c r="G7" s="67"/>
      <c r="H7" s="67"/>
      <c r="I7" s="67"/>
      <c r="J7" s="67"/>
      <c r="K7" s="67"/>
      <c r="L7" s="67"/>
      <c r="M7" s="67"/>
      <c r="N7" s="186"/>
      <c r="O7" s="94"/>
      <c r="P7" s="94"/>
      <c r="Q7" s="70"/>
      <c r="R7" s="70"/>
      <c r="S7" s="94"/>
      <c r="T7" s="94"/>
      <c r="V7" s="3"/>
    </row>
    <row r="8" spans="1:23" ht="17.25" customHeight="1">
      <c r="A8" s="83" t="str">
        <f>VLOOKUP(393,Sprachindex!$A:$Z,Info!$O$7,FALSE)</f>
        <v>Firma / Besteller:</v>
      </c>
      <c r="B8" s="67"/>
      <c r="C8" s="67"/>
      <c r="D8" s="67"/>
      <c r="E8" s="67"/>
      <c r="F8" s="67"/>
      <c r="G8" s="67"/>
      <c r="H8" s="67"/>
      <c r="I8" s="67"/>
      <c r="J8" s="67"/>
      <c r="K8" s="67"/>
      <c r="L8" s="67"/>
      <c r="M8" s="67"/>
      <c r="N8" s="67"/>
      <c r="O8" s="68"/>
      <c r="P8" s="68"/>
      <c r="Q8" s="88"/>
      <c r="R8" s="88"/>
      <c r="S8" s="68"/>
      <c r="T8" s="68"/>
      <c r="U8" s="10"/>
    </row>
    <row r="9" spans="1:23" ht="15" customHeight="1">
      <c r="A9" s="67"/>
      <c r="B9" s="71" t="str">
        <f>VLOOKUP(622,Sprachindex!$A:$Z,Info!$O$7,FALSE)</f>
        <v>Name:</v>
      </c>
      <c r="C9" s="615"/>
      <c r="D9" s="616"/>
      <c r="E9" s="617"/>
      <c r="F9" s="67"/>
      <c r="G9" s="82" t="str">
        <f>VLOOKUP(638,Sprachindex!$A:$Z,Info!$O$7,FALSE)</f>
        <v>Oberfläche:</v>
      </c>
      <c r="H9" s="67"/>
      <c r="I9" s="68"/>
      <c r="J9" s="66"/>
      <c r="K9" s="67"/>
      <c r="L9" s="66" t="str">
        <f>VLOOKUP(433,Sprachindex!$A:$Z,Info!$O$7,FALSE)</f>
        <v>glatt</v>
      </c>
      <c r="M9" s="67"/>
      <c r="N9" s="67"/>
      <c r="O9" s="94">
        <v>1</v>
      </c>
      <c r="P9" s="94"/>
      <c r="Q9" s="70"/>
      <c r="R9" s="70"/>
      <c r="S9" s="94"/>
      <c r="T9" s="94"/>
      <c r="V9" s="4"/>
    </row>
    <row r="10" spans="1:23" ht="15" customHeight="1">
      <c r="A10" s="67"/>
      <c r="B10" s="71" t="str">
        <f>VLOOKUP(884,Sprachindex!$A:$Z,Info!$O$7,FALSE)</f>
        <v>Straße:</v>
      </c>
      <c r="C10" s="615"/>
      <c r="D10" s="616"/>
      <c r="E10" s="617"/>
      <c r="F10" s="67"/>
      <c r="G10" s="67"/>
      <c r="H10" s="67"/>
      <c r="I10" s="67"/>
      <c r="J10" s="68">
        <v>1</v>
      </c>
      <c r="K10" s="67"/>
      <c r="L10" s="67"/>
      <c r="M10" s="67"/>
      <c r="N10" s="67"/>
      <c r="O10" s="68"/>
      <c r="P10" s="68"/>
      <c r="Q10" s="88"/>
      <c r="R10" s="88"/>
      <c r="S10" s="68"/>
      <c r="T10" s="68"/>
      <c r="V10" s="4"/>
    </row>
    <row r="11" spans="1:23"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t="s">
        <v>9710</v>
      </c>
      <c r="Q11" s="70"/>
      <c r="R11" s="70"/>
      <c r="S11" s="94"/>
      <c r="T11" s="94"/>
      <c r="V11" s="4"/>
    </row>
    <row r="12" spans="1:23" ht="15" customHeight="1">
      <c r="A12" s="67"/>
      <c r="B12" s="67"/>
      <c r="C12" s="67"/>
      <c r="D12" s="67"/>
      <c r="E12" s="67"/>
      <c r="F12" s="67"/>
      <c r="G12" s="67"/>
      <c r="H12" s="67"/>
      <c r="I12" s="71"/>
      <c r="J12" s="68">
        <v>1</v>
      </c>
      <c r="K12" s="67"/>
      <c r="L12" s="67"/>
      <c r="M12" s="67"/>
      <c r="N12" s="67"/>
      <c r="O12" s="68"/>
      <c r="P12" s="68"/>
      <c r="Q12" s="88"/>
      <c r="R12" s="88"/>
      <c r="S12" s="68"/>
      <c r="T12" s="68"/>
    </row>
    <row r="13" spans="1:23"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70"/>
      <c r="R13" s="70"/>
      <c r="S13" s="94"/>
      <c r="T13" s="94"/>
      <c r="V13" s="4"/>
    </row>
    <row r="14" spans="1:23" ht="15" customHeight="1">
      <c r="A14" s="67"/>
      <c r="B14" s="71" t="str">
        <f>VLOOKUP(901,Sprachindex!$A:$Z,Info!$O$7,FALSE)</f>
        <v>Telefon:</v>
      </c>
      <c r="C14" s="615"/>
      <c r="D14" s="616"/>
      <c r="E14" s="617"/>
      <c r="F14" s="67"/>
      <c r="G14" s="67"/>
      <c r="H14" s="67"/>
      <c r="I14" s="67"/>
      <c r="J14" s="67"/>
      <c r="K14" s="67"/>
      <c r="L14" s="67"/>
      <c r="M14" s="67"/>
      <c r="N14" s="67"/>
      <c r="O14" s="68"/>
      <c r="P14" s="68"/>
      <c r="Q14" s="88"/>
      <c r="R14" s="88"/>
      <c r="S14" s="68"/>
      <c r="T14" s="68"/>
      <c r="V14" s="4"/>
    </row>
    <row r="15" spans="1:23" ht="15" customHeight="1">
      <c r="A15" s="67"/>
      <c r="B15" s="71" t="str">
        <f>VLOOKUP(1698,Sprachindex!$A:$Z,Info!$O$7,FALSE)</f>
        <v>eMail:</v>
      </c>
      <c r="C15" s="615"/>
      <c r="D15" s="616"/>
      <c r="E15" s="617"/>
      <c r="F15" s="67"/>
      <c r="G15" s="89" t="str">
        <f>VLOOKUP(385,Sprachindex!$A:$Z,Info!$O$7,FALSE)</f>
        <v>Farbe:</v>
      </c>
      <c r="K15" s="67"/>
      <c r="L15" s="89" t="str">
        <f>VLOOKUP(146,Sprachindex!$A:$Z,Info!$O$7,FALSE)</f>
        <v>Ablaufdimension:</v>
      </c>
      <c r="M15" s="67"/>
      <c r="N15" s="67"/>
      <c r="O15" s="68"/>
      <c r="P15" s="68"/>
      <c r="Q15" s="88"/>
      <c r="R15" s="88"/>
      <c r="S15" s="68"/>
      <c r="T15" s="68"/>
      <c r="W15" s="67"/>
    </row>
    <row r="16" spans="1:23" ht="15" customHeight="1">
      <c r="A16" s="67"/>
      <c r="B16" s="67"/>
      <c r="C16" s="67"/>
      <c r="D16" s="67"/>
      <c r="E16" s="67"/>
      <c r="F16" s="67"/>
      <c r="G16" s="67" t="str">
        <f>VLOOKUP(25,Sprachindex!$A:$Z,Info!$O$7,FALSE)</f>
        <v>01 P.10 Braun</v>
      </c>
      <c r="K16" s="66"/>
      <c r="L16" s="575" t="str">
        <f>VLOOKUP(125,Sprachindex!$A:$Z,Info!$O$7,FALSE)</f>
        <v>⌀ 60</v>
      </c>
      <c r="M16" s="67" t="str">
        <f>VLOOKUP(53,Sprachindex!$A:$Z,Info!$O$7,FALSE)</f>
        <v>⌀ 120</v>
      </c>
      <c r="N16" s="67"/>
      <c r="O16" s="94">
        <v>0</v>
      </c>
      <c r="P16" s="94" t="s">
        <v>2354</v>
      </c>
      <c r="Q16" s="70"/>
      <c r="R16" s="70"/>
      <c r="S16" s="94"/>
      <c r="T16" s="94"/>
      <c r="W16" s="67"/>
    </row>
    <row r="17" spans="1:179" ht="15" customHeight="1">
      <c r="A17" s="83" t="str">
        <f>VLOOKUP(580,Sprachindex!$A:$Z,Info!$O$7,FALSE)</f>
        <v>Lieferadresse:</v>
      </c>
      <c r="B17" s="67"/>
      <c r="C17" s="67"/>
      <c r="D17" s="67"/>
      <c r="E17" s="67"/>
      <c r="F17" s="67"/>
      <c r="G17" s="67" t="str">
        <f>VLOOKUP(27,Sprachindex!$A:$Z,Info!$O$7,FALSE)</f>
        <v>02 P.10 Anthrazit</v>
      </c>
      <c r="K17" s="99"/>
      <c r="L17" s="575" t="str">
        <f>VLOOKUP(133,Sprachindex!$A:$Z,Info!$O$7,FALSE)</f>
        <v>⌀ 80</v>
      </c>
      <c r="M17" s="67" t="str">
        <f>VLOOKUP(58,Sprachindex!$A:$Z,Info!$O$7,FALSE)</f>
        <v>⌀ 150</v>
      </c>
      <c r="N17" s="67"/>
      <c r="O17" s="94">
        <v>0</v>
      </c>
      <c r="P17" s="5" t="s">
        <v>39315</v>
      </c>
      <c r="Q17" s="70"/>
      <c r="R17" s="70"/>
      <c r="S17" s="94"/>
      <c r="T17" s="94"/>
      <c r="W17" s="67"/>
    </row>
    <row r="18" spans="1:179" ht="15" customHeight="1">
      <c r="A18" s="67"/>
      <c r="B18" s="71" t="str">
        <f>VLOOKUP(622,Sprachindex!$A:$Z,Info!$O$7,FALSE)</f>
        <v>Name:</v>
      </c>
      <c r="C18" s="615"/>
      <c r="D18" s="616"/>
      <c r="E18" s="617"/>
      <c r="F18" s="67"/>
      <c r="G18" s="67" t="str">
        <f>VLOOKUP(28,Sprachindex!$A:$Z,Info!$O$7,FALSE)</f>
        <v>03 P.10 Schwarz</v>
      </c>
      <c r="J18" s="67"/>
      <c r="L18" s="575" t="str">
        <f>VLOOKUP(45,Sprachindex!$A:$Z,Info!$O$7,FALSE)</f>
        <v>⌀ 100</v>
      </c>
      <c r="O18" s="94">
        <v>0</v>
      </c>
      <c r="P18" s="94" t="s">
        <v>39313</v>
      </c>
      <c r="Q18" s="70"/>
      <c r="R18" s="70"/>
      <c r="S18" s="94"/>
      <c r="T18" s="94"/>
      <c r="W18" s="67"/>
    </row>
    <row r="19" spans="1:179" ht="15" customHeight="1">
      <c r="A19" s="67"/>
      <c r="B19" s="71" t="str">
        <f>VLOOKUP(540,Sprachindex!$A:$Z,Info!$O$7,FALSE)</f>
        <v>Kommission:</v>
      </c>
      <c r="C19" s="615"/>
      <c r="D19" s="616"/>
      <c r="E19" s="617"/>
      <c r="F19" s="67"/>
      <c r="G19" s="67" t="str">
        <f>VLOOKUP(37,Sprachindex!$A:$Z,Info!$O$7,FALSE)</f>
        <v>07 P.10 Hellgrau</v>
      </c>
      <c r="J19" s="67"/>
      <c r="O19" s="88"/>
      <c r="P19" s="88"/>
      <c r="Q19" s="88"/>
      <c r="R19" s="88"/>
      <c r="S19" s="68"/>
      <c r="T19" s="68"/>
      <c r="W19" s="67"/>
    </row>
    <row r="20" spans="1:179" ht="15" customHeight="1">
      <c r="A20" s="67"/>
      <c r="B20" s="71" t="str">
        <f>VLOOKUP(884,Sprachindex!$A:$Z,Info!$O$7,FALSE)</f>
        <v>Straße:</v>
      </c>
      <c r="C20" s="615"/>
      <c r="D20" s="616"/>
      <c r="E20" s="617"/>
      <c r="F20" s="67"/>
      <c r="G20" s="67" t="str">
        <f>VLOOKUP(42,Sprachindex!$A:$Z,Info!$O$7,FALSE)</f>
        <v>10 P.10 Prefaweiß</v>
      </c>
      <c r="H20" s="67"/>
      <c r="I20" s="66"/>
      <c r="J20" s="67"/>
      <c r="L20" s="89" t="str">
        <f>VLOOKUP(709,Sprachindex!$A:$Z,Info!$O$7,FALSE)</f>
        <v>Rinnendimension:</v>
      </c>
      <c r="M20" s="5"/>
      <c r="N20" s="5"/>
      <c r="O20" s="88"/>
      <c r="P20" s="88"/>
      <c r="Q20" s="88"/>
      <c r="R20" s="88"/>
      <c r="S20" s="68"/>
      <c r="T20" s="68"/>
      <c r="V20" s="4"/>
    </row>
    <row r="21" spans="1:179" ht="15" customHeight="1">
      <c r="A21" s="67"/>
      <c r="B21" s="71" t="str">
        <f>VLOOKUP(641,Sprachindex!$A:$Z,Info!$O$7,FALSE)</f>
        <v>Ort:</v>
      </c>
      <c r="C21" s="615"/>
      <c r="D21" s="616"/>
      <c r="E21" s="617"/>
      <c r="F21" s="67"/>
      <c r="G21" s="67" t="str">
        <f>VLOOKUP(51,Sprachindex!$A:$Z,Info!$O$7,FALSE)</f>
        <v>11 P.10 Nussbraun</v>
      </c>
      <c r="H21" s="67"/>
      <c r="I21" s="67"/>
      <c r="J21" s="67"/>
      <c r="L21" s="575">
        <f>VLOOKUP(1,Sprachindex!$A:$Z,Info!$O$7,FALSE)</f>
        <v>250</v>
      </c>
      <c r="M21" s="66">
        <f>VLOOKUP(3,Sprachindex!$A:$Z,Info!$O$7,FALSE)</f>
        <v>333</v>
      </c>
      <c r="N21" s="66"/>
      <c r="O21" s="129"/>
      <c r="P21" s="129"/>
      <c r="V21" s="4"/>
    </row>
    <row r="22" spans="1:179" ht="15" customHeight="1">
      <c r="A22" s="67"/>
      <c r="B22" s="71"/>
      <c r="C22" s="67"/>
      <c r="D22" s="67"/>
      <c r="E22" s="67"/>
      <c r="F22" s="67"/>
      <c r="G22" s="67" t="str">
        <f>VLOOKUP(63,Sprachindex!$A:$Z,Info!$O$7,FALSE)</f>
        <v>19 P.10 Dunkelgrau</v>
      </c>
      <c r="H22" s="67"/>
      <c r="I22" s="67"/>
      <c r="J22" s="67"/>
      <c r="L22" s="575">
        <f>VLOOKUP(2,Sprachindex!$A:$Z,Info!$O$7,FALSE)</f>
        <v>280</v>
      </c>
      <c r="M22" s="66">
        <f>VLOOKUP(4,Sprachindex!$A:$Z,Info!$O$7,FALSE)</f>
        <v>400</v>
      </c>
      <c r="N22" s="66"/>
      <c r="O22" s="129"/>
      <c r="P22" s="129"/>
      <c r="V22" s="4"/>
    </row>
    <row r="23" spans="1:179" s="5" customFormat="1" ht="15" customHeight="1">
      <c r="A23" s="83" t="str">
        <f>VLOOKUP(1427,Sprachindex!$A:$Z,Info!$O$7,FALSE)</f>
        <v>Projektdaten:</v>
      </c>
      <c r="B23" s="71"/>
      <c r="C23" s="67"/>
      <c r="D23" s="67"/>
      <c r="E23" s="67"/>
      <c r="F23" s="67"/>
      <c r="G23" s="67"/>
      <c r="I23" s="67"/>
      <c r="O23" s="88"/>
      <c r="P23" s="88"/>
      <c r="Q23" s="88"/>
      <c r="R23" s="88"/>
      <c r="S23" s="68"/>
      <c r="T23" s="68"/>
      <c r="U23" s="52"/>
      <c r="V23" s="14"/>
    </row>
    <row r="24" spans="1:179" s="5" customFormat="1" ht="15" customHeight="1">
      <c r="A24" s="1"/>
      <c r="B24" s="640" t="str">
        <f>VLOOKUP(1430,Sprachindex!$A:$Z,Info!$O$7,FALSE)</f>
        <v>Beschreibung</v>
      </c>
      <c r="C24" s="615"/>
      <c r="D24" s="616"/>
      <c r="E24" s="617"/>
      <c r="K24" s="83" t="str">
        <f>VLOOKUP(1428,Sprachindex!$A:$Z,Info!$O$7,FALSE)</f>
        <v>techn. Ausarbeitung PREFA:</v>
      </c>
      <c r="N24" s="186"/>
      <c r="O24" s="88"/>
      <c r="P24" s="88"/>
      <c r="Q24" s="88"/>
      <c r="R24" s="88"/>
      <c r="S24" s="68"/>
      <c r="T24" s="68"/>
      <c r="U24" s="52"/>
      <c r="V24" s="14"/>
    </row>
    <row r="25" spans="1:179" s="5" customFormat="1" ht="15" customHeight="1">
      <c r="A25" s="1"/>
      <c r="B25" s="640"/>
      <c r="C25" s="615"/>
      <c r="D25" s="616"/>
      <c r="E25" s="617"/>
      <c r="K25" s="71" t="str">
        <f>VLOOKUP(1429,Sprachindex!$A:$Z,Info!$O$7,FALSE)</f>
        <v>Bearbeiter:</v>
      </c>
      <c r="L25" s="415"/>
      <c r="M25" s="186"/>
      <c r="N25" s="186"/>
      <c r="O25" s="88"/>
      <c r="P25" s="88"/>
      <c r="Q25" s="88"/>
      <c r="R25" s="88"/>
      <c r="S25" s="68"/>
      <c r="T25" s="68"/>
      <c r="U25" s="142"/>
      <c r="V25" s="14"/>
    </row>
    <row r="26" spans="1:179" s="5" customFormat="1" ht="15" customHeight="1">
      <c r="A26" s="1"/>
      <c r="B26" s="640"/>
      <c r="C26" s="615"/>
      <c r="D26" s="616"/>
      <c r="E26" s="617"/>
      <c r="K26" s="71" t="str">
        <f>VLOOKUP(2243,Sprachindex!$A:$Z,Info!$O$7,FALSE)</f>
        <v>Projekt-ID:</v>
      </c>
      <c r="L26" s="415"/>
      <c r="M26" s="186"/>
      <c r="N26" s="67"/>
      <c r="O26" s="88"/>
      <c r="P26" s="88"/>
      <c r="Q26" s="88"/>
      <c r="R26" s="88"/>
      <c r="S26" s="68"/>
      <c r="T26" s="68"/>
      <c r="U26" s="52"/>
      <c r="V26" s="14"/>
    </row>
    <row r="27" spans="1:179" s="5" customFormat="1" ht="15" customHeight="1">
      <c r="A27" s="1"/>
      <c r="B27" s="640"/>
      <c r="C27" s="615"/>
      <c r="D27" s="616"/>
      <c r="E27" s="617"/>
      <c r="K27" s="71" t="str">
        <f>VLOOKUP(286,Sprachindex!$A:$Z,Info!$O$7,FALSE)</f>
        <v>Datum:</v>
      </c>
      <c r="L27" s="483">
        <f ca="1">TODAY()</f>
        <v>45770</v>
      </c>
      <c r="M27" s="67"/>
      <c r="N27" s="67"/>
      <c r="O27" s="499"/>
      <c r="P27" s="68"/>
      <c r="Q27" s="88"/>
      <c r="R27" s="88"/>
      <c r="S27" s="68"/>
      <c r="T27" s="68"/>
      <c r="U27" s="52"/>
      <c r="V27" s="14"/>
    </row>
    <row r="28" spans="1:179" ht="15" customHeight="1" thickBot="1">
      <c r="A28" s="67"/>
      <c r="B28" s="71"/>
      <c r="C28" s="67"/>
      <c r="D28" s="67"/>
      <c r="E28" s="67"/>
      <c r="J28" s="67"/>
      <c r="K28" s="67"/>
      <c r="L28" s="67"/>
      <c r="M28" s="67"/>
      <c r="N28" s="67"/>
      <c r="O28" s="68"/>
      <c r="P28" s="68"/>
      <c r="Q28" s="88"/>
      <c r="R28" s="88"/>
      <c r="S28" s="68"/>
      <c r="T28" s="68"/>
      <c r="V28" s="4"/>
    </row>
    <row r="29" spans="1:179" ht="15" customHeight="1" thickBot="1">
      <c r="A29" s="95" t="str">
        <f>VLOOKUP(392,Sprachindex!$A:$Z,Info!$O$7,FALSE)</f>
        <v>Filter:</v>
      </c>
      <c r="B29" s="676"/>
      <c r="C29" s="676"/>
      <c r="D29" s="676"/>
      <c r="E29" s="676"/>
      <c r="F29" s="67"/>
      <c r="G29" s="67"/>
      <c r="H29" s="67"/>
      <c r="I29" s="67"/>
      <c r="J29" s="67"/>
      <c r="K29" s="67"/>
      <c r="L29" s="67"/>
      <c r="M29" s="67"/>
      <c r="N29" s="67"/>
      <c r="O29" s="68"/>
      <c r="P29" s="68"/>
      <c r="T29" s="68"/>
      <c r="U29" s="627" t="s">
        <v>25</v>
      </c>
      <c r="V29" s="627"/>
      <c r="W29" s="627" t="s">
        <v>397</v>
      </c>
      <c r="X29" s="627"/>
      <c r="FJ29" s="705">
        <v>250</v>
      </c>
      <c r="FK29" s="705"/>
      <c r="FL29" s="705"/>
      <c r="FM29" s="705">
        <v>280</v>
      </c>
      <c r="FN29" s="705"/>
      <c r="FO29" s="705"/>
      <c r="FP29" s="705">
        <v>333</v>
      </c>
      <c r="FQ29" s="705"/>
      <c r="FR29" s="705"/>
      <c r="FS29" s="246">
        <v>400</v>
      </c>
      <c r="FT29" s="247"/>
      <c r="FU29" s="88"/>
      <c r="FV29" s="88"/>
      <c r="FW29" s="68"/>
    </row>
    <row r="30" spans="1:179"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T30" s="68"/>
      <c r="U30" s="152" t="s">
        <v>30</v>
      </c>
      <c r="V30" s="152" t="s">
        <v>31</v>
      </c>
      <c r="W30" s="152" t="s">
        <v>30</v>
      </c>
      <c r="X30" s="152" t="s">
        <v>31</v>
      </c>
      <c r="Y30" s="47" t="s">
        <v>94</v>
      </c>
      <c r="Z30" s="47" t="s">
        <v>398</v>
      </c>
      <c r="AA30" s="47" t="s">
        <v>96</v>
      </c>
      <c r="AB30" s="47" t="s">
        <v>99</v>
      </c>
      <c r="AC30" s="47" t="s">
        <v>104</v>
      </c>
      <c r="AD30" s="47" t="s">
        <v>101</v>
      </c>
      <c r="AE30" s="47" t="s">
        <v>399</v>
      </c>
      <c r="AF30" s="47" t="s">
        <v>400</v>
      </c>
      <c r="AG30" s="47"/>
      <c r="AH30" s="59"/>
      <c r="AI30" s="47" t="s">
        <v>94</v>
      </c>
      <c r="AJ30" s="47" t="s">
        <v>398</v>
      </c>
      <c r="AK30" s="47" t="s">
        <v>96</v>
      </c>
      <c r="AL30" s="47" t="s">
        <v>99</v>
      </c>
      <c r="AM30" s="47" t="s">
        <v>104</v>
      </c>
      <c r="AN30" s="47" t="s">
        <v>101</v>
      </c>
      <c r="AO30" s="47" t="s">
        <v>399</v>
      </c>
      <c r="AP30" s="47" t="s">
        <v>400</v>
      </c>
      <c r="AQ30" s="47"/>
      <c r="AR30" s="59"/>
      <c r="AS30" s="47" t="s">
        <v>94</v>
      </c>
      <c r="AT30" s="47" t="s">
        <v>398</v>
      </c>
      <c r="AU30" s="47" t="s">
        <v>96</v>
      </c>
      <c r="AV30" s="47" t="s">
        <v>99</v>
      </c>
      <c r="AW30" s="47" t="s">
        <v>104</v>
      </c>
      <c r="AX30" s="47" t="s">
        <v>101</v>
      </c>
      <c r="AY30" s="47" t="s">
        <v>399</v>
      </c>
      <c r="AZ30" s="47" t="s">
        <v>400</v>
      </c>
      <c r="BA30" s="47"/>
      <c r="BB30" s="59"/>
      <c r="BC30" s="47" t="s">
        <v>94</v>
      </c>
      <c r="BD30" s="47" t="s">
        <v>398</v>
      </c>
      <c r="BE30" s="47" t="s">
        <v>96</v>
      </c>
      <c r="BF30" s="47" t="s">
        <v>99</v>
      </c>
      <c r="BG30" s="47" t="s">
        <v>104</v>
      </c>
      <c r="BH30" s="47" t="s">
        <v>101</v>
      </c>
      <c r="BI30" s="47" t="s">
        <v>399</v>
      </c>
      <c r="BJ30" s="47" t="s">
        <v>400</v>
      </c>
      <c r="BK30" s="47"/>
      <c r="BL30" s="59"/>
      <c r="BM30" s="47" t="s">
        <v>94</v>
      </c>
      <c r="BN30" s="47" t="s">
        <v>398</v>
      </c>
      <c r="BO30" s="47" t="s">
        <v>96</v>
      </c>
      <c r="BP30" s="47" t="s">
        <v>99</v>
      </c>
      <c r="BQ30" s="47" t="s">
        <v>104</v>
      </c>
      <c r="BR30" s="47" t="s">
        <v>101</v>
      </c>
      <c r="BS30" s="47" t="s">
        <v>399</v>
      </c>
      <c r="BT30" s="47" t="s">
        <v>400</v>
      </c>
      <c r="BU30" s="47"/>
      <c r="BV30" s="59"/>
      <c r="BW30" s="47" t="s">
        <v>94</v>
      </c>
      <c r="BX30" s="47" t="s">
        <v>398</v>
      </c>
      <c r="BY30" s="47" t="s">
        <v>96</v>
      </c>
      <c r="BZ30" s="47" t="s">
        <v>99</v>
      </c>
      <c r="CA30" s="47" t="s">
        <v>104</v>
      </c>
      <c r="CB30" s="47" t="s">
        <v>101</v>
      </c>
      <c r="CC30" s="47" t="s">
        <v>399</v>
      </c>
      <c r="CD30" s="47" t="s">
        <v>400</v>
      </c>
      <c r="CE30" s="47"/>
      <c r="CF30" s="59"/>
      <c r="CG30" s="47" t="s">
        <v>94</v>
      </c>
      <c r="CH30" s="47" t="s">
        <v>398</v>
      </c>
      <c r="CI30" s="47" t="s">
        <v>96</v>
      </c>
      <c r="CJ30" s="47" t="s">
        <v>99</v>
      </c>
      <c r="CK30" s="47" t="s">
        <v>104</v>
      </c>
      <c r="CL30" s="47" t="s">
        <v>101</v>
      </c>
      <c r="CM30" s="47" t="s">
        <v>399</v>
      </c>
      <c r="CN30" s="47" t="s">
        <v>400</v>
      </c>
      <c r="CO30" s="47"/>
      <c r="CP30" s="59"/>
      <c r="CQ30" s="47" t="s">
        <v>94</v>
      </c>
      <c r="CR30" s="47" t="s">
        <v>398</v>
      </c>
      <c r="CS30" s="47" t="s">
        <v>96</v>
      </c>
      <c r="CT30" s="47" t="s">
        <v>99</v>
      </c>
      <c r="CU30" s="47" t="s">
        <v>104</v>
      </c>
      <c r="CV30" s="47" t="s">
        <v>101</v>
      </c>
      <c r="CW30" s="47" t="s">
        <v>399</v>
      </c>
      <c r="CX30" s="47" t="s">
        <v>400</v>
      </c>
      <c r="CY30" s="47"/>
      <c r="CZ30" s="59"/>
      <c r="DA30" s="47" t="s">
        <v>94</v>
      </c>
      <c r="DB30" s="47" t="s">
        <v>398</v>
      </c>
      <c r="DC30" s="47" t="s">
        <v>96</v>
      </c>
      <c r="DD30" s="47" t="s">
        <v>99</v>
      </c>
      <c r="DE30" s="47" t="s">
        <v>104</v>
      </c>
      <c r="DF30" s="47" t="s">
        <v>101</v>
      </c>
      <c r="DG30" s="47" t="s">
        <v>399</v>
      </c>
      <c r="DH30" s="47" t="s">
        <v>400</v>
      </c>
      <c r="DI30" s="47"/>
      <c r="DJ30" s="59"/>
      <c r="FJ30" s="246" t="str">
        <f>VLOOKUP(547,Sprachindex!$A:$Z,Info!$O$7,FALSE)</f>
        <v>kurz</v>
      </c>
      <c r="FK30" s="246" t="str">
        <f>VLOOKUP(635,Sprachindex!$A:$Z,Info!$O$7,FALSE)</f>
        <v>normal</v>
      </c>
      <c r="FL30" s="246" t="str">
        <f>VLOOKUP(551,Sprachindex!$A:$Z,Info!$O$7,FALSE)</f>
        <v>lang</v>
      </c>
      <c r="FM30" s="246" t="str">
        <f>VLOOKUP(547,Sprachindex!$A:$Z,Info!$O$7,FALSE)</f>
        <v>kurz</v>
      </c>
      <c r="FN30" s="246" t="str">
        <f>VLOOKUP(635,Sprachindex!$A:$Z,Info!$O$7,FALSE)</f>
        <v>normal</v>
      </c>
      <c r="FO30" s="246" t="str">
        <f>VLOOKUP(551,Sprachindex!$A:$Z,Info!$O$7,FALSE)</f>
        <v>lang</v>
      </c>
      <c r="FP30" s="246" t="str">
        <f>VLOOKUP(547,Sprachindex!$A:$Z,Info!$O$7,FALSE)</f>
        <v>kurz</v>
      </c>
      <c r="FQ30" s="246" t="str">
        <f>VLOOKUP(635,Sprachindex!$A:$Z,Info!$O$7,FALSE)</f>
        <v>normal</v>
      </c>
      <c r="FR30" s="246" t="str">
        <f>VLOOKUP(551,Sprachindex!$A:$Z,Info!$O$7,FALSE)</f>
        <v>lang</v>
      </c>
      <c r="FS30" s="246"/>
      <c r="FT30" s="247"/>
      <c r="FU30" s="209"/>
      <c r="FV30" s="209"/>
      <c r="FW30" s="179"/>
    </row>
    <row r="31" spans="1:179" ht="32.1" customHeight="1">
      <c r="A31" s="92"/>
      <c r="B31" s="113" t="str">
        <f>VLOOKUP(1512,Sprachindex!$A:$Z,Info!$O$7,FALSE)</f>
        <v>lfm</v>
      </c>
      <c r="C31" s="73"/>
      <c r="D31" s="73" t="str">
        <f>IF($O$17=1,AG31,IF($O$17=2,AQ31,IF($O$17=3,BA31,IF($O$17=4,BK31,""))))</f>
        <v/>
      </c>
      <c r="E31" s="637" t="str">
        <f>VLOOKUP(2227,Sprachindex!$A:$Z,Info!$O$7,FALSE)</f>
        <v>Dachrinne 3 m</v>
      </c>
      <c r="F31" s="638"/>
      <c r="G31" s="638"/>
      <c r="H31" s="638"/>
      <c r="I31" s="124"/>
      <c r="J31" s="707"/>
      <c r="K31" s="708"/>
      <c r="L31" s="113" t="str">
        <f>IF(OR(A31="",W31="",X31="")," ",IF($O$11=1,$U31,IF($O$11=2,V31,"")))</f>
        <v xml:space="preserve"> </v>
      </c>
      <c r="M31" s="406" t="str">
        <f>B31</f>
        <v>lfm</v>
      </c>
      <c r="N31" s="403"/>
      <c r="O31" s="184" t="str">
        <f>IF(ISNUMBER(A31),FT31*L31," ")</f>
        <v xml:space="preserve"> </v>
      </c>
      <c r="T31" s="68"/>
      <c r="U31" s="139" t="e">
        <f>ROUNDUP($A31/$W31,0)*$W31</f>
        <v>#VALUE!</v>
      </c>
      <c r="V31" s="139">
        <f>ROUNDUP($A31/$X31,0)*$X31</f>
        <v>0</v>
      </c>
      <c r="W31" s="139" t="str">
        <f>IF($O$17="","",IF($O$17=1,IF(Info!V7=1,15,60),IF($O$17=2,IF(Info!V7=1,15,45),IF($O$17=3,IF(Info!V7=1,15,45),IF($O$17=4,IF(Info!V7=1,15,30),"")))))</f>
        <v/>
      </c>
      <c r="X31" s="139">
        <v>3</v>
      </c>
      <c r="Y31" t="s">
        <v>401</v>
      </c>
      <c r="Z31" t="s">
        <v>402</v>
      </c>
      <c r="AA31" t="s">
        <v>403</v>
      </c>
      <c r="AB31" t="s">
        <v>404</v>
      </c>
      <c r="AC31" t="s">
        <v>405</v>
      </c>
      <c r="AD31" t="s">
        <v>406</v>
      </c>
      <c r="AE31" t="s">
        <v>407</v>
      </c>
      <c r="AF31"/>
      <c r="AG31" s="59" t="e" vm="2">
        <f>VLOOKUP(Y31,Y31:AF31,$O$16,FALSE)</f>
        <v>#VALUE!</v>
      </c>
      <c r="AH31" s="59" t="s">
        <v>408</v>
      </c>
      <c r="AI31" t="s">
        <v>409</v>
      </c>
      <c r="AJ31" t="s">
        <v>410</v>
      </c>
      <c r="AK31" t="s">
        <v>411</v>
      </c>
      <c r="AL31" t="s">
        <v>412</v>
      </c>
      <c r="AM31" t="s">
        <v>413</v>
      </c>
      <c r="AN31" t="s">
        <v>414</v>
      </c>
      <c r="AO31" t="s">
        <v>415</v>
      </c>
      <c r="AP31"/>
      <c r="AQ31" s="59" t="e" vm="2">
        <f>VLOOKUP(AI31,AI31:AP31,$O$16,FALSE)</f>
        <v>#VALUE!</v>
      </c>
      <c r="AR31" s="59" t="s">
        <v>416</v>
      </c>
      <c r="AS31" t="s">
        <v>417</v>
      </c>
      <c r="AT31">
        <v>210100</v>
      </c>
      <c r="AU31" t="s">
        <v>418</v>
      </c>
      <c r="AV31" t="s">
        <v>419</v>
      </c>
      <c r="AW31" t="s">
        <v>420</v>
      </c>
      <c r="AX31" t="s">
        <v>421</v>
      </c>
      <c r="AY31" t="s">
        <v>422</v>
      </c>
      <c r="AZ31">
        <v>572231</v>
      </c>
      <c r="BA31" s="59" t="e" vm="2">
        <f t="shared" ref="BA31:BA35" si="0">VLOOKUP(AS31,AS31:AZ31,$O$16,FALSE)</f>
        <v>#VALUE!</v>
      </c>
      <c r="BB31" s="59" t="s">
        <v>423</v>
      </c>
      <c r="BC31" t="s">
        <v>424</v>
      </c>
      <c r="BD31" t="s">
        <v>425</v>
      </c>
      <c r="BE31" t="s">
        <v>426</v>
      </c>
      <c r="BF31" t="s">
        <v>427</v>
      </c>
      <c r="BG31" t="s">
        <v>428</v>
      </c>
      <c r="BH31" t="s">
        <v>429</v>
      </c>
      <c r="BI31" t="s">
        <v>430</v>
      </c>
      <c r="BJ31"/>
      <c r="BK31" s="59" t="e" vm="2">
        <f t="shared" ref="BK31:BK33" si="1">VLOOKUP(BC31,BC31:BJ31,$O$16,FALSE)</f>
        <v>#VALUE!</v>
      </c>
      <c r="BL31" s="59" t="s">
        <v>431</v>
      </c>
      <c r="BM31"/>
      <c r="BN31"/>
      <c r="BO31"/>
      <c r="BP31"/>
      <c r="BQ31"/>
      <c r="BR31"/>
      <c r="BS31"/>
      <c r="BT31"/>
      <c r="BU31" s="59"/>
      <c r="BV31" s="59"/>
      <c r="BW31"/>
      <c r="BX31"/>
      <c r="BY31"/>
      <c r="BZ31"/>
      <c r="CA31"/>
      <c r="CB31"/>
      <c r="CC31"/>
      <c r="CD31"/>
      <c r="CE31" s="59"/>
      <c r="CF31" s="59"/>
      <c r="CG31"/>
      <c r="CH31"/>
      <c r="CI31"/>
      <c r="CJ31"/>
      <c r="CK31"/>
      <c r="CL31"/>
      <c r="CM31"/>
      <c r="CN31"/>
      <c r="CO31" s="59"/>
      <c r="CP31" s="59"/>
      <c r="CQ31"/>
      <c r="CR31"/>
      <c r="CS31"/>
      <c r="CT31"/>
      <c r="CU31"/>
      <c r="CV31"/>
      <c r="CW31"/>
      <c r="CX31"/>
      <c r="CY31" s="59"/>
      <c r="CZ31" s="59"/>
      <c r="DI31" s="59"/>
      <c r="DJ31" s="59"/>
      <c r="FE31" s="637" t="str">
        <f>VLOOKUP(2227,Sprachindex!$A:$Z,Info!$O$7,FALSE)</f>
        <v>Dachrinne 3 m</v>
      </c>
      <c r="FF31" s="638"/>
      <c r="FG31" s="638"/>
      <c r="FH31" s="638"/>
      <c r="FI31" s="124"/>
      <c r="FJ31" s="240"/>
      <c r="FK31" s="241">
        <v>14.17</v>
      </c>
      <c r="FL31" s="242"/>
      <c r="FM31" s="240"/>
      <c r="FN31" s="243">
        <v>14.52</v>
      </c>
      <c r="FO31" s="242"/>
      <c r="FP31" s="240"/>
      <c r="FQ31" s="244">
        <v>14.62</v>
      </c>
      <c r="FR31" s="242">
        <v>15.61</v>
      </c>
      <c r="FS31" s="245">
        <v>21.56</v>
      </c>
      <c r="FT31" s="248" t="str">
        <f>IF(O17=1,FK31,IF(O17=2,FN31,IF(O17=3,FQ31,IF(O17=4,FS31," "))))</f>
        <v xml:space="preserve"> </v>
      </c>
      <c r="FU31" s="209"/>
      <c r="FV31" s="209"/>
      <c r="FW31" s="179"/>
    </row>
    <row r="32" spans="1:179" ht="32.1" customHeight="1">
      <c r="A32" s="103"/>
      <c r="B32" s="76" t="s">
        <v>432</v>
      </c>
      <c r="C32" s="101"/>
      <c r="D32" s="75" t="str">
        <f>IF($O$17=1,AG32,IF($O$17=2,AQ32,IF($O$17=3,BA32,IF($O$17=4,BK32,""))))</f>
        <v/>
      </c>
      <c r="E32" s="701" t="str">
        <f>IF(Info!O7=2,VLOOKUP(2228,Sprachindex!$A:$Z,Info!$O$7,FALSE),VLOOKUP(2229,Sprachindex!$A:$Z,Info!$O$7,FALSE))</f>
        <v>Dachrinne 6 m</v>
      </c>
      <c r="F32" s="702"/>
      <c r="G32" s="702"/>
      <c r="H32" s="702"/>
      <c r="I32" s="160"/>
      <c r="J32" s="709"/>
      <c r="K32" s="710"/>
      <c r="L32" s="76" t="str">
        <f>IF(OR(A32="",W32="",X32="")," ",IF($O$11=1,$U32,IF($O$11=2,V32,"")))</f>
        <v xml:space="preserve"> </v>
      </c>
      <c r="M32" s="405" t="str">
        <f>B32</f>
        <v>lfm</v>
      </c>
      <c r="N32" s="77"/>
      <c r="O32" s="184" t="str">
        <f>IF(ISNUMBER(A32),FT32*L32," ")</f>
        <v xml:space="preserve"> </v>
      </c>
      <c r="T32" s="68"/>
      <c r="U32" s="139">
        <f>ROUNDUP($A32/$W32,0)*$W32</f>
        <v>0</v>
      </c>
      <c r="V32" s="139">
        <f>ROUNDUP($A32/$X32,0)*$X32</f>
        <v>0</v>
      </c>
      <c r="W32" s="139">
        <f>IF($O$17="","",IF(Info!V7=1,25,30))</f>
        <v>30</v>
      </c>
      <c r="X32" s="139">
        <f>IF(Info!V7=2,5,6)</f>
        <v>6</v>
      </c>
      <c r="Y32" t="s">
        <v>433</v>
      </c>
      <c r="Z32" t="s">
        <v>434</v>
      </c>
      <c r="AA32" t="s">
        <v>435</v>
      </c>
      <c r="AB32" t="s">
        <v>436</v>
      </c>
      <c r="AC32" t="s">
        <v>437</v>
      </c>
      <c r="AD32" t="s">
        <v>438</v>
      </c>
      <c r="AE32" t="s">
        <v>439</v>
      </c>
      <c r="AF32"/>
      <c r="AG32" s="59" t="e" vm="2">
        <f t="shared" ref="AG32:AG61" si="2">VLOOKUP(Y32,Y32:AF32,$O$16,FALSE)</f>
        <v>#VALUE!</v>
      </c>
      <c r="AH32" s="59" t="s">
        <v>440</v>
      </c>
      <c r="AI32" t="s">
        <v>441</v>
      </c>
      <c r="AJ32" t="s">
        <v>442</v>
      </c>
      <c r="AK32" t="s">
        <v>443</v>
      </c>
      <c r="AL32" t="s">
        <v>444</v>
      </c>
      <c r="AM32" t="s">
        <v>445</v>
      </c>
      <c r="AN32" t="s">
        <v>446</v>
      </c>
      <c r="AO32" t="s">
        <v>447</v>
      </c>
      <c r="AP32"/>
      <c r="AQ32" s="59" t="e" vm="2">
        <f>VLOOKUP(AI32,AI32:AP32,$O$16,FALSE)</f>
        <v>#VALUE!</v>
      </c>
      <c r="AR32" s="59" t="s">
        <v>448</v>
      </c>
      <c r="AS32" t="s">
        <v>449</v>
      </c>
      <c r="AT32" t="s">
        <v>450</v>
      </c>
      <c r="AU32" t="s">
        <v>451</v>
      </c>
      <c r="AV32" t="s">
        <v>452</v>
      </c>
      <c r="AW32" t="s">
        <v>453</v>
      </c>
      <c r="AX32" t="s">
        <v>454</v>
      </c>
      <c r="AY32" t="s">
        <v>455</v>
      </c>
      <c r="AZ32">
        <v>572031</v>
      </c>
      <c r="BA32" s="59" t="e" vm="2">
        <f t="shared" si="0"/>
        <v>#VALUE!</v>
      </c>
      <c r="BB32" s="59" t="s">
        <v>456</v>
      </c>
      <c r="BC32" t="s">
        <v>457</v>
      </c>
      <c r="BD32" t="s">
        <v>458</v>
      </c>
      <c r="BE32" t="s">
        <v>459</v>
      </c>
      <c r="BF32" t="s">
        <v>460</v>
      </c>
      <c r="BG32" t="s">
        <v>461</v>
      </c>
      <c r="BH32" t="s">
        <v>462</v>
      </c>
      <c r="BI32" t="s">
        <v>463</v>
      </c>
      <c r="BJ32"/>
      <c r="BK32" s="59" t="e" vm="2">
        <f t="shared" si="1"/>
        <v>#VALUE!</v>
      </c>
      <c r="BL32" s="59" t="s">
        <v>464</v>
      </c>
      <c r="BM32"/>
      <c r="BN32"/>
      <c r="BO32"/>
      <c r="BP32"/>
      <c r="BQ32"/>
      <c r="BR32"/>
      <c r="BS32"/>
      <c r="BT32"/>
      <c r="BU32" s="59"/>
      <c r="BV32" s="59"/>
      <c r="BW32"/>
      <c r="BX32"/>
      <c r="BY32"/>
      <c r="BZ32"/>
      <c r="CA32"/>
      <c r="CB32"/>
      <c r="CC32"/>
      <c r="CD32"/>
      <c r="CE32" s="59"/>
      <c r="CF32" s="59"/>
      <c r="CG32"/>
      <c r="CH32"/>
      <c r="CI32"/>
      <c r="CJ32"/>
      <c r="CK32"/>
      <c r="CL32"/>
      <c r="CM32"/>
      <c r="CN32"/>
      <c r="CO32" s="59"/>
      <c r="CP32" s="59"/>
      <c r="CQ32"/>
      <c r="CR32"/>
      <c r="CS32"/>
      <c r="CT32"/>
      <c r="CU32"/>
      <c r="CV32"/>
      <c r="CW32"/>
      <c r="CX32"/>
      <c r="CY32" s="59"/>
      <c r="CZ32" s="59"/>
      <c r="DI32" s="59"/>
      <c r="DJ32" s="59"/>
      <c r="FE32" s="701" t="str">
        <f>IF(Info!EB7=1,VLOOKUP(2228,Sprachindex!$A:$Z,Info!$O$7,FALSE),VLOOKUP(2229,Sprachindex!$A:$Z,Info!$O$7,FALSE))</f>
        <v>Dachrinne 6 m</v>
      </c>
      <c r="FF32" s="702"/>
      <c r="FG32" s="702"/>
      <c r="FH32" s="702"/>
      <c r="FI32" s="160"/>
      <c r="FJ32" s="219"/>
      <c r="FK32" s="210">
        <v>14.17</v>
      </c>
      <c r="FL32" s="220"/>
      <c r="FM32" s="219"/>
      <c r="FN32" s="211">
        <v>14.52</v>
      </c>
      <c r="FO32" s="220"/>
      <c r="FP32" s="219"/>
      <c r="FQ32" s="215">
        <v>14.62</v>
      </c>
      <c r="FR32" s="220"/>
      <c r="FS32" s="234">
        <v>21.56</v>
      </c>
      <c r="FT32" s="248" t="str">
        <f>IF($O$17=1,FK32,IF($O$17=2,FN32,IF($O$17=3,FQ32,IF($O$17=4,FS32," "))))</f>
        <v xml:space="preserve"> </v>
      </c>
      <c r="FU32" s="209"/>
      <c r="FV32" s="209"/>
      <c r="FW32" s="179"/>
    </row>
    <row r="33" spans="1:200" ht="32.1" customHeight="1">
      <c r="A33" s="103"/>
      <c r="B33" s="76" t="str">
        <f>VLOOKUP(878,Sprachindex!$A:$Z,Info!$O$7,FALSE)</f>
        <v>Stk.</v>
      </c>
      <c r="C33" s="101"/>
      <c r="D33" s="75" t="str">
        <f>IF(AND($O$17=1,J33=Formeln_RI_P.10!E160),AG33,IF(AND($O$17=2,J33=Formeln_RI_P.10!E160),BA33,IF(AND($O$17=3,J33=Formeln_RI_P.10!E160),CE33,IF(AND($O$17=4,J33=Formeln_RI_P.10!E160),DI33,IF(AND($O$17=1,J33=Formeln_RI_P.10!E161),AQ33,IF(AND($O$17=2,J33=Formeln_RI_P.10!E161),BK33,IF(AND($O$17=3,J33=Formeln_RI_P.10!E161),CO33,IF(AND($O$17=2,J33=Formeln_RI_P.10!E162),BU33,IF(AND($O$17=3,J33=Formeln_RI_P.10!E162),CY33,"")))))))))</f>
        <v/>
      </c>
      <c r="E33" s="618" t="str">
        <f>VLOOKUP(711,Sprachindex!$A:$Z,Info!$O$7,FALSE)</f>
        <v>Rinnenhaken</v>
      </c>
      <c r="F33" s="619"/>
      <c r="G33" s="619"/>
      <c r="H33" s="619"/>
      <c r="I33" s="81" t="str">
        <f>VLOOKUP(556,Sprachindex!$A:$Z,Info!$O$7,FALSE)</f>
        <v>Länge wählen:</v>
      </c>
      <c r="J33" s="631"/>
      <c r="K33" s="632"/>
      <c r="L33" s="76" t="str">
        <f>IF(OR(A33="",W33="",X33="")," ",IF($O$11=1,U33,IF($O$11=2,V33,"")))</f>
        <v xml:space="preserve"> </v>
      </c>
      <c r="M33" s="405" t="str">
        <f t="shared" ref="M33:M95" si="3">B33</f>
        <v>Stk.</v>
      </c>
      <c r="N33" s="77"/>
      <c r="O33" s="184" t="str">
        <f>IF(ISNUMBER(A33),FT33*L33," ")</f>
        <v xml:space="preserve"> </v>
      </c>
      <c r="T33" s="68"/>
      <c r="U33" s="139" t="e">
        <f t="shared" ref="U33:V36" si="4">ROUNDUP($A33/W33,0)*W33</f>
        <v>#VALUE!</v>
      </c>
      <c r="V33" s="139">
        <f t="shared" si="4"/>
        <v>0</v>
      </c>
      <c r="W33" s="139" t="str">
        <f>IF(AND($O$17=1,$J33=VLOOKUP(635,Sprachindex!$A:$Z,Info!$O$7,FALSE)),35,IF(AND($O$17=1,$J33=VLOOKUP(547,Sprachindex!$A:$Z,Info!$O$7,FALSE)),35,IF(AND($O$17=2,$J33=VLOOKUP(635,Sprachindex!$A:$Z,Info!$O$7,FALSE)),30,IF(AND($O$17=2,$J33=VLOOKUP(547,Sprachindex!$A:$Z,Info!$O$7,FALSE)),30,IF(AND($O$17=2,$J33=VLOOKUP(551,Sprachindex!$A:$Z,Info!$O$7,FALSE)),24,IF(AND($O$17=3,$J33=VLOOKUP(635,Sprachindex!$A:$Z,Info!$O$7,FALSE)),30,IF(AND($O$17=3,$J33=VLOOKUP(547,Sprachindex!$A:$Z,Info!$O$7,FALSE)),30,IF(AND($O$17=3,$J33=VLOOKUP(551,Sprachindex!$A:$Z,Info!$O$7,FALSE)),24,IF(AND($O$17=4,$J33=VLOOKUP(635,Sprachindex!$A:$Z,Info!$O$7,FALSE)),18,"")))))))))</f>
        <v/>
      </c>
      <c r="X33" s="139">
        <v>1</v>
      </c>
      <c r="Y33" t="s">
        <v>466</v>
      </c>
      <c r="Z33" t="s">
        <v>467</v>
      </c>
      <c r="AA33" t="s">
        <v>468</v>
      </c>
      <c r="AB33" t="s">
        <v>469</v>
      </c>
      <c r="AC33" t="s">
        <v>470</v>
      </c>
      <c r="AD33" t="s">
        <v>471</v>
      </c>
      <c r="AE33" t="s">
        <v>472</v>
      </c>
      <c r="AF33"/>
      <c r="AG33" s="59" t="e" vm="2">
        <f t="shared" si="2"/>
        <v>#VALUE!</v>
      </c>
      <c r="AH33" s="60" t="s">
        <v>473</v>
      </c>
      <c r="AI33" t="s">
        <v>474</v>
      </c>
      <c r="AJ33" t="s">
        <v>475</v>
      </c>
      <c r="AK33" t="s">
        <v>476</v>
      </c>
      <c r="AL33" t="s">
        <v>477</v>
      </c>
      <c r="AM33" t="s">
        <v>478</v>
      </c>
      <c r="AN33" t="s">
        <v>479</v>
      </c>
      <c r="AO33" t="s">
        <v>480</v>
      </c>
      <c r="AP33"/>
      <c r="AQ33" s="59" t="e" vm="2">
        <f>VLOOKUP(AI33,AI33:AP33,$O$16,FALSE)</f>
        <v>#VALUE!</v>
      </c>
      <c r="AR33" s="60" t="s">
        <v>481</v>
      </c>
      <c r="AS33" t="s">
        <v>482</v>
      </c>
      <c r="AT33" t="s">
        <v>483</v>
      </c>
      <c r="AU33" t="s">
        <v>484</v>
      </c>
      <c r="AV33" t="s">
        <v>485</v>
      </c>
      <c r="AW33" t="s">
        <v>486</v>
      </c>
      <c r="AX33" t="s">
        <v>487</v>
      </c>
      <c r="AY33" t="s">
        <v>488</v>
      </c>
      <c r="AZ33"/>
      <c r="BA33" s="59" t="e" vm="2">
        <f t="shared" si="0"/>
        <v>#VALUE!</v>
      </c>
      <c r="BB33" s="60" t="s">
        <v>489</v>
      </c>
      <c r="BC33" t="s">
        <v>490</v>
      </c>
      <c r="BD33" t="s">
        <v>491</v>
      </c>
      <c r="BE33" t="s">
        <v>492</v>
      </c>
      <c r="BF33" t="s">
        <v>493</v>
      </c>
      <c r="BG33" t="s">
        <v>494</v>
      </c>
      <c r="BH33" t="s">
        <v>495</v>
      </c>
      <c r="BI33" t="s">
        <v>496</v>
      </c>
      <c r="BJ33"/>
      <c r="BK33" s="59" t="e" vm="2">
        <f t="shared" si="1"/>
        <v>#VALUE!</v>
      </c>
      <c r="BL33" s="60" t="s">
        <v>497</v>
      </c>
      <c r="BM33" t="s">
        <v>498</v>
      </c>
      <c r="BN33" t="s">
        <v>499</v>
      </c>
      <c r="BO33" t="s">
        <v>500</v>
      </c>
      <c r="BP33" t="s">
        <v>501</v>
      </c>
      <c r="BQ33" t="s">
        <v>502</v>
      </c>
      <c r="BR33" t="s">
        <v>503</v>
      </c>
      <c r="BS33" t="s">
        <v>504</v>
      </c>
      <c r="BT33"/>
      <c r="BU33" s="59" t="e" vm="2">
        <f t="shared" ref="BU33" si="5">VLOOKUP(BM33,BM33:BT33,$O$16,FALSE)</f>
        <v>#VALUE!</v>
      </c>
      <c r="BV33" s="60" t="s">
        <v>505</v>
      </c>
      <c r="BW33" t="s">
        <v>506</v>
      </c>
      <c r="BX33" t="s">
        <v>507</v>
      </c>
      <c r="BY33" t="s">
        <v>508</v>
      </c>
      <c r="BZ33" t="s">
        <v>509</v>
      </c>
      <c r="CA33" t="s">
        <v>510</v>
      </c>
      <c r="CB33" t="s">
        <v>511</v>
      </c>
      <c r="CC33" t="s">
        <v>512</v>
      </c>
      <c r="CD33">
        <v>521034</v>
      </c>
      <c r="CE33" s="59" t="e" vm="2">
        <f t="shared" ref="CE33" si="6">VLOOKUP(BW33,BW33:CD33,$O$16,FALSE)</f>
        <v>#VALUE!</v>
      </c>
      <c r="CF33" s="60" t="s">
        <v>513</v>
      </c>
      <c r="CG33">
        <v>201721</v>
      </c>
      <c r="CH33">
        <v>201720</v>
      </c>
      <c r="CI33">
        <v>201724</v>
      </c>
      <c r="CJ33">
        <v>201722</v>
      </c>
      <c r="CK33">
        <v>201725</v>
      </c>
      <c r="CL33">
        <v>201726</v>
      </c>
      <c r="CM33">
        <v>201723</v>
      </c>
      <c r="CN33">
        <v>521234</v>
      </c>
      <c r="CO33" s="59" t="e" vm="2">
        <f t="shared" ref="CO33" si="7">VLOOKUP(CG33,CG33:CN33,$O$16,FALSE)</f>
        <v>#VALUE!</v>
      </c>
      <c r="CP33" s="60" t="s">
        <v>514</v>
      </c>
      <c r="CQ33" t="s">
        <v>515</v>
      </c>
      <c r="CR33" t="s">
        <v>516</v>
      </c>
      <c r="CS33" t="s">
        <v>517</v>
      </c>
      <c r="CT33" t="s">
        <v>518</v>
      </c>
      <c r="CU33" t="s">
        <v>519</v>
      </c>
      <c r="CV33" t="s">
        <v>520</v>
      </c>
      <c r="CW33" t="s">
        <v>521</v>
      </c>
      <c r="CX33">
        <v>521134</v>
      </c>
      <c r="CY33" s="59" t="e" vm="2">
        <f t="shared" ref="CY33" si="8">VLOOKUP(CQ33,CQ33:CX33,$O$16,FALSE)</f>
        <v>#VALUE!</v>
      </c>
      <c r="CZ33" s="60" t="s">
        <v>522</v>
      </c>
      <c r="DA33" t="s">
        <v>523</v>
      </c>
      <c r="DB33" t="s">
        <v>524</v>
      </c>
      <c r="DC33" t="s">
        <v>525</v>
      </c>
      <c r="DD33" t="s">
        <v>526</v>
      </c>
      <c r="DE33" t="s">
        <v>527</v>
      </c>
      <c r="DF33" t="s">
        <v>528</v>
      </c>
      <c r="DG33" t="s">
        <v>529</v>
      </c>
      <c r="DH33"/>
      <c r="DI33" s="59" t="e" vm="2">
        <f t="shared" ref="DI33" si="9">VLOOKUP(DA33,DA33:DH33,$O$16,FALSE)</f>
        <v>#VALUE!</v>
      </c>
      <c r="DJ33" s="60" t="s">
        <v>530</v>
      </c>
      <c r="FE33" s="618" t="str">
        <f>VLOOKUP(711,Sprachindex!$A:$Z,Info!$O$7,FALSE)</f>
        <v>Rinnenhaken</v>
      </c>
      <c r="FF33" s="619"/>
      <c r="FG33" s="619"/>
      <c r="FH33" s="619"/>
      <c r="FI33" s="81" t="str">
        <f>VLOOKUP(556,Sprachindex!$A:$Z,Info!$O$7,FALSE)</f>
        <v>Länge wählen:</v>
      </c>
      <c r="FJ33" s="236">
        <v>7.31</v>
      </c>
      <c r="FK33" s="210">
        <v>8.83</v>
      </c>
      <c r="FL33" s="220"/>
      <c r="FM33" s="221">
        <v>7.44</v>
      </c>
      <c r="FN33" s="217">
        <v>8.9600000000000009</v>
      </c>
      <c r="FO33" s="222">
        <v>10.26</v>
      </c>
      <c r="FP33" s="228">
        <v>7.56</v>
      </c>
      <c r="FQ33" s="215">
        <v>9.0500000000000007</v>
      </c>
      <c r="FR33" s="229">
        <v>10.41</v>
      </c>
      <c r="FS33" s="234">
        <v>11.56</v>
      </c>
      <c r="FT33" s="248" t="str">
        <f>IF(O17=1,FU33,IF(O17=2,FV33,IF(O17=3,FW33,IF(O17=4,FS33," "))))</f>
        <v xml:space="preserve"> </v>
      </c>
      <c r="FU33" s="206" t="str">
        <f>IF(J33=FJ30,FJ33,IF(J33=FK30,FK33," "))</f>
        <v xml:space="preserve"> </v>
      </c>
      <c r="FV33" s="207" t="str">
        <f>IF(J33=FM30,FM33,IF(J33=FN30,FN33,IF(J33=FO30,FO33," ")))</f>
        <v xml:space="preserve"> </v>
      </c>
      <c r="FW33" s="208" t="str">
        <f>IF(J33=FP30,FP33,IF(J33=FQ30,FQ33,IF(J33=FR30,FR33," ")))</f>
        <v xml:space="preserve"> </v>
      </c>
    </row>
    <row r="34" spans="1:200" ht="32.1" customHeight="1">
      <c r="A34" s="104"/>
      <c r="B34" s="115" t="str">
        <f>VLOOKUP(878,Sprachindex!$A:$Z,Info!$O$7,FALSE)</f>
        <v>Stk.</v>
      </c>
      <c r="C34" s="106"/>
      <c r="D34" s="106" t="str">
        <f>IF(O17=2,AQ34,IF(O17=3,BA34,IF(O17=1,AG34,"")))</f>
        <v/>
      </c>
      <c r="E34" s="703" t="str">
        <f>VLOOKUP(876,Sprachindex!$A:$Z,Info!$O$7,FALSE)</f>
        <v>Stirnbretthaken für Dachrinnen</v>
      </c>
      <c r="F34" s="704"/>
      <c r="G34" s="704"/>
      <c r="H34" s="704"/>
      <c r="I34" s="704"/>
      <c r="J34" s="709" t="str">
        <f>IF(O17=0,"",IF(O17=1,L21,IF(O17=2,L22,IF(O17=3,M21,Formeln_RI_P.10!A169))))</f>
        <v/>
      </c>
      <c r="K34" s="710"/>
      <c r="L34" s="76" t="str">
        <f>IF(OR(A34="",W34="",X34="")," ",IF($O$11=1,U34,IF($O$11=2,V34,"")))</f>
        <v xml:space="preserve"> </v>
      </c>
      <c r="M34" s="405" t="str">
        <f t="shared" si="3"/>
        <v>Stk.</v>
      </c>
      <c r="N34" s="77"/>
      <c r="O34" s="184" t="str">
        <f>IF(ISNUMBER(L34),FT34*L34," ")</f>
        <v xml:space="preserve"> </v>
      </c>
      <c r="T34" s="68"/>
      <c r="U34" s="139" t="e">
        <f t="shared" si="4"/>
        <v>#VALUE!</v>
      </c>
      <c r="V34" s="139">
        <f t="shared" si="4"/>
        <v>0</v>
      </c>
      <c r="W34" s="139" t="str">
        <f>IF($O$17=1,10,IF($O$17=2,10,IF($O$17=3,10,"")))</f>
        <v/>
      </c>
      <c r="X34" s="139">
        <v>1</v>
      </c>
      <c r="Y34" t="s">
        <v>531</v>
      </c>
      <c r="Z34" t="s">
        <v>532</v>
      </c>
      <c r="AA34" t="s">
        <v>533</v>
      </c>
      <c r="AB34" t="s">
        <v>534</v>
      </c>
      <c r="AC34" t="s">
        <v>535</v>
      </c>
      <c r="AD34" t="s">
        <v>536</v>
      </c>
      <c r="AE34" t="s">
        <v>537</v>
      </c>
      <c r="AF34"/>
      <c r="AG34" s="59" t="e" vm="2">
        <f t="shared" si="2"/>
        <v>#VALUE!</v>
      </c>
      <c r="AH34" s="60" t="s">
        <v>538</v>
      </c>
      <c r="AI34" t="s">
        <v>539</v>
      </c>
      <c r="AJ34" t="s">
        <v>540</v>
      </c>
      <c r="AK34" t="s">
        <v>541</v>
      </c>
      <c r="AL34" t="s">
        <v>542</v>
      </c>
      <c r="AM34" t="s">
        <v>543</v>
      </c>
      <c r="AN34" t="s">
        <v>544</v>
      </c>
      <c r="AO34" t="s">
        <v>545</v>
      </c>
      <c r="AP34"/>
      <c r="AQ34" s="59" t="e" vm="2">
        <f>VLOOKUP(AI34,AI34:AP34,$O$16,FALSE)</f>
        <v>#VALUE!</v>
      </c>
      <c r="AR34" s="60" t="s">
        <v>546</v>
      </c>
      <c r="AS34" t="s">
        <v>547</v>
      </c>
      <c r="AT34" t="s">
        <v>548</v>
      </c>
      <c r="AU34">
        <v>201764</v>
      </c>
      <c r="AV34" t="s">
        <v>549</v>
      </c>
      <c r="AW34" t="s">
        <v>550</v>
      </c>
      <c r="AX34" t="s">
        <v>551</v>
      </c>
      <c r="AY34" t="s">
        <v>552</v>
      </c>
      <c r="AZ34">
        <v>521542</v>
      </c>
      <c r="BA34" s="59" t="e" vm="2">
        <f t="shared" si="0"/>
        <v>#VALUE!</v>
      </c>
      <c r="BB34" s="60" t="s">
        <v>553</v>
      </c>
      <c r="FE34" s="703" t="str">
        <f>VLOOKUP(876,Sprachindex!$A:$Z,Info!$O$7,FALSE)</f>
        <v>Stirnbretthaken für Dachrinnen</v>
      </c>
      <c r="FF34" s="704"/>
      <c r="FG34" s="704"/>
      <c r="FH34" s="704"/>
      <c r="FI34" s="704"/>
      <c r="FJ34" s="219"/>
      <c r="FK34" s="210">
        <v>8.9600000000000009</v>
      </c>
      <c r="FL34" s="220"/>
      <c r="FM34" s="219"/>
      <c r="FN34" s="217">
        <v>6.77</v>
      </c>
      <c r="FO34" s="220"/>
      <c r="FP34" s="219"/>
      <c r="FQ34" s="215">
        <v>8.51</v>
      </c>
      <c r="FR34" s="220"/>
      <c r="FS34" s="233"/>
      <c r="FT34" s="248" t="str">
        <f>IF(O17=1,FK34,IF(O17=2,FN34,IF(O17=3,FQ34," ")))</f>
        <v xml:space="preserve"> </v>
      </c>
      <c r="FU34" s="209"/>
      <c r="FV34" s="209"/>
      <c r="FW34" s="179"/>
    </row>
    <row r="35" spans="1:200" ht="32.1" customHeight="1">
      <c r="A35" s="104"/>
      <c r="B35" s="115" t="str">
        <f>VLOOKUP(878,Sprachindex!$A:$Z,Info!$O$7,FALSE)</f>
        <v>Stk.</v>
      </c>
      <c r="C35" s="105"/>
      <c r="D35" s="105" t="str">
        <f>IF(AND(O17=3,J35=Formeln_RI_P.10!E171),AG35,IF(AND(O17=3,J35=Formeln_RI_P.10!E172),AQ35,IF(AND(O17=4,J35=Formeln_RI_P.10!E171),BA35,IF(AND(O17=2,J35=Formeln_RI_P.10!E171),BK35,""))))</f>
        <v/>
      </c>
      <c r="E35" s="703" t="str">
        <f>VLOOKUP(714,Sprachindex!$A:$Z,Info!$O$7,FALSE)</f>
        <v>Rinnenhaken hochkant</v>
      </c>
      <c r="F35" s="704"/>
      <c r="G35" s="704"/>
      <c r="H35" s="704"/>
      <c r="I35" s="107" t="str">
        <f>VLOOKUP(556,Sprachindex!$A:$Z,Info!$O$7,FALSE)</f>
        <v>Länge wählen:</v>
      </c>
      <c r="J35" s="631"/>
      <c r="K35" s="706"/>
      <c r="L35" s="76" t="str">
        <f>IF(OR(A35="",W35="",X35="")," ",IF($O$11=1,U35,IF($O$11=2,V35,"")))</f>
        <v xml:space="preserve"> </v>
      </c>
      <c r="M35" s="405" t="str">
        <f t="shared" si="3"/>
        <v>Stk.</v>
      </c>
      <c r="N35" s="77"/>
      <c r="O35" s="184" t="str">
        <f>IF(ISNUMBER(L35),FT35*L35," ")</f>
        <v xml:space="preserve"> </v>
      </c>
      <c r="T35" s="68"/>
      <c r="U35" s="139" t="str">
        <f>IF(ISNUMBER(W35),ROUNDUP($A35/W35,0)*W35," ")</f>
        <v xml:space="preserve"> </v>
      </c>
      <c r="V35" s="139">
        <f t="shared" si="4"/>
        <v>0</v>
      </c>
      <c r="W35" s="139" t="str">
        <f>IF($O$17=1,"",IF(AND($O$17=2,$J35=VLOOKUP(635,Sprachindex!$A:$Z,Info!$O$7,FALSE)),10,IF(AND($O$17=3,$J35=VLOOKUP(635,Sprachindex!$A:$Z,Info!$O$7,FALSE)),24,IF(AND($O$17=3,$J35=VLOOKUP(547,Sprachindex!$A:$Z,Info!$O$7,FALSE)),24,IF(AND($O$17=4,$J35=VLOOKUP(635,Sprachindex!$A:$Z,Info!$O$7,FALSE)),16,"")))))</f>
        <v/>
      </c>
      <c r="X35" s="139">
        <v>1</v>
      </c>
      <c r="Y35" t="s">
        <v>554</v>
      </c>
      <c r="Z35" t="s">
        <v>555</v>
      </c>
      <c r="AA35" t="s">
        <v>556</v>
      </c>
      <c r="AB35" t="s">
        <v>557</v>
      </c>
      <c r="AC35" t="s">
        <v>558</v>
      </c>
      <c r="AD35" t="s">
        <v>559</v>
      </c>
      <c r="AE35" t="s">
        <v>560</v>
      </c>
      <c r="AF35">
        <v>522015</v>
      </c>
      <c r="AG35" s="59" t="e" vm="2">
        <f t="shared" si="2"/>
        <v>#VALUE!</v>
      </c>
      <c r="AH35" s="60" t="s">
        <v>561</v>
      </c>
      <c r="AI35" t="s">
        <v>562</v>
      </c>
      <c r="AJ35" t="s">
        <v>563</v>
      </c>
      <c r="AK35" t="s">
        <v>564</v>
      </c>
      <c r="AL35" t="s">
        <v>565</v>
      </c>
      <c r="AM35" t="s">
        <v>566</v>
      </c>
      <c r="AN35" t="s">
        <v>567</v>
      </c>
      <c r="AO35" t="s">
        <v>568</v>
      </c>
      <c r="AP35">
        <v>522025</v>
      </c>
      <c r="AQ35" s="59" t="e" vm="2">
        <f>VLOOKUP(AI35,AI35:AP35,$O$16,FALSE)</f>
        <v>#VALUE!</v>
      </c>
      <c r="AR35" s="60" t="s">
        <v>569</v>
      </c>
      <c r="AS35" t="s">
        <v>570</v>
      </c>
      <c r="AT35" t="s">
        <v>571</v>
      </c>
      <c r="AU35" t="s">
        <v>572</v>
      </c>
      <c r="AV35" t="s">
        <v>573</v>
      </c>
      <c r="AW35" t="s">
        <v>574</v>
      </c>
      <c r="AX35" t="s">
        <v>575</v>
      </c>
      <c r="AY35" t="s">
        <v>576</v>
      </c>
      <c r="AZ35"/>
      <c r="BA35" s="59" t="e" vm="2">
        <f t="shared" si="0"/>
        <v>#VALUE!</v>
      </c>
      <c r="BB35" s="60" t="s">
        <v>577</v>
      </c>
      <c r="BC35"/>
      <c r="BD35"/>
      <c r="BE35"/>
      <c r="BF35"/>
      <c r="BG35"/>
      <c r="BH35"/>
      <c r="BI35"/>
      <c r="BJ35"/>
      <c r="BK35" s="59" t="e">
        <f>VLOOKUP(BC35,BC35:BJ35,$O$16,FALSE)</f>
        <v>#N/A</v>
      </c>
      <c r="BL35" s="60" t="s">
        <v>578</v>
      </c>
      <c r="FE35" s="703" t="str">
        <f>VLOOKUP(714,Sprachindex!$A:$Z,Info!$O$7,FALSE)</f>
        <v>Rinnenhaken hochkant</v>
      </c>
      <c r="FF35" s="704"/>
      <c r="FG35" s="704"/>
      <c r="FH35" s="704"/>
      <c r="FI35" s="107" t="str">
        <f>VLOOKUP(556,Sprachindex!$A:$Z,Info!$O$7,FALSE)</f>
        <v>Länge wählen:</v>
      </c>
      <c r="FJ35" s="219"/>
      <c r="FK35" s="214"/>
      <c r="FL35" s="220"/>
      <c r="FM35" s="219"/>
      <c r="FN35" s="211">
        <v>17.05</v>
      </c>
      <c r="FO35" s="220"/>
      <c r="FP35" s="228">
        <v>11.58</v>
      </c>
      <c r="FQ35" s="215">
        <v>12.89</v>
      </c>
      <c r="FR35" s="220"/>
      <c r="FS35" s="234">
        <v>13.16</v>
      </c>
      <c r="FT35" s="248" t="str">
        <f>IF(O17=2,FN35,IF(O17=3,FW35,IF(O17=4,FS35," ")))</f>
        <v xml:space="preserve"> </v>
      </c>
      <c r="FU35" s="209"/>
      <c r="FV35" s="209"/>
      <c r="FW35" s="208" t="str">
        <f>IF(J35=FP30,FP35,IF(J35=FQ30,FQ35," "))</f>
        <v xml:space="preserve"> </v>
      </c>
      <c r="GC35" s="267">
        <f>O17</f>
        <v>0</v>
      </c>
      <c r="GD35" s="1" t="s">
        <v>579</v>
      </c>
    </row>
    <row r="36" spans="1:200" ht="32.1" customHeight="1">
      <c r="A36" s="104"/>
      <c r="B36" s="115" t="str">
        <f>VLOOKUP(878,Sprachindex!$A:$Z,Info!$O$7,FALSE)</f>
        <v>Stk.</v>
      </c>
      <c r="C36" s="105"/>
      <c r="D36" s="105" t="str">
        <f>IF(O17=3,AG36,"")</f>
        <v/>
      </c>
      <c r="E36" s="703" t="str">
        <f>VLOOKUP(715,Sprachindex!$A:$Z,Info!$O$7,FALSE)</f>
        <v>Rinnenhaken Schweiz</v>
      </c>
      <c r="F36" s="704"/>
      <c r="G36" s="704"/>
      <c r="H36" s="704"/>
      <c r="I36" s="107"/>
      <c r="J36" s="709" t="str">
        <f>IF(O17=0,"",IF(O17=3,M21,Formeln_RI_P.10!A169))</f>
        <v/>
      </c>
      <c r="K36" s="710"/>
      <c r="L36" s="76" t="str">
        <f t="shared" ref="L36:L78" si="10">IF(OR(A36="",W36="",X36="")," ",IF($O$11=1,U36,IF($O$11=2,V36,0)))</f>
        <v xml:space="preserve"> </v>
      </c>
      <c r="M36" s="405" t="str">
        <f t="shared" si="3"/>
        <v>Stk.</v>
      </c>
      <c r="N36" s="77"/>
      <c r="O36" s="184" t="str">
        <f>IF(ISNUMBER(L36),FT36*L36," ")</f>
        <v xml:space="preserve"> </v>
      </c>
      <c r="T36" s="68"/>
      <c r="U36" s="139" t="e">
        <f t="shared" si="4"/>
        <v>#VALUE!</v>
      </c>
      <c r="V36" s="139">
        <f t="shared" si="4"/>
        <v>0</v>
      </c>
      <c r="W36" s="139" t="str">
        <f>IF($O$17=3,"24","")</f>
        <v/>
      </c>
      <c r="X36" s="139">
        <v>1</v>
      </c>
      <c r="Y36" t="s">
        <v>580</v>
      </c>
      <c r="Z36" t="s">
        <v>581</v>
      </c>
      <c r="AA36" t="s">
        <v>582</v>
      </c>
      <c r="AB36" t="s">
        <v>583</v>
      </c>
      <c r="AC36" t="s">
        <v>584</v>
      </c>
      <c r="AD36" t="s">
        <v>585</v>
      </c>
      <c r="AE36" t="s">
        <v>586</v>
      </c>
      <c r="AF36">
        <v>522055</v>
      </c>
      <c r="AG36" s="59" t="e" vm="2">
        <f t="shared" si="2"/>
        <v>#VALUE!</v>
      </c>
      <c r="AH36" s="60" t="s">
        <v>561</v>
      </c>
      <c r="FE36" s="703" t="str">
        <f>VLOOKUP(715,Sprachindex!$A:$Z,Info!$O$7,FALSE)</f>
        <v>Rinnenhaken Schweiz</v>
      </c>
      <c r="FF36" s="704"/>
      <c r="FG36" s="704"/>
      <c r="FH36" s="704"/>
      <c r="FI36" s="107"/>
      <c r="FJ36" s="219"/>
      <c r="FK36" s="214"/>
      <c r="FL36" s="220"/>
      <c r="FM36" s="219"/>
      <c r="FN36" s="214"/>
      <c r="FO36" s="220"/>
      <c r="FP36" s="219"/>
      <c r="FQ36" s="212">
        <v>12.89</v>
      </c>
      <c r="FR36" s="220"/>
      <c r="FS36" s="233"/>
      <c r="FT36" s="248" t="str">
        <f>IF(O17=3,FQ36," ")</f>
        <v xml:space="preserve"> </v>
      </c>
      <c r="FU36" s="209"/>
      <c r="FV36" s="209"/>
      <c r="FW36" s="179"/>
      <c r="GC36" s="268">
        <f>O18</f>
        <v>0</v>
      </c>
      <c r="GD36" s="269" t="s">
        <v>587</v>
      </c>
    </row>
    <row r="37" spans="1:200" ht="32.1" customHeight="1">
      <c r="A37" s="103"/>
      <c r="B37" s="76" t="str">
        <f>VLOOKUP(531,Sprachindex!$A:$Z,Info!$O$7,FALSE)</f>
        <v>kg</v>
      </c>
      <c r="C37" s="75"/>
      <c r="D37" s="75">
        <v>350670</v>
      </c>
      <c r="E37" s="618" t="str">
        <f>VLOOKUP(716,Sprachindex!$A:$Z,Info!$O$7,FALSE)</f>
        <v>Rinnenhakennagel (5,0 × 80)</v>
      </c>
      <c r="F37" s="619"/>
      <c r="G37" s="619"/>
      <c r="H37" s="619"/>
      <c r="I37" s="619"/>
      <c r="J37" s="681"/>
      <c r="K37" s="682"/>
      <c r="L37" s="76" t="str">
        <f t="shared" si="10"/>
        <v xml:space="preserve"> </v>
      </c>
      <c r="M37" s="405" t="str">
        <f t="shared" si="3"/>
        <v>kg</v>
      </c>
      <c r="N37" s="77"/>
      <c r="O37" s="184" t="str">
        <f t="shared" ref="O37:O61" si="11">IF(ISNUMBER(A37),FT37*L37," ")</f>
        <v xml:space="preserve"> </v>
      </c>
      <c r="T37" s="68"/>
      <c r="U37" s="139">
        <f>ROUNDUP($A37/$W37,0)*$W37</f>
        <v>0</v>
      </c>
      <c r="V37" s="139">
        <f>ROUNDUP($A37/$X37,0)*$X37</f>
        <v>0</v>
      </c>
      <c r="W37" s="139">
        <v>5</v>
      </c>
      <c r="X37" s="139">
        <v>0.5</v>
      </c>
      <c r="Y37" s="47" t="s">
        <v>94</v>
      </c>
      <c r="Z37" s="47" t="s">
        <v>398</v>
      </c>
      <c r="AA37" s="47" t="s">
        <v>96</v>
      </c>
      <c r="AB37" s="47" t="s">
        <v>99</v>
      </c>
      <c r="AC37" s="47" t="s">
        <v>104</v>
      </c>
      <c r="AD37" s="47" t="s">
        <v>101</v>
      </c>
      <c r="AE37" s="47" t="s">
        <v>399</v>
      </c>
      <c r="AF37" s="47" t="s">
        <v>400</v>
      </c>
      <c r="AG37" s="47"/>
      <c r="AH37" s="59"/>
      <c r="AI37" s="47" t="s">
        <v>94</v>
      </c>
      <c r="AJ37" s="47" t="s">
        <v>398</v>
      </c>
      <c r="AK37" s="47" t="s">
        <v>96</v>
      </c>
      <c r="AL37" s="47" t="s">
        <v>99</v>
      </c>
      <c r="AM37" s="47" t="s">
        <v>104</v>
      </c>
      <c r="AN37" s="47" t="s">
        <v>101</v>
      </c>
      <c r="AO37" s="47" t="s">
        <v>399</v>
      </c>
      <c r="AP37" s="47" t="s">
        <v>400</v>
      </c>
      <c r="AQ37" s="47"/>
      <c r="AR37" s="59"/>
      <c r="AS37" s="47" t="s">
        <v>94</v>
      </c>
      <c r="AT37" s="47" t="s">
        <v>398</v>
      </c>
      <c r="AU37" s="47" t="s">
        <v>96</v>
      </c>
      <c r="AV37" s="47" t="s">
        <v>99</v>
      </c>
      <c r="AW37" s="47" t="s">
        <v>104</v>
      </c>
      <c r="AX37" s="47" t="s">
        <v>101</v>
      </c>
      <c r="AY37" s="47" t="s">
        <v>399</v>
      </c>
      <c r="AZ37" s="47" t="s">
        <v>400</v>
      </c>
      <c r="BA37" s="47"/>
      <c r="BB37" s="59"/>
      <c r="BC37" s="47" t="s">
        <v>94</v>
      </c>
      <c r="BD37" s="47" t="s">
        <v>398</v>
      </c>
      <c r="BE37" s="47" t="s">
        <v>96</v>
      </c>
      <c r="BF37" s="47" t="s">
        <v>99</v>
      </c>
      <c r="BG37" s="47" t="s">
        <v>104</v>
      </c>
      <c r="BH37" s="47" t="s">
        <v>101</v>
      </c>
      <c r="BI37" s="47" t="s">
        <v>399</v>
      </c>
      <c r="BJ37" s="47" t="s">
        <v>400</v>
      </c>
      <c r="BK37" s="47"/>
      <c r="BL37" s="59"/>
      <c r="BM37" s="47" t="s">
        <v>94</v>
      </c>
      <c r="BN37" s="47" t="s">
        <v>398</v>
      </c>
      <c r="BO37" s="47" t="s">
        <v>96</v>
      </c>
      <c r="BP37" s="47" t="s">
        <v>99</v>
      </c>
      <c r="BQ37" s="47" t="s">
        <v>104</v>
      </c>
      <c r="BR37" s="47" t="s">
        <v>101</v>
      </c>
      <c r="BS37" s="47" t="s">
        <v>399</v>
      </c>
      <c r="BT37" s="47" t="s">
        <v>400</v>
      </c>
      <c r="BU37" s="47"/>
      <c r="BV37" s="59"/>
      <c r="BW37" s="47" t="s">
        <v>94</v>
      </c>
      <c r="BX37" s="47" t="s">
        <v>398</v>
      </c>
      <c r="BY37" s="47" t="s">
        <v>96</v>
      </c>
      <c r="BZ37" s="47" t="s">
        <v>99</v>
      </c>
      <c r="CA37" s="47" t="s">
        <v>104</v>
      </c>
      <c r="CB37" s="47" t="s">
        <v>101</v>
      </c>
      <c r="CC37" s="47" t="s">
        <v>399</v>
      </c>
      <c r="CD37" s="47" t="s">
        <v>400</v>
      </c>
      <c r="CE37" s="47"/>
      <c r="CF37" s="59"/>
      <c r="CG37" s="47" t="s">
        <v>94</v>
      </c>
      <c r="CH37" s="47" t="s">
        <v>398</v>
      </c>
      <c r="CI37" s="47" t="s">
        <v>96</v>
      </c>
      <c r="CJ37" s="47" t="s">
        <v>99</v>
      </c>
      <c r="CK37" s="47" t="s">
        <v>104</v>
      </c>
      <c r="CL37" s="47" t="s">
        <v>101</v>
      </c>
      <c r="CM37" s="47" t="s">
        <v>399</v>
      </c>
      <c r="CN37" s="47" t="s">
        <v>400</v>
      </c>
      <c r="CO37" s="47"/>
      <c r="CP37" s="59"/>
      <c r="CQ37" s="47" t="s">
        <v>94</v>
      </c>
      <c r="CR37" s="47" t="s">
        <v>398</v>
      </c>
      <c r="CS37" s="47" t="s">
        <v>96</v>
      </c>
      <c r="CT37" s="47" t="s">
        <v>99</v>
      </c>
      <c r="CU37" s="47" t="s">
        <v>104</v>
      </c>
      <c r="CV37" s="47" t="s">
        <v>101</v>
      </c>
      <c r="CW37" s="47" t="s">
        <v>399</v>
      </c>
      <c r="CX37" s="47" t="s">
        <v>400</v>
      </c>
      <c r="CY37" s="59"/>
      <c r="CZ37" s="59"/>
      <c r="DA37" s="47" t="s">
        <v>94</v>
      </c>
      <c r="DB37" s="47" t="s">
        <v>398</v>
      </c>
      <c r="DC37" s="47" t="s">
        <v>96</v>
      </c>
      <c r="DD37" s="47" t="s">
        <v>99</v>
      </c>
      <c r="DE37" s="47" t="s">
        <v>104</v>
      </c>
      <c r="DF37" s="47" t="s">
        <v>101</v>
      </c>
      <c r="DG37" s="47" t="s">
        <v>399</v>
      </c>
      <c r="DH37" s="47" t="s">
        <v>400</v>
      </c>
      <c r="DI37" s="47"/>
      <c r="DJ37" s="59"/>
      <c r="FE37" s="618" t="str">
        <f>VLOOKUP(716,Sprachindex!$A:$Z,Info!$O$7,FALSE)</f>
        <v>Rinnenhakennagel (5,0 × 80)</v>
      </c>
      <c r="FF37" s="619"/>
      <c r="FG37" s="619"/>
      <c r="FH37" s="619"/>
      <c r="FI37" s="619"/>
      <c r="FJ37" s="237">
        <v>8.0299999999999994</v>
      </c>
      <c r="FK37" s="214"/>
      <c r="FL37" s="220"/>
      <c r="FM37" s="219"/>
      <c r="FN37" s="214"/>
      <c r="FO37" s="220"/>
      <c r="FP37" s="219"/>
      <c r="FQ37" s="214"/>
      <c r="FR37" s="220"/>
      <c r="FS37" s="233"/>
      <c r="FT37" s="248">
        <f>FJ37</f>
        <v>8.0299999999999994</v>
      </c>
      <c r="FU37" s="209"/>
      <c r="FV37" s="209"/>
      <c r="FW37" s="179"/>
    </row>
    <row r="38" spans="1:200" ht="32.1" customHeight="1">
      <c r="A38" s="103"/>
      <c r="B38" s="76" t="str">
        <f>VLOOKUP(878,Sprachindex!$A:$Z,Info!$O$7,FALSE)</f>
        <v>Stk.</v>
      </c>
      <c r="C38" s="75"/>
      <c r="D38" s="75" t="str">
        <f>IF($O$17=1,AG38,IF($O$17=2,AQ38,IF($O$17=3,BA38,IF($O$17=4,BK38,""))))</f>
        <v/>
      </c>
      <c r="E38" s="618" t="str">
        <f>VLOOKUP(710,Sprachindex!$A:$Z,Info!$O$7,FALSE)</f>
        <v>Rinnenendboden</v>
      </c>
      <c r="F38" s="619"/>
      <c r="G38" s="619"/>
      <c r="H38" s="619"/>
      <c r="I38" s="619"/>
      <c r="J38" s="681" t="str">
        <f>IF(O17=5,Formeln_RI_P.10!A169,Formeln_RI_P.10!A175)</f>
        <v/>
      </c>
      <c r="K38" s="682"/>
      <c r="L38" s="76" t="str">
        <f t="shared" si="10"/>
        <v xml:space="preserve"> </v>
      </c>
      <c r="M38" s="405" t="str">
        <f t="shared" si="3"/>
        <v>Stk.</v>
      </c>
      <c r="N38" s="77"/>
      <c r="O38" s="184" t="str">
        <f t="shared" si="11"/>
        <v xml:space="preserve"> </v>
      </c>
      <c r="T38" s="68"/>
      <c r="U38" s="139">
        <f t="shared" ref="U38:V44" si="12">ROUNDUP($A38/W38,0)*W38</f>
        <v>0</v>
      </c>
      <c r="V38" s="139">
        <f t="shared" si="12"/>
        <v>0</v>
      </c>
      <c r="W38" s="139">
        <f>IF(O17="","",50)</f>
        <v>50</v>
      </c>
      <c r="X38" s="139">
        <v>1</v>
      </c>
      <c r="Y38" t="s">
        <v>588</v>
      </c>
      <c r="Z38" t="s">
        <v>589</v>
      </c>
      <c r="AA38" t="s">
        <v>590</v>
      </c>
      <c r="AB38" t="s">
        <v>591</v>
      </c>
      <c r="AC38" t="s">
        <v>592</v>
      </c>
      <c r="AD38" t="s">
        <v>593</v>
      </c>
      <c r="AE38" t="s">
        <v>594</v>
      </c>
      <c r="AF38"/>
      <c r="AG38" s="59" t="e" vm="2">
        <f t="shared" si="2"/>
        <v>#VALUE!</v>
      </c>
      <c r="AH38" s="59" t="s">
        <v>595</v>
      </c>
      <c r="AI38" t="s">
        <v>596</v>
      </c>
      <c r="AJ38" t="s">
        <v>597</v>
      </c>
      <c r="AK38" t="s">
        <v>598</v>
      </c>
      <c r="AL38" t="s">
        <v>599</v>
      </c>
      <c r="AM38">
        <v>200025</v>
      </c>
      <c r="AN38" t="s">
        <v>600</v>
      </c>
      <c r="AO38" t="s">
        <v>601</v>
      </c>
      <c r="AP38"/>
      <c r="AQ38" s="59" t="e" vm="2">
        <f>VLOOKUP(AI38,AI38:AP38,$O$16,FALSE)</f>
        <v>#VALUE!</v>
      </c>
      <c r="AR38" s="59" t="s">
        <v>602</v>
      </c>
      <c r="AS38" t="s">
        <v>603</v>
      </c>
      <c r="AT38" t="s">
        <v>604</v>
      </c>
      <c r="AU38" t="s">
        <v>605</v>
      </c>
      <c r="AV38" t="s">
        <v>606</v>
      </c>
      <c r="AW38" t="s">
        <v>607</v>
      </c>
      <c r="AX38" t="s">
        <v>608</v>
      </c>
      <c r="AY38" t="s">
        <v>609</v>
      </c>
      <c r="AZ38">
        <v>517031</v>
      </c>
      <c r="BA38" s="59" t="e" vm="2">
        <f>VLOOKUP(AS38,AS38:AZ38,$O$16,FALSE)</f>
        <v>#VALUE!</v>
      </c>
      <c r="BB38" s="59" t="s">
        <v>610</v>
      </c>
      <c r="BC38" t="s">
        <v>611</v>
      </c>
      <c r="BD38" t="s">
        <v>612</v>
      </c>
      <c r="BE38" t="s">
        <v>613</v>
      </c>
      <c r="BF38" t="s">
        <v>614</v>
      </c>
      <c r="BG38" t="s">
        <v>615</v>
      </c>
      <c r="BH38" t="s">
        <v>616</v>
      </c>
      <c r="BI38" t="s">
        <v>617</v>
      </c>
      <c r="BJ38"/>
      <c r="BK38" s="59" t="e" vm="2">
        <f>VLOOKUP(BC38,BC38:BJ38,$O$16,FALSE)</f>
        <v>#VALUE!</v>
      </c>
      <c r="BL38" s="59" t="s">
        <v>618</v>
      </c>
      <c r="FE38" s="618" t="str">
        <f>VLOOKUP(710,Sprachindex!$A:$Z,Info!$O$7,FALSE)</f>
        <v>Rinnenendboden</v>
      </c>
      <c r="FF38" s="619"/>
      <c r="FG38" s="619"/>
      <c r="FH38" s="619"/>
      <c r="FI38" s="619"/>
      <c r="FJ38" s="219"/>
      <c r="FK38" s="210">
        <v>2.59</v>
      </c>
      <c r="FL38" s="220"/>
      <c r="FM38" s="219"/>
      <c r="FN38" s="217">
        <v>2.75</v>
      </c>
      <c r="FO38" s="220"/>
      <c r="FP38" s="219"/>
      <c r="FQ38" s="215">
        <v>2.94</v>
      </c>
      <c r="FR38" s="220"/>
      <c r="FS38" s="234">
        <v>4.0999999999999996</v>
      </c>
      <c r="FT38" s="248" t="str">
        <f>IF($O$17=1,FK38,IF($O$17=2,FN38,IF($O$17=3,FQ38,IF($O$17=4,FS38," "))))</f>
        <v xml:space="preserve"> </v>
      </c>
      <c r="FU38" s="209"/>
      <c r="FV38" s="209"/>
      <c r="FW38" s="179"/>
    </row>
    <row r="39" spans="1:200" ht="32.1" customHeight="1">
      <c r="A39" s="103"/>
      <c r="B39" s="76" t="str">
        <f>VLOOKUP(878,Sprachindex!$A:$Z,Info!$O$7,FALSE)</f>
        <v>Stk.</v>
      </c>
      <c r="C39" s="75"/>
      <c r="D39" s="75" t="str">
        <f>IF($O$17=3,AG39,"")</f>
        <v/>
      </c>
      <c r="E39" s="618" t="str">
        <f>VLOOKUP(546,Sprachindex!$A:$Z,Info!$O$7,FALSE)</f>
        <v>Kugelendboden</v>
      </c>
      <c r="F39" s="619"/>
      <c r="G39" s="619"/>
      <c r="H39" s="619"/>
      <c r="I39" s="619"/>
      <c r="J39" s="681" t="str">
        <f>IF(O17=0,"",IF(O17=3,M21,Formeln_RI_P.10!A169))</f>
        <v/>
      </c>
      <c r="K39" s="682"/>
      <c r="L39" s="76" t="str">
        <f t="shared" si="10"/>
        <v xml:space="preserve"> </v>
      </c>
      <c r="M39" s="405" t="str">
        <f t="shared" si="3"/>
        <v>Stk.</v>
      </c>
      <c r="N39" s="77"/>
      <c r="O39" s="184" t="str">
        <f>IF(ISNUMBER(L39),FT39*L39," ")</f>
        <v xml:space="preserve"> </v>
      </c>
      <c r="T39" s="68"/>
      <c r="U39" s="139" t="e">
        <f t="shared" si="12"/>
        <v>#VALUE!</v>
      </c>
      <c r="V39" s="139">
        <f t="shared" si="12"/>
        <v>0</v>
      </c>
      <c r="W39" s="139" t="str">
        <f>IF($O$17=3,4,"")</f>
        <v/>
      </c>
      <c r="X39" s="139">
        <v>1</v>
      </c>
      <c r="Y39" t="s">
        <v>619</v>
      </c>
      <c r="Z39" t="s">
        <v>620</v>
      </c>
      <c r="AA39" t="s">
        <v>621</v>
      </c>
      <c r="AB39" t="s">
        <v>622</v>
      </c>
      <c r="AC39" t="s">
        <v>623</v>
      </c>
      <c r="AD39" t="s">
        <v>624</v>
      </c>
      <c r="AE39" t="s">
        <v>625</v>
      </c>
      <c r="AF39"/>
      <c r="AG39" s="59" t="e" vm="2">
        <f t="shared" si="2"/>
        <v>#VALUE!</v>
      </c>
      <c r="AH39" s="59" t="s">
        <v>610</v>
      </c>
      <c r="AQ39" s="132"/>
      <c r="FE39" s="618" t="str">
        <f>VLOOKUP(546,Sprachindex!$A:$Z,Info!$O$7,FALSE)</f>
        <v>Kugelendboden</v>
      </c>
      <c r="FF39" s="619"/>
      <c r="FG39" s="619"/>
      <c r="FH39" s="619"/>
      <c r="FI39" s="619"/>
      <c r="FJ39" s="219"/>
      <c r="FK39" s="214"/>
      <c r="FL39" s="220"/>
      <c r="FM39" s="219"/>
      <c r="FN39" s="105"/>
      <c r="FO39" s="223"/>
      <c r="FP39" s="224"/>
      <c r="FQ39" s="215">
        <v>17.53</v>
      </c>
      <c r="FR39" s="220"/>
      <c r="FS39" s="233"/>
      <c r="FT39" s="248" t="str">
        <f>IF($O$17=3,FQ39," ")</f>
        <v xml:space="preserve"> </v>
      </c>
      <c r="FU39" s="209"/>
      <c r="FV39" s="209"/>
      <c r="FW39" s="179"/>
    </row>
    <row r="40" spans="1:200" ht="32.1" customHeight="1" thickBot="1">
      <c r="A40" s="103"/>
      <c r="B40" s="76" t="str">
        <f>VLOOKUP(878,Sprachindex!$A:$Z,Info!$O$7,FALSE)</f>
        <v>Stk.</v>
      </c>
      <c r="C40" s="75"/>
      <c r="D40" s="75" t="str">
        <f>IF($O$17=3,AG40,"")</f>
        <v/>
      </c>
      <c r="E40" s="618" t="str">
        <f>VLOOKUP(1426,Sprachindex!$A:$Z,Info!$O$7,FALSE)</f>
        <v>Klebeendboden</v>
      </c>
      <c r="F40" s="619"/>
      <c r="G40" s="619"/>
      <c r="H40" s="619"/>
      <c r="I40" s="619"/>
      <c r="J40" s="681" t="str">
        <f>IF(O17=0,"",IF(O17=3,M21,Formeln_RI_P.10!A169))</f>
        <v/>
      </c>
      <c r="K40" s="682"/>
      <c r="L40" s="76" t="str">
        <f t="shared" si="10"/>
        <v xml:space="preserve"> </v>
      </c>
      <c r="M40" s="405" t="str">
        <f t="shared" si="3"/>
        <v>Stk.</v>
      </c>
      <c r="N40" s="77"/>
      <c r="O40" s="184" t="str">
        <f>IF(ISNUMBER(L40),FT40*L40," ")</f>
        <v xml:space="preserve"> </v>
      </c>
      <c r="T40" s="68"/>
      <c r="U40" s="139" t="e">
        <f t="shared" si="12"/>
        <v>#VALUE!</v>
      </c>
      <c r="V40" s="139">
        <f t="shared" si="12"/>
        <v>0</v>
      </c>
      <c r="W40" s="139" t="str">
        <f>IF($O$17=3,2,"")</f>
        <v/>
      </c>
      <c r="X40" s="139">
        <v>1</v>
      </c>
      <c r="Y40"/>
      <c r="Z40"/>
      <c r="AA40"/>
      <c r="AB40"/>
      <c r="AC40"/>
      <c r="AD40"/>
      <c r="AE40"/>
      <c r="AF40"/>
      <c r="AG40" s="59"/>
      <c r="AH40" s="59"/>
      <c r="AQ40" s="132"/>
      <c r="FE40" s="618" t="str">
        <f>VLOOKUP(1426,Sprachindex!$A:$Z,Info!$O$7,FALSE)</f>
        <v>Klebeendboden</v>
      </c>
      <c r="FF40" s="619"/>
      <c r="FG40" s="619"/>
      <c r="FH40" s="619"/>
      <c r="FI40" s="619"/>
      <c r="FJ40" s="219"/>
      <c r="FK40" s="214"/>
      <c r="FL40" s="220"/>
      <c r="FM40" s="219"/>
      <c r="FN40" s="214"/>
      <c r="FO40" s="223"/>
      <c r="FP40" s="224"/>
      <c r="FQ40" s="215">
        <v>26.17</v>
      </c>
      <c r="FR40" s="220"/>
      <c r="FS40" s="233"/>
      <c r="FT40" s="248" t="str">
        <f>IF($O$17=3,FQ40," ")</f>
        <v xml:space="preserve"> </v>
      </c>
      <c r="FU40" s="209"/>
      <c r="FV40" s="209"/>
      <c r="FW40" s="179"/>
      <c r="FY40" s="1">
        <v>1</v>
      </c>
      <c r="FZ40" s="1">
        <v>2</v>
      </c>
      <c r="GA40" s="1">
        <v>3</v>
      </c>
      <c r="GB40" s="1">
        <v>4</v>
      </c>
      <c r="GC40" s="1">
        <v>5</v>
      </c>
    </row>
    <row r="41" spans="1:200" ht="32.1" customHeight="1" thickBot="1">
      <c r="A41" s="103"/>
      <c r="B41" s="76" t="str">
        <f>VLOOKUP(878,Sprachindex!$A:$Z,Info!$O$7,FALSE)</f>
        <v>Stk.</v>
      </c>
      <c r="C41" s="75"/>
      <c r="D41" s="75" t="str">
        <f>IF($O$17=1,AG41,IF($O$17=2,AQ41,IF($O$17=3,BA41,IF($O$17=4,BK41,""))))</f>
        <v/>
      </c>
      <c r="E41" s="618" t="str">
        <f>VLOOKUP(721,Sprachindex!$A:$Z,Info!$O$7,FALSE)</f>
        <v>Rinnenwinkel 90° (außen)</v>
      </c>
      <c r="F41" s="619"/>
      <c r="G41" s="619"/>
      <c r="H41" s="619"/>
      <c r="I41" s="619"/>
      <c r="J41" s="681" t="str">
        <f>Formeln_RI_P.10!A175</f>
        <v/>
      </c>
      <c r="K41" s="682"/>
      <c r="L41" s="76" t="str">
        <f t="shared" si="10"/>
        <v xml:space="preserve"> </v>
      </c>
      <c r="M41" s="405" t="str">
        <f t="shared" si="3"/>
        <v>Stk.</v>
      </c>
      <c r="N41" s="77"/>
      <c r="O41" s="184" t="str">
        <f t="shared" si="11"/>
        <v xml:space="preserve"> </v>
      </c>
      <c r="T41" s="68"/>
      <c r="U41" s="139" t="e">
        <f t="shared" si="12"/>
        <v>#VALUE!</v>
      </c>
      <c r="V41" s="139">
        <f t="shared" si="12"/>
        <v>0</v>
      </c>
      <c r="W41" s="139" t="str">
        <f>IF($O$17=1,4,IF($O$17=2,4,IF($O$17=3,4,IF($O$17=4,2,""))))</f>
        <v/>
      </c>
      <c r="X41" s="139">
        <v>1</v>
      </c>
      <c r="Y41" t="s">
        <v>626</v>
      </c>
      <c r="Z41" t="s">
        <v>627</v>
      </c>
      <c r="AA41" t="s">
        <v>628</v>
      </c>
      <c r="AB41" t="s">
        <v>629</v>
      </c>
      <c r="AC41" t="s">
        <v>630</v>
      </c>
      <c r="AD41" t="s">
        <v>631</v>
      </c>
      <c r="AE41" t="s">
        <v>632</v>
      </c>
      <c r="AF41"/>
      <c r="AG41" s="59" t="e" vm="2">
        <f t="shared" si="2"/>
        <v>#VALUE!</v>
      </c>
      <c r="AH41" s="59" t="s">
        <v>595</v>
      </c>
      <c r="AI41" t="s">
        <v>633</v>
      </c>
      <c r="AJ41" t="s">
        <v>634</v>
      </c>
      <c r="AK41" t="s">
        <v>635</v>
      </c>
      <c r="AL41" t="s">
        <v>636</v>
      </c>
      <c r="AM41" t="s">
        <v>637</v>
      </c>
      <c r="AN41" t="s">
        <v>638</v>
      </c>
      <c r="AO41" t="s">
        <v>639</v>
      </c>
      <c r="AP41"/>
      <c r="AQ41" s="59" t="e" vm="2">
        <f>VLOOKUP(AI41,AI41:AP41,$O$16,FALSE)</f>
        <v>#VALUE!</v>
      </c>
      <c r="AR41" s="59" t="s">
        <v>602</v>
      </c>
      <c r="AS41" t="s">
        <v>640</v>
      </c>
      <c r="AT41" t="s">
        <v>641</v>
      </c>
      <c r="AU41" t="s">
        <v>642</v>
      </c>
      <c r="AV41" t="s">
        <v>643</v>
      </c>
      <c r="AW41" t="s">
        <v>644</v>
      </c>
      <c r="AX41" t="s">
        <v>645</v>
      </c>
      <c r="AY41" t="s">
        <v>646</v>
      </c>
      <c r="AZ41">
        <v>518029</v>
      </c>
      <c r="BA41" s="59" t="e" vm="2">
        <f t="shared" ref="BA41:BA44" si="13">VLOOKUP(AS41,AS41:AZ41,$O$16,FALSE)</f>
        <v>#VALUE!</v>
      </c>
      <c r="BB41" s="59" t="s">
        <v>610</v>
      </c>
      <c r="BC41" t="s">
        <v>647</v>
      </c>
      <c r="BD41" t="s">
        <v>648</v>
      </c>
      <c r="BE41" t="s">
        <v>649</v>
      </c>
      <c r="BF41" t="s">
        <v>650</v>
      </c>
      <c r="BG41" t="s">
        <v>651</v>
      </c>
      <c r="BH41" t="s">
        <v>652</v>
      </c>
      <c r="BI41" t="s">
        <v>653</v>
      </c>
      <c r="BJ41"/>
      <c r="BK41" s="59" t="e" vm="2">
        <f t="shared" ref="BK41:BK42" si="14">VLOOKUP(BC41,BC41:BJ41,$O$16,FALSE)</f>
        <v>#VALUE!</v>
      </c>
      <c r="BL41" s="59" t="s">
        <v>618</v>
      </c>
      <c r="FE41" s="618" t="str">
        <f>VLOOKUP(721,Sprachindex!$A:$Z,Info!$O$7,FALSE)</f>
        <v>Rinnenwinkel 90° (außen)</v>
      </c>
      <c r="FF41" s="619"/>
      <c r="FG41" s="619"/>
      <c r="FH41" s="619"/>
      <c r="FI41" s="619"/>
      <c r="FJ41" s="219"/>
      <c r="FK41" s="210">
        <v>34.39</v>
      </c>
      <c r="FL41" s="223"/>
      <c r="FM41" s="224"/>
      <c r="FN41" s="217">
        <v>34.81</v>
      </c>
      <c r="FO41" s="223"/>
      <c r="FP41" s="224"/>
      <c r="FQ41" s="215">
        <v>35.28</v>
      </c>
      <c r="FR41" s="230"/>
      <c r="FS41" s="234">
        <v>53.43</v>
      </c>
      <c r="FT41" s="248" t="str">
        <f>IF($O$17=1,FK41,IF($O$17=2,FN41,IF($O$17=3,FQ41,IF($O$17=4,FS41," "))))</f>
        <v xml:space="preserve"> </v>
      </c>
      <c r="FU41" s="209"/>
      <c r="FV41" s="209"/>
      <c r="FW41" s="179"/>
      <c r="FY41" s="698">
        <v>250</v>
      </c>
      <c r="FZ41" s="699"/>
      <c r="GA41" s="699"/>
      <c r="GB41" s="699"/>
      <c r="GC41" s="700"/>
      <c r="GD41" s="698">
        <v>280</v>
      </c>
      <c r="GE41" s="699"/>
      <c r="GF41" s="699"/>
      <c r="GG41" s="699"/>
      <c r="GH41" s="700"/>
      <c r="GI41" s="698">
        <v>333</v>
      </c>
      <c r="GJ41" s="699"/>
      <c r="GK41" s="699"/>
      <c r="GL41" s="699"/>
      <c r="GM41" s="700"/>
      <c r="GN41" s="698">
        <v>400</v>
      </c>
      <c r="GO41" s="699"/>
      <c r="GP41" s="699"/>
      <c r="GQ41" s="699"/>
      <c r="GR41" s="700"/>
    </row>
    <row r="42" spans="1:200" ht="32.1" customHeight="1" thickBot="1">
      <c r="A42" s="103"/>
      <c r="B42" s="76" t="str">
        <f>VLOOKUP(878,Sprachindex!$A:$Z,Info!$O$7,FALSE)</f>
        <v>Stk.</v>
      </c>
      <c r="C42" s="75"/>
      <c r="D42" s="75" t="str">
        <f>IF($O$17=1,AG42,IF($O$17=2,AQ42,IF($O$17=3,BA42,IF($O$17=4,BK42,""))))</f>
        <v/>
      </c>
      <c r="E42" s="618" t="str">
        <f>VLOOKUP(722,Sprachindex!$A:$Z,Info!$O$7,FALSE)</f>
        <v>Rinnenwinkel 90° (innen)</v>
      </c>
      <c r="F42" s="619"/>
      <c r="G42" s="619"/>
      <c r="H42" s="619"/>
      <c r="I42" s="619"/>
      <c r="J42" s="681" t="str">
        <f>Formeln_RI_P.10!A175</f>
        <v/>
      </c>
      <c r="K42" s="682"/>
      <c r="L42" s="76" t="str">
        <f t="shared" si="10"/>
        <v xml:space="preserve"> </v>
      </c>
      <c r="M42" s="405" t="str">
        <f t="shared" si="3"/>
        <v>Stk.</v>
      </c>
      <c r="N42" s="77"/>
      <c r="O42" s="184" t="str">
        <f t="shared" si="11"/>
        <v xml:space="preserve"> </v>
      </c>
      <c r="T42" s="68"/>
      <c r="U42" s="139" t="e">
        <f t="shared" si="12"/>
        <v>#VALUE!</v>
      </c>
      <c r="V42" s="139">
        <f t="shared" si="12"/>
        <v>0</v>
      </c>
      <c r="W42" s="139" t="str">
        <f>IF($O$17=1,4,IF($O$17=2,4,IF($O$17=3,4,IF($O$17=4,2,""))))</f>
        <v/>
      </c>
      <c r="X42" s="139">
        <v>1</v>
      </c>
      <c r="Y42" t="s">
        <v>654</v>
      </c>
      <c r="Z42" t="s">
        <v>655</v>
      </c>
      <c r="AA42" t="s">
        <v>656</v>
      </c>
      <c r="AB42" t="s">
        <v>657</v>
      </c>
      <c r="AC42" t="s">
        <v>658</v>
      </c>
      <c r="AD42" t="s">
        <v>659</v>
      </c>
      <c r="AE42" t="s">
        <v>660</v>
      </c>
      <c r="AF42"/>
      <c r="AG42" s="59" t="e" vm="2">
        <f t="shared" si="2"/>
        <v>#VALUE!</v>
      </c>
      <c r="AH42" s="59" t="s">
        <v>595</v>
      </c>
      <c r="AI42" t="s">
        <v>661</v>
      </c>
      <c r="AJ42" t="s">
        <v>662</v>
      </c>
      <c r="AK42" t="s">
        <v>663</v>
      </c>
      <c r="AL42" t="s">
        <v>664</v>
      </c>
      <c r="AM42" t="s">
        <v>665</v>
      </c>
      <c r="AN42" t="s">
        <v>666</v>
      </c>
      <c r="AO42" t="s">
        <v>667</v>
      </c>
      <c r="AP42"/>
      <c r="AQ42" s="59" t="e" vm="2">
        <f>VLOOKUP(AI42,AI42:AP42,$O$16,FALSE)</f>
        <v>#VALUE!</v>
      </c>
      <c r="AR42" s="59" t="s">
        <v>602</v>
      </c>
      <c r="AS42" t="s">
        <v>668</v>
      </c>
      <c r="AT42" t="s">
        <v>669</v>
      </c>
      <c r="AU42" t="s">
        <v>670</v>
      </c>
      <c r="AV42" t="s">
        <v>671</v>
      </c>
      <c r="AW42" t="s">
        <v>672</v>
      </c>
      <c r="AX42" t="s">
        <v>673</v>
      </c>
      <c r="AY42" t="s">
        <v>674</v>
      </c>
      <c r="AZ42">
        <v>518028</v>
      </c>
      <c r="BA42" s="59" t="e" vm="2">
        <f t="shared" si="13"/>
        <v>#VALUE!</v>
      </c>
      <c r="BB42" s="59" t="s">
        <v>610</v>
      </c>
      <c r="BC42" t="s">
        <v>675</v>
      </c>
      <c r="BD42" t="s">
        <v>676</v>
      </c>
      <c r="BE42" t="s">
        <v>677</v>
      </c>
      <c r="BF42" t="s">
        <v>678</v>
      </c>
      <c r="BG42" t="s">
        <v>679</v>
      </c>
      <c r="BH42" t="s">
        <v>680</v>
      </c>
      <c r="BI42" t="s">
        <v>681</v>
      </c>
      <c r="BJ42"/>
      <c r="BK42" s="59" t="e" vm="2">
        <f t="shared" si="14"/>
        <v>#VALUE!</v>
      </c>
      <c r="BL42" s="59" t="s">
        <v>618</v>
      </c>
      <c r="FE42" s="618" t="str">
        <f>VLOOKUP(722,Sprachindex!$A:$Z,Info!$O$7,FALSE)</f>
        <v>Rinnenwinkel 90° (innen)</v>
      </c>
      <c r="FF42" s="619"/>
      <c r="FG42" s="619"/>
      <c r="FH42" s="619"/>
      <c r="FI42" s="619"/>
      <c r="FJ42" s="238"/>
      <c r="FK42" s="239">
        <v>34.39</v>
      </c>
      <c r="FL42" s="227"/>
      <c r="FM42" s="225"/>
      <c r="FN42" s="226">
        <v>34.81</v>
      </c>
      <c r="FO42" s="227"/>
      <c r="FP42" s="225"/>
      <c r="FQ42" s="231">
        <v>35.28</v>
      </c>
      <c r="FR42" s="232"/>
      <c r="FS42" s="235">
        <v>53.43</v>
      </c>
      <c r="FT42" s="248" t="str">
        <f>IF($O$17=1,FK42,IF($O$17=2,FN42,IF($O$17=3,FQ42,IF($O$17=4,FS42," "))))</f>
        <v xml:space="preserve"> </v>
      </c>
      <c r="FU42" s="209"/>
      <c r="FV42" s="209"/>
      <c r="FW42" s="179"/>
      <c r="FY42" s="246">
        <v>60</v>
      </c>
      <c r="FZ42" s="246">
        <v>80</v>
      </c>
      <c r="GA42" s="246">
        <v>100</v>
      </c>
      <c r="GB42" s="246">
        <v>120</v>
      </c>
      <c r="GC42" s="246">
        <v>150</v>
      </c>
      <c r="GD42" s="246">
        <v>60</v>
      </c>
      <c r="GE42" s="246">
        <v>80</v>
      </c>
      <c r="GF42" s="246">
        <v>100</v>
      </c>
      <c r="GG42" s="246">
        <v>120</v>
      </c>
      <c r="GH42" s="246">
        <v>150</v>
      </c>
      <c r="GI42" s="246">
        <v>60</v>
      </c>
      <c r="GJ42" s="246">
        <v>80</v>
      </c>
      <c r="GK42" s="246">
        <v>100</v>
      </c>
      <c r="GL42" s="246">
        <v>120</v>
      </c>
      <c r="GM42" s="246">
        <v>150</v>
      </c>
      <c r="GN42" s="246">
        <v>60</v>
      </c>
      <c r="GO42" s="246">
        <v>80</v>
      </c>
      <c r="GP42" s="246">
        <v>100</v>
      </c>
      <c r="GQ42" s="246">
        <v>120</v>
      </c>
      <c r="GR42" s="246">
        <v>150</v>
      </c>
    </row>
    <row r="43" spans="1:200" ht="32.1" customHeight="1">
      <c r="A43" s="408"/>
      <c r="B43" s="76" t="str">
        <f>VLOOKUP(878,Sprachindex!$A:$Z,Info!$O$7,FALSE)</f>
        <v>Stk.</v>
      </c>
      <c r="C43" s="79"/>
      <c r="D43" s="79" t="str">
        <f>IF(AND($O$17=1,$O$18=2),AQ43,IF(AND($O$17=2,$O$18=2),BA43,IF(AND($O$17=2,$O$18=3),BK43,IF(AND($O$17=3,$O$18=2),BU43,IF(AND($O$17=3,$O$18=3),CE43,IF(AND($O$17=3,$O$18=4),CO43,IF(AND($O$17=4,$O$18=4),DI43,IF(AND($O$17=4,$O$18=5),DS43,IF(AND($O$17=1,$O$18=1),AG43,IF(AND($O$17=4,$O$18=3),CY43,""))))))))))</f>
        <v/>
      </c>
      <c r="E43" s="618" t="str">
        <f>VLOOKUP(718,Sprachindex!$A:$Z,Info!$O$7,FALSE)</f>
        <v>Rinnenkessel</v>
      </c>
      <c r="F43" s="619"/>
      <c r="G43" s="619"/>
      <c r="H43" s="619"/>
      <c r="I43" s="619"/>
      <c r="J43" s="681" t="str">
        <f>Formeln_RI_P.10!A191</f>
        <v/>
      </c>
      <c r="K43" s="682"/>
      <c r="L43" s="76" t="str">
        <f>IF(OR(A43="",W43="",X43="")," ",IF($O$11=1,U43,IF($O$11=2,V43,0)))</f>
        <v xml:space="preserve"> </v>
      </c>
      <c r="M43" s="405" t="str">
        <f t="shared" si="3"/>
        <v>Stk.</v>
      </c>
      <c r="N43" s="77"/>
      <c r="O43" s="184" t="str">
        <f>IF(ISNUMBER(L43),FT43*L43," ")</f>
        <v xml:space="preserve"> </v>
      </c>
      <c r="R43" s="266"/>
      <c r="S43" s="179"/>
      <c r="T43" s="68"/>
      <c r="U43" s="139" t="e">
        <f t="shared" si="12"/>
        <v>#VALUE!</v>
      </c>
      <c r="V43" s="139">
        <f t="shared" si="12"/>
        <v>0</v>
      </c>
      <c r="W43" s="139" t="str">
        <f>IF(AND($O$17=1,$O$18=1),6,IF(AND($O$17=1,$O$18=2),6,IF(AND($O$17=2,$O$18=2),10,IF(AND($O$17=2,$O$18=3),10,IF(AND($O$17=3,$O$18=2),10,IF(AND($O$17=3,$O$18=3),10,IF(AND($O$17=3,$O$18=4),5,IF(AND($O$17=4,$O$18=4),3,IF(AND($O$17=4,$O$18=5),1,IF(AND($O$17=4,$O$18=3),3,""))))))))))</f>
        <v/>
      </c>
      <c r="X43" s="139">
        <v>1</v>
      </c>
      <c r="Y43" t="s">
        <v>682</v>
      </c>
      <c r="Z43" t="s">
        <v>683</v>
      </c>
      <c r="AA43" t="s">
        <v>684</v>
      </c>
      <c r="AB43" t="s">
        <v>685</v>
      </c>
      <c r="AC43" t="s">
        <v>686</v>
      </c>
      <c r="AD43" t="s">
        <v>687</v>
      </c>
      <c r="AE43" t="s">
        <v>688</v>
      </c>
      <c r="AF43"/>
      <c r="AG43" s="59" t="e" vm="2">
        <f t="shared" si="2"/>
        <v>#VALUE!</v>
      </c>
      <c r="AH43" s="59" t="s">
        <v>689</v>
      </c>
      <c r="AI43" t="s">
        <v>690</v>
      </c>
      <c r="AJ43" t="s">
        <v>691</v>
      </c>
      <c r="AK43" t="s">
        <v>692</v>
      </c>
      <c r="AL43" t="s">
        <v>693</v>
      </c>
      <c r="AM43" t="s">
        <v>694</v>
      </c>
      <c r="AN43" t="s">
        <v>695</v>
      </c>
      <c r="AO43" t="s">
        <v>696</v>
      </c>
      <c r="AP43"/>
      <c r="AQ43" s="59" t="e" vm="2">
        <f>VLOOKUP(AI43,AI43:AP43,$O$16,FALSE)</f>
        <v>#VALUE!</v>
      </c>
      <c r="AR43" s="59" t="s">
        <v>697</v>
      </c>
      <c r="AS43" t="s">
        <v>698</v>
      </c>
      <c r="AT43" t="s">
        <v>699</v>
      </c>
      <c r="AU43" t="s">
        <v>700</v>
      </c>
      <c r="AV43" t="s">
        <v>701</v>
      </c>
      <c r="AW43" t="s">
        <v>702</v>
      </c>
      <c r="AX43" t="s">
        <v>703</v>
      </c>
      <c r="AY43" t="s">
        <v>704</v>
      </c>
      <c r="AZ43"/>
      <c r="BA43" s="59" t="e" vm="2">
        <f t="shared" si="13"/>
        <v>#VALUE!</v>
      </c>
      <c r="BB43" s="59" t="s">
        <v>705</v>
      </c>
      <c r="BC43" t="s">
        <v>706</v>
      </c>
      <c r="BD43" t="s">
        <v>707</v>
      </c>
      <c r="BE43" t="s">
        <v>708</v>
      </c>
      <c r="BF43" t="s">
        <v>709</v>
      </c>
      <c r="BG43" t="s">
        <v>710</v>
      </c>
      <c r="BH43" t="s">
        <v>711</v>
      </c>
      <c r="BI43" t="s">
        <v>712</v>
      </c>
      <c r="BJ43"/>
      <c r="BK43" s="59" t="e" vm="2">
        <f>VLOOKUP(BC43,BC43:BJ43,$O$16,FALSE)</f>
        <v>#VALUE!</v>
      </c>
      <c r="BL43" s="59" t="s">
        <v>713</v>
      </c>
      <c r="BM43" t="s">
        <v>714</v>
      </c>
      <c r="BN43" t="s">
        <v>715</v>
      </c>
      <c r="BO43" t="s">
        <v>716</v>
      </c>
      <c r="BP43" t="s">
        <v>717</v>
      </c>
      <c r="BQ43" t="s">
        <v>718</v>
      </c>
      <c r="BR43" t="s">
        <v>719</v>
      </c>
      <c r="BS43" t="s">
        <v>720</v>
      </c>
      <c r="BT43"/>
      <c r="BU43" s="59" t="e" vm="2">
        <f>VLOOKUP(BM43,BM43:BT43,$O$16,FALSE)</f>
        <v>#VALUE!</v>
      </c>
      <c r="BV43" s="59" t="s">
        <v>721</v>
      </c>
      <c r="BW43" t="s">
        <v>722</v>
      </c>
      <c r="BX43" t="s">
        <v>723</v>
      </c>
      <c r="BY43" t="s">
        <v>724</v>
      </c>
      <c r="BZ43" t="s">
        <v>725</v>
      </c>
      <c r="CA43" t="s">
        <v>726</v>
      </c>
      <c r="CB43" t="s">
        <v>727</v>
      </c>
      <c r="CC43" t="s">
        <v>728</v>
      </c>
      <c r="CD43">
        <v>519043</v>
      </c>
      <c r="CE43" s="59" t="e" vm="2">
        <f>VLOOKUP(BW43,BW43:CD43,$O$16,FALSE)</f>
        <v>#VALUE!</v>
      </c>
      <c r="CF43" s="59" t="s">
        <v>729</v>
      </c>
      <c r="CG43" t="s">
        <v>730</v>
      </c>
      <c r="CH43" t="s">
        <v>731</v>
      </c>
      <c r="CI43" t="s">
        <v>732</v>
      </c>
      <c r="CJ43" t="s">
        <v>733</v>
      </c>
      <c r="CK43" t="s">
        <v>734</v>
      </c>
      <c r="CL43" t="s">
        <v>735</v>
      </c>
      <c r="CM43" t="s">
        <v>736</v>
      </c>
      <c r="CN43"/>
      <c r="CO43" s="59" t="e" vm="2">
        <f t="shared" ref="CO43" si="15">VLOOKUP(CG43,CG43:CN43,$O$16,FALSE)</f>
        <v>#VALUE!</v>
      </c>
      <c r="CP43" s="59" t="s">
        <v>737</v>
      </c>
      <c r="CQ43"/>
      <c r="CR43">
        <v>200880</v>
      </c>
      <c r="CS43" t="s">
        <v>740</v>
      </c>
      <c r="CT43" t="s">
        <v>2349</v>
      </c>
      <c r="CU43" t="s">
        <v>2349</v>
      </c>
      <c r="CV43" t="s">
        <v>743</v>
      </c>
      <c r="CW43">
        <v>200883</v>
      </c>
      <c r="CX43"/>
      <c r="CY43" s="59" t="e">
        <f t="shared" ref="CY43" si="16">VLOOKUP(CQ43,CQ43:CX43,$O$16,FALSE)</f>
        <v>#N/A</v>
      </c>
      <c r="CZ43" s="59" t="s">
        <v>39314</v>
      </c>
      <c r="DA43" t="s">
        <v>738</v>
      </c>
      <c r="DB43" t="s">
        <v>739</v>
      </c>
      <c r="DC43" t="s">
        <v>740</v>
      </c>
      <c r="DD43" t="s">
        <v>741</v>
      </c>
      <c r="DE43" t="s">
        <v>742</v>
      </c>
      <c r="DF43" t="s">
        <v>743</v>
      </c>
      <c r="DG43" t="s">
        <v>744</v>
      </c>
      <c r="DH43"/>
      <c r="DI43" s="59" t="e" vm="2">
        <f t="shared" ref="DI43" si="17">VLOOKUP(DA43,DA43:DH43,$O$16,FALSE)</f>
        <v>#VALUE!</v>
      </c>
      <c r="DJ43" s="59" t="s">
        <v>745</v>
      </c>
      <c r="DK43">
        <v>200861</v>
      </c>
      <c r="DL43">
        <v>200860</v>
      </c>
      <c r="DM43" t="s">
        <v>2349</v>
      </c>
      <c r="DN43">
        <v>200862</v>
      </c>
      <c r="DO43" t="s">
        <v>2349</v>
      </c>
      <c r="DP43" t="s">
        <v>2349</v>
      </c>
      <c r="DQ43" t="s">
        <v>2349</v>
      </c>
      <c r="DR43"/>
      <c r="DS43" s="59" t="e" vm="2">
        <f t="shared" ref="DS43" si="18">VLOOKUP(DK43,DK43:DR43,$O$16,FALSE)</f>
        <v>#VALUE!</v>
      </c>
      <c r="DT43" s="59" t="s">
        <v>746</v>
      </c>
      <c r="FE43" s="618" t="str">
        <f>VLOOKUP(718,Sprachindex!$A:$Z,Info!$O$7,FALSE)</f>
        <v>Rinnenkessel</v>
      </c>
      <c r="FF43" s="619"/>
      <c r="FG43" s="619"/>
      <c r="FH43" s="619"/>
      <c r="FI43" s="619"/>
      <c r="FJ43" s="219"/>
      <c r="FK43" s="214"/>
      <c r="FL43" s="220"/>
      <c r="FM43" s="219"/>
      <c r="FN43" s="214"/>
      <c r="FO43" s="223"/>
      <c r="FP43" s="224"/>
      <c r="FQ43" s="105"/>
      <c r="FR43" s="220"/>
      <c r="FS43" s="233"/>
      <c r="FT43" s="248" t="str">
        <f>IF($O$17=1,FU43,IF($O$17=2,FV43,IF($O17=3,FW43,IF(O17=4,FX43," "))))</f>
        <v xml:space="preserve"> </v>
      </c>
      <c r="FU43" s="206" t="str">
        <f>IF(O18=1,FY43,IF(O18=2,FZ43," "))</f>
        <v xml:space="preserve"> </v>
      </c>
      <c r="FV43" s="207" t="str">
        <f>IF(O18=2,GE43,IF(O18=3,GF43," "))</f>
        <v xml:space="preserve"> </v>
      </c>
      <c r="FW43" s="208" t="str">
        <f>IF(O18=2,GJ43,IF(O18=3,GK43,IF(O18=4,GL43," ")))</f>
        <v xml:space="preserve"> </v>
      </c>
      <c r="FX43" s="270" t="str">
        <f>IF(O18=3,GP43,IF(O18=4,GQ43,IF(O18=5,GR43," ")))</f>
        <v xml:space="preserve"> </v>
      </c>
      <c r="FY43" s="258">
        <v>36.74</v>
      </c>
      <c r="FZ43" s="249">
        <v>24.46</v>
      </c>
      <c r="GA43" s="251"/>
      <c r="GB43" s="251"/>
      <c r="GC43" s="252"/>
      <c r="GD43" s="250"/>
      <c r="GE43" s="263">
        <v>25.68</v>
      </c>
      <c r="GF43" s="263">
        <v>25.85</v>
      </c>
      <c r="GG43" s="251"/>
      <c r="GH43" s="252"/>
      <c r="GI43" s="250"/>
      <c r="GJ43" s="264">
        <v>29.93</v>
      </c>
      <c r="GK43" s="264">
        <v>26.17</v>
      </c>
      <c r="GL43" s="264">
        <v>32.07</v>
      </c>
      <c r="GM43" s="252"/>
      <c r="GN43" s="250"/>
      <c r="GO43" s="259"/>
      <c r="GP43" s="261">
        <v>40.729999999999997</v>
      </c>
      <c r="GQ43" s="265">
        <v>38.44</v>
      </c>
      <c r="GR43" s="262">
        <v>58.18</v>
      </c>
    </row>
    <row r="44" spans="1:200" ht="32.1" customHeight="1">
      <c r="A44" s="408"/>
      <c r="B44" s="76" t="str">
        <f>VLOOKUP(878,Sprachindex!$A:$Z,Info!$O$7,FALSE)</f>
        <v>Stk.</v>
      </c>
      <c r="C44" s="75"/>
      <c r="D44" s="75" t="str">
        <f>IF(OR(AND(O17=1,O18=2),AND(O17=2,O18=2),AND(O17=3,O18=2)),AG44,IF(OR(AND(O17=2,O18=3),AND(O17=3,O18=3)),AQ44,IF(OR(AND(O17=3,O18=4),AND(O17=4,O18=4)),BA44,"")))</f>
        <v/>
      </c>
      <c r="E44" s="618" t="str">
        <f>VLOOKUP(814,Sprachindex!$A:$Z,Info!$O$7,FALSE)</f>
        <v>Schrägstutzen</v>
      </c>
      <c r="F44" s="619"/>
      <c r="G44" s="619"/>
      <c r="H44" s="619"/>
      <c r="I44" s="619"/>
      <c r="J44" s="681" t="str">
        <f>Formeln_RI_P.10!A194</f>
        <v/>
      </c>
      <c r="K44" s="682"/>
      <c r="L44" s="76" t="str">
        <f t="shared" si="10"/>
        <v xml:space="preserve"> </v>
      </c>
      <c r="M44" s="405" t="str">
        <f t="shared" si="3"/>
        <v>Stk.</v>
      </c>
      <c r="N44" s="77"/>
      <c r="O44" s="184" t="str">
        <f>IF(ISNUMBER(L44),FT44*L44," ")</f>
        <v xml:space="preserve"> </v>
      </c>
      <c r="R44" s="266"/>
      <c r="S44" s="179"/>
      <c r="T44" s="68"/>
      <c r="U44" s="139" t="e">
        <f t="shared" si="12"/>
        <v>#VALUE!</v>
      </c>
      <c r="V44" s="139">
        <f t="shared" si="12"/>
        <v>0</v>
      </c>
      <c r="W44" s="139" t="str">
        <f>IF(AND(OR($O$17=1,$O$17=2,$O$17=3),$O$18=2),2,IF(AND(OR($O$17=2,$O$17=3),$O$18=3),2,IF(AND(OR($O$17=3,$O$17=4),$O$18=4),2,"")))</f>
        <v/>
      </c>
      <c r="X44" s="139">
        <v>1</v>
      </c>
      <c r="Y44" t="s">
        <v>747</v>
      </c>
      <c r="Z44" t="s">
        <v>748</v>
      </c>
      <c r="AA44" t="s">
        <v>749</v>
      </c>
      <c r="AB44" t="s">
        <v>750</v>
      </c>
      <c r="AC44" t="s">
        <v>751</v>
      </c>
      <c r="AD44" t="s">
        <v>752</v>
      </c>
      <c r="AE44" t="s">
        <v>753</v>
      </c>
      <c r="AF44"/>
      <c r="AG44" s="59" t="e" vm="2">
        <f t="shared" si="2"/>
        <v>#VALUE!</v>
      </c>
      <c r="AH44" s="59">
        <v>80</v>
      </c>
      <c r="AI44" t="s">
        <v>754</v>
      </c>
      <c r="AJ44" t="s">
        <v>755</v>
      </c>
      <c r="AK44" t="s">
        <v>756</v>
      </c>
      <c r="AL44" t="s">
        <v>757</v>
      </c>
      <c r="AM44" t="s">
        <v>758</v>
      </c>
      <c r="AN44" t="s">
        <v>759</v>
      </c>
      <c r="AO44" t="s">
        <v>760</v>
      </c>
      <c r="AP44">
        <v>520042</v>
      </c>
      <c r="AQ44" s="59" t="e" vm="2">
        <f>VLOOKUP(AI44,AI44:AP44,$O$16,FALSE)</f>
        <v>#VALUE!</v>
      </c>
      <c r="AR44" s="59">
        <v>100</v>
      </c>
      <c r="AS44" t="s">
        <v>761</v>
      </c>
      <c r="AT44" t="s">
        <v>762</v>
      </c>
      <c r="AU44" t="s">
        <v>763</v>
      </c>
      <c r="AV44" t="s">
        <v>764</v>
      </c>
      <c r="AW44" t="s">
        <v>765</v>
      </c>
      <c r="AX44" t="s">
        <v>766</v>
      </c>
      <c r="AY44" t="s">
        <v>767</v>
      </c>
      <c r="AZ44"/>
      <c r="BA44" s="59" t="e" vm="2">
        <f t="shared" si="13"/>
        <v>#VALUE!</v>
      </c>
      <c r="BB44" s="59">
        <v>120</v>
      </c>
      <c r="FE44" s="618" t="str">
        <f>VLOOKUP(814,Sprachindex!$A:$Z,Info!$O$7,FALSE)</f>
        <v>Schrägstutzen</v>
      </c>
      <c r="FF44" s="619"/>
      <c r="FG44" s="619"/>
      <c r="FH44" s="619"/>
      <c r="FI44" s="619"/>
      <c r="FJ44" s="219"/>
      <c r="FK44" s="214"/>
      <c r="FL44" s="220"/>
      <c r="FM44" s="219"/>
      <c r="FN44" s="214"/>
      <c r="FO44" s="223"/>
      <c r="FP44" s="224"/>
      <c r="FQ44" s="105"/>
      <c r="FR44" s="220"/>
      <c r="FS44" s="233"/>
      <c r="FT44" s="248" t="str">
        <f>IF($O$17=1,FU44,IF($O$17=2,FV44,IF($O18=3,FW44,IF(O18=4,FX44," "))))</f>
        <v xml:space="preserve"> </v>
      </c>
      <c r="FU44" s="206" t="str">
        <f>IF(O18=2,FZ44," ")</f>
        <v xml:space="preserve"> </v>
      </c>
      <c r="FV44" s="207" t="str">
        <f>IF(O18=2,GE44,IF(O18=3,GF44," "))</f>
        <v xml:space="preserve"> </v>
      </c>
      <c r="FW44" s="208" t="str">
        <f>IF(O18=2,GJ44,IF(O18=3,GK44,IF(O18=4,GL44," ")))</f>
        <v xml:space="preserve"> </v>
      </c>
      <c r="FX44" s="270" t="str">
        <f>IF(O18=4,GQ44," ")</f>
        <v xml:space="preserve"> </v>
      </c>
      <c r="FY44" s="253"/>
      <c r="FZ44" s="210">
        <v>31.79</v>
      </c>
      <c r="GA44" s="254"/>
      <c r="GB44" s="254"/>
      <c r="GC44" s="255"/>
      <c r="GD44" s="253"/>
      <c r="GE44" s="217">
        <v>31.79</v>
      </c>
      <c r="GF44" s="217">
        <v>32.64</v>
      </c>
      <c r="GG44" s="254"/>
      <c r="GH44" s="255"/>
      <c r="GI44" s="253"/>
      <c r="GJ44" s="215">
        <v>31.79</v>
      </c>
      <c r="GK44" s="215">
        <v>32.64</v>
      </c>
      <c r="GL44" s="215">
        <v>39.950000000000003</v>
      </c>
      <c r="GM44" s="255"/>
      <c r="GN44" s="253"/>
      <c r="GO44" s="254"/>
      <c r="GP44" s="257"/>
      <c r="GQ44" s="216">
        <v>39.950000000000003</v>
      </c>
      <c r="GR44" s="260"/>
    </row>
    <row r="45" spans="1:200" ht="32.1" customHeight="1">
      <c r="A45" s="93"/>
      <c r="B45" s="76" t="str">
        <f>VLOOKUP(1512,Sprachindex!$A:$Z,Info!$O$7,FALSE)</f>
        <v>lfm</v>
      </c>
      <c r="C45" s="75"/>
      <c r="D45" s="75">
        <v>507300</v>
      </c>
      <c r="E45" s="618" t="str">
        <f>VLOOKUP(986,Sprachindex!$A:$Z,Info!$O$7,FALSE)</f>
        <v>Vogelschutzgitter (Braun/Anthrazit; 125 × 2.000 × 0,7 mm)</v>
      </c>
      <c r="F45" s="619"/>
      <c r="G45" s="619"/>
      <c r="H45" s="619"/>
      <c r="I45" s="619"/>
      <c r="J45" s="681"/>
      <c r="K45" s="682"/>
      <c r="L45" s="76" t="str">
        <f t="shared" si="10"/>
        <v xml:space="preserve"> </v>
      </c>
      <c r="M45" s="405" t="str">
        <f t="shared" si="3"/>
        <v>lfm</v>
      </c>
      <c r="N45" s="77"/>
      <c r="O45" s="184" t="str">
        <f t="shared" si="11"/>
        <v xml:space="preserve"> </v>
      </c>
      <c r="R45" s="266"/>
      <c r="S45" s="179"/>
      <c r="U45" s="139">
        <f>ROUNDUP($A45/2,0)*2</f>
        <v>0</v>
      </c>
      <c r="V45" s="139">
        <f>ROUNDUP($A45/2,0)*2</f>
        <v>0</v>
      </c>
      <c r="W45" s="139">
        <v>1</v>
      </c>
      <c r="X45" s="139">
        <v>1</v>
      </c>
      <c r="Y45" s="47" t="s">
        <v>94</v>
      </c>
      <c r="Z45" s="47" t="s">
        <v>398</v>
      </c>
      <c r="AA45" s="47" t="s">
        <v>96</v>
      </c>
      <c r="AB45" s="47" t="s">
        <v>99</v>
      </c>
      <c r="AC45" s="47" t="s">
        <v>104</v>
      </c>
      <c r="AD45" s="47" t="s">
        <v>101</v>
      </c>
      <c r="AE45" s="47" t="s">
        <v>399</v>
      </c>
      <c r="AF45" s="47" t="s">
        <v>400</v>
      </c>
      <c r="AG45" s="59"/>
      <c r="AH45" s="59"/>
      <c r="AI45" s="47" t="s">
        <v>94</v>
      </c>
      <c r="AJ45" s="47" t="s">
        <v>398</v>
      </c>
      <c r="AK45" s="47" t="s">
        <v>96</v>
      </c>
      <c r="AL45" s="47" t="s">
        <v>99</v>
      </c>
      <c r="AM45" s="47" t="s">
        <v>104</v>
      </c>
      <c r="AN45" s="47" t="s">
        <v>101</v>
      </c>
      <c r="AO45" s="47" t="s">
        <v>399</v>
      </c>
      <c r="AP45" s="47" t="s">
        <v>400</v>
      </c>
      <c r="AQ45" s="47"/>
      <c r="AR45" s="59"/>
      <c r="AS45" s="47" t="s">
        <v>94</v>
      </c>
      <c r="AT45" s="47" t="s">
        <v>398</v>
      </c>
      <c r="AU45" s="47" t="s">
        <v>96</v>
      </c>
      <c r="AV45" s="47" t="s">
        <v>99</v>
      </c>
      <c r="AW45" s="47" t="s">
        <v>104</v>
      </c>
      <c r="AX45" s="47" t="s">
        <v>101</v>
      </c>
      <c r="AY45" s="47" t="s">
        <v>399</v>
      </c>
      <c r="AZ45" s="47" t="s">
        <v>400</v>
      </c>
      <c r="BA45" s="47"/>
      <c r="BB45" s="59"/>
      <c r="BC45" s="47" t="s">
        <v>94</v>
      </c>
      <c r="BD45" s="47" t="s">
        <v>398</v>
      </c>
      <c r="BE45" s="47" t="s">
        <v>96</v>
      </c>
      <c r="BF45" s="47" t="s">
        <v>99</v>
      </c>
      <c r="BG45" s="47" t="s">
        <v>104</v>
      </c>
      <c r="BH45" s="47" t="s">
        <v>101</v>
      </c>
      <c r="BI45" s="47" t="s">
        <v>399</v>
      </c>
      <c r="BJ45" s="47" t="s">
        <v>400</v>
      </c>
      <c r="BK45" s="47"/>
      <c r="BL45" s="59"/>
      <c r="BM45" s="47" t="s">
        <v>94</v>
      </c>
      <c r="BN45" s="47" t="s">
        <v>398</v>
      </c>
      <c r="BO45" s="47" t="s">
        <v>96</v>
      </c>
      <c r="BP45" s="47" t="s">
        <v>99</v>
      </c>
      <c r="BQ45" s="47" t="s">
        <v>104</v>
      </c>
      <c r="BR45" s="47" t="s">
        <v>101</v>
      </c>
      <c r="BS45" s="47" t="s">
        <v>399</v>
      </c>
      <c r="BT45" s="47" t="s">
        <v>400</v>
      </c>
      <c r="BU45" s="47"/>
      <c r="BV45" s="59"/>
      <c r="BW45" s="47" t="s">
        <v>94</v>
      </c>
      <c r="BX45" s="47" t="s">
        <v>398</v>
      </c>
      <c r="BY45" s="47" t="s">
        <v>96</v>
      </c>
      <c r="BZ45" s="47" t="s">
        <v>99</v>
      </c>
      <c r="CA45" s="47" t="s">
        <v>104</v>
      </c>
      <c r="CB45" s="47" t="s">
        <v>101</v>
      </c>
      <c r="CC45" s="47" t="s">
        <v>399</v>
      </c>
      <c r="CD45" s="47" t="s">
        <v>400</v>
      </c>
      <c r="CE45" s="47"/>
      <c r="CF45" s="59"/>
      <c r="CG45" s="47" t="s">
        <v>94</v>
      </c>
      <c r="CH45" s="47" t="s">
        <v>398</v>
      </c>
      <c r="CI45" s="47" t="s">
        <v>96</v>
      </c>
      <c r="CJ45" s="47" t="s">
        <v>99</v>
      </c>
      <c r="CK45" s="47" t="s">
        <v>104</v>
      </c>
      <c r="CL45" s="47" t="s">
        <v>101</v>
      </c>
      <c r="CM45" s="47" t="s">
        <v>399</v>
      </c>
      <c r="CN45" s="47" t="s">
        <v>400</v>
      </c>
      <c r="CO45" s="47"/>
      <c r="CP45" s="59"/>
      <c r="CQ45" s="47" t="s">
        <v>94</v>
      </c>
      <c r="CR45" s="47" t="s">
        <v>398</v>
      </c>
      <c r="CS45" s="47" t="s">
        <v>96</v>
      </c>
      <c r="CT45" s="47" t="s">
        <v>99</v>
      </c>
      <c r="CU45" s="47" t="s">
        <v>104</v>
      </c>
      <c r="CV45" s="47" t="s">
        <v>101</v>
      </c>
      <c r="CW45" s="47" t="s">
        <v>399</v>
      </c>
      <c r="CX45" s="47" t="s">
        <v>400</v>
      </c>
      <c r="CY45" s="47"/>
      <c r="CZ45" s="59"/>
      <c r="DA45" s="47" t="s">
        <v>94</v>
      </c>
      <c r="DB45" s="47" t="s">
        <v>398</v>
      </c>
      <c r="DC45" s="47" t="s">
        <v>96</v>
      </c>
      <c r="DD45" s="47" t="s">
        <v>99</v>
      </c>
      <c r="DE45" s="47" t="s">
        <v>104</v>
      </c>
      <c r="DF45" s="47" t="s">
        <v>101</v>
      </c>
      <c r="DG45" s="47" t="s">
        <v>399</v>
      </c>
      <c r="DH45" s="47" t="s">
        <v>400</v>
      </c>
      <c r="DI45" s="47"/>
      <c r="DJ45" s="59"/>
      <c r="FE45" s="618" t="str">
        <f>VLOOKUP(986,Sprachindex!$A:$Z,Info!$O$7,FALSE)</f>
        <v>Vogelschutzgitter (Braun/Anthrazit; 125 × 2.000 × 0,7 mm)</v>
      </c>
      <c r="FF45" s="619"/>
      <c r="FG45" s="619"/>
      <c r="FH45" s="619"/>
      <c r="FI45" s="619"/>
      <c r="FJ45" s="237">
        <v>4.13</v>
      </c>
      <c r="FK45" s="214"/>
      <c r="FL45" s="220"/>
      <c r="FM45" s="219"/>
      <c r="FN45" s="214"/>
      <c r="FO45" s="223"/>
      <c r="FP45" s="224"/>
      <c r="FQ45" s="105"/>
      <c r="FR45" s="220"/>
      <c r="FS45" s="233"/>
      <c r="FT45" s="248">
        <f>FJ45</f>
        <v>4.13</v>
      </c>
      <c r="FX45" s="270"/>
      <c r="FY45" s="253"/>
      <c r="FZ45" s="254"/>
      <c r="GA45" s="254"/>
      <c r="GB45" s="254"/>
      <c r="GC45" s="255"/>
      <c r="GD45" s="253"/>
      <c r="GE45" s="254"/>
      <c r="GF45" s="254"/>
      <c r="GG45" s="254"/>
      <c r="GH45" s="255"/>
      <c r="GI45" s="253"/>
      <c r="GJ45" s="254"/>
      <c r="GK45" s="254"/>
      <c r="GL45" s="254"/>
      <c r="GM45" s="255"/>
      <c r="GN45" s="253"/>
      <c r="GO45" s="254"/>
      <c r="GP45" s="254"/>
      <c r="GQ45" s="254"/>
      <c r="GR45" s="255"/>
    </row>
    <row r="46" spans="1:200" ht="32.1" customHeight="1">
      <c r="A46" s="103"/>
      <c r="B46" s="76" t="str">
        <f>VLOOKUP(878,Sprachindex!$A:$Z,Info!$O$7,FALSE)</f>
        <v>Stk.</v>
      </c>
      <c r="C46" s="75"/>
      <c r="D46" s="75" t="e" vm="99">
        <f>AG46</f>
        <v>#VALUE!</v>
      </c>
      <c r="E46" s="618" t="str">
        <f>VLOOKUP(921,Sprachindex!$A:$Z,Info!$O$7,FALSE)</f>
        <v>Überbügel</v>
      </c>
      <c r="F46" s="619"/>
      <c r="G46" s="619"/>
      <c r="H46" s="619"/>
      <c r="I46" s="619"/>
      <c r="J46" s="681" t="str">
        <f>VLOOKUP(2233,Sprachindex!$A:$Z,Info!$O$7,FALSE)</f>
        <v>4 × 25 × 427 mm</v>
      </c>
      <c r="K46" s="682"/>
      <c r="L46" s="76" t="str">
        <f t="shared" si="10"/>
        <v xml:space="preserve"> </v>
      </c>
      <c r="M46" s="405" t="str">
        <f t="shared" si="3"/>
        <v>Stk.</v>
      </c>
      <c r="N46" s="77"/>
      <c r="O46" s="184" t="str">
        <f t="shared" si="11"/>
        <v xml:space="preserve"> </v>
      </c>
      <c r="R46" s="266"/>
      <c r="S46" s="179"/>
      <c r="T46" s="68"/>
      <c r="U46" s="139">
        <f>ROUNDUP($A46/W46,0)*W46</f>
        <v>0</v>
      </c>
      <c r="V46" s="139">
        <f>ROUNDUP($A46/X46,0)*X46</f>
        <v>0</v>
      </c>
      <c r="W46" s="139">
        <v>10</v>
      </c>
      <c r="X46" s="139">
        <v>1</v>
      </c>
      <c r="Y46" t="s">
        <v>768</v>
      </c>
      <c r="Z46" t="s">
        <v>769</v>
      </c>
      <c r="AA46" t="s">
        <v>770</v>
      </c>
      <c r="AB46" t="s">
        <v>771</v>
      </c>
      <c r="AC46" t="s">
        <v>772</v>
      </c>
      <c r="AD46" t="s">
        <v>773</v>
      </c>
      <c r="AE46" t="s">
        <v>774</v>
      </c>
      <c r="AF46">
        <v>537049</v>
      </c>
      <c r="AG46" s="59" t="e" vm="2">
        <f t="shared" si="2"/>
        <v>#VALUE!</v>
      </c>
      <c r="AH46" s="59"/>
      <c r="FE46" s="618" t="str">
        <f>VLOOKUP(921,Sprachindex!$A:$Z,Info!$O$7,FALSE)</f>
        <v>Überbügel</v>
      </c>
      <c r="FF46" s="619"/>
      <c r="FG46" s="619"/>
      <c r="FH46" s="619"/>
      <c r="FI46" s="619"/>
      <c r="FJ46" s="237">
        <v>5.62</v>
      </c>
      <c r="FK46" s="214"/>
      <c r="FL46" s="220"/>
      <c r="FM46" s="219"/>
      <c r="FN46" s="214"/>
      <c r="FO46" s="223"/>
      <c r="FP46" s="224"/>
      <c r="FQ46" s="105"/>
      <c r="FR46" s="220"/>
      <c r="FS46" s="233"/>
      <c r="FT46" s="248">
        <f>FJ46</f>
        <v>5.62</v>
      </c>
      <c r="FX46" s="270"/>
      <c r="FY46" s="253"/>
      <c r="FZ46" s="254"/>
      <c r="GA46" s="254"/>
      <c r="GB46" s="254"/>
      <c r="GC46" s="255"/>
      <c r="GD46" s="253"/>
      <c r="GE46" s="254"/>
      <c r="GF46" s="254"/>
      <c r="GG46" s="254"/>
      <c r="GH46" s="255"/>
      <c r="GI46" s="253"/>
      <c r="GJ46" s="254"/>
      <c r="GK46" s="254"/>
      <c r="GL46" s="254"/>
      <c r="GM46" s="255"/>
      <c r="GN46" s="253"/>
      <c r="GO46" s="254"/>
      <c r="GP46" s="254"/>
      <c r="GQ46" s="254"/>
      <c r="GR46" s="255"/>
    </row>
    <row r="47" spans="1:200" ht="32.1" customHeight="1">
      <c r="A47" s="408"/>
      <c r="B47" s="76" t="str">
        <f>VLOOKUP(1512,Sprachindex!$A:$Z,Info!$O$7,FALSE)</f>
        <v>lfm</v>
      </c>
      <c r="C47" s="75"/>
      <c r="D47" s="75" t="str">
        <f>IF($O$17=1,AG47,IF($O$17=2,"",IF($O$17=3,AQ47,IF($O$17=4,BA47,""))))</f>
        <v/>
      </c>
      <c r="E47" s="618" t="str">
        <f>VLOOKUP(2230,Sprachindex!$A:$Z,Info!$O$7,FALSE)</f>
        <v>Kastenrinne 3 m</v>
      </c>
      <c r="F47" s="619"/>
      <c r="G47" s="619"/>
      <c r="H47" s="619"/>
      <c r="I47" s="647"/>
      <c r="J47" s="681" t="str">
        <f>IF($O$17="","",Formeln_RI_P.10!B199)</f>
        <v>Dimension nicht möglich</v>
      </c>
      <c r="K47" s="682"/>
      <c r="L47" s="76" t="str">
        <f t="shared" si="10"/>
        <v xml:space="preserve"> </v>
      </c>
      <c r="M47" s="405" t="str">
        <f t="shared" si="3"/>
        <v>lfm</v>
      </c>
      <c r="N47" s="77"/>
      <c r="O47" s="184" t="str">
        <f t="shared" ref="O47:O54" si="19">IF(ISNUMBER(L47),FT47*L47," ")</f>
        <v xml:space="preserve"> </v>
      </c>
      <c r="R47" s="266"/>
      <c r="S47" s="179"/>
      <c r="T47" s="68"/>
      <c r="U47" s="139" t="e">
        <f>ROUNDUP($A47/$W47,0)*$W47</f>
        <v>#VALUE!</v>
      </c>
      <c r="V47" s="139">
        <f>ROUNDUP($A47/$X47,0)*$X47</f>
        <v>0</v>
      </c>
      <c r="W47" s="139" t="str">
        <f>IF($O$17=1,IF(Info!V7=1,6,36),IF($O$17=2,"",IF($O$17=3,IF(Info!V7=1,6,18),IF($O$17=4,IF(Info!V7=1,6,12),""))))</f>
        <v/>
      </c>
      <c r="X47" s="139">
        <v>3</v>
      </c>
      <c r="Y47" t="s">
        <v>775</v>
      </c>
      <c r="Z47" t="s">
        <v>776</v>
      </c>
      <c r="AA47" t="s">
        <v>777</v>
      </c>
      <c r="AB47" t="s">
        <v>778</v>
      </c>
      <c r="AC47" t="s">
        <v>779</v>
      </c>
      <c r="AD47" t="s">
        <v>780</v>
      </c>
      <c r="AE47" t="s">
        <v>781</v>
      </c>
      <c r="AF47"/>
      <c r="AG47" s="59" t="e" vm="2">
        <f t="shared" si="2"/>
        <v>#VALUE!</v>
      </c>
      <c r="AH47" s="59" t="s">
        <v>408</v>
      </c>
      <c r="AI47" t="s">
        <v>782</v>
      </c>
      <c r="AJ47" t="s">
        <v>783</v>
      </c>
      <c r="AK47" t="s">
        <v>784</v>
      </c>
      <c r="AL47" t="s">
        <v>785</v>
      </c>
      <c r="AM47" t="s">
        <v>786</v>
      </c>
      <c r="AN47" t="s">
        <v>787</v>
      </c>
      <c r="AO47" t="s">
        <v>788</v>
      </c>
      <c r="AP47">
        <v>573241</v>
      </c>
      <c r="AQ47" s="59" t="e" vm="2">
        <f t="shared" ref="AQ47:AQ54" si="20">VLOOKUP(AI47,AI47:AP47,$O$16,FALSE)</f>
        <v>#VALUE!</v>
      </c>
      <c r="AR47" s="59" t="s">
        <v>423</v>
      </c>
      <c r="AS47" t="s">
        <v>789</v>
      </c>
      <c r="AT47" t="s">
        <v>790</v>
      </c>
      <c r="AU47" t="s">
        <v>791</v>
      </c>
      <c r="AV47" t="s">
        <v>792</v>
      </c>
      <c r="AW47" t="s">
        <v>793</v>
      </c>
      <c r="AX47" t="s">
        <v>794</v>
      </c>
      <c r="AY47" t="s">
        <v>795</v>
      </c>
      <c r="AZ47"/>
      <c r="BA47" s="59" t="e" vm="2">
        <f t="shared" ref="BA47:BA49" si="21">VLOOKUP(AS47,AS47:AZ47,$O$16,FALSE)</f>
        <v>#VALUE!</v>
      </c>
      <c r="BB47" s="59" t="s">
        <v>431</v>
      </c>
      <c r="CG47"/>
      <c r="CH47"/>
      <c r="CI47"/>
      <c r="CJ47"/>
      <c r="CK47"/>
      <c r="CL47"/>
      <c r="CM47"/>
      <c r="CN47"/>
      <c r="CO47"/>
      <c r="CP47"/>
      <c r="CQ47"/>
      <c r="CR47"/>
      <c r="CS47"/>
      <c r="CT47"/>
      <c r="CU47"/>
      <c r="CV47"/>
      <c r="CW47"/>
      <c r="CX47"/>
      <c r="CY47"/>
      <c r="CZ47"/>
      <c r="FE47" s="618" t="str">
        <f>VLOOKUP(2230,Sprachindex!$A:$Z,Info!$O$7,FALSE)</f>
        <v>Kastenrinne 3 m</v>
      </c>
      <c r="FF47" s="619"/>
      <c r="FG47" s="619"/>
      <c r="FH47" s="619"/>
      <c r="FI47" s="647"/>
      <c r="FJ47" s="219"/>
      <c r="FK47" s="210">
        <v>16.87</v>
      </c>
      <c r="FL47" s="220"/>
      <c r="FM47" s="219"/>
      <c r="FN47" s="214"/>
      <c r="FO47" s="223"/>
      <c r="FP47" s="224"/>
      <c r="FQ47" s="215">
        <v>17.350000000000001</v>
      </c>
      <c r="FR47" s="220"/>
      <c r="FS47" s="234">
        <v>24</v>
      </c>
      <c r="FT47" s="248" t="str">
        <f>IF($O$17=1,FK47,IF($O$17=3,FQ47,IF($O$17=4,FS47," ")))</f>
        <v xml:space="preserve"> </v>
      </c>
      <c r="FX47" s="270"/>
      <c r="FY47" s="253"/>
      <c r="FZ47" s="254"/>
      <c r="GA47" s="254"/>
      <c r="GB47" s="254"/>
      <c r="GC47" s="255"/>
      <c r="GD47" s="253"/>
      <c r="GE47" s="254"/>
      <c r="GF47" s="254"/>
      <c r="GG47" s="254"/>
      <c r="GH47" s="255"/>
      <c r="GI47" s="253"/>
      <c r="GJ47" s="254"/>
      <c r="GK47" s="254"/>
      <c r="GL47" s="254"/>
      <c r="GM47" s="255"/>
      <c r="GN47" s="253"/>
      <c r="GO47" s="254"/>
      <c r="GP47" s="254"/>
      <c r="GQ47" s="254"/>
      <c r="GR47" s="255"/>
    </row>
    <row r="48" spans="1:200" ht="32.1" customHeight="1">
      <c r="A48" s="408"/>
      <c r="B48" s="76" t="s">
        <v>432</v>
      </c>
      <c r="C48" s="75"/>
      <c r="D48" s="75" t="str">
        <f>IF($O$17=1,AG48,IF($O$17=2,"",IF($O$17=3,AQ48,IF($O$17=4,BA48,""))))</f>
        <v/>
      </c>
      <c r="E48" s="618" t="str">
        <f>IF(Info!O7=2,VLOOKUP(2231,Sprachindex!$A:$Z,Info!$O$7,FALSE),VLOOKUP(2232,Sprachindex!$A:$Z,Info!$O$7,FALSE))</f>
        <v>Kastenrinne 6 m</v>
      </c>
      <c r="F48" s="619"/>
      <c r="G48" s="619"/>
      <c r="H48" s="619"/>
      <c r="I48" s="647"/>
      <c r="J48" s="681" t="str">
        <f>IF($O$17="","",Formeln_RI_P.10!B198)</f>
        <v>Dimension nicht möglich</v>
      </c>
      <c r="K48" s="682"/>
      <c r="L48" s="76" t="str">
        <f t="shared" si="10"/>
        <v xml:space="preserve"> </v>
      </c>
      <c r="M48" s="405" t="str">
        <f t="shared" si="3"/>
        <v>lfm</v>
      </c>
      <c r="N48" s="77"/>
      <c r="O48" s="184" t="str">
        <f t="shared" si="19"/>
        <v xml:space="preserve"> </v>
      </c>
      <c r="R48" s="266"/>
      <c r="S48" s="179"/>
      <c r="T48" s="68"/>
      <c r="U48" s="139" t="e">
        <f>ROUNDUP($A48/$W48,0)*$W48</f>
        <v>#VALUE!</v>
      </c>
      <c r="V48" s="139">
        <f>ROUNDUP($A48/$X48,0)*$X48</f>
        <v>0</v>
      </c>
      <c r="W48" s="139" t="str">
        <f>IF($O$17=1,IF(Info!V7=1,10,12),IF($O$17=2,"",IF($O$17=3,IF(Info!V7=1,10,12),IF($O$17=4,IF(Info!V7=1,10,12),""))))</f>
        <v/>
      </c>
      <c r="X48" s="139">
        <f>IF(Info!V7=2,5,6)</f>
        <v>6</v>
      </c>
      <c r="Y48" t="s">
        <v>796</v>
      </c>
      <c r="Z48" t="s">
        <v>797</v>
      </c>
      <c r="AA48" t="s">
        <v>798</v>
      </c>
      <c r="AB48" t="s">
        <v>799</v>
      </c>
      <c r="AC48" t="s">
        <v>800</v>
      </c>
      <c r="AD48" t="s">
        <v>801</v>
      </c>
      <c r="AE48" t="s">
        <v>802</v>
      </c>
      <c r="AF48"/>
      <c r="AG48" s="59" t="e" vm="2">
        <f t="shared" si="2"/>
        <v>#VALUE!</v>
      </c>
      <c r="AH48" s="59" t="s">
        <v>440</v>
      </c>
      <c r="AI48" t="s">
        <v>803</v>
      </c>
      <c r="AJ48" t="s">
        <v>804</v>
      </c>
      <c r="AK48" t="s">
        <v>805</v>
      </c>
      <c r="AL48" t="s">
        <v>806</v>
      </c>
      <c r="AM48" t="s">
        <v>807</v>
      </c>
      <c r="AN48" t="s">
        <v>808</v>
      </c>
      <c r="AO48" t="s">
        <v>809</v>
      </c>
      <c r="AP48">
        <v>573041</v>
      </c>
      <c r="AQ48" s="59" t="e" vm="2">
        <f t="shared" si="20"/>
        <v>#VALUE!</v>
      </c>
      <c r="AR48" s="59" t="s">
        <v>456</v>
      </c>
      <c r="AS48" t="s">
        <v>810</v>
      </c>
      <c r="AT48" t="s">
        <v>811</v>
      </c>
      <c r="AU48" s="123">
        <v>211084</v>
      </c>
      <c r="AV48" t="s">
        <v>812</v>
      </c>
      <c r="AW48" t="s">
        <v>813</v>
      </c>
      <c r="AX48" t="s">
        <v>814</v>
      </c>
      <c r="AY48" t="s">
        <v>815</v>
      </c>
      <c r="AZ48"/>
      <c r="BA48" s="59" t="e" vm="2">
        <f t="shared" si="21"/>
        <v>#VALUE!</v>
      </c>
      <c r="BB48" s="59" t="s">
        <v>464</v>
      </c>
      <c r="BC48"/>
      <c r="BD48"/>
      <c r="BE48"/>
      <c r="BF48"/>
      <c r="BG48"/>
      <c r="BH48"/>
      <c r="BI48"/>
      <c r="BJ48"/>
      <c r="BK48" s="132"/>
      <c r="BL48" s="132"/>
      <c r="BM48"/>
      <c r="BN48"/>
      <c r="BO48"/>
      <c r="BP48"/>
      <c r="BQ48"/>
      <c r="BR48"/>
      <c r="BS48"/>
      <c r="BT48"/>
      <c r="BU48" s="132"/>
      <c r="BV48" s="132"/>
      <c r="BW48"/>
      <c r="BX48"/>
      <c r="BY48"/>
      <c r="BZ48"/>
      <c r="CA48"/>
      <c r="CB48"/>
      <c r="CC48"/>
      <c r="CD48"/>
      <c r="CE48" s="132"/>
      <c r="CF48" s="132"/>
      <c r="CG48"/>
      <c r="CH48"/>
      <c r="CI48"/>
      <c r="CJ48"/>
      <c r="CK48"/>
      <c r="CL48"/>
      <c r="CM48"/>
      <c r="CN48"/>
      <c r="CO48"/>
      <c r="CP48"/>
      <c r="CQ48"/>
      <c r="CR48"/>
      <c r="CS48"/>
      <c r="CT48"/>
      <c r="CU48"/>
      <c r="CV48"/>
      <c r="CW48"/>
      <c r="CX48"/>
      <c r="CY48"/>
      <c r="CZ48"/>
      <c r="FE48" s="618" t="str">
        <f>IF(Info!EB7=1,VLOOKUP(2231,Sprachindex!$A:$Z,Info!$O$7,FALSE),VLOOKUP(2232,Sprachindex!$A:$Z,Info!$O$7,FALSE))</f>
        <v>Kastenrinne 6 m</v>
      </c>
      <c r="FF48" s="619"/>
      <c r="FG48" s="619"/>
      <c r="FH48" s="619"/>
      <c r="FI48" s="647"/>
      <c r="FJ48" s="219"/>
      <c r="FK48" s="210">
        <v>16.87</v>
      </c>
      <c r="FL48" s="220"/>
      <c r="FM48" s="219"/>
      <c r="FN48" s="214"/>
      <c r="FO48" s="223"/>
      <c r="FP48" s="224"/>
      <c r="FQ48" s="215">
        <v>17.350000000000001</v>
      </c>
      <c r="FR48" s="220"/>
      <c r="FS48" s="234">
        <v>24</v>
      </c>
      <c r="FT48" s="248" t="str">
        <f>IF($O$17=1,FK48,IF($O$17=3,FQ48,IF($O$17=4,FS48," ")))</f>
        <v xml:space="preserve"> </v>
      </c>
      <c r="FY48" s="253"/>
      <c r="FZ48" s="254"/>
      <c r="GA48" s="254"/>
      <c r="GB48" s="254"/>
      <c r="GC48" s="255"/>
      <c r="GD48" s="253"/>
      <c r="GE48" s="254"/>
      <c r="GF48" s="254"/>
      <c r="GG48" s="254"/>
      <c r="GH48" s="255"/>
      <c r="GI48" s="253"/>
      <c r="GJ48" s="254"/>
      <c r="GK48" s="254"/>
      <c r="GL48" s="254"/>
      <c r="GM48" s="255"/>
      <c r="GN48" s="253"/>
      <c r="GO48" s="254"/>
      <c r="GP48" s="254"/>
      <c r="GQ48" s="254"/>
      <c r="GR48" s="255"/>
    </row>
    <row r="49" spans="1:200" ht="32.1" customHeight="1">
      <c r="A49" s="103"/>
      <c r="B49" s="76" t="str">
        <f>VLOOKUP(878,Sprachindex!$A:$Z,Info!$O$7,FALSE)</f>
        <v>Stk.</v>
      </c>
      <c r="C49" s="75"/>
      <c r="D49" s="75" t="str">
        <f>IF(O17=1,AG49,IF(O17=3,AQ49,IF(O17=4,BA49,"")))</f>
        <v/>
      </c>
      <c r="E49" s="618" t="str">
        <f>VLOOKUP(713,Sprachindex!$A:$Z,Info!$O$7,FALSE)</f>
        <v>Rinnenhaken für Kastenrinne</v>
      </c>
      <c r="F49" s="619"/>
      <c r="G49" s="619"/>
      <c r="H49" s="619"/>
      <c r="I49" s="647"/>
      <c r="J49" s="681" t="str">
        <f>Formeln_RI_P.10!A202</f>
        <v/>
      </c>
      <c r="K49" s="682"/>
      <c r="L49" s="76" t="str">
        <f t="shared" si="10"/>
        <v xml:space="preserve"> </v>
      </c>
      <c r="M49" s="405" t="str">
        <f t="shared" si="3"/>
        <v>Stk.</v>
      </c>
      <c r="N49" s="77"/>
      <c r="O49" s="184" t="str">
        <f t="shared" si="19"/>
        <v xml:space="preserve"> </v>
      </c>
      <c r="R49" s="266"/>
      <c r="S49" s="179"/>
      <c r="T49" s="68"/>
      <c r="U49" s="139" t="e">
        <f t="shared" ref="U49:V54" si="22">ROUNDUP($A49/W49,0)*W49</f>
        <v>#VALUE!</v>
      </c>
      <c r="V49" s="139" t="e">
        <f t="shared" si="22"/>
        <v>#VALUE!</v>
      </c>
      <c r="W49" s="139" t="str">
        <f>IF($O$17=1,35,IF($O$17=3,24,IF($O$17=4,18,"")))</f>
        <v/>
      </c>
      <c r="X49" s="139" t="str">
        <f>IF(OR($O$17=1,$O$17=3,$O$17=4),1,"")</f>
        <v/>
      </c>
      <c r="Y49" t="s">
        <v>816</v>
      </c>
      <c r="Z49" t="s">
        <v>817</v>
      </c>
      <c r="AA49" t="s">
        <v>818</v>
      </c>
      <c r="AB49" t="s">
        <v>819</v>
      </c>
      <c r="AC49" t="s">
        <v>820</v>
      </c>
      <c r="AD49" t="s">
        <v>821</v>
      </c>
      <c r="AE49" t="s">
        <v>822</v>
      </c>
      <c r="AF49"/>
      <c r="AG49" s="59" t="e" vm="2">
        <f t="shared" si="2"/>
        <v>#VALUE!</v>
      </c>
      <c r="AH49" s="59" t="s">
        <v>823</v>
      </c>
      <c r="AI49" t="s">
        <v>824</v>
      </c>
      <c r="AJ49" t="s">
        <v>825</v>
      </c>
      <c r="AK49" t="s">
        <v>826</v>
      </c>
      <c r="AL49" t="s">
        <v>827</v>
      </c>
      <c r="AM49" t="s">
        <v>828</v>
      </c>
      <c r="AN49" t="s">
        <v>829</v>
      </c>
      <c r="AO49" t="s">
        <v>830</v>
      </c>
      <c r="AP49">
        <v>525021</v>
      </c>
      <c r="AQ49" s="59" t="e" vm="2">
        <f t="shared" si="20"/>
        <v>#VALUE!</v>
      </c>
      <c r="AR49" s="59" t="s">
        <v>553</v>
      </c>
      <c r="AS49" t="s">
        <v>831</v>
      </c>
      <c r="AT49" t="s">
        <v>832</v>
      </c>
      <c r="AU49" t="s">
        <v>833</v>
      </c>
      <c r="AV49" t="s">
        <v>834</v>
      </c>
      <c r="AW49" t="s">
        <v>835</v>
      </c>
      <c r="AX49" t="s">
        <v>836</v>
      </c>
      <c r="AY49" t="s">
        <v>837</v>
      </c>
      <c r="AZ49"/>
      <c r="BA49" s="59" t="e" vm="2">
        <f t="shared" si="21"/>
        <v>#VALUE!</v>
      </c>
      <c r="BB49" s="59" t="s">
        <v>838</v>
      </c>
      <c r="BC49"/>
      <c r="BD49"/>
      <c r="BE49"/>
      <c r="BF49"/>
      <c r="BG49"/>
      <c r="BH49"/>
      <c r="BI49"/>
      <c r="BJ49"/>
      <c r="BK49"/>
      <c r="BL49"/>
      <c r="FE49" s="618" t="str">
        <f>VLOOKUP(713,Sprachindex!$A:$Z,Info!$O$7,FALSE)</f>
        <v>Rinnenhaken für Kastenrinne</v>
      </c>
      <c r="FF49" s="619"/>
      <c r="FG49" s="619"/>
      <c r="FH49" s="619"/>
      <c r="FI49" s="647"/>
      <c r="FJ49" s="219"/>
      <c r="FK49" s="210">
        <v>8.9600000000000009</v>
      </c>
      <c r="FL49" s="220"/>
      <c r="FM49" s="219"/>
      <c r="FN49" s="214"/>
      <c r="FO49" s="223"/>
      <c r="FP49" s="224"/>
      <c r="FQ49" s="215">
        <v>9.74</v>
      </c>
      <c r="FR49" s="220"/>
      <c r="FS49" s="234">
        <v>12.24</v>
      </c>
      <c r="FT49" s="248" t="str">
        <f>IF($O$17=1,FK49,IF($O$17=3,FQ49,IF($O$17=4,FS49," ")))</f>
        <v xml:space="preserve"> </v>
      </c>
      <c r="FY49" s="253"/>
      <c r="FZ49" s="254"/>
      <c r="GA49" s="254"/>
      <c r="GB49" s="254"/>
      <c r="GC49" s="255"/>
      <c r="GD49" s="253"/>
      <c r="GE49" s="254"/>
      <c r="GF49" s="254"/>
      <c r="GG49" s="254"/>
      <c r="GH49" s="255"/>
      <c r="GI49" s="253"/>
      <c r="GJ49" s="254"/>
      <c r="GK49" s="254"/>
      <c r="GL49" s="254"/>
      <c r="GM49" s="255"/>
      <c r="GN49" s="253"/>
      <c r="GO49" s="254"/>
      <c r="GP49" s="254"/>
      <c r="GQ49" s="254"/>
      <c r="GR49" s="255"/>
    </row>
    <row r="50" spans="1:200" ht="32.1" customHeight="1">
      <c r="A50" s="103"/>
      <c r="B50" s="76" t="str">
        <f>VLOOKUP(878,Sprachindex!$A:$Z,Info!$O$7,FALSE)</f>
        <v>Stk.</v>
      </c>
      <c r="C50" s="75"/>
      <c r="D50" s="75" t="str">
        <f>IF(O17=1,AG50,IF(O17=3,AQ50,""))</f>
        <v/>
      </c>
      <c r="E50" s="618" t="str">
        <f>VLOOKUP(877,Sprachindex!$A:$Z,Info!$O$7,FALSE)</f>
        <v>Stirnbretthaken für Kastenrinnen</v>
      </c>
      <c r="F50" s="619"/>
      <c r="G50" s="619"/>
      <c r="H50" s="619"/>
      <c r="I50" s="619"/>
      <c r="J50" s="681" t="str">
        <f>Formeln_RI_P.10!A210</f>
        <v/>
      </c>
      <c r="K50" s="682"/>
      <c r="L50" s="76" t="str">
        <f t="shared" si="10"/>
        <v xml:space="preserve"> </v>
      </c>
      <c r="M50" s="405" t="str">
        <f t="shared" si="3"/>
        <v>Stk.</v>
      </c>
      <c r="N50" s="77"/>
      <c r="O50" s="184" t="str">
        <f t="shared" si="19"/>
        <v xml:space="preserve"> </v>
      </c>
      <c r="R50" s="266"/>
      <c r="S50" s="179"/>
      <c r="T50" s="68"/>
      <c r="U50" s="139" t="e">
        <f t="shared" si="22"/>
        <v>#VALUE!</v>
      </c>
      <c r="V50" s="139" t="e">
        <f t="shared" si="22"/>
        <v>#VALUE!</v>
      </c>
      <c r="W50" s="139" t="str">
        <f>IF(OR($O$17=1,$O$17=3),10,"")</f>
        <v/>
      </c>
      <c r="X50" s="139" t="str">
        <f>IF(OR($O$17=1,$O$17=3),1,"")</f>
        <v/>
      </c>
      <c r="Y50" t="s">
        <v>839</v>
      </c>
      <c r="Z50" t="s">
        <v>840</v>
      </c>
      <c r="AA50" t="s">
        <v>841</v>
      </c>
      <c r="AB50" t="s">
        <v>842</v>
      </c>
      <c r="AC50" t="s">
        <v>843</v>
      </c>
      <c r="AD50" t="s">
        <v>844</v>
      </c>
      <c r="AE50" t="s">
        <v>845</v>
      </c>
      <c r="AF50"/>
      <c r="AG50" s="59" t="e" vm="2">
        <f t="shared" si="2"/>
        <v>#VALUE!</v>
      </c>
      <c r="AH50" s="59" t="s">
        <v>538</v>
      </c>
      <c r="AI50" t="s">
        <v>846</v>
      </c>
      <c r="AJ50" t="s">
        <v>847</v>
      </c>
      <c r="AK50" t="s">
        <v>848</v>
      </c>
      <c r="AL50" t="s">
        <v>849</v>
      </c>
      <c r="AM50" t="s">
        <v>850</v>
      </c>
      <c r="AN50" t="s">
        <v>851</v>
      </c>
      <c r="AO50" t="s">
        <v>852</v>
      </c>
      <c r="AP50">
        <v>525221</v>
      </c>
      <c r="AQ50" s="59" t="e" vm="2">
        <f t="shared" si="20"/>
        <v>#VALUE!</v>
      </c>
      <c r="AR50" s="59" t="s">
        <v>553</v>
      </c>
      <c r="FE50" s="618" t="str">
        <f>VLOOKUP(877,Sprachindex!$A:$Z,Info!$O$7,FALSE)</f>
        <v>Stirnbretthaken für Kastenrinnen</v>
      </c>
      <c r="FF50" s="619"/>
      <c r="FG50" s="619"/>
      <c r="FH50" s="619"/>
      <c r="FI50" s="619"/>
      <c r="FJ50" s="219"/>
      <c r="FK50" s="210">
        <v>8.81</v>
      </c>
      <c r="FL50" s="220"/>
      <c r="FM50" s="219"/>
      <c r="FN50" s="214"/>
      <c r="FO50" s="223"/>
      <c r="FP50" s="224"/>
      <c r="FQ50" s="215">
        <v>9.6999999999999993</v>
      </c>
      <c r="FR50" s="220"/>
      <c r="FS50" s="233"/>
      <c r="FT50" s="248" t="str">
        <f>IF($O$17=1,FK50,IF($O$17=3,FQ50," "))</f>
        <v xml:space="preserve"> </v>
      </c>
      <c r="FY50" s="253"/>
      <c r="FZ50" s="254"/>
      <c r="GA50" s="254"/>
      <c r="GB50" s="254"/>
      <c r="GC50" s="255"/>
      <c r="GD50" s="253"/>
      <c r="GE50" s="254"/>
      <c r="GF50" s="254"/>
      <c r="GG50" s="254"/>
      <c r="GH50" s="255"/>
      <c r="GI50" s="253"/>
      <c r="GJ50" s="254"/>
      <c r="GK50" s="254"/>
      <c r="GL50" s="254"/>
      <c r="GM50" s="255"/>
      <c r="GN50" s="253"/>
      <c r="GO50" s="254"/>
      <c r="GP50" s="254"/>
      <c r="GQ50" s="254"/>
      <c r="GR50" s="255"/>
    </row>
    <row r="51" spans="1:200" ht="32.1" customHeight="1">
      <c r="A51" s="103"/>
      <c r="B51" s="76" t="str">
        <f>VLOOKUP(878,Sprachindex!$A:$Z,Info!$O$7,FALSE)</f>
        <v>Stk.</v>
      </c>
      <c r="C51" s="75"/>
      <c r="D51" s="75" t="str">
        <f>IF(O17=1,AG51,IF(O17=3,AQ51,IF(O17=4,BA51,"")))</f>
        <v/>
      </c>
      <c r="E51" s="618" t="str">
        <f>VLOOKUP(519,Sprachindex!$A:$Z,Info!$O$7,FALSE)</f>
        <v>Kastenrinnenendboden</v>
      </c>
      <c r="F51" s="619"/>
      <c r="G51" s="619"/>
      <c r="H51" s="619"/>
      <c r="I51" s="619"/>
      <c r="J51" s="681" t="str">
        <f>Formeln_RI_P.10!A214</f>
        <v/>
      </c>
      <c r="K51" s="682"/>
      <c r="L51" s="76" t="str">
        <f t="shared" si="10"/>
        <v xml:space="preserve"> </v>
      </c>
      <c r="M51" s="405" t="str">
        <f t="shared" si="3"/>
        <v>Stk.</v>
      </c>
      <c r="N51" s="77"/>
      <c r="O51" s="184" t="str">
        <f t="shared" si="19"/>
        <v xml:space="preserve"> </v>
      </c>
      <c r="R51" s="266"/>
      <c r="S51" s="179"/>
      <c r="T51" s="68"/>
      <c r="U51" s="139" t="e">
        <f t="shared" si="22"/>
        <v>#VALUE!</v>
      </c>
      <c r="V51" s="139" t="e">
        <f t="shared" si="22"/>
        <v>#VALUE!</v>
      </c>
      <c r="W51" s="139" t="str">
        <f>IF(OR($O$17=1,$O$17=3,$O$17=4),50,"")</f>
        <v/>
      </c>
      <c r="X51" s="139" t="str">
        <f>IF(OR($O$17=1,$O$17=3,$O$17=4),1,"")</f>
        <v/>
      </c>
      <c r="Y51" t="s">
        <v>853</v>
      </c>
      <c r="Z51" t="s">
        <v>854</v>
      </c>
      <c r="AA51" t="s">
        <v>855</v>
      </c>
      <c r="AB51" t="s">
        <v>856</v>
      </c>
      <c r="AC51" t="s">
        <v>857</v>
      </c>
      <c r="AD51" t="s">
        <v>858</v>
      </c>
      <c r="AE51" t="s">
        <v>859</v>
      </c>
      <c r="AF51"/>
      <c r="AG51" s="59" t="e" vm="2">
        <f t="shared" si="2"/>
        <v>#VALUE!</v>
      </c>
      <c r="AH51" s="59" t="s">
        <v>595</v>
      </c>
      <c r="AI51" t="s">
        <v>860</v>
      </c>
      <c r="AJ51" t="s">
        <v>861</v>
      </c>
      <c r="AK51" t="s">
        <v>862</v>
      </c>
      <c r="AL51" t="s">
        <v>863</v>
      </c>
      <c r="AM51" t="s">
        <v>864</v>
      </c>
      <c r="AN51">
        <v>200126</v>
      </c>
      <c r="AO51" t="s">
        <v>865</v>
      </c>
      <c r="AP51">
        <v>540022</v>
      </c>
      <c r="AQ51" s="59" t="e" vm="2">
        <f t="shared" si="20"/>
        <v>#VALUE!</v>
      </c>
      <c r="AR51" s="59" t="s">
        <v>610</v>
      </c>
      <c r="AS51" t="s">
        <v>866</v>
      </c>
      <c r="AT51" t="s">
        <v>867</v>
      </c>
      <c r="AU51" t="s">
        <v>868</v>
      </c>
      <c r="AV51" t="s">
        <v>869</v>
      </c>
      <c r="AW51" t="s">
        <v>870</v>
      </c>
      <c r="AX51" t="s">
        <v>871</v>
      </c>
      <c r="AY51" t="s">
        <v>872</v>
      </c>
      <c r="AZ51"/>
      <c r="BA51" s="59" t="e" vm="2">
        <f t="shared" ref="BA51:BA53" si="23">VLOOKUP(AS51,AS51:AZ51,$O$16,FALSE)</f>
        <v>#VALUE!</v>
      </c>
      <c r="BB51" s="59" t="s">
        <v>618</v>
      </c>
      <c r="FE51" s="618" t="str">
        <f>VLOOKUP(519,Sprachindex!$A:$Z,Info!$O$7,FALSE)</f>
        <v>Kastenrinnenendboden</v>
      </c>
      <c r="FF51" s="619"/>
      <c r="FG51" s="619"/>
      <c r="FH51" s="619"/>
      <c r="FI51" s="619"/>
      <c r="FJ51" s="219"/>
      <c r="FK51" s="210">
        <v>4.8899999999999997</v>
      </c>
      <c r="FL51" s="220"/>
      <c r="FM51" s="219"/>
      <c r="FN51" s="214"/>
      <c r="FO51" s="223"/>
      <c r="FP51" s="224"/>
      <c r="FQ51" s="215">
        <v>5.09</v>
      </c>
      <c r="FR51" s="220"/>
      <c r="FS51" s="234">
        <v>5.86</v>
      </c>
      <c r="FT51" s="248" t="str">
        <f>IF($O$17=1,FK51,IF($O$17=3,FQ51,IF($O$17=4,FS51," ")))</f>
        <v xml:space="preserve"> </v>
      </c>
      <c r="FY51" s="253"/>
      <c r="FZ51" s="254"/>
      <c r="GA51" s="254"/>
      <c r="GB51" s="254"/>
      <c r="GC51" s="255"/>
      <c r="GD51" s="253"/>
      <c r="GE51" s="254"/>
      <c r="GF51" s="254"/>
      <c r="GG51" s="254"/>
      <c r="GH51" s="255"/>
      <c r="GI51" s="253"/>
      <c r="GJ51" s="254"/>
      <c r="GK51" s="254"/>
      <c r="GL51" s="254"/>
      <c r="GM51" s="255"/>
      <c r="GN51" s="253"/>
      <c r="GO51" s="254"/>
      <c r="GP51" s="254"/>
      <c r="GQ51" s="254"/>
      <c r="GR51" s="255"/>
    </row>
    <row r="52" spans="1:200" ht="32.1" customHeight="1">
      <c r="A52" s="103"/>
      <c r="B52" s="76" t="str">
        <f>VLOOKUP(878,Sprachindex!$A:$Z,Info!$O$7,FALSE)</f>
        <v>Stk.</v>
      </c>
      <c r="C52" s="75"/>
      <c r="D52" s="75" t="str">
        <f>IF($O$17=1,AG52,IF($O$17=3,AQ52,IF($O$17=4,BA52,IF($O$17=5,BK52,""))))</f>
        <v/>
      </c>
      <c r="E52" s="618" t="str">
        <f>VLOOKUP(523,Sprachindex!$A:$Z,Info!$O$7,FALSE)</f>
        <v>Kastenrinnenwinkel 90° (außen)</v>
      </c>
      <c r="F52" s="619"/>
      <c r="G52" s="619"/>
      <c r="H52" s="619"/>
      <c r="I52" s="619"/>
      <c r="J52" s="681" t="str">
        <f>Formeln_RI_P.10!A178</f>
        <v/>
      </c>
      <c r="K52" s="682"/>
      <c r="L52" s="76" t="str">
        <f t="shared" si="10"/>
        <v xml:space="preserve"> </v>
      </c>
      <c r="M52" s="405" t="str">
        <f t="shared" si="3"/>
        <v>Stk.</v>
      </c>
      <c r="N52" s="77"/>
      <c r="O52" s="184" t="str">
        <f t="shared" si="19"/>
        <v xml:space="preserve"> </v>
      </c>
      <c r="R52" s="266"/>
      <c r="S52" s="179"/>
      <c r="T52" s="68"/>
      <c r="U52" s="139" t="e">
        <f t="shared" si="22"/>
        <v>#VALUE!</v>
      </c>
      <c r="V52" s="139" t="e">
        <f t="shared" si="22"/>
        <v>#VALUE!</v>
      </c>
      <c r="W52" s="139" t="str">
        <f>IF($O$17=1,4,IF($O$17=3,4,IF($O$17=4,2,"")))</f>
        <v/>
      </c>
      <c r="X52" s="139" t="str">
        <f>IF(OR($O$17=1,$O$17=3,$O$17=4),1,"")</f>
        <v/>
      </c>
      <c r="Y52" t="s">
        <v>873</v>
      </c>
      <c r="Z52" t="s">
        <v>874</v>
      </c>
      <c r="AA52" t="s">
        <v>875</v>
      </c>
      <c r="AB52" t="s">
        <v>876</v>
      </c>
      <c r="AC52" t="s">
        <v>877</v>
      </c>
      <c r="AD52" t="s">
        <v>878</v>
      </c>
      <c r="AE52" t="s">
        <v>879</v>
      </c>
      <c r="AF52"/>
      <c r="AG52" s="59" t="e" vm="2">
        <f t="shared" si="2"/>
        <v>#VALUE!</v>
      </c>
      <c r="AH52" s="59" t="s">
        <v>595</v>
      </c>
      <c r="AI52" t="s">
        <v>880</v>
      </c>
      <c r="AJ52" t="s">
        <v>881</v>
      </c>
      <c r="AK52" t="s">
        <v>882</v>
      </c>
      <c r="AL52" t="s">
        <v>883</v>
      </c>
      <c r="AM52" t="s">
        <v>884</v>
      </c>
      <c r="AN52" t="s">
        <v>885</v>
      </c>
      <c r="AO52" t="s">
        <v>886</v>
      </c>
      <c r="AP52">
        <v>524042</v>
      </c>
      <c r="AQ52" s="59" t="e" vm="2">
        <f t="shared" si="20"/>
        <v>#VALUE!</v>
      </c>
      <c r="AR52" s="59" t="s">
        <v>610</v>
      </c>
      <c r="AS52" t="s">
        <v>887</v>
      </c>
      <c r="AT52" t="s">
        <v>888</v>
      </c>
      <c r="AU52" t="s">
        <v>889</v>
      </c>
      <c r="AV52" t="s">
        <v>890</v>
      </c>
      <c r="AW52" t="s">
        <v>891</v>
      </c>
      <c r="AX52" t="s">
        <v>892</v>
      </c>
      <c r="AY52" t="s">
        <v>893</v>
      </c>
      <c r="AZ52"/>
      <c r="BA52" s="59" t="e" vm="2">
        <f t="shared" si="23"/>
        <v>#VALUE!</v>
      </c>
      <c r="BB52" s="59" t="s">
        <v>618</v>
      </c>
      <c r="BC52"/>
      <c r="BD52"/>
      <c r="BE52"/>
      <c r="BF52"/>
      <c r="BG52"/>
      <c r="BH52"/>
      <c r="BI52"/>
      <c r="BJ52"/>
      <c r="FE52" s="618" t="str">
        <f>VLOOKUP(523,Sprachindex!$A:$Z,Info!$O$7,FALSE)</f>
        <v>Kastenrinnenwinkel 90° (außen)</v>
      </c>
      <c r="FF52" s="619"/>
      <c r="FG52" s="619"/>
      <c r="FH52" s="619"/>
      <c r="FI52" s="619"/>
      <c r="FJ52" s="219"/>
      <c r="FK52" s="210">
        <v>42.04</v>
      </c>
      <c r="FL52" s="220"/>
      <c r="FM52" s="219"/>
      <c r="FN52" s="214"/>
      <c r="FO52" s="223"/>
      <c r="FP52" s="224"/>
      <c r="FQ52" s="215">
        <v>42.28</v>
      </c>
      <c r="FR52" s="220"/>
      <c r="FS52" s="234">
        <v>49.28</v>
      </c>
      <c r="FT52" s="248" t="str">
        <f>IF($O$17=1,FK52,IF($O$17=3,FQ52,IF($O$17=4,FS52," ")))</f>
        <v xml:space="preserve"> </v>
      </c>
      <c r="FY52" s="253"/>
      <c r="FZ52" s="254"/>
      <c r="GA52" s="254"/>
      <c r="GB52" s="254"/>
      <c r="GC52" s="255"/>
      <c r="GD52" s="253"/>
      <c r="GE52" s="254"/>
      <c r="GF52" s="254"/>
      <c r="GG52" s="254"/>
      <c r="GH52" s="255"/>
      <c r="GI52" s="253"/>
      <c r="GJ52" s="254"/>
      <c r="GK52" s="254"/>
      <c r="GL52" s="254"/>
      <c r="GM52" s="255"/>
      <c r="GN52" s="253"/>
      <c r="GO52" s="254"/>
      <c r="GP52" s="254"/>
      <c r="GQ52" s="254"/>
      <c r="GR52" s="255"/>
    </row>
    <row r="53" spans="1:200" ht="32.1" customHeight="1">
      <c r="A53" s="103"/>
      <c r="B53" s="76" t="str">
        <f>VLOOKUP(878,Sprachindex!$A:$Z,Info!$O$7,FALSE)</f>
        <v>Stk.</v>
      </c>
      <c r="C53" s="75"/>
      <c r="D53" s="75" t="str">
        <f>IF($O$17=1,AG53,IF($O$17=3,AQ53,IF($O$17=4,BA53,IF($O$17=5,BK53,""))))</f>
        <v/>
      </c>
      <c r="E53" s="618" t="str">
        <f>VLOOKUP(524,Sprachindex!$A:$Z,Info!$O$7,FALSE)</f>
        <v>Kastenrinnenwinkel 90° (innen)</v>
      </c>
      <c r="F53" s="619"/>
      <c r="G53" s="619"/>
      <c r="H53" s="619"/>
      <c r="I53" s="619"/>
      <c r="J53" s="681" t="str">
        <f>Formeln_RI_P.10!A178</f>
        <v/>
      </c>
      <c r="K53" s="682"/>
      <c r="L53" s="76" t="str">
        <f t="shared" si="10"/>
        <v xml:space="preserve"> </v>
      </c>
      <c r="M53" s="405" t="str">
        <f t="shared" si="3"/>
        <v>Stk.</v>
      </c>
      <c r="N53" s="77"/>
      <c r="O53" s="184" t="str">
        <f t="shared" si="19"/>
        <v xml:space="preserve"> </v>
      </c>
      <c r="R53" s="266"/>
      <c r="S53" s="179"/>
      <c r="T53" s="68"/>
      <c r="U53" s="139" t="e">
        <f t="shared" si="22"/>
        <v>#VALUE!</v>
      </c>
      <c r="V53" s="139" t="e">
        <f t="shared" si="22"/>
        <v>#VALUE!</v>
      </c>
      <c r="W53" s="139" t="str">
        <f>IF($O$17=1,4,IF($O$17=3,4,IF($O$17=4,2,"")))</f>
        <v/>
      </c>
      <c r="X53" s="139" t="str">
        <f>IF(OR($O$17=1,$O$17=3,$O$17=4),1,"")</f>
        <v/>
      </c>
      <c r="Y53" t="s">
        <v>894</v>
      </c>
      <c r="Z53" t="s">
        <v>895</v>
      </c>
      <c r="AA53" t="s">
        <v>896</v>
      </c>
      <c r="AB53" t="s">
        <v>897</v>
      </c>
      <c r="AC53" t="s">
        <v>898</v>
      </c>
      <c r="AD53" t="s">
        <v>899</v>
      </c>
      <c r="AE53" t="s">
        <v>900</v>
      </c>
      <c r="AF53"/>
      <c r="AG53" s="59" t="e" vm="2">
        <f t="shared" si="2"/>
        <v>#VALUE!</v>
      </c>
      <c r="AH53" s="59" t="s">
        <v>595</v>
      </c>
      <c r="AI53" t="s">
        <v>901</v>
      </c>
      <c r="AJ53" t="s">
        <v>902</v>
      </c>
      <c r="AK53" t="s">
        <v>903</v>
      </c>
      <c r="AL53" t="s">
        <v>904</v>
      </c>
      <c r="AM53" t="s">
        <v>905</v>
      </c>
      <c r="AN53" t="s">
        <v>906</v>
      </c>
      <c r="AO53" t="s">
        <v>907</v>
      </c>
      <c r="AP53">
        <v>524041</v>
      </c>
      <c r="AQ53" s="59" t="e" vm="2">
        <f t="shared" si="20"/>
        <v>#VALUE!</v>
      </c>
      <c r="AR53" s="59" t="s">
        <v>610</v>
      </c>
      <c r="AS53" t="s">
        <v>908</v>
      </c>
      <c r="AT53" t="s">
        <v>909</v>
      </c>
      <c r="AU53" t="s">
        <v>910</v>
      </c>
      <c r="AV53" t="s">
        <v>911</v>
      </c>
      <c r="AW53" t="s">
        <v>912</v>
      </c>
      <c r="AX53" t="s">
        <v>913</v>
      </c>
      <c r="AY53" t="s">
        <v>914</v>
      </c>
      <c r="AZ53"/>
      <c r="BA53" s="59" t="e" vm="2">
        <f t="shared" si="23"/>
        <v>#VALUE!</v>
      </c>
      <c r="BB53" s="59" t="s">
        <v>618</v>
      </c>
      <c r="BC53"/>
      <c r="BD53"/>
      <c r="BE53"/>
      <c r="BF53"/>
      <c r="BG53"/>
      <c r="BH53"/>
      <c r="BI53"/>
      <c r="BJ53"/>
      <c r="BK53"/>
      <c r="BL53"/>
      <c r="BM53"/>
      <c r="BN53"/>
      <c r="BO53"/>
      <c r="BP53"/>
      <c r="BQ53"/>
      <c r="BR53"/>
      <c r="BS53"/>
      <c r="BT53"/>
      <c r="BU53"/>
      <c r="BV53"/>
      <c r="FE53" s="618" t="str">
        <f>VLOOKUP(524,Sprachindex!$A:$Z,Info!$O$7,FALSE)</f>
        <v>Kastenrinnenwinkel 90° (innen)</v>
      </c>
      <c r="FF53" s="619"/>
      <c r="FG53" s="619"/>
      <c r="FH53" s="619"/>
      <c r="FI53" s="619"/>
      <c r="FJ53" s="219"/>
      <c r="FK53" s="210">
        <v>42.04</v>
      </c>
      <c r="FL53" s="220"/>
      <c r="FM53" s="219"/>
      <c r="FN53" s="214"/>
      <c r="FO53" s="223"/>
      <c r="FP53" s="224"/>
      <c r="FQ53" s="215">
        <v>42.28</v>
      </c>
      <c r="FR53" s="220"/>
      <c r="FS53" s="234">
        <v>49.28</v>
      </c>
      <c r="FT53" s="248" t="str">
        <f>IF($O$17=1,FK53,IF($O$17=3,FQ53,IF($O$17=4,FS53," ")))</f>
        <v xml:space="preserve"> </v>
      </c>
      <c r="FY53" s="253"/>
      <c r="FZ53" s="254"/>
      <c r="GA53" s="254"/>
      <c r="GB53" s="254"/>
      <c r="GC53" s="255"/>
      <c r="GD53" s="253"/>
      <c r="GE53" s="254"/>
      <c r="GF53" s="254"/>
      <c r="GG53" s="254"/>
      <c r="GH53" s="255"/>
      <c r="GI53" s="253"/>
      <c r="GJ53" s="254"/>
      <c r="GK53" s="254"/>
      <c r="GL53" s="254"/>
      <c r="GM53" s="255"/>
      <c r="GN53" s="253"/>
      <c r="GO53" s="254"/>
      <c r="GP53" s="254"/>
      <c r="GQ53" s="254"/>
      <c r="GR53" s="255"/>
    </row>
    <row r="54" spans="1:200" ht="32.1" customHeight="1">
      <c r="A54" s="408"/>
      <c r="B54" s="76" t="str">
        <f>VLOOKUP(878,Sprachindex!$A:$Z,Info!$O$7,FALSE)</f>
        <v>Stk.</v>
      </c>
      <c r="C54" s="75"/>
      <c r="D54" s="75" t="str">
        <f>IF(AND(O17=1,O18=2),AG54,IF(AND(O17=3,O18=3),AQ54,IF(AND(O17=4,O18=4),BA54,IF(AND(O17=5,O18=4),BK54,IF(AND(O17=5,O18=5),BU54,"")))))</f>
        <v/>
      </c>
      <c r="E54" s="618" t="str">
        <f>VLOOKUP(522,Sprachindex!$A:$Z,Info!$O$7,FALSE)</f>
        <v>Kastenrinnenkessel</v>
      </c>
      <c r="F54" s="619"/>
      <c r="G54" s="619"/>
      <c r="H54" s="619"/>
      <c r="I54" s="81"/>
      <c r="J54" s="631" t="str">
        <f>Formeln_RI_P.10!A217</f>
        <v/>
      </c>
      <c r="K54" s="706"/>
      <c r="L54" s="76" t="str">
        <f t="shared" si="10"/>
        <v xml:space="preserve"> </v>
      </c>
      <c r="M54" s="405" t="str">
        <f t="shared" si="3"/>
        <v>Stk.</v>
      </c>
      <c r="N54" s="77"/>
      <c r="O54" s="184" t="str">
        <f t="shared" si="19"/>
        <v xml:space="preserve"> </v>
      </c>
      <c r="R54" s="266"/>
      <c r="S54" s="179"/>
      <c r="T54" s="68"/>
      <c r="U54" s="139" t="e">
        <f t="shared" si="22"/>
        <v>#VALUE!</v>
      </c>
      <c r="V54" s="139">
        <f t="shared" si="22"/>
        <v>0</v>
      </c>
      <c r="W54" s="139" t="str">
        <f>IF(AND($O$17=1,$O$18=2),6,IF(AND($O$17=3,$O$18=3),10,IF(AND($O$17=4,$O$18=4),6,"")))</f>
        <v/>
      </c>
      <c r="X54" s="139">
        <v>1</v>
      </c>
      <c r="Y54" t="s">
        <v>915</v>
      </c>
      <c r="Z54" t="s">
        <v>916</v>
      </c>
      <c r="AA54" t="s">
        <v>917</v>
      </c>
      <c r="AB54" t="s">
        <v>918</v>
      </c>
      <c r="AC54" t="s">
        <v>919</v>
      </c>
      <c r="AD54" t="s">
        <v>920</v>
      </c>
      <c r="AE54" t="s">
        <v>921</v>
      </c>
      <c r="AF54"/>
      <c r="AG54" s="59" t="e" vm="2">
        <f t="shared" si="2"/>
        <v>#VALUE!</v>
      </c>
      <c r="AH54" s="59" t="s">
        <v>697</v>
      </c>
      <c r="AI54" t="s">
        <v>922</v>
      </c>
      <c r="AJ54" t="s">
        <v>923</v>
      </c>
      <c r="AK54" t="s">
        <v>924</v>
      </c>
      <c r="AL54" t="s">
        <v>925</v>
      </c>
      <c r="AM54" t="s">
        <v>926</v>
      </c>
      <c r="AN54" t="s">
        <v>927</v>
      </c>
      <c r="AO54" t="s">
        <v>928</v>
      </c>
      <c r="AP54">
        <v>548026</v>
      </c>
      <c r="AQ54" s="59" t="e" vm="2">
        <f t="shared" si="20"/>
        <v>#VALUE!</v>
      </c>
      <c r="AR54" s="59" t="s">
        <v>729</v>
      </c>
      <c r="AS54" t="s">
        <v>929</v>
      </c>
      <c r="AT54" t="s">
        <v>930</v>
      </c>
      <c r="AU54" t="s">
        <v>931</v>
      </c>
      <c r="AV54" t="s">
        <v>932</v>
      </c>
      <c r="AW54" t="s">
        <v>933</v>
      </c>
      <c r="AX54" t="s">
        <v>934</v>
      </c>
      <c r="AY54" t="s">
        <v>935</v>
      </c>
      <c r="AZ54"/>
      <c r="BA54" s="59" t="e" vm="2">
        <f>VLOOKUP(AS54,AS54:AZ54,$O$16,FALSE)</f>
        <v>#VALUE!</v>
      </c>
      <c r="BB54" s="59" t="s">
        <v>745</v>
      </c>
      <c r="BC54">
        <v>200861</v>
      </c>
      <c r="BD54">
        <v>200860</v>
      </c>
      <c r="BE54"/>
      <c r="BF54">
        <v>200862</v>
      </c>
      <c r="BG54"/>
      <c r="BH54"/>
      <c r="BI54"/>
      <c r="BJ54"/>
      <c r="BK54" s="59" t="e" vm="2">
        <f>VLOOKUP(BC54,BC54:BJ54,$O$16,FALSE)</f>
        <v>#VALUE!</v>
      </c>
      <c r="BL54" s="59" t="s">
        <v>746</v>
      </c>
      <c r="BM54"/>
      <c r="BN54"/>
      <c r="BO54"/>
      <c r="BP54"/>
      <c r="BQ54"/>
      <c r="BR54"/>
      <c r="BS54"/>
      <c r="BT54"/>
      <c r="BU54"/>
      <c r="BV54"/>
      <c r="FE54" s="618" t="str">
        <f>VLOOKUP(522,Sprachindex!$A:$Z,Info!$O$7,FALSE)</f>
        <v>Kastenrinnenkessel</v>
      </c>
      <c r="FF54" s="619"/>
      <c r="FG54" s="619"/>
      <c r="FH54" s="619"/>
      <c r="FI54" s="81"/>
      <c r="FJ54" s="219"/>
      <c r="FK54" s="214"/>
      <c r="FL54" s="220"/>
      <c r="FM54" s="219"/>
      <c r="FN54" s="214"/>
      <c r="FO54" s="223"/>
      <c r="FP54" s="224"/>
      <c r="FQ54" s="105"/>
      <c r="FR54" s="220"/>
      <c r="FS54" s="233"/>
      <c r="FT54" s="248" t="str">
        <f>IF(O17=1,FZ54,IF(O17=3,GK54,IF(O17=4,GQ54," ")))</f>
        <v xml:space="preserve"> </v>
      </c>
      <c r="FY54" s="253"/>
      <c r="FZ54" s="210">
        <v>39.22</v>
      </c>
      <c r="GA54" s="254"/>
      <c r="GB54" s="254"/>
      <c r="GC54" s="255"/>
      <c r="GD54" s="253"/>
      <c r="GE54" s="254"/>
      <c r="GF54" s="254"/>
      <c r="GG54" s="254"/>
      <c r="GH54" s="255"/>
      <c r="GI54" s="253"/>
      <c r="GJ54" s="254"/>
      <c r="GK54" s="215">
        <v>40.89</v>
      </c>
      <c r="GL54" s="254"/>
      <c r="GM54" s="255"/>
      <c r="GN54" s="253"/>
      <c r="GO54" s="254"/>
      <c r="GP54" s="254"/>
      <c r="GQ54" s="216">
        <v>45.14</v>
      </c>
      <c r="GR54" s="255"/>
    </row>
    <row r="55" spans="1:200" ht="32.1" customHeight="1">
      <c r="A55" s="103"/>
      <c r="B55" s="76" t="str">
        <f>VLOOKUP(1512,Sprachindex!$A:$Z,Info!$O$7,FALSE)</f>
        <v>lfm</v>
      </c>
      <c r="C55" s="75"/>
      <c r="D55" s="75" t="e" vm="99">
        <f>AG55</f>
        <v>#VALUE!</v>
      </c>
      <c r="E55" s="618" t="str">
        <f>VLOOKUP(763,Sprachindex!$A:$Z,Info!$O$7,FALSE)</f>
        <v>Saumrinne (mit Schutzfolie außen)</v>
      </c>
      <c r="F55" s="619"/>
      <c r="G55" s="619"/>
      <c r="H55" s="619"/>
      <c r="I55" s="619"/>
      <c r="J55" s="681" t="str">
        <f>VLOOKUP(131,Sprachindex!$A:$Z,Info!$O$7,FALSE)</f>
        <v>700 × 1,0 mm</v>
      </c>
      <c r="K55" s="682"/>
      <c r="L55" s="76" t="str">
        <f t="shared" si="10"/>
        <v xml:space="preserve"> </v>
      </c>
      <c r="M55" s="405" t="str">
        <f t="shared" si="3"/>
        <v>lfm</v>
      </c>
      <c r="N55" s="77"/>
      <c r="O55" s="184" t="str">
        <f t="shared" si="11"/>
        <v xml:space="preserve"> </v>
      </c>
      <c r="R55" s="266"/>
      <c r="S55" s="179"/>
      <c r="T55" s="68"/>
      <c r="U55" s="139">
        <f>ROUNDUP($A55/$W55,0)*$W55</f>
        <v>0</v>
      </c>
      <c r="V55" s="139">
        <f>ROUNDUP($A55/$X55,0)*$X55</f>
        <v>0</v>
      </c>
      <c r="W55" s="139">
        <f>IF(Info!V7=1,5,6)</f>
        <v>6</v>
      </c>
      <c r="X55" s="139">
        <f>IF(Info!V7=2,5,6)</f>
        <v>6</v>
      </c>
      <c r="Y55" t="s">
        <v>936</v>
      </c>
      <c r="Z55" t="s">
        <v>937</v>
      </c>
      <c r="AA55" t="s">
        <v>938</v>
      </c>
      <c r="AB55" t="s">
        <v>939</v>
      </c>
      <c r="AC55" t="s">
        <v>940</v>
      </c>
      <c r="AD55" t="s">
        <v>941</v>
      </c>
      <c r="AE55" t="s">
        <v>942</v>
      </c>
      <c r="AF55">
        <v>575013</v>
      </c>
      <c r="AG55" s="59" t="e" vm="2">
        <f t="shared" si="2"/>
        <v>#VALUE!</v>
      </c>
      <c r="AH55" s="59"/>
      <c r="FE55" s="618" t="str">
        <f>VLOOKUP(763,Sprachindex!$A:$Z,Info!$O$7,FALSE)</f>
        <v>Saumrinne (mit Schutzfolie außen)</v>
      </c>
      <c r="FF55" s="619"/>
      <c r="FG55" s="619"/>
      <c r="FH55" s="619"/>
      <c r="FI55" s="619"/>
      <c r="FJ55" s="237">
        <v>39.950000000000003</v>
      </c>
      <c r="FK55" s="214"/>
      <c r="FL55" s="220"/>
      <c r="FM55" s="219"/>
      <c r="FN55" s="214"/>
      <c r="FO55" s="223"/>
      <c r="FP55" s="224"/>
      <c r="FQ55" s="105"/>
      <c r="FR55" s="220"/>
      <c r="FS55" s="233"/>
      <c r="FT55" s="248">
        <f>FJ55</f>
        <v>39.950000000000003</v>
      </c>
      <c r="FY55" s="253"/>
      <c r="FZ55" s="254"/>
      <c r="GA55" s="254"/>
      <c r="GB55" s="254"/>
      <c r="GC55" s="255"/>
      <c r="GD55" s="253"/>
      <c r="GE55" s="254"/>
      <c r="GF55" s="254"/>
      <c r="GG55" s="254"/>
      <c r="GH55" s="255"/>
      <c r="GI55" s="253"/>
      <c r="GJ55" s="254"/>
      <c r="GK55" s="254"/>
      <c r="GL55" s="254"/>
      <c r="GM55" s="255"/>
      <c r="GN55" s="253"/>
      <c r="GO55" s="254"/>
      <c r="GP55" s="254"/>
      <c r="GQ55" s="254"/>
      <c r="GR55" s="255"/>
    </row>
    <row r="56" spans="1:200" ht="32.1" customHeight="1">
      <c r="A56" s="103"/>
      <c r="B56" s="76" t="str">
        <f>VLOOKUP(878,Sprachindex!$A:$Z,Info!$O$7,FALSE)</f>
        <v>Stk.</v>
      </c>
      <c r="C56" s="75"/>
      <c r="D56" s="75" t="e" vm="99">
        <f>AG56</f>
        <v>#VALUE!</v>
      </c>
      <c r="E56" s="618" t="str">
        <f>VLOOKUP(764,Sprachindex!$A:$Z,Info!$O$7,FALSE)</f>
        <v>Saumrinnenendboden</v>
      </c>
      <c r="F56" s="619"/>
      <c r="G56" s="619"/>
      <c r="H56" s="619"/>
      <c r="I56" s="619"/>
      <c r="J56" s="681"/>
      <c r="K56" s="682"/>
      <c r="L56" s="76" t="str">
        <f t="shared" si="10"/>
        <v xml:space="preserve"> </v>
      </c>
      <c r="M56" s="405" t="str">
        <f t="shared" si="3"/>
        <v>Stk.</v>
      </c>
      <c r="N56" s="77"/>
      <c r="O56" s="184" t="str">
        <f t="shared" si="11"/>
        <v xml:space="preserve"> </v>
      </c>
      <c r="R56" s="266"/>
      <c r="S56" s="187"/>
      <c r="T56" s="68"/>
      <c r="U56" s="139">
        <f t="shared" ref="U56:U92" si="24">ROUNDUP($A56/W56,0)*W56</f>
        <v>0</v>
      </c>
      <c r="V56" s="139">
        <f t="shared" ref="V56:V92" si="25">ROUNDUP($A56/X56,0)*X56</f>
        <v>0</v>
      </c>
      <c r="W56" s="139">
        <v>1</v>
      </c>
      <c r="X56" s="139">
        <v>1</v>
      </c>
      <c r="Y56" t="s">
        <v>943</v>
      </c>
      <c r="Z56" t="s">
        <v>944</v>
      </c>
      <c r="AA56" t="s">
        <v>945</v>
      </c>
      <c r="AB56" t="s">
        <v>946</v>
      </c>
      <c r="AC56" t="s">
        <v>947</v>
      </c>
      <c r="AD56" t="s">
        <v>948</v>
      </c>
      <c r="AE56" t="s">
        <v>949</v>
      </c>
      <c r="AF56">
        <v>517308</v>
      </c>
      <c r="AG56" s="59" t="e" vm="2">
        <f t="shared" si="2"/>
        <v>#VALUE!</v>
      </c>
      <c r="AH56" s="59"/>
      <c r="FE56" s="618" t="str">
        <f>VLOOKUP(764,Sprachindex!$A:$Z,Info!$O$7,FALSE)</f>
        <v>Saumrinnenendboden</v>
      </c>
      <c r="FF56" s="619"/>
      <c r="FG56" s="619"/>
      <c r="FH56" s="619"/>
      <c r="FI56" s="619"/>
      <c r="FJ56" s="237">
        <v>37.81</v>
      </c>
      <c r="FK56" s="214"/>
      <c r="FL56" s="220"/>
      <c r="FM56" s="219"/>
      <c r="FN56" s="214"/>
      <c r="FO56" s="223"/>
      <c r="FP56" s="224"/>
      <c r="FQ56" s="105"/>
      <c r="FR56" s="220"/>
      <c r="FS56" s="233"/>
      <c r="FT56" s="248">
        <f t="shared" ref="FT56:FT58" si="26">FJ56</f>
        <v>37.81</v>
      </c>
      <c r="FY56" s="253"/>
      <c r="FZ56" s="254"/>
      <c r="GA56" s="254"/>
      <c r="GB56" s="254"/>
      <c r="GC56" s="255"/>
      <c r="GD56" s="253"/>
      <c r="GE56" s="254"/>
      <c r="GF56" s="254"/>
      <c r="GG56" s="254"/>
      <c r="GH56" s="255"/>
      <c r="GI56" s="253"/>
      <c r="GJ56" s="254"/>
      <c r="GK56" s="254"/>
      <c r="GL56" s="254"/>
      <c r="GM56" s="255"/>
      <c r="GN56" s="253"/>
      <c r="GO56" s="254"/>
      <c r="GP56" s="254"/>
      <c r="GQ56" s="254"/>
      <c r="GR56" s="255"/>
    </row>
    <row r="57" spans="1:200" ht="32.1" customHeight="1">
      <c r="A57" s="103"/>
      <c r="B57" s="76" t="str">
        <f>VLOOKUP(878,Sprachindex!$A:$Z,Info!$O$7,FALSE)</f>
        <v>Stk.</v>
      </c>
      <c r="C57" s="75"/>
      <c r="D57" s="75" t="e" vm="99">
        <f>AG57</f>
        <v>#VALUE!</v>
      </c>
      <c r="E57" s="618" t="str">
        <f>VLOOKUP(766,Sprachindex!$A:$Z,Info!$O$7,FALSE)</f>
        <v>Saumrinnenstutzen</v>
      </c>
      <c r="F57" s="619"/>
      <c r="G57" s="619"/>
      <c r="H57" s="619"/>
      <c r="I57" s="619"/>
      <c r="J57" s="681" t="str">
        <f>VLOOKUP(45,Sprachindex!$A:$Z,Info!$O$7,FALSE)</f>
        <v>⌀ 100</v>
      </c>
      <c r="K57" s="682"/>
      <c r="L57" s="76" t="str">
        <f t="shared" si="10"/>
        <v xml:space="preserve"> </v>
      </c>
      <c r="M57" s="405" t="str">
        <f t="shared" si="3"/>
        <v>Stk.</v>
      </c>
      <c r="N57" s="77"/>
      <c r="O57" s="184" t="str">
        <f t="shared" si="11"/>
        <v xml:space="preserve"> </v>
      </c>
      <c r="R57" s="266"/>
      <c r="S57" s="179"/>
      <c r="T57" s="68"/>
      <c r="U57" s="139">
        <f t="shared" si="24"/>
        <v>0</v>
      </c>
      <c r="V57" s="139">
        <f t="shared" si="25"/>
        <v>0</v>
      </c>
      <c r="W57" s="139">
        <v>1</v>
      </c>
      <c r="X57" s="139">
        <v>1</v>
      </c>
      <c r="Y57" t="s">
        <v>950</v>
      </c>
      <c r="Z57" t="s">
        <v>951</v>
      </c>
      <c r="AA57" t="s">
        <v>952</v>
      </c>
      <c r="AB57" t="s">
        <v>953</v>
      </c>
      <c r="AC57" t="s">
        <v>954</v>
      </c>
      <c r="AD57" t="s">
        <v>955</v>
      </c>
      <c r="AE57" t="s">
        <v>956</v>
      </c>
      <c r="AF57">
        <v>520209</v>
      </c>
      <c r="AG57" s="59" t="e" vm="2">
        <f t="shared" si="2"/>
        <v>#VALUE!</v>
      </c>
      <c r="AH57" s="59"/>
      <c r="FE57" s="618" t="str">
        <f>VLOOKUP(766,Sprachindex!$A:$Z,Info!$O$7,FALSE)</f>
        <v>Saumrinnenstutzen</v>
      </c>
      <c r="FF57" s="619"/>
      <c r="FG57" s="619"/>
      <c r="FH57" s="619"/>
      <c r="FI57" s="619"/>
      <c r="FJ57" s="237">
        <v>39.29</v>
      </c>
      <c r="FK57" s="214"/>
      <c r="FL57" s="220"/>
      <c r="FM57" s="219"/>
      <c r="FN57" s="214"/>
      <c r="FO57" s="223"/>
      <c r="FP57" s="224"/>
      <c r="FQ57" s="105"/>
      <c r="FR57" s="220"/>
      <c r="FS57" s="233"/>
      <c r="FT57" s="248">
        <f t="shared" si="26"/>
        <v>39.29</v>
      </c>
      <c r="FY57" s="253"/>
      <c r="FZ57" s="254"/>
      <c r="GA57" s="254"/>
      <c r="GB57" s="254"/>
      <c r="GC57" s="255"/>
      <c r="GD57" s="253"/>
      <c r="GE57" s="254"/>
      <c r="GF57" s="254"/>
      <c r="GG57" s="254"/>
      <c r="GH57" s="255"/>
      <c r="GI57" s="253"/>
      <c r="GJ57" s="254"/>
      <c r="GK57" s="254"/>
      <c r="GL57" s="254"/>
      <c r="GM57" s="255"/>
      <c r="GN57" s="253"/>
      <c r="GO57" s="254"/>
      <c r="GP57" s="254"/>
      <c r="GQ57" s="254"/>
      <c r="GR57" s="255"/>
    </row>
    <row r="58" spans="1:200" ht="32.1" customHeight="1">
      <c r="A58" s="103"/>
      <c r="B58" s="76" t="str">
        <f>VLOOKUP(878,Sprachindex!$A:$Z,Info!$O$7,FALSE)</f>
        <v>Stk.</v>
      </c>
      <c r="C58" s="75"/>
      <c r="D58" s="75" t="e" vm="99">
        <f>AG58</f>
        <v>#VALUE!</v>
      </c>
      <c r="E58" s="618" t="str">
        <f>VLOOKUP(765,Sprachindex!$A:$Z,Info!$O$7,FALSE)</f>
        <v>Saumrinnenhaken</v>
      </c>
      <c r="F58" s="619"/>
      <c r="G58" s="619"/>
      <c r="H58" s="619"/>
      <c r="I58" s="619"/>
      <c r="J58" s="681" t="str">
        <f>VLOOKUP(78,Sprachindex!$A:$Z,Info!$O$7,FALSE)</f>
        <v>28 × 7 mm</v>
      </c>
      <c r="K58" s="682"/>
      <c r="L58" s="76" t="str">
        <f t="shared" si="10"/>
        <v xml:space="preserve"> </v>
      </c>
      <c r="M58" s="405" t="str">
        <f t="shared" si="3"/>
        <v>Stk.</v>
      </c>
      <c r="N58" s="77"/>
      <c r="O58" s="184" t="str">
        <f>IF(ISNUMBER(A58),FT58*L58," ")</f>
        <v xml:space="preserve"> </v>
      </c>
      <c r="R58" s="266"/>
      <c r="S58" s="179"/>
      <c r="T58" s="68"/>
      <c r="U58" s="139">
        <f t="shared" si="24"/>
        <v>0</v>
      </c>
      <c r="V58" s="139">
        <f t="shared" si="25"/>
        <v>0</v>
      </c>
      <c r="W58" s="139">
        <v>20</v>
      </c>
      <c r="X58" s="139">
        <v>1</v>
      </c>
      <c r="Y58" t="s">
        <v>957</v>
      </c>
      <c r="Z58" t="s">
        <v>958</v>
      </c>
      <c r="AA58" t="s">
        <v>959</v>
      </c>
      <c r="AB58" t="s">
        <v>960</v>
      </c>
      <c r="AC58" t="s">
        <v>961</v>
      </c>
      <c r="AD58" t="s">
        <v>962</v>
      </c>
      <c r="AE58" t="s">
        <v>963</v>
      </c>
      <c r="AF58">
        <v>523012</v>
      </c>
      <c r="AG58" s="59" t="e" vm="2">
        <f t="shared" si="2"/>
        <v>#VALUE!</v>
      </c>
      <c r="AH58" s="59"/>
      <c r="BM58" s="47" t="s">
        <v>94</v>
      </c>
      <c r="BN58" s="47" t="s">
        <v>398</v>
      </c>
      <c r="BO58" s="47" t="s">
        <v>96</v>
      </c>
      <c r="BP58" s="47" t="s">
        <v>99</v>
      </c>
      <c r="BQ58" s="47" t="s">
        <v>104</v>
      </c>
      <c r="BR58" s="47" t="s">
        <v>101</v>
      </c>
      <c r="BS58" s="47" t="s">
        <v>399</v>
      </c>
      <c r="BT58" s="47" t="s">
        <v>400</v>
      </c>
      <c r="BU58" s="47"/>
      <c r="FE58" s="618" t="str">
        <f>VLOOKUP(765,Sprachindex!$A:$Z,Info!$O$7,FALSE)</f>
        <v>Saumrinnenhaken</v>
      </c>
      <c r="FF58" s="619"/>
      <c r="FG58" s="619"/>
      <c r="FH58" s="619"/>
      <c r="FI58" s="619"/>
      <c r="FJ58" s="237">
        <v>15.55</v>
      </c>
      <c r="FK58" s="214"/>
      <c r="FL58" s="220"/>
      <c r="FM58" s="219"/>
      <c r="FN58" s="214"/>
      <c r="FO58" s="223"/>
      <c r="FP58" s="224"/>
      <c r="FQ58" s="105"/>
      <c r="FR58" s="220"/>
      <c r="FS58" s="233"/>
      <c r="FT58" s="248">
        <f t="shared" si="26"/>
        <v>15.55</v>
      </c>
      <c r="FY58" s="253"/>
      <c r="FZ58" s="254"/>
      <c r="GA58" s="254"/>
      <c r="GB58" s="254"/>
      <c r="GC58" s="255"/>
      <c r="GD58" s="253"/>
      <c r="GE58" s="254"/>
      <c r="GF58" s="254"/>
      <c r="GG58" s="254"/>
      <c r="GH58" s="255"/>
      <c r="GI58" s="253"/>
      <c r="GJ58" s="254"/>
      <c r="GK58" s="254"/>
      <c r="GL58" s="254"/>
      <c r="GM58" s="255"/>
      <c r="GN58" s="253"/>
      <c r="GO58" s="254"/>
      <c r="GP58" s="254"/>
      <c r="GQ58" s="254"/>
      <c r="GR58" s="255"/>
    </row>
    <row r="59" spans="1:200" ht="32.1" customHeight="1">
      <c r="A59" s="103"/>
      <c r="B59" s="76" t="str">
        <f>VLOOKUP(1512,Sprachindex!$A:$Z,Info!$O$7,FALSE)</f>
        <v>lfm</v>
      </c>
      <c r="C59" s="75"/>
      <c r="D59" s="75" t="str" cm="1">
        <f t="array" ref="D59">_xlfn.IFS($O$18=2,AQ59,$O$18=3,BA59,$O$18=4,BK59,$O$18=5,BU59,$O$18=1,AG59,TRUE,"")</f>
        <v/>
      </c>
      <c r="E59" s="618" t="str">
        <f>VLOOKUP(1186,Sprachindex!$A:$Z,Info!$O$7,FALSE)</f>
        <v>Ablaufrohr mit Schutzfolie</v>
      </c>
      <c r="F59" s="619"/>
      <c r="G59" s="619"/>
      <c r="H59" s="619"/>
      <c r="I59" s="619"/>
      <c r="J59" s="681" t="str">
        <f>Formeln_RI_P.10!A222</f>
        <v/>
      </c>
      <c r="K59" s="682"/>
      <c r="L59" s="76" t="str">
        <f t="shared" si="10"/>
        <v xml:space="preserve"> </v>
      </c>
      <c r="M59" s="405" t="str">
        <f t="shared" si="3"/>
        <v>lfm</v>
      </c>
      <c r="N59" s="77"/>
      <c r="O59" s="184" t="str">
        <f>IF(ISNUMBER(L59),FT59*L59," ")</f>
        <v xml:space="preserve"> </v>
      </c>
      <c r="R59" s="266"/>
      <c r="S59" s="179"/>
      <c r="T59" s="68"/>
      <c r="U59" s="139" t="e">
        <f t="shared" si="24"/>
        <v>#VALUE!</v>
      </c>
      <c r="V59" s="139">
        <f t="shared" si="25"/>
        <v>0</v>
      </c>
      <c r="W59" s="139" t="str">
        <f>IF($O$18=2,60,IF($O$18=3,39,IF($O$18=4,24,IF($O$18=5,18,""))))</f>
        <v/>
      </c>
      <c r="X59" s="139">
        <v>3</v>
      </c>
      <c r="Y59" t="s">
        <v>988</v>
      </c>
      <c r="Z59" t="s">
        <v>989</v>
      </c>
      <c r="AA59" t="s">
        <v>990</v>
      </c>
      <c r="AB59" t="s">
        <v>991</v>
      </c>
      <c r="AC59" t="s">
        <v>992</v>
      </c>
      <c r="AD59" t="s">
        <v>993</v>
      </c>
      <c r="AE59" t="s">
        <v>994</v>
      </c>
      <c r="AF59"/>
      <c r="AG59" s="59" t="e" vm="2">
        <f t="shared" si="2"/>
        <v>#VALUE!</v>
      </c>
      <c r="AH59" s="59">
        <v>60</v>
      </c>
      <c r="AI59" t="s">
        <v>964</v>
      </c>
      <c r="AJ59" t="s">
        <v>965</v>
      </c>
      <c r="AK59" t="s">
        <v>966</v>
      </c>
      <c r="AL59" t="s">
        <v>967</v>
      </c>
      <c r="AM59" t="s">
        <v>968</v>
      </c>
      <c r="AN59" t="s">
        <v>969</v>
      </c>
      <c r="AO59" t="s">
        <v>970</v>
      </c>
      <c r="AP59"/>
      <c r="AQ59" s="59" t="e" vm="2">
        <f>VLOOKUP(AI59,AI59:AP59,$O$16,FALSE)</f>
        <v>#VALUE!</v>
      </c>
      <c r="AR59" s="59">
        <v>80</v>
      </c>
      <c r="AS59" t="s">
        <v>971</v>
      </c>
      <c r="AT59" t="s">
        <v>972</v>
      </c>
      <c r="AU59" t="s">
        <v>973</v>
      </c>
      <c r="AV59" t="s">
        <v>974</v>
      </c>
      <c r="AW59" t="s">
        <v>975</v>
      </c>
      <c r="AX59" t="s">
        <v>976</v>
      </c>
      <c r="AY59" t="s">
        <v>977</v>
      </c>
      <c r="AZ59">
        <v>574031</v>
      </c>
      <c r="BA59" s="59" t="e" vm="2">
        <f>VLOOKUP(AS59,AS59:AZ59,$O$16,FALSE)</f>
        <v>#VALUE!</v>
      </c>
      <c r="BB59" s="59">
        <v>100</v>
      </c>
      <c r="BC59" t="s">
        <v>978</v>
      </c>
      <c r="BD59" t="s">
        <v>979</v>
      </c>
      <c r="BE59" t="s">
        <v>980</v>
      </c>
      <c r="BF59" t="s">
        <v>981</v>
      </c>
      <c r="BG59" t="s">
        <v>982</v>
      </c>
      <c r="BH59" t="s">
        <v>983</v>
      </c>
      <c r="BI59" t="s">
        <v>984</v>
      </c>
      <c r="BJ59"/>
      <c r="BK59" s="59" t="e" vm="2">
        <f>VLOOKUP(BC59,BC59:BJ59,$O$16,FALSE)</f>
        <v>#VALUE!</v>
      </c>
      <c r="BL59" s="59">
        <v>120</v>
      </c>
      <c r="BM59" s="173" t="s">
        <v>985</v>
      </c>
      <c r="BN59" s="173" t="s">
        <v>986</v>
      </c>
      <c r="BO59" t="s">
        <v>2349</v>
      </c>
      <c r="BP59" s="173" t="s">
        <v>987</v>
      </c>
      <c r="BQ59" t="s">
        <v>2349</v>
      </c>
      <c r="BR59" t="s">
        <v>2349</v>
      </c>
      <c r="BS59" t="s">
        <v>2349</v>
      </c>
      <c r="BT59"/>
      <c r="BU59" s="59" t="e" vm="2">
        <f>VLOOKUP(BM59,BM59:BT59,$O$16,FALSE)</f>
        <v>#VALUE!</v>
      </c>
      <c r="BV59" s="59">
        <v>150</v>
      </c>
      <c r="CE59" s="132"/>
      <c r="CF59" s="132"/>
      <c r="FE59" s="618" t="str">
        <f>VLOOKUP(1186,Sprachindex!$A:$Z,Info!$O$7,FALSE)</f>
        <v>Ablaufrohr mit Schutzfolie</v>
      </c>
      <c r="FF59" s="619"/>
      <c r="FG59" s="619"/>
      <c r="FH59" s="619"/>
      <c r="FI59" s="619"/>
      <c r="FJ59" s="219"/>
      <c r="FK59" s="214"/>
      <c r="FL59" s="220"/>
      <c r="FM59" s="219"/>
      <c r="FN59" s="214"/>
      <c r="FO59" s="223"/>
      <c r="FP59" s="224"/>
      <c r="FQ59" s="105"/>
      <c r="FR59" s="220"/>
      <c r="FS59" s="233"/>
      <c r="FT59" s="248" t="str">
        <f>IF(O18=1,FY59,IF(O18=2,FZ59,IF(O18=3,GA59,IF(O18=4,GB59,IF(O18=5,GC59," ")))))</f>
        <v xml:space="preserve"> </v>
      </c>
      <c r="FY59" s="218">
        <v>17.12</v>
      </c>
      <c r="FZ59" s="213">
        <v>15.69</v>
      </c>
      <c r="GA59" s="213">
        <v>15.97</v>
      </c>
      <c r="GB59" s="213">
        <v>22.06</v>
      </c>
      <c r="GC59" s="271">
        <v>29.31</v>
      </c>
      <c r="GD59" s="253"/>
      <c r="GE59" s="254"/>
      <c r="GF59" s="254"/>
      <c r="GG59" s="254"/>
      <c r="GH59" s="255"/>
      <c r="GI59" s="253"/>
      <c r="GJ59" s="254"/>
      <c r="GK59" s="254"/>
      <c r="GL59" s="254"/>
      <c r="GM59" s="255"/>
      <c r="GN59" s="253"/>
      <c r="GO59" s="254"/>
      <c r="GP59" s="254"/>
      <c r="GQ59" s="254"/>
      <c r="GR59" s="255"/>
    </row>
    <row r="60" spans="1:200" ht="32.1" customHeight="1" thickBot="1">
      <c r="A60" s="408"/>
      <c r="B60" s="76" t="str">
        <f>VLOOKUP(878,Sprachindex!$A:$Z,Info!$O$7,FALSE)</f>
        <v>Stk.</v>
      </c>
      <c r="C60" s="75"/>
      <c r="D60" s="75" t="str">
        <f>IF($O$18=3,AG60,"")</f>
        <v/>
      </c>
      <c r="E60" s="618" t="str">
        <f>VLOOKUP(148,Sprachindex!$A:$Z,Info!$O$7,FALSE)</f>
        <v>Ablaufrohr (1,6 mm; DN 100)</v>
      </c>
      <c r="F60" s="619"/>
      <c r="G60" s="619"/>
      <c r="H60" s="619"/>
      <c r="I60" s="619"/>
      <c r="J60" s="681" t="str">
        <f>Formeln_RI_P.10!A243</f>
        <v>100 ⌀ × 2950 mm</v>
      </c>
      <c r="K60" s="682"/>
      <c r="L60" s="76" t="str">
        <f t="shared" si="10"/>
        <v xml:space="preserve"> </v>
      </c>
      <c r="M60" s="405" t="str">
        <f t="shared" si="3"/>
        <v>Stk.</v>
      </c>
      <c r="N60" s="77"/>
      <c r="O60" s="184" t="str">
        <f>IF(ISNUMBER(L60),FT60*L60," ")</f>
        <v xml:space="preserve"> </v>
      </c>
      <c r="R60" s="266"/>
      <c r="S60" s="179"/>
      <c r="T60" s="68"/>
      <c r="U60" s="139" t="e">
        <f t="shared" si="24"/>
        <v>#VALUE!</v>
      </c>
      <c r="V60" s="139">
        <f t="shared" si="25"/>
        <v>0</v>
      </c>
      <c r="W60" s="139" t="str">
        <f>IF($O$18=3,1,"")</f>
        <v/>
      </c>
      <c r="X60" s="139">
        <v>1</v>
      </c>
      <c r="Y60" t="s">
        <v>995</v>
      </c>
      <c r="Z60" t="s">
        <v>996</v>
      </c>
      <c r="AA60" t="s">
        <v>997</v>
      </c>
      <c r="AB60" t="s">
        <v>998</v>
      </c>
      <c r="AC60" t="s">
        <v>999</v>
      </c>
      <c r="AD60" t="s">
        <v>1000</v>
      </c>
      <c r="AE60" t="s">
        <v>1001</v>
      </c>
      <c r="AF60"/>
      <c r="AG60" s="59" t="e" vm="2">
        <f t="shared" si="2"/>
        <v>#VALUE!</v>
      </c>
      <c r="AH60" s="59"/>
      <c r="FE60" s="618" t="str">
        <f>VLOOKUP(148,Sprachindex!$A:$Z,Info!$O$7,FALSE)</f>
        <v>Ablaufrohr (1,6 mm; DN 100)</v>
      </c>
      <c r="FF60" s="619"/>
      <c r="FG60" s="619"/>
      <c r="FH60" s="619"/>
      <c r="FI60" s="619"/>
      <c r="FJ60" s="272"/>
      <c r="FK60" s="273"/>
      <c r="FL60" s="274"/>
      <c r="FM60" s="219"/>
      <c r="FN60" s="214"/>
      <c r="FO60" s="223"/>
      <c r="FP60" s="224"/>
      <c r="FQ60" s="105"/>
      <c r="FR60" s="220"/>
      <c r="FS60" s="233"/>
      <c r="FT60" s="248" t="str">
        <f>IF(O18=3,GA60," ")</f>
        <v xml:space="preserve"> </v>
      </c>
      <c r="FY60" s="253"/>
      <c r="FZ60" s="254"/>
      <c r="GA60" s="213">
        <v>171.71</v>
      </c>
      <c r="GB60" s="254"/>
      <c r="GC60" s="255"/>
      <c r="GD60" s="253"/>
      <c r="GE60" s="254"/>
      <c r="GF60" s="254"/>
      <c r="GG60" s="254"/>
      <c r="GH60" s="255"/>
      <c r="GI60" s="253"/>
      <c r="GJ60" s="254"/>
      <c r="GK60" s="254"/>
      <c r="GL60" s="254"/>
      <c r="GM60" s="255"/>
      <c r="GN60" s="253"/>
      <c r="GO60" s="254"/>
      <c r="GP60" s="254"/>
      <c r="GQ60" s="254"/>
      <c r="GR60" s="255"/>
    </row>
    <row r="61" spans="1:200" ht="32.1" customHeight="1">
      <c r="A61" s="103"/>
      <c r="B61" s="76" t="str">
        <f>VLOOKUP(878,Sprachindex!$A:$Z,Info!$O$7,FALSE)</f>
        <v>Stk.</v>
      </c>
      <c r="C61" s="75"/>
      <c r="D61" s="75" t="str">
        <f>IF($O$18=1,AG61,IF($O$18=2,AQ61,IF($O$18=3,BA61,IF($O$18=4,BK61,IF($O$18=5,BU61,"")))))</f>
        <v/>
      </c>
      <c r="E61" s="618" t="str">
        <f>VLOOKUP(742,Sprachindex!$A:$Z,Info!$O$7,FALSE)</f>
        <v>Rohrschelle (mit M10 Gewinde; ohne Dorn)</v>
      </c>
      <c r="F61" s="619"/>
      <c r="G61" s="619"/>
      <c r="H61" s="619"/>
      <c r="I61" s="619"/>
      <c r="J61" s="681" t="str">
        <f>Formeln_RI_P.10!A225</f>
        <v/>
      </c>
      <c r="K61" s="682"/>
      <c r="L61" s="76" t="str">
        <f t="shared" si="10"/>
        <v xml:space="preserve"> </v>
      </c>
      <c r="M61" s="405" t="str">
        <f t="shared" si="3"/>
        <v>Stk.</v>
      </c>
      <c r="N61" s="77"/>
      <c r="O61" s="204" t="str">
        <f t="shared" si="11"/>
        <v xml:space="preserve"> </v>
      </c>
      <c r="R61" s="266"/>
      <c r="S61" s="179"/>
      <c r="T61" s="68"/>
      <c r="U61" s="139" t="e">
        <f t="shared" si="24"/>
        <v>#VALUE!</v>
      </c>
      <c r="V61" s="139">
        <f t="shared" si="25"/>
        <v>0</v>
      </c>
      <c r="W61" s="139" t="str">
        <f>IF($O$18=1,6,IF($O$18=2,25,IF($O$18=3,25,IF($O$18=4,25,IF($O$18=5,15,"")))))</f>
        <v/>
      </c>
      <c r="X61" s="139">
        <v>1</v>
      </c>
      <c r="Y61" t="s">
        <v>1002</v>
      </c>
      <c r="Z61" t="s">
        <v>1003</v>
      </c>
      <c r="AA61" t="s">
        <v>1004</v>
      </c>
      <c r="AB61" t="s">
        <v>1005</v>
      </c>
      <c r="AC61" t="s">
        <v>1006</v>
      </c>
      <c r="AD61" t="s">
        <v>1007</v>
      </c>
      <c r="AE61" t="s">
        <v>1008</v>
      </c>
      <c r="AF61"/>
      <c r="AG61" s="59" t="e" vm="2">
        <f t="shared" si="2"/>
        <v>#VALUE!</v>
      </c>
      <c r="AH61" s="59">
        <v>60</v>
      </c>
      <c r="AI61" t="s">
        <v>1009</v>
      </c>
      <c r="AJ61" t="s">
        <v>1010</v>
      </c>
      <c r="AK61" t="s">
        <v>1011</v>
      </c>
      <c r="AL61" t="s">
        <v>1012</v>
      </c>
      <c r="AM61" t="s">
        <v>1013</v>
      </c>
      <c r="AN61" t="s">
        <v>1014</v>
      </c>
      <c r="AO61" t="s">
        <v>1015</v>
      </c>
      <c r="AP61"/>
      <c r="AQ61" s="59" t="e" vm="2">
        <f>VLOOKUP(AI61,AI61:AP61,$O$16,FALSE)</f>
        <v>#VALUE!</v>
      </c>
      <c r="AR61" s="59">
        <v>80</v>
      </c>
      <c r="AS61" t="s">
        <v>1016</v>
      </c>
      <c r="AT61" t="s">
        <v>1017</v>
      </c>
      <c r="AU61" t="s">
        <v>1018</v>
      </c>
      <c r="AV61" t="s">
        <v>1019</v>
      </c>
      <c r="AW61" t="s">
        <v>1020</v>
      </c>
      <c r="AX61" t="s">
        <v>1021</v>
      </c>
      <c r="AY61" t="s">
        <v>1022</v>
      </c>
      <c r="AZ61">
        <v>529631</v>
      </c>
      <c r="BA61" s="59" t="e" vm="2">
        <f>VLOOKUP(AS61,AS61:AZ61,$O$16,FALSE)</f>
        <v>#VALUE!</v>
      </c>
      <c r="BB61" s="59">
        <v>100</v>
      </c>
      <c r="BC61" t="s">
        <v>1023</v>
      </c>
      <c r="BD61" t="s">
        <v>1024</v>
      </c>
      <c r="BE61" t="s">
        <v>1025</v>
      </c>
      <c r="BF61" t="s">
        <v>1026</v>
      </c>
      <c r="BG61" t="s">
        <v>1027</v>
      </c>
      <c r="BH61" t="s">
        <v>1028</v>
      </c>
      <c r="BI61" t="s">
        <v>1029</v>
      </c>
      <c r="BJ61"/>
      <c r="BK61" s="59" t="e" vm="2">
        <f>VLOOKUP(BC61,BC61:BJ61,$O$16,FALSE)</f>
        <v>#VALUE!</v>
      </c>
      <c r="BL61" s="59">
        <v>120</v>
      </c>
      <c r="BM61" s="173">
        <v>203001</v>
      </c>
      <c r="BN61" s="173">
        <v>203000</v>
      </c>
      <c r="BO61">
        <v>203004</v>
      </c>
      <c r="BP61" s="173">
        <v>203002</v>
      </c>
      <c r="BQ61">
        <v>203005</v>
      </c>
      <c r="BR61">
        <v>203006</v>
      </c>
      <c r="BS61">
        <v>203003</v>
      </c>
      <c r="BT61"/>
      <c r="BU61" s="59" t="e" vm="2">
        <f>VLOOKUP(BM61,BM61:BT61,$O$16,FALSE)</f>
        <v>#VALUE!</v>
      </c>
      <c r="BV61" s="59">
        <v>150</v>
      </c>
      <c r="FE61" s="618" t="str">
        <f>VLOOKUP(742,Sprachindex!$A:$Z,Info!$O$7,FALSE)</f>
        <v>Rohrschelle (mit M10 Gewinde; ohne Dorn)</v>
      </c>
      <c r="FF61" s="619"/>
      <c r="FG61" s="619"/>
      <c r="FH61" s="619"/>
      <c r="FI61" s="619"/>
      <c r="FJ61" s="691" t="s">
        <v>1030</v>
      </c>
      <c r="FK61" s="692"/>
      <c r="FL61" s="693"/>
      <c r="FM61" s="691" t="s">
        <v>1031</v>
      </c>
      <c r="FN61" s="692"/>
      <c r="FO61" s="693"/>
      <c r="FP61" s="691" t="s">
        <v>1032</v>
      </c>
      <c r="FQ61" s="692"/>
      <c r="FR61" s="693"/>
      <c r="FS61" s="233"/>
      <c r="FT61" s="248" t="str">
        <f>IF(O18=1,FY61,IF(O18=2,FZ61,IF(O18=3,GA61,IF(O18=4,GB61,IF(O18=5,GC61," ")))))</f>
        <v xml:space="preserve"> </v>
      </c>
      <c r="FY61" s="277">
        <v>8.09</v>
      </c>
      <c r="FZ61" s="278">
        <v>7.21</v>
      </c>
      <c r="GA61" s="278">
        <v>7.66</v>
      </c>
      <c r="GB61" s="278">
        <v>8.7200000000000006</v>
      </c>
      <c r="GC61" s="279">
        <v>12.23</v>
      </c>
      <c r="GD61" s="253"/>
      <c r="GE61" s="254"/>
      <c r="GF61" s="254"/>
      <c r="GG61" s="254"/>
      <c r="GH61" s="255"/>
      <c r="GI61" s="253"/>
      <c r="GJ61" s="254"/>
      <c r="GK61" s="254"/>
      <c r="GL61" s="254"/>
      <c r="GM61" s="255"/>
      <c r="GN61" s="253"/>
      <c r="GO61" s="254"/>
      <c r="GP61" s="254"/>
      <c r="GQ61" s="254"/>
      <c r="GR61" s="255"/>
    </row>
    <row r="62" spans="1:200" ht="32.1" customHeight="1" thickBot="1">
      <c r="A62" s="103"/>
      <c r="B62" s="76" t="str">
        <f>VLOOKUP(878,Sprachindex!$A:$Z,Info!$O$7,FALSE)</f>
        <v>Stk.</v>
      </c>
      <c r="C62" s="75"/>
      <c r="D62" s="75">
        <f>IF(J62=Formeln_RI_P.10!B146,345030,IF(J62=Formeln_RI_P.10!B147,345031,IF(J62=Formeln_RI_P.10!B148,345032,IF(J62=Formeln_RI_P.10!B145,345033,""))))</f>
        <v>345033</v>
      </c>
      <c r="E62" s="618" t="str">
        <f>VLOOKUP(744,Sprachindex!$A:$Z,Info!$O$7,FALSE)</f>
        <v>Rohrschellendorn für WDVS-Rohrschellendübel ⌀ 10</v>
      </c>
      <c r="F62" s="619"/>
      <c r="G62" s="619"/>
      <c r="H62" s="619"/>
      <c r="I62" s="81" t="str">
        <f>VLOOKUP(556,Sprachindex!$A:$Z,Info!$O$7,FALSE)</f>
        <v>Länge wählen:</v>
      </c>
      <c r="J62" s="631"/>
      <c r="K62" s="706"/>
      <c r="L62" s="76" t="str">
        <f>IF(OR(A62="",W62="",X62="")," ",IF($O$11=1,U62,IF($O$11=2,V62,0)))</f>
        <v xml:space="preserve"> </v>
      </c>
      <c r="M62" s="405" t="str">
        <f t="shared" si="3"/>
        <v>Stk.</v>
      </c>
      <c r="N62" s="77"/>
      <c r="O62" s="184" t="str">
        <f t="shared" ref="O62:O93" si="27">IF(ISNUMBER(A62),FT62*L62," ")</f>
        <v xml:space="preserve"> </v>
      </c>
      <c r="R62" s="266"/>
      <c r="S62" s="179"/>
      <c r="T62" s="68"/>
      <c r="U62" s="139">
        <f>ROUNDUP($A62/W62,0)*W62</f>
        <v>0</v>
      </c>
      <c r="V62" s="139">
        <f>ROUNDUP($A62/X62,0)*X62</f>
        <v>0</v>
      </c>
      <c r="W62" s="139">
        <v>25</v>
      </c>
      <c r="X62" s="139">
        <v>1</v>
      </c>
      <c r="FE62" s="618" t="str">
        <f>VLOOKUP(744,Sprachindex!$A:$Z,Info!$O$7,FALSE)</f>
        <v>Rohrschellendorn für WDVS-Rohrschellendübel ⌀ 10</v>
      </c>
      <c r="FF62" s="619"/>
      <c r="FG62" s="619"/>
      <c r="FH62" s="619"/>
      <c r="FI62" s="81" t="str">
        <f>VLOOKUP(556,Sprachindex!$A:$Z,Info!$O$7,FALSE)</f>
        <v>Länge wählen:</v>
      </c>
      <c r="FJ62" s="694">
        <v>1.67</v>
      </c>
      <c r="FK62" s="695"/>
      <c r="FL62" s="696"/>
      <c r="FM62" s="694">
        <v>2.04</v>
      </c>
      <c r="FN62" s="695"/>
      <c r="FO62" s="696"/>
      <c r="FP62" s="694">
        <v>4.34</v>
      </c>
      <c r="FQ62" s="695"/>
      <c r="FR62" s="696"/>
      <c r="FS62" s="233"/>
      <c r="FT62" s="248" t="str">
        <f>IF(J62=FJ61,FJ62,IF(J62=FM61,FM62,IF(J62=FP61,FP62," ")))</f>
        <v xml:space="preserve"> </v>
      </c>
      <c r="FY62" s="585"/>
      <c r="FZ62" s="586"/>
      <c r="GA62" s="586"/>
      <c r="GB62" s="586"/>
      <c r="GC62" s="587"/>
      <c r="GD62" s="253"/>
      <c r="GE62" s="254"/>
      <c r="GF62" s="254"/>
      <c r="GG62" s="254"/>
      <c r="GH62" s="255"/>
      <c r="GI62" s="253"/>
      <c r="GJ62" s="254"/>
      <c r="GK62" s="254"/>
      <c r="GL62" s="254"/>
      <c r="GM62" s="255"/>
      <c r="GN62" s="253"/>
      <c r="GO62" s="254"/>
      <c r="GP62" s="254"/>
      <c r="GQ62" s="254"/>
      <c r="GR62" s="255"/>
    </row>
    <row r="63" spans="1:200" ht="32.1" customHeight="1">
      <c r="A63" s="103"/>
      <c r="B63" s="76" t="str">
        <f>VLOOKUP(878,Sprachindex!$A:$Z,Info!$O$7,FALSE)</f>
        <v>Stk.</v>
      </c>
      <c r="C63" s="75"/>
      <c r="D63" s="75">
        <v>345033</v>
      </c>
      <c r="E63" s="618" t="str">
        <f>VLOOKUP(743,Sprachindex!$A:$Z,Info!$O$7,FALSE)</f>
        <v>Rohrschellendorn</v>
      </c>
      <c r="F63" s="619"/>
      <c r="G63" s="619"/>
      <c r="H63" s="619"/>
      <c r="I63" s="619"/>
      <c r="J63" s="681" t="s">
        <v>29559</v>
      </c>
      <c r="K63" s="682"/>
      <c r="L63" s="76" t="str">
        <f>IF(OR(A63="",W63="",X63="")," ",IF($O$11=1,U63,IF($O$11=2,V63,0)))</f>
        <v xml:space="preserve"> </v>
      </c>
      <c r="M63" s="405" t="str">
        <f t="shared" si="3"/>
        <v>Stk.</v>
      </c>
      <c r="N63" s="77"/>
      <c r="O63" s="184" t="str">
        <f t="shared" si="27"/>
        <v xml:space="preserve"> </v>
      </c>
      <c r="R63" s="266"/>
      <c r="S63" s="179"/>
      <c r="T63" s="68"/>
      <c r="U63" s="139">
        <f>ROUNDUP($A63/W63,0)*W63</f>
        <v>0</v>
      </c>
      <c r="V63" s="139">
        <f>ROUNDUP($A63/X63,0)*X63</f>
        <v>0</v>
      </c>
      <c r="W63" s="139">
        <v>25</v>
      </c>
      <c r="X63" s="139">
        <v>1</v>
      </c>
      <c r="FE63" s="618" t="str">
        <f>E63</f>
        <v>Rohrschellendorn</v>
      </c>
      <c r="FF63" s="619"/>
      <c r="FG63" s="619"/>
      <c r="FH63" s="619"/>
      <c r="FI63" s="697"/>
      <c r="FJ63" s="237">
        <v>1.56</v>
      </c>
      <c r="FK63" s="275"/>
      <c r="FL63" s="242"/>
      <c r="FM63" s="240"/>
      <c r="FN63" s="275"/>
      <c r="FO63" s="242"/>
      <c r="FP63" s="240"/>
      <c r="FQ63" s="275"/>
      <c r="FR63" s="584"/>
      <c r="FS63" s="233"/>
      <c r="FT63" s="248">
        <f>FJ63</f>
        <v>1.56</v>
      </c>
      <c r="FY63" s="679" t="s">
        <v>1033</v>
      </c>
      <c r="FZ63" s="680"/>
      <c r="GA63" s="680" t="s">
        <v>1034</v>
      </c>
      <c r="GB63" s="680"/>
      <c r="GC63" s="680" t="s">
        <v>1035</v>
      </c>
      <c r="GD63" s="683"/>
      <c r="GE63" s="276"/>
      <c r="GF63" s="254"/>
      <c r="GG63" s="254"/>
      <c r="GH63" s="255"/>
      <c r="GI63" s="253"/>
      <c r="GJ63" s="254"/>
      <c r="GK63" s="254"/>
      <c r="GL63" s="254"/>
      <c r="GM63" s="255"/>
      <c r="GN63" s="253"/>
      <c r="GO63" s="254"/>
      <c r="GP63" s="254"/>
      <c r="GQ63" s="254"/>
      <c r="GR63" s="255"/>
    </row>
    <row r="64" spans="1:200" ht="32.1" customHeight="1" thickBot="1">
      <c r="A64" s="103"/>
      <c r="B64" s="76" t="str">
        <f>VLOOKUP(878,Sprachindex!$A:$Z,Info!$O$7,FALSE)</f>
        <v>Stk.</v>
      </c>
      <c r="C64" s="75"/>
      <c r="D64" s="75" t="str">
        <f>IF(J64=Formeln_RI_P.10!A273,345040,IF(J64=Formeln_RI_P.10!A274,345041,IF(J64=Formeln_RI_P.10!A275,345042,"")))</f>
        <v/>
      </c>
      <c r="E64" s="618" t="str">
        <f>VLOOKUP(745,Sprachindex!$A:$Z,Info!$O$7,FALSE)</f>
        <v>WDVS-Rohrschellendübel ⌀ 10</v>
      </c>
      <c r="F64" s="619"/>
      <c r="G64" s="619"/>
      <c r="H64" s="619"/>
      <c r="I64" s="81" t="str">
        <f>VLOOKUP(556,Sprachindex!$A:$Z,Info!$O$7,FALSE)</f>
        <v>Länge wählen:</v>
      </c>
      <c r="J64" s="631"/>
      <c r="K64" s="706"/>
      <c r="L64" s="76" t="str">
        <f t="shared" si="10"/>
        <v xml:space="preserve"> </v>
      </c>
      <c r="M64" s="405" t="str">
        <f t="shared" si="3"/>
        <v>Stk.</v>
      </c>
      <c r="N64" s="77"/>
      <c r="O64" s="184" t="str">
        <f t="shared" si="27"/>
        <v xml:space="preserve"> </v>
      </c>
      <c r="R64" s="266"/>
      <c r="S64" s="179"/>
      <c r="T64" s="68"/>
      <c r="U64" s="139" t="e">
        <f t="shared" si="24"/>
        <v>#VALUE!</v>
      </c>
      <c r="V64" s="139">
        <f t="shared" si="25"/>
        <v>0</v>
      </c>
      <c r="W64" s="139" t="str">
        <f>IF(J64=Formeln_RI_P.10!$A$272,"",25)</f>
        <v/>
      </c>
      <c r="X64" s="139">
        <v>1</v>
      </c>
      <c r="FE64" s="618" t="str">
        <f>VLOOKUP(745,Sprachindex!$A:$Z,Info!$O$7,FALSE)</f>
        <v>WDVS-Rohrschellendübel ⌀ 10</v>
      </c>
      <c r="FF64" s="619"/>
      <c r="FG64" s="619"/>
      <c r="FH64" s="619"/>
      <c r="FI64" s="81" t="str">
        <f>VLOOKUP(556,Sprachindex!$A:$Z,Info!$O$7,FALSE)</f>
        <v>Länge wählen:</v>
      </c>
      <c r="FJ64" s="240"/>
      <c r="FK64" s="275"/>
      <c r="FL64" s="242"/>
      <c r="FM64" s="219"/>
      <c r="FN64" s="214"/>
      <c r="FO64" s="223"/>
      <c r="FP64" s="224"/>
      <c r="FQ64" s="105"/>
      <c r="FR64" s="220"/>
      <c r="FS64" s="233"/>
      <c r="FT64" s="248" t="str">
        <f>IF(J64=FY63,FY64,IF(J64=GA63,GA64,IF(J64=GC63,GC64," ")))</f>
        <v xml:space="preserve"> </v>
      </c>
      <c r="FY64" s="684">
        <v>1.19</v>
      </c>
      <c r="FZ64" s="685"/>
      <c r="GA64" s="685">
        <v>1.39</v>
      </c>
      <c r="GB64" s="685"/>
      <c r="GC64" s="685">
        <v>1.6</v>
      </c>
      <c r="GD64" s="686"/>
      <c r="GE64" s="276"/>
      <c r="GF64" s="254"/>
      <c r="GG64" s="254"/>
      <c r="GH64" s="255"/>
      <c r="GI64" s="253"/>
      <c r="GJ64" s="254"/>
      <c r="GK64" s="254"/>
      <c r="GL64" s="254"/>
      <c r="GM64" s="255"/>
      <c r="GN64" s="253"/>
      <c r="GO64" s="254"/>
      <c r="GP64" s="254"/>
      <c r="GQ64" s="254"/>
      <c r="GR64" s="255"/>
    </row>
    <row r="65" spans="1:200" ht="32.1" customHeight="1">
      <c r="A65" s="103"/>
      <c r="B65" s="76" t="str">
        <f>VLOOKUP(878,Sprachindex!$A:$Z,Info!$O$7,FALSE)</f>
        <v>Stk.</v>
      </c>
      <c r="C65" s="75"/>
      <c r="D65" s="75">
        <v>345015</v>
      </c>
      <c r="E65" s="618" t="str">
        <f>VLOOKUP(587,Sprachindex!$A:$Z,Info!$O$7,FALSE)</f>
        <v>M10-Gewindedorn</v>
      </c>
      <c r="F65" s="619"/>
      <c r="G65" s="619"/>
      <c r="H65" s="619"/>
      <c r="I65" s="619"/>
      <c r="J65" s="681" t="str">
        <f>VLOOKUP(64,Sprachindex!$A:$Z,Info!$O$7,FALSE)</f>
        <v>195 mm lang</v>
      </c>
      <c r="K65" s="682"/>
      <c r="L65" s="76" t="str">
        <f t="shared" si="10"/>
        <v xml:space="preserve"> </v>
      </c>
      <c r="M65" s="405" t="str">
        <f t="shared" si="3"/>
        <v>Stk.</v>
      </c>
      <c r="N65" s="77"/>
      <c r="O65" s="184" t="str">
        <f t="shared" si="27"/>
        <v xml:space="preserve"> </v>
      </c>
      <c r="R65" s="266"/>
      <c r="S65" s="179"/>
      <c r="T65" s="68"/>
      <c r="U65" s="139">
        <f t="shared" si="24"/>
        <v>0</v>
      </c>
      <c r="V65" s="139">
        <f t="shared" si="25"/>
        <v>0</v>
      </c>
      <c r="W65" s="139">
        <v>100</v>
      </c>
      <c r="X65" s="139">
        <v>1</v>
      </c>
      <c r="FE65" s="618" t="str">
        <f>VLOOKUP(587,Sprachindex!$A:$Z,Info!$O$7,FALSE)</f>
        <v>M10-Gewindedorn</v>
      </c>
      <c r="FF65" s="619"/>
      <c r="FG65" s="619"/>
      <c r="FH65" s="619"/>
      <c r="FI65" s="619"/>
      <c r="FJ65" s="237">
        <v>3.3</v>
      </c>
      <c r="FK65" s="214"/>
      <c r="FL65" s="220"/>
      <c r="FM65" s="219"/>
      <c r="FN65" s="281"/>
      <c r="FO65" s="223"/>
      <c r="FP65" s="224"/>
      <c r="FQ65" s="105"/>
      <c r="FR65" s="220"/>
      <c r="FS65" s="233"/>
      <c r="FT65" s="248">
        <f>FJ65</f>
        <v>3.3</v>
      </c>
      <c r="FY65" s="256"/>
      <c r="FZ65" s="257"/>
      <c r="GA65" s="257"/>
      <c r="GB65" s="257"/>
      <c r="GC65" s="260"/>
      <c r="GD65" s="256"/>
      <c r="GE65" s="254"/>
      <c r="GF65" s="254"/>
      <c r="GG65" s="254"/>
      <c r="GH65" s="255"/>
      <c r="GI65" s="253"/>
      <c r="GJ65" s="254"/>
      <c r="GK65" s="254"/>
      <c r="GL65" s="254"/>
      <c r="GM65" s="255"/>
      <c r="GN65" s="253"/>
      <c r="GO65" s="254"/>
      <c r="GP65" s="254"/>
      <c r="GQ65" s="254"/>
      <c r="GR65" s="255"/>
    </row>
    <row r="66" spans="1:200" ht="32.1" customHeight="1">
      <c r="A66" s="103"/>
      <c r="B66" s="76" t="str">
        <f>VLOOKUP(878,Sprachindex!$A:$Z,Info!$O$7,FALSE)</f>
        <v>Stk.</v>
      </c>
      <c r="C66" s="75"/>
      <c r="D66" s="75" t="str">
        <f>IF(J66=Formeln_RI_P.10!A152,420305,IF(J66=Formeln_RI_P.10!A153,420306,""))</f>
        <v/>
      </c>
      <c r="E66" s="618" t="str">
        <f>VLOOKUP(746,Sprachindex!$A:$Z,Info!$O$7,FALSE)</f>
        <v>Rohrschellenhalter für WDVS</v>
      </c>
      <c r="F66" s="619"/>
      <c r="G66" s="619"/>
      <c r="H66" s="619"/>
      <c r="I66" s="81" t="str">
        <f>VLOOKUP(556,Sprachindex!$A:$Z,Info!$O$7,FALSE)</f>
        <v>Länge wählen:</v>
      </c>
      <c r="J66" s="631"/>
      <c r="K66" s="706"/>
      <c r="L66" s="76" t="str">
        <f t="shared" si="10"/>
        <v xml:space="preserve"> </v>
      </c>
      <c r="M66" s="405" t="str">
        <f t="shared" si="3"/>
        <v>Stk.</v>
      </c>
      <c r="N66" s="77"/>
      <c r="O66" s="184" t="str">
        <f t="shared" si="27"/>
        <v xml:space="preserve"> </v>
      </c>
      <c r="R66" s="266"/>
      <c r="S66" s="179"/>
      <c r="T66" s="68"/>
      <c r="U66" s="139" t="e">
        <f t="shared" si="24"/>
        <v>#VALUE!</v>
      </c>
      <c r="V66" s="139">
        <f t="shared" si="25"/>
        <v>0</v>
      </c>
      <c r="W66" s="139" t="str">
        <f>IF(J66=Formeln_RI_P.10!$A$151,"",4)</f>
        <v/>
      </c>
      <c r="X66" s="139">
        <v>1</v>
      </c>
      <c r="Y66" s="47" t="s">
        <v>94</v>
      </c>
      <c r="Z66" s="47" t="s">
        <v>398</v>
      </c>
      <c r="AA66" s="47" t="s">
        <v>96</v>
      </c>
      <c r="AB66" s="47" t="s">
        <v>99</v>
      </c>
      <c r="AC66" s="47" t="s">
        <v>104</v>
      </c>
      <c r="AD66" s="47" t="s">
        <v>101</v>
      </c>
      <c r="AE66" s="47" t="s">
        <v>399</v>
      </c>
      <c r="AF66" s="47" t="s">
        <v>400</v>
      </c>
      <c r="AG66" s="47"/>
      <c r="AH66" s="59"/>
      <c r="AI66" s="47" t="s">
        <v>94</v>
      </c>
      <c r="AJ66" s="47" t="s">
        <v>398</v>
      </c>
      <c r="AK66" s="47" t="s">
        <v>96</v>
      </c>
      <c r="AL66" s="47" t="s">
        <v>99</v>
      </c>
      <c r="AM66" s="47" t="s">
        <v>104</v>
      </c>
      <c r="AN66" s="47" t="s">
        <v>101</v>
      </c>
      <c r="AO66" s="47" t="s">
        <v>399</v>
      </c>
      <c r="AP66" s="47" t="s">
        <v>400</v>
      </c>
      <c r="AQ66" s="47"/>
      <c r="AR66" s="59"/>
      <c r="AS66" s="47" t="s">
        <v>94</v>
      </c>
      <c r="AT66" s="47" t="s">
        <v>398</v>
      </c>
      <c r="AU66" s="47" t="s">
        <v>96</v>
      </c>
      <c r="AV66" s="47" t="s">
        <v>99</v>
      </c>
      <c r="AW66" s="47" t="s">
        <v>104</v>
      </c>
      <c r="AX66" s="47" t="s">
        <v>101</v>
      </c>
      <c r="AY66" s="47" t="s">
        <v>399</v>
      </c>
      <c r="AZ66" s="47" t="s">
        <v>400</v>
      </c>
      <c r="BA66" s="47"/>
      <c r="BB66" s="59"/>
      <c r="BC66" s="47" t="s">
        <v>94</v>
      </c>
      <c r="BD66" s="47" t="s">
        <v>398</v>
      </c>
      <c r="BE66" s="47" t="s">
        <v>96</v>
      </c>
      <c r="BF66" s="47" t="s">
        <v>99</v>
      </c>
      <c r="BG66" s="47" t="s">
        <v>104</v>
      </c>
      <c r="BH66" s="47" t="s">
        <v>101</v>
      </c>
      <c r="BI66" s="47" t="s">
        <v>399</v>
      </c>
      <c r="BJ66" s="47" t="s">
        <v>400</v>
      </c>
      <c r="BK66" s="47"/>
      <c r="BL66" s="59"/>
      <c r="BM66" s="47" t="s">
        <v>94</v>
      </c>
      <c r="BN66" s="47" t="s">
        <v>398</v>
      </c>
      <c r="BO66" s="47" t="s">
        <v>96</v>
      </c>
      <c r="BP66" s="47" t="s">
        <v>99</v>
      </c>
      <c r="BQ66" s="47" t="s">
        <v>104</v>
      </c>
      <c r="BR66" s="47" t="s">
        <v>101</v>
      </c>
      <c r="BS66" s="47" t="s">
        <v>399</v>
      </c>
      <c r="BT66" s="47" t="s">
        <v>400</v>
      </c>
      <c r="BU66" s="47"/>
      <c r="BV66" s="59"/>
      <c r="BW66" s="47" t="s">
        <v>94</v>
      </c>
      <c r="BX66" s="47" t="s">
        <v>398</v>
      </c>
      <c r="BY66" s="47" t="s">
        <v>96</v>
      </c>
      <c r="BZ66" s="47" t="s">
        <v>99</v>
      </c>
      <c r="CA66" s="47" t="s">
        <v>104</v>
      </c>
      <c r="CB66" s="47" t="s">
        <v>101</v>
      </c>
      <c r="CC66" s="47" t="s">
        <v>399</v>
      </c>
      <c r="CD66" s="47" t="s">
        <v>400</v>
      </c>
      <c r="CE66" s="47"/>
      <c r="CF66" s="59"/>
      <c r="CG66" s="149" t="s">
        <v>94</v>
      </c>
      <c r="CH66" s="47" t="s">
        <v>398</v>
      </c>
      <c r="CI66" s="47" t="s">
        <v>96</v>
      </c>
      <c r="CJ66" s="47" t="s">
        <v>99</v>
      </c>
      <c r="CK66" s="47" t="s">
        <v>104</v>
      </c>
      <c r="CL66" s="47" t="s">
        <v>101</v>
      </c>
      <c r="CM66" s="47" t="s">
        <v>399</v>
      </c>
      <c r="CN66" s="47"/>
      <c r="CO66" s="47"/>
      <c r="CP66" s="59"/>
      <c r="CQ66" s="47" t="s">
        <v>94</v>
      </c>
      <c r="CR66" s="47" t="s">
        <v>398</v>
      </c>
      <c r="CS66" s="47" t="s">
        <v>96</v>
      </c>
      <c r="CT66" s="47" t="s">
        <v>99</v>
      </c>
      <c r="CU66" s="47" t="s">
        <v>104</v>
      </c>
      <c r="CV66" s="47" t="s">
        <v>101</v>
      </c>
      <c r="CW66" s="47" t="s">
        <v>399</v>
      </c>
      <c r="CX66" s="47" t="s">
        <v>400</v>
      </c>
      <c r="CY66" s="47"/>
      <c r="CZ66" s="59"/>
      <c r="DA66" s="47" t="s">
        <v>94</v>
      </c>
      <c r="DB66" s="47" t="s">
        <v>398</v>
      </c>
      <c r="DC66" s="47" t="s">
        <v>96</v>
      </c>
      <c r="DD66" s="47" t="s">
        <v>99</v>
      </c>
      <c r="DE66" s="47" t="s">
        <v>104</v>
      </c>
      <c r="DF66" s="47" t="s">
        <v>101</v>
      </c>
      <c r="DG66" s="47" t="s">
        <v>399</v>
      </c>
      <c r="DH66" s="47" t="s">
        <v>400</v>
      </c>
      <c r="DI66" s="47"/>
      <c r="DJ66" s="59"/>
      <c r="FE66" s="618" t="str">
        <f>VLOOKUP(746,Sprachindex!$A:$Z,Info!$O$7,FALSE)</f>
        <v>Rohrschellenhalter für WDVS</v>
      </c>
      <c r="FF66" s="619"/>
      <c r="FG66" s="619"/>
      <c r="FH66" s="619"/>
      <c r="FI66" s="81" t="str">
        <f>VLOOKUP(556,Sprachindex!$A:$Z,Info!$O$7,FALSE)</f>
        <v>Länge wählen:</v>
      </c>
      <c r="FJ66" s="687" t="s">
        <v>1036</v>
      </c>
      <c r="FK66" s="688"/>
      <c r="FL66" s="282" t="s">
        <v>1037</v>
      </c>
      <c r="FM66" s="284">
        <v>20.11</v>
      </c>
      <c r="FN66" s="283"/>
      <c r="FO66" s="223"/>
      <c r="FP66" s="689" t="s">
        <v>1038</v>
      </c>
      <c r="FQ66" s="690"/>
      <c r="FR66" s="282" t="s">
        <v>1037</v>
      </c>
      <c r="FS66" s="282">
        <v>21.49</v>
      </c>
      <c r="FT66" s="248" t="str">
        <f>IF(J66=FJ66,FM66,IF(J66=FP66,FS66," "))</f>
        <v xml:space="preserve"> </v>
      </c>
      <c r="FY66" s="253"/>
      <c r="FZ66" s="254"/>
      <c r="GA66" s="254"/>
      <c r="GB66" s="254"/>
      <c r="GC66" s="255"/>
      <c r="GD66" s="253"/>
      <c r="GE66" s="254"/>
      <c r="GF66" s="254"/>
      <c r="GG66" s="254"/>
      <c r="GH66" s="255"/>
      <c r="GI66" s="253"/>
      <c r="GJ66" s="254"/>
      <c r="GK66" s="254"/>
      <c r="GL66" s="254"/>
      <c r="GM66" s="255"/>
      <c r="GN66" s="253"/>
      <c r="GO66" s="254"/>
      <c r="GP66" s="254"/>
      <c r="GQ66" s="254"/>
      <c r="GR66" s="255"/>
    </row>
    <row r="67" spans="1:200" ht="32.1" customHeight="1">
      <c r="A67" s="103"/>
      <c r="B67" s="76" t="str">
        <f>VLOOKUP(878,Sprachindex!$A:$Z,Info!$O$7,FALSE)</f>
        <v>Stk.</v>
      </c>
      <c r="C67" s="75"/>
      <c r="D67" s="75" t="e" vm="99">
        <f>AG67</f>
        <v>#VALUE!</v>
      </c>
      <c r="E67" s="618" t="str">
        <f>VLOOKUP(1001,Sprachindex!$A:$Z,Info!$O$7,FALSE)</f>
        <v>Wandmontageplatte</v>
      </c>
      <c r="F67" s="619"/>
      <c r="G67" s="619"/>
      <c r="H67" s="619"/>
      <c r="I67" s="619"/>
      <c r="J67" s="681"/>
      <c r="K67" s="682"/>
      <c r="L67" s="76" t="str">
        <f t="shared" si="10"/>
        <v xml:space="preserve"> </v>
      </c>
      <c r="M67" s="405" t="str">
        <f t="shared" si="3"/>
        <v>Stk.</v>
      </c>
      <c r="N67" s="77"/>
      <c r="O67" s="184" t="str">
        <f t="shared" si="27"/>
        <v xml:space="preserve"> </v>
      </c>
      <c r="R67" s="266"/>
      <c r="S67" s="179"/>
      <c r="T67" s="68"/>
      <c r="U67" s="139">
        <f t="shared" si="24"/>
        <v>0</v>
      </c>
      <c r="V67" s="139">
        <f t="shared" si="25"/>
        <v>0</v>
      </c>
      <c r="W67" s="139">
        <v>10</v>
      </c>
      <c r="X67" s="139">
        <v>1</v>
      </c>
      <c r="Y67" t="s">
        <v>1039</v>
      </c>
      <c r="Z67" t="s">
        <v>1040</v>
      </c>
      <c r="AA67">
        <v>202904</v>
      </c>
      <c r="AB67" t="s">
        <v>1041</v>
      </c>
      <c r="AC67" t="s">
        <v>1042</v>
      </c>
      <c r="AD67" t="s">
        <v>1043</v>
      </c>
      <c r="AE67" t="s">
        <v>1044</v>
      </c>
      <c r="AF67">
        <v>529311</v>
      </c>
      <c r="AG67" s="59" t="e" vm="2">
        <f t="shared" ref="AG67" si="28">VLOOKUP(Y67,Y67:AF67,$O$16,FALSE)</f>
        <v>#VALUE!</v>
      </c>
      <c r="AH67" s="59"/>
      <c r="FE67" s="618" t="str">
        <f>VLOOKUP(1001,Sprachindex!$A:$Z,Info!$O$7,FALSE)</f>
        <v>Wandmontageplatte</v>
      </c>
      <c r="FF67" s="619"/>
      <c r="FG67" s="619"/>
      <c r="FH67" s="619"/>
      <c r="FI67" s="619"/>
      <c r="FJ67" s="237">
        <v>9.99</v>
      </c>
      <c r="FK67" s="214"/>
      <c r="FL67" s="220"/>
      <c r="FM67" s="219"/>
      <c r="FN67" s="214"/>
      <c r="FO67" s="223"/>
      <c r="FP67" s="224"/>
      <c r="FQ67" s="105"/>
      <c r="FR67" s="220"/>
      <c r="FS67" s="233"/>
      <c r="FT67" s="248">
        <f>FJ67</f>
        <v>9.99</v>
      </c>
      <c r="FY67" s="253"/>
      <c r="FZ67" s="254"/>
      <c r="GA67" s="254"/>
      <c r="GB67" s="254"/>
      <c r="GC67" s="255"/>
      <c r="GD67" s="253"/>
      <c r="GE67" s="254"/>
      <c r="GF67" s="254"/>
      <c r="GG67" s="254"/>
      <c r="GH67" s="255"/>
      <c r="GI67" s="253"/>
      <c r="GJ67" s="254"/>
      <c r="GK67" s="254"/>
      <c r="GL67" s="254"/>
      <c r="GM67" s="255"/>
      <c r="GN67" s="253"/>
      <c r="GO67" s="254"/>
      <c r="GP67" s="254"/>
      <c r="GQ67" s="254"/>
      <c r="GR67" s="255"/>
    </row>
    <row r="68" spans="1:200" ht="32.1" customHeight="1">
      <c r="A68" s="103"/>
      <c r="B68" s="76" t="str">
        <f>VLOOKUP(878,Sprachindex!$A:$Z,Info!$O$7,FALSE)</f>
        <v>Stk.</v>
      </c>
      <c r="C68" s="75"/>
      <c r="D68" s="75">
        <v>529502</v>
      </c>
      <c r="E68" s="618" t="str">
        <f>VLOOKUP(138,Sprachindex!$A:$Z,Info!$O$7,FALSE)</f>
        <v>Abdeckkappe für Rohrschellendorn</v>
      </c>
      <c r="F68" s="619"/>
      <c r="G68" s="619"/>
      <c r="H68" s="619"/>
      <c r="I68" s="619"/>
      <c r="J68" s="681"/>
      <c r="K68" s="682"/>
      <c r="L68" s="76" t="str">
        <f t="shared" si="10"/>
        <v xml:space="preserve"> </v>
      </c>
      <c r="M68" s="405" t="str">
        <f t="shared" si="3"/>
        <v>Stk.</v>
      </c>
      <c r="N68" s="77"/>
      <c r="O68" s="184" t="str">
        <f t="shared" si="27"/>
        <v xml:space="preserve"> </v>
      </c>
      <c r="R68" s="266"/>
      <c r="S68" s="179"/>
      <c r="T68" s="68"/>
      <c r="U68" s="139">
        <f t="shared" si="24"/>
        <v>0</v>
      </c>
      <c r="V68" s="139">
        <f t="shared" si="25"/>
        <v>0</v>
      </c>
      <c r="W68" s="139">
        <v>25</v>
      </c>
      <c r="X68" s="139">
        <v>1</v>
      </c>
      <c r="FE68" s="618" t="str">
        <f>VLOOKUP(138,Sprachindex!$A:$Z,Info!$O$7,FALSE)</f>
        <v>Abdeckkappe für Rohrschellendorn</v>
      </c>
      <c r="FF68" s="619"/>
      <c r="FG68" s="619"/>
      <c r="FH68" s="619"/>
      <c r="FI68" s="619"/>
      <c r="FJ68" s="237">
        <v>0.63</v>
      </c>
      <c r="FK68" s="214"/>
      <c r="FL68" s="220"/>
      <c r="FM68" s="219"/>
      <c r="FN68" s="214"/>
      <c r="FO68" s="223"/>
      <c r="FP68" s="224"/>
      <c r="FQ68" s="105"/>
      <c r="FR68" s="220"/>
      <c r="FS68" s="233"/>
      <c r="FT68" s="248">
        <f>FJ68</f>
        <v>0.63</v>
      </c>
      <c r="FY68" s="253"/>
      <c r="FZ68" s="254"/>
      <c r="GA68" s="254"/>
      <c r="GB68" s="254"/>
      <c r="GC68" s="255"/>
      <c r="GD68" s="253"/>
      <c r="GE68" s="254"/>
      <c r="GF68" s="254"/>
      <c r="GG68" s="254"/>
      <c r="GH68" s="255"/>
      <c r="GI68" s="253"/>
      <c r="GJ68" s="254"/>
      <c r="GK68" s="254"/>
      <c r="GL68" s="254"/>
      <c r="GM68" s="255"/>
      <c r="GN68" s="253"/>
      <c r="GO68" s="254"/>
      <c r="GP68" s="254"/>
      <c r="GQ68" s="254"/>
      <c r="GR68" s="255"/>
    </row>
    <row r="69" spans="1:200" ht="32.1" customHeight="1">
      <c r="A69" s="103"/>
      <c r="B69" s="76" t="str">
        <f>VLOOKUP(878,Sprachindex!$A:$Z,Info!$O$7,FALSE)</f>
        <v>Stk.</v>
      </c>
      <c r="C69" s="75"/>
      <c r="D69" s="75" t="str">
        <f>IF(J69=Formeln_RI_P.10!F187,150053,IF('RI_P.10'!J69=Formeln_RI_P.10!F186,150052,""))</f>
        <v/>
      </c>
      <c r="E69" s="618" t="str">
        <f>VLOOKUP(444,Sprachindex!$A:$Z,Info!$O$7,FALSE)</f>
        <v>Gummidichtung passend für HT/KG (NW 110 mm)</v>
      </c>
      <c r="F69" s="619"/>
      <c r="G69" s="619"/>
      <c r="H69" s="619"/>
      <c r="I69" s="484" t="str">
        <f>VLOOKUP(306,Sprachindex!$A:$Z,Info!$O$7,FALSE)</f>
        <v>Dimension wählen:</v>
      </c>
      <c r="J69" s="631"/>
      <c r="K69" s="632"/>
      <c r="L69" s="76" t="str">
        <f t="shared" si="10"/>
        <v xml:space="preserve"> </v>
      </c>
      <c r="M69" s="405" t="str">
        <f t="shared" si="3"/>
        <v>Stk.</v>
      </c>
      <c r="N69" s="77"/>
      <c r="O69" s="184" t="str">
        <f t="shared" si="27"/>
        <v xml:space="preserve"> </v>
      </c>
      <c r="R69" s="266"/>
      <c r="S69" s="179"/>
      <c r="T69" s="68"/>
      <c r="U69" s="139">
        <f t="shared" si="24"/>
        <v>0</v>
      </c>
      <c r="V69" s="139">
        <f t="shared" si="25"/>
        <v>0</v>
      </c>
      <c r="W69" s="139">
        <v>1</v>
      </c>
      <c r="X69" s="139">
        <v>1</v>
      </c>
      <c r="FE69" s="618" t="str">
        <f>VLOOKUP(444,Sprachindex!$A:$Z,Info!$O$7,FALSE)</f>
        <v>Gummidichtung passend für HT/KG (NW 110 mm)</v>
      </c>
      <c r="FF69" s="619"/>
      <c r="FG69" s="619"/>
      <c r="FH69" s="619"/>
      <c r="FI69" s="619"/>
      <c r="FJ69" s="237">
        <v>7.19</v>
      </c>
      <c r="FK69" s="214"/>
      <c r="FL69" s="220"/>
      <c r="FM69" s="219"/>
      <c r="FN69" s="214"/>
      <c r="FO69" s="223"/>
      <c r="FP69" s="224"/>
      <c r="FQ69" s="105"/>
      <c r="FR69" s="220"/>
      <c r="FS69" s="233"/>
      <c r="FT69" s="248">
        <f>FJ69</f>
        <v>7.19</v>
      </c>
      <c r="FY69" s="253"/>
      <c r="FZ69" s="254"/>
      <c r="GA69" s="254"/>
      <c r="GB69" s="254"/>
      <c r="GC69" s="255"/>
    </row>
    <row r="70" spans="1:200" ht="32.1" customHeight="1">
      <c r="A70" s="103"/>
      <c r="B70" s="76" t="str">
        <f>VLOOKUP(878,Sprachindex!$A:$Z,Info!$O$7,FALSE)</f>
        <v>Stk.</v>
      </c>
      <c r="C70" s="75"/>
      <c r="D70" s="75" t="e" vm="99">
        <f>AG70</f>
        <v>#VALUE!</v>
      </c>
      <c r="E70" s="618" t="str">
        <f>VLOOKUP(893,Sprachindex!$A:$Z,Info!$O$7,FALSE)</f>
        <v>Stutzen mit Klebeflansch (passend für Ablaufrohr ⌀ 60)</v>
      </c>
      <c r="F70" s="619"/>
      <c r="G70" s="619"/>
      <c r="H70" s="619"/>
      <c r="I70" s="619"/>
      <c r="J70" s="681" t="str">
        <f>Formeln_RI_P.10!A187</f>
        <v/>
      </c>
      <c r="K70" s="682"/>
      <c r="L70" s="76" t="str">
        <f t="shared" si="10"/>
        <v xml:space="preserve"> </v>
      </c>
      <c r="M70" s="405" t="str">
        <f t="shared" si="3"/>
        <v>Stk.</v>
      </c>
      <c r="N70" s="77"/>
      <c r="O70" s="184" t="str">
        <f t="shared" si="27"/>
        <v xml:space="preserve"> </v>
      </c>
      <c r="R70" s="266"/>
      <c r="S70" s="179"/>
      <c r="T70" s="68"/>
      <c r="U70" s="139">
        <f t="shared" si="24"/>
        <v>0</v>
      </c>
      <c r="V70" s="139">
        <f t="shared" si="25"/>
        <v>0</v>
      </c>
      <c r="W70" s="139">
        <v>3</v>
      </c>
      <c r="X70" s="139">
        <v>1</v>
      </c>
      <c r="Y70" t="s">
        <v>1046</v>
      </c>
      <c r="Z70" t="s">
        <v>1047</v>
      </c>
      <c r="AA70" t="s">
        <v>1048</v>
      </c>
      <c r="AB70" t="s">
        <v>1049</v>
      </c>
      <c r="AC70" t="s">
        <v>1050</v>
      </c>
      <c r="AD70" t="s">
        <v>1051</v>
      </c>
      <c r="AE70" t="s">
        <v>1052</v>
      </c>
      <c r="AF70"/>
      <c r="AG70" s="59" t="e" vm="2">
        <f t="shared" ref="AG70:AG85" si="29">VLOOKUP(Y70,Y70:AF70,$O$16,FALSE)</f>
        <v>#VALUE!</v>
      </c>
      <c r="AH70" s="59" t="s">
        <v>1053</v>
      </c>
      <c r="FE70" s="618" t="str">
        <f>VLOOKUP(893,Sprachindex!$A:$Z,Info!$O$7,FALSE)</f>
        <v>Stutzen mit Klebeflansch (passend für Ablaufrohr ⌀ 60)</v>
      </c>
      <c r="FF70" s="619"/>
      <c r="FG70" s="619"/>
      <c r="FH70" s="619"/>
      <c r="FI70" s="619"/>
      <c r="FJ70" s="237">
        <v>14.75</v>
      </c>
      <c r="FK70" s="214"/>
      <c r="FL70" s="220"/>
      <c r="FM70" s="219"/>
      <c r="FN70" s="214"/>
      <c r="FO70" s="223"/>
      <c r="FP70" s="224"/>
      <c r="FQ70" s="105"/>
      <c r="FR70" s="220"/>
      <c r="FS70" s="233"/>
      <c r="FT70" s="248">
        <f>FJ70</f>
        <v>14.75</v>
      </c>
      <c r="FY70" s="253"/>
      <c r="FZ70" s="254"/>
      <c r="GA70" s="254"/>
      <c r="GB70" s="254"/>
      <c r="GC70" s="255"/>
    </row>
    <row r="71" spans="1:200" ht="32.1" customHeight="1">
      <c r="A71" s="103"/>
      <c r="B71" s="76" t="str">
        <f>VLOOKUP(878,Sprachindex!$A:$Z,Info!$O$7,FALSE)</f>
        <v>Stk.</v>
      </c>
      <c r="C71" s="75"/>
      <c r="D71" s="75" t="str">
        <f>IF($O$18=2,AQ71,IF($O$18=3,BA71,IF($O$18=4,BK71,IF($O$18=5,BU71,IF($O$18=1,AG71,"")))))</f>
        <v/>
      </c>
      <c r="E71" s="618" t="str">
        <f>VLOOKUP(728,Sprachindex!$A:$Z,Info!$O$7,FALSE)</f>
        <v>Rohrbogen 72°</v>
      </c>
      <c r="F71" s="619"/>
      <c r="G71" s="619"/>
      <c r="H71" s="619"/>
      <c r="I71" s="619"/>
      <c r="J71" s="681" t="str">
        <f>Formeln_RI_P.10!A228</f>
        <v/>
      </c>
      <c r="K71" s="682"/>
      <c r="L71" s="76" t="str">
        <f>IF(OR(A71="",W71="",X71="")," ",IF($O$11=1,U71,IF($O$11=2,V71,0)))</f>
        <v xml:space="preserve"> </v>
      </c>
      <c r="M71" s="405" t="str">
        <f t="shared" si="3"/>
        <v>Stk.</v>
      </c>
      <c r="N71" s="77"/>
      <c r="O71" s="184" t="str">
        <f t="shared" si="27"/>
        <v xml:space="preserve"> </v>
      </c>
      <c r="R71" s="266"/>
      <c r="S71" s="179"/>
      <c r="T71" s="68"/>
      <c r="U71" s="139" t="e">
        <f t="shared" si="24"/>
        <v>#VALUE!</v>
      </c>
      <c r="V71" s="139">
        <f t="shared" si="25"/>
        <v>0</v>
      </c>
      <c r="W71" s="139" t="str">
        <f>IF($O$18=1,3,IF($O$18=2,8,IF($O$18=3,8,IF($O$18=4,4,IF($O$18=5,1,"")))))</f>
        <v/>
      </c>
      <c r="X71" s="139">
        <v>1</v>
      </c>
      <c r="Y71" t="s">
        <v>1054</v>
      </c>
      <c r="Z71" t="s">
        <v>1055</v>
      </c>
      <c r="AA71" t="s">
        <v>1056</v>
      </c>
      <c r="AB71" t="s">
        <v>1057</v>
      </c>
      <c r="AC71" t="s">
        <v>1058</v>
      </c>
      <c r="AD71" t="s">
        <v>1059</v>
      </c>
      <c r="AE71" t="s">
        <v>1060</v>
      </c>
      <c r="AF71"/>
      <c r="AG71" s="59" t="e" vm="2">
        <f t="shared" si="29"/>
        <v>#VALUE!</v>
      </c>
      <c r="AH71" s="59">
        <v>60</v>
      </c>
      <c r="AI71" t="s">
        <v>1061</v>
      </c>
      <c r="AJ71" t="s">
        <v>1062</v>
      </c>
      <c r="AK71" t="s">
        <v>1063</v>
      </c>
      <c r="AL71" t="s">
        <v>1064</v>
      </c>
      <c r="AM71" t="s">
        <v>1065</v>
      </c>
      <c r="AN71" t="s">
        <v>1066</v>
      </c>
      <c r="AO71" t="s">
        <v>1067</v>
      </c>
      <c r="AP71"/>
      <c r="AQ71" s="59" t="e" vm="2">
        <f t="shared" ref="AQ71:AQ77" si="30">VLOOKUP(AI71,AI71:AP71,$O$16,FALSE)</f>
        <v>#VALUE!</v>
      </c>
      <c r="AR71" s="59">
        <v>80</v>
      </c>
      <c r="AS71" t="s">
        <v>1068</v>
      </c>
      <c r="AT71" t="s">
        <v>1069</v>
      </c>
      <c r="AU71" t="s">
        <v>1070</v>
      </c>
      <c r="AV71" t="s">
        <v>1071</v>
      </c>
      <c r="AW71" t="s">
        <v>1072</v>
      </c>
      <c r="AX71" t="s">
        <v>1073</v>
      </c>
      <c r="AY71" t="s">
        <v>1074</v>
      </c>
      <c r="AZ71">
        <v>526029</v>
      </c>
      <c r="BA71" s="59" t="e" vm="2">
        <f>VLOOKUP(AS71,AS71:AZ71,$O$16,FALSE)</f>
        <v>#VALUE!</v>
      </c>
      <c r="BB71" s="59">
        <v>100</v>
      </c>
      <c r="BC71" t="s">
        <v>1075</v>
      </c>
      <c r="BD71" t="s">
        <v>1076</v>
      </c>
      <c r="BE71" t="s">
        <v>1077</v>
      </c>
      <c r="BF71" t="s">
        <v>1078</v>
      </c>
      <c r="BG71" t="s">
        <v>1079</v>
      </c>
      <c r="BH71" t="s">
        <v>1080</v>
      </c>
      <c r="BI71" t="s">
        <v>1081</v>
      </c>
      <c r="BJ71"/>
      <c r="BK71" s="59" t="e" vm="2">
        <f>VLOOKUP(BC71,BC71:BJ71,$O$16,FALSE)</f>
        <v>#VALUE!</v>
      </c>
      <c r="BL71" s="59">
        <v>120</v>
      </c>
      <c r="BM71">
        <v>202481</v>
      </c>
      <c r="BN71">
        <v>202480</v>
      </c>
      <c r="BO71" t="s">
        <v>2349</v>
      </c>
      <c r="BP71">
        <v>202482</v>
      </c>
      <c r="BQ71" t="s">
        <v>2349</v>
      </c>
      <c r="BR71" t="s">
        <v>2349</v>
      </c>
      <c r="BS71" t="s">
        <v>2349</v>
      </c>
      <c r="BT71"/>
      <c r="BU71" s="59" t="e" vm="2">
        <f>VLOOKUP(BM71,BM71:BT71,$O$16,FALSE)</f>
        <v>#VALUE!</v>
      </c>
      <c r="BV71" s="59">
        <v>150</v>
      </c>
      <c r="FE71" s="618" t="str">
        <f>VLOOKUP(728,Sprachindex!$A:$Z,Info!$O$7,FALSE)</f>
        <v>Rohrbogen 72°</v>
      </c>
      <c r="FF71" s="619"/>
      <c r="FG71" s="619"/>
      <c r="FH71" s="619"/>
      <c r="FI71" s="619"/>
      <c r="FJ71" s="219"/>
      <c r="FK71" s="214"/>
      <c r="FL71" s="220"/>
      <c r="FM71" s="219"/>
      <c r="FN71" s="214"/>
      <c r="FO71" s="223"/>
      <c r="FP71" s="224"/>
      <c r="FQ71" s="105"/>
      <c r="FR71" s="220"/>
      <c r="FS71" s="233"/>
      <c r="FT71" s="248" t="str">
        <f>IF(O18=1,FY71,IF(O18=2,FZ71,IF(O18=3,GA71,IF(O18=4,GB71,IF(O18=5,GC71," ")))))</f>
        <v xml:space="preserve"> </v>
      </c>
      <c r="FY71" s="277">
        <v>15.92</v>
      </c>
      <c r="FZ71" s="278">
        <v>17.32</v>
      </c>
      <c r="GA71" s="278">
        <v>19.07</v>
      </c>
      <c r="GB71" s="278">
        <v>25.17</v>
      </c>
      <c r="GC71" s="279">
        <v>46.96</v>
      </c>
    </row>
    <row r="72" spans="1:200" ht="32.1" customHeight="1">
      <c r="A72" s="103"/>
      <c r="B72" s="76" t="str">
        <f>VLOOKUP(878,Sprachindex!$A:$Z,Info!$O$7,FALSE)</f>
        <v>Stk.</v>
      </c>
      <c r="C72" s="75"/>
      <c r="D72" s="75" t="str">
        <f>IF($O$18=2,AQ72,IF($O$18=3,BA72,IF($O$18=4,BK72,IF($O$18=5,BU72,IF($O$18=1,AG72,"")))))</f>
        <v/>
      </c>
      <c r="E72" s="618" t="str">
        <f>VLOOKUP(729,Sprachindex!$A:$Z,Info!$O$7,FALSE)</f>
        <v>Rohrbogen 85°</v>
      </c>
      <c r="F72" s="619"/>
      <c r="G72" s="619"/>
      <c r="H72" s="619"/>
      <c r="I72" s="619"/>
      <c r="J72" s="681" t="str">
        <f>Formeln_RI_P.10!A268</f>
        <v/>
      </c>
      <c r="K72" s="682"/>
      <c r="L72" s="76" t="str">
        <f t="shared" si="10"/>
        <v xml:space="preserve"> </v>
      </c>
      <c r="M72" s="405" t="str">
        <f t="shared" si="3"/>
        <v>Stk.</v>
      </c>
      <c r="N72" s="77"/>
      <c r="O72" s="184" t="str">
        <f t="shared" ref="O72:O82" si="31">IF(ISNUMBER(L72),FT72*L72," ")</f>
        <v xml:space="preserve"> </v>
      </c>
      <c r="R72" s="266"/>
      <c r="S72" s="179"/>
      <c r="T72" s="68"/>
      <c r="U72" s="139" t="e">
        <f t="shared" si="24"/>
        <v>#VALUE!</v>
      </c>
      <c r="V72" s="139">
        <f t="shared" si="25"/>
        <v>0</v>
      </c>
      <c r="W72" s="139" t="str">
        <f>IF($O$18=1,3,IF($O$18=2,8,IF($O$18=3,6,IF($O$18=4,3,""))))</f>
        <v/>
      </c>
      <c r="X72" s="139">
        <v>1</v>
      </c>
      <c r="Y72" t="s">
        <v>1082</v>
      </c>
      <c r="Z72" t="s">
        <v>1083</v>
      </c>
      <c r="AA72" t="s">
        <v>1084</v>
      </c>
      <c r="AB72" t="s">
        <v>1085</v>
      </c>
      <c r="AC72" t="s">
        <v>1086</v>
      </c>
      <c r="AD72" t="s">
        <v>1087</v>
      </c>
      <c r="AE72" t="s">
        <v>1088</v>
      </c>
      <c r="AF72"/>
      <c r="AG72" s="59" t="e" vm="2">
        <f t="shared" si="29"/>
        <v>#VALUE!</v>
      </c>
      <c r="AH72" s="59">
        <v>60</v>
      </c>
      <c r="AI72" t="s">
        <v>1089</v>
      </c>
      <c r="AJ72" t="s">
        <v>1090</v>
      </c>
      <c r="AK72" t="s">
        <v>1091</v>
      </c>
      <c r="AL72" t="s">
        <v>1092</v>
      </c>
      <c r="AM72" t="s">
        <v>1093</v>
      </c>
      <c r="AN72" t="s">
        <v>1094</v>
      </c>
      <c r="AO72" t="s">
        <v>1095</v>
      </c>
      <c r="AP72"/>
      <c r="AQ72" s="59" t="e" vm="2">
        <f t="shared" si="30"/>
        <v>#VALUE!</v>
      </c>
      <c r="AR72" s="59">
        <v>80</v>
      </c>
      <c r="AS72" t="s">
        <v>1096</v>
      </c>
      <c r="AT72" t="s">
        <v>1097</v>
      </c>
      <c r="AU72" t="s">
        <v>1098</v>
      </c>
      <c r="AV72" t="s">
        <v>1099</v>
      </c>
      <c r="AW72" t="s">
        <v>1100</v>
      </c>
      <c r="AX72" t="s">
        <v>1101</v>
      </c>
      <c r="AY72" t="s">
        <v>1102</v>
      </c>
      <c r="AZ72">
        <v>526309</v>
      </c>
      <c r="BA72" s="59" t="e" vm="2">
        <f>VLOOKUP(AS72,AS72:AZ72,$O$16,FALSE)</f>
        <v>#VALUE!</v>
      </c>
      <c r="BB72" s="59">
        <v>100</v>
      </c>
      <c r="BC72" t="s">
        <v>1103</v>
      </c>
      <c r="BD72" t="s">
        <v>1104</v>
      </c>
      <c r="BE72" t="s">
        <v>1105</v>
      </c>
      <c r="BF72" t="s">
        <v>1106</v>
      </c>
      <c r="BG72" t="s">
        <v>1107</v>
      </c>
      <c r="BH72" t="s">
        <v>1108</v>
      </c>
      <c r="BI72" t="s">
        <v>1109</v>
      </c>
      <c r="BJ72"/>
      <c r="BK72" s="59" t="e" vm="2">
        <f>VLOOKUP(BC72,BC72:BJ72,$O$16,FALSE)</f>
        <v>#VALUE!</v>
      </c>
      <c r="BL72" s="59">
        <v>120</v>
      </c>
      <c r="FE72" s="618" t="str">
        <f>VLOOKUP(729,Sprachindex!$A:$Z,Info!$O$7,FALSE)</f>
        <v>Rohrbogen 85°</v>
      </c>
      <c r="FF72" s="619"/>
      <c r="FG72" s="619"/>
      <c r="FH72" s="619"/>
      <c r="FI72" s="619"/>
      <c r="FJ72" s="219"/>
      <c r="FK72" s="214"/>
      <c r="FL72" s="220"/>
      <c r="FM72" s="219"/>
      <c r="FN72" s="214"/>
      <c r="FO72" s="223"/>
      <c r="FP72" s="224"/>
      <c r="FQ72" s="105"/>
      <c r="FR72" s="220"/>
      <c r="FS72" s="233"/>
      <c r="FT72" s="248" t="str">
        <f>IF(O18=1,FY72,IF(O18=2,FZ72,IF(O18=3,GA72,IF(O18=4,GB72," "))))</f>
        <v xml:space="preserve"> </v>
      </c>
      <c r="FY72" s="277">
        <v>22.37</v>
      </c>
      <c r="FZ72" s="278">
        <v>23.93</v>
      </c>
      <c r="GA72" s="278">
        <v>24.96</v>
      </c>
      <c r="GB72" s="278">
        <v>31.68</v>
      </c>
      <c r="GC72" s="255"/>
    </row>
    <row r="73" spans="1:200" ht="32.1" customHeight="1">
      <c r="A73" s="103"/>
      <c r="B73" s="76" t="str">
        <f>VLOOKUP(878,Sprachindex!$A:$Z,Info!$O$7,FALSE)</f>
        <v>Stk.</v>
      </c>
      <c r="C73" s="75"/>
      <c r="D73" s="75" t="str">
        <f>IF($O$18=2,AQ73,IF($O$18=3,BA73,IF($O$18=4,BK73,IF($O$18=5,BU73,IF($O$18=1,AG73,"")))))</f>
        <v/>
      </c>
      <c r="E73" s="618" t="str">
        <f>VLOOKUP(727,Sprachindex!$A:$Z,Info!$O$7,FALSE)</f>
        <v>Rohrbogen 40°</v>
      </c>
      <c r="F73" s="619"/>
      <c r="G73" s="619"/>
      <c r="H73" s="619"/>
      <c r="I73" s="619"/>
      <c r="J73" s="681" t="str">
        <f>Formeln_RI_P.10!A268</f>
        <v/>
      </c>
      <c r="K73" s="682"/>
      <c r="L73" s="76" t="str">
        <f t="shared" si="10"/>
        <v xml:space="preserve"> </v>
      </c>
      <c r="M73" s="405" t="str">
        <f t="shared" si="3"/>
        <v>Stk.</v>
      </c>
      <c r="N73" s="77"/>
      <c r="O73" s="184" t="str">
        <f t="shared" si="31"/>
        <v xml:space="preserve"> </v>
      </c>
      <c r="R73" s="266"/>
      <c r="S73" s="179"/>
      <c r="T73" s="68"/>
      <c r="U73" s="139" t="e">
        <f t="shared" si="24"/>
        <v>#VALUE!</v>
      </c>
      <c r="V73" s="139">
        <f t="shared" si="25"/>
        <v>0</v>
      </c>
      <c r="W73" s="139" t="str">
        <f>IF($O$18=1,3,IF($O$18=2,12,IF($O$18=3,8,IF($O$18=4,4,""))))</f>
        <v/>
      </c>
      <c r="X73" s="139">
        <v>1</v>
      </c>
      <c r="Y73" t="s">
        <v>1110</v>
      </c>
      <c r="Z73" t="s">
        <v>1111</v>
      </c>
      <c r="AA73" t="s">
        <v>1112</v>
      </c>
      <c r="AB73" t="s">
        <v>1113</v>
      </c>
      <c r="AC73" t="s">
        <v>1114</v>
      </c>
      <c r="AD73" t="s">
        <v>1115</v>
      </c>
      <c r="AE73" t="s">
        <v>1116</v>
      </c>
      <c r="AF73"/>
      <c r="AG73" s="59" t="e" vm="2">
        <f t="shared" si="29"/>
        <v>#VALUE!</v>
      </c>
      <c r="AH73" s="59">
        <v>60</v>
      </c>
      <c r="AI73" t="s">
        <v>1117</v>
      </c>
      <c r="AJ73" t="s">
        <v>1118</v>
      </c>
      <c r="AK73" t="s">
        <v>1119</v>
      </c>
      <c r="AL73" t="s">
        <v>1120</v>
      </c>
      <c r="AM73" t="s">
        <v>1121</v>
      </c>
      <c r="AN73" t="s">
        <v>1122</v>
      </c>
      <c r="AO73" t="s">
        <v>1123</v>
      </c>
      <c r="AP73"/>
      <c r="AQ73" s="59" t="e" vm="2">
        <f t="shared" si="30"/>
        <v>#VALUE!</v>
      </c>
      <c r="AR73" s="59">
        <v>80</v>
      </c>
      <c r="AS73" t="s">
        <v>1124</v>
      </c>
      <c r="AT73" t="s">
        <v>1125</v>
      </c>
      <c r="AU73" t="s">
        <v>1126</v>
      </c>
      <c r="AV73" t="s">
        <v>1127</v>
      </c>
      <c r="AW73" t="s">
        <v>1128</v>
      </c>
      <c r="AX73" t="s">
        <v>1129</v>
      </c>
      <c r="AY73" t="s">
        <v>1130</v>
      </c>
      <c r="AZ73">
        <v>526089</v>
      </c>
      <c r="BA73" s="59" t="e" vm="2">
        <f>VLOOKUP(AS73,AS73:AZ73,$O$16,FALSE)</f>
        <v>#VALUE!</v>
      </c>
      <c r="BB73" s="59">
        <v>100</v>
      </c>
      <c r="BC73" t="s">
        <v>1131</v>
      </c>
      <c r="BD73" t="s">
        <v>1132</v>
      </c>
      <c r="BE73" t="s">
        <v>1133</v>
      </c>
      <c r="BF73" t="s">
        <v>1134</v>
      </c>
      <c r="BG73" t="s">
        <v>1135</v>
      </c>
      <c r="BH73" t="s">
        <v>1136</v>
      </c>
      <c r="BI73" t="s">
        <v>1137</v>
      </c>
      <c r="BJ73"/>
      <c r="BK73" s="59" t="e" vm="2">
        <f>VLOOKUP(BC73,BC73:BJ73,$O$16,FALSE)</f>
        <v>#VALUE!</v>
      </c>
      <c r="BL73" s="59">
        <v>120</v>
      </c>
      <c r="FE73" s="618" t="str">
        <f>VLOOKUP(727,Sprachindex!$A:$Z,Info!$O$7,FALSE)</f>
        <v>Rohrbogen 40°</v>
      </c>
      <c r="FF73" s="619"/>
      <c r="FG73" s="619"/>
      <c r="FH73" s="619"/>
      <c r="FI73" s="619"/>
      <c r="FJ73" s="219"/>
      <c r="FK73" s="214"/>
      <c r="FL73" s="220"/>
      <c r="FM73" s="219"/>
      <c r="FN73" s="214"/>
      <c r="FO73" s="223"/>
      <c r="FP73" s="224"/>
      <c r="FQ73" s="105"/>
      <c r="FR73" s="220"/>
      <c r="FS73" s="233"/>
      <c r="FT73" s="248" t="str">
        <f>IF(O18=1,FY73,IF(O18=2,FZ73,IF(O18=3,GA73,IF(O18=4,GB73," "))))</f>
        <v xml:space="preserve"> </v>
      </c>
      <c r="FY73" s="277">
        <v>15.88</v>
      </c>
      <c r="FZ73" s="278">
        <v>17.62</v>
      </c>
      <c r="GA73" s="278">
        <v>19.579999999999998</v>
      </c>
      <c r="GB73" s="278">
        <v>25.83</v>
      </c>
      <c r="GC73" s="255"/>
    </row>
    <row r="74" spans="1:200" ht="32.1" customHeight="1">
      <c r="A74" s="103"/>
      <c r="B74" s="76" t="str">
        <f>VLOOKUP(878,Sprachindex!$A:$Z,Info!$O$7,FALSE)</f>
        <v>Stk.</v>
      </c>
      <c r="C74" s="75"/>
      <c r="D74" s="75" t="str">
        <f>IF($O$18=2,AG74,IF($O$18=3,AQ74,IF($O$18=4,BA74,IF($O$18=5,BK74,""))))</f>
        <v/>
      </c>
      <c r="E74" s="618" t="str">
        <f>VLOOKUP(839,Sprachindex!$A:$Z,Info!$O$7,FALSE)</f>
        <v>Sockelknie (Ausladung: 60 mm)</v>
      </c>
      <c r="F74" s="619"/>
      <c r="G74" s="619"/>
      <c r="H74" s="619"/>
      <c r="I74" s="619"/>
      <c r="J74" s="681" t="str">
        <f>Formeln_RI_P.10!A222</f>
        <v/>
      </c>
      <c r="K74" s="682"/>
      <c r="L74" s="76" t="str">
        <f t="shared" si="10"/>
        <v xml:space="preserve"> </v>
      </c>
      <c r="M74" s="405" t="str">
        <f t="shared" si="3"/>
        <v>Stk.</v>
      </c>
      <c r="N74" s="77"/>
      <c r="O74" s="184" t="str">
        <f t="shared" si="31"/>
        <v xml:space="preserve"> </v>
      </c>
      <c r="R74" s="266"/>
      <c r="S74" s="179"/>
      <c r="T74" s="68"/>
      <c r="U74" s="139" t="e">
        <f t="shared" si="24"/>
        <v>#VALUE!</v>
      </c>
      <c r="V74" s="139">
        <f t="shared" si="25"/>
        <v>0</v>
      </c>
      <c r="W74" s="139" t="str">
        <f>IF($O$18=1,"",IF($O$18=2,8,IF($O$18=3,8,IF($O$18=4,4,IF($O$18=5,1,"")))))</f>
        <v/>
      </c>
      <c r="X74" s="139">
        <v>1</v>
      </c>
      <c r="Y74" t="s">
        <v>1138</v>
      </c>
      <c r="Z74" t="s">
        <v>1139</v>
      </c>
      <c r="AA74" t="s">
        <v>1140</v>
      </c>
      <c r="AB74" t="s">
        <v>1141</v>
      </c>
      <c r="AC74" t="s">
        <v>1142</v>
      </c>
      <c r="AD74" t="s">
        <v>1143</v>
      </c>
      <c r="AE74" t="s">
        <v>1144</v>
      </c>
      <c r="AF74"/>
      <c r="AG74" s="59" t="e" vm="2">
        <f t="shared" si="29"/>
        <v>#VALUE!</v>
      </c>
      <c r="AH74" s="59">
        <v>80</v>
      </c>
      <c r="AI74" t="s">
        <v>1145</v>
      </c>
      <c r="AJ74" t="s">
        <v>1146</v>
      </c>
      <c r="AK74" t="s">
        <v>1147</v>
      </c>
      <c r="AL74" t="s">
        <v>1148</v>
      </c>
      <c r="AM74" t="s">
        <v>1149</v>
      </c>
      <c r="AN74" t="s">
        <v>1150</v>
      </c>
      <c r="AO74" t="s">
        <v>1151</v>
      </c>
      <c r="AP74">
        <v>527029</v>
      </c>
      <c r="AQ74" s="59" t="e" vm="2">
        <f t="shared" si="30"/>
        <v>#VALUE!</v>
      </c>
      <c r="AR74" s="59">
        <v>100</v>
      </c>
      <c r="AS74" t="s">
        <v>1152</v>
      </c>
      <c r="AT74" t="s">
        <v>1153</v>
      </c>
      <c r="AU74" t="s">
        <v>1154</v>
      </c>
      <c r="AV74" t="s">
        <v>1155</v>
      </c>
      <c r="AW74" t="s">
        <v>1156</v>
      </c>
      <c r="AX74" t="s">
        <v>1157</v>
      </c>
      <c r="AY74" t="s">
        <v>1158</v>
      </c>
      <c r="AZ74"/>
      <c r="BA74" s="59" t="e" vm="2">
        <f>VLOOKUP(AS74,AS74:AZ74,$O$16,FALSE)</f>
        <v>#VALUE!</v>
      </c>
      <c r="BB74" s="59">
        <v>120</v>
      </c>
      <c r="BC74">
        <v>202681</v>
      </c>
      <c r="BD74">
        <v>202680</v>
      </c>
      <c r="BE74" t="s">
        <v>2349</v>
      </c>
      <c r="BF74">
        <v>202682</v>
      </c>
      <c r="BG74" t="s">
        <v>2349</v>
      </c>
      <c r="BH74" t="s">
        <v>2349</v>
      </c>
      <c r="BI74" t="s">
        <v>2349</v>
      </c>
      <c r="BJ74"/>
      <c r="BK74" s="59" t="e" vm="2">
        <f>VLOOKUP(BC74,BC74:BJ74,$O$16,FALSE)</f>
        <v>#VALUE!</v>
      </c>
      <c r="BL74" s="59">
        <v>150</v>
      </c>
      <c r="FE74" s="618" t="str">
        <f>VLOOKUP(839,Sprachindex!$A:$Z,Info!$O$7,FALSE)</f>
        <v>Sockelknie (Ausladung: 60 mm)</v>
      </c>
      <c r="FF74" s="619"/>
      <c r="FG74" s="619"/>
      <c r="FH74" s="619"/>
      <c r="FI74" s="619"/>
      <c r="FJ74" s="219"/>
      <c r="FK74" s="214"/>
      <c r="FL74" s="220"/>
      <c r="FM74" s="219"/>
      <c r="FN74" s="214"/>
      <c r="FO74" s="223"/>
      <c r="FP74" s="224"/>
      <c r="FQ74" s="105"/>
      <c r="FR74" s="220"/>
      <c r="FS74" s="233"/>
      <c r="FT74" s="248" t="str">
        <f>IF(O18=2,FZ74,IF(O18=3,GA74,IF(O18=4,GB74,IF(O18=5,GC74," "))))</f>
        <v xml:space="preserve"> </v>
      </c>
      <c r="FY74" s="253"/>
      <c r="FZ74" s="278">
        <v>23.25</v>
      </c>
      <c r="GA74" s="278">
        <v>24.01</v>
      </c>
      <c r="GB74" s="278">
        <v>30.42</v>
      </c>
      <c r="GC74" s="279">
        <v>56.27</v>
      </c>
    </row>
    <row r="75" spans="1:200" ht="32.1" customHeight="1">
      <c r="A75" s="103"/>
      <c r="B75" s="76" t="str">
        <f>VLOOKUP(878,Sprachindex!$A:$Z,Info!$O$7,FALSE)</f>
        <v>Stk.</v>
      </c>
      <c r="C75" s="75"/>
      <c r="D75" s="75" t="str">
        <f>IF($O$18=2,AG75,IF($O$18=3,AQ75,IF($O$18=4,BA75,IF($O$18=5,BK75,""))))</f>
        <v/>
      </c>
      <c r="E75" s="618" t="str">
        <f>VLOOKUP(1425,Sprachindex!$A:$Z,Info!$O$7,FALSE)</f>
        <v>Sockelknie (Ausladung: 30 mm)</v>
      </c>
      <c r="F75" s="619"/>
      <c r="G75" s="619"/>
      <c r="H75" s="619"/>
      <c r="I75" s="619"/>
      <c r="J75" s="681" t="str">
        <f>IF($O$18="","",IF($O$18=1,Formeln!$A$177,IF($O$18=2,Formeln!$A$177,IF($O$18=3,Formeln!$F$194,IF($O$18=4,Formeln!$A$177,"")))))</f>
        <v/>
      </c>
      <c r="K75" s="682"/>
      <c r="L75" s="76" t="str">
        <f t="shared" si="10"/>
        <v xml:space="preserve"> </v>
      </c>
      <c r="M75" s="405" t="str">
        <f t="shared" si="3"/>
        <v>Stk.</v>
      </c>
      <c r="N75" s="77"/>
      <c r="O75" s="184" t="str">
        <f t="shared" si="31"/>
        <v xml:space="preserve"> </v>
      </c>
      <c r="R75" s="266"/>
      <c r="S75" s="179"/>
      <c r="T75" s="68"/>
      <c r="U75" s="139" t="e">
        <f t="shared" si="24"/>
        <v>#VALUE!</v>
      </c>
      <c r="V75" s="139">
        <f t="shared" si="25"/>
        <v>0</v>
      </c>
      <c r="W75" s="139" t="str">
        <f>IF($O$18=1,"",IF($O$18=2,"",IF($O$18=3,8,IF($O$18=4,"",""))))</f>
        <v/>
      </c>
      <c r="X75" s="139">
        <v>1</v>
      </c>
      <c r="Y75"/>
      <c r="Z75"/>
      <c r="AA75"/>
      <c r="AB75"/>
      <c r="AC75"/>
      <c r="AD75"/>
      <c r="AE75"/>
      <c r="AF75"/>
      <c r="AG75" s="59"/>
      <c r="AH75" s="59"/>
      <c r="AI75" t="s">
        <v>1159</v>
      </c>
      <c r="AJ75" t="s">
        <v>1160</v>
      </c>
      <c r="AK75" t="s">
        <v>1161</v>
      </c>
      <c r="AL75" t="s">
        <v>1162</v>
      </c>
      <c r="AM75" t="s">
        <v>1163</v>
      </c>
      <c r="AN75" t="s">
        <v>1164</v>
      </c>
      <c r="AO75" t="s">
        <v>1165</v>
      </c>
      <c r="AP75"/>
      <c r="AQ75" s="59" t="e" vm="2">
        <f t="shared" si="30"/>
        <v>#VALUE!</v>
      </c>
      <c r="AR75" s="59">
        <v>100</v>
      </c>
      <c r="AS75"/>
      <c r="AT75"/>
      <c r="AU75"/>
      <c r="AV75"/>
      <c r="AW75"/>
      <c r="AX75"/>
      <c r="AY75"/>
      <c r="AZ75"/>
      <c r="BA75" s="59" t="str">
        <f t="shared" ref="BA75" si="32">IF($O$16=1,AS75,IF($O$16=2,AT75,IF($O$16=3,AU75,IF($O$16=4,AV75,IF($O$16=5,AW75,IF($O$16=6,AX75,IF($O$16=8,AY75,IF($O$16=10,AZ75,""))))))))</f>
        <v/>
      </c>
      <c r="BB75" s="59"/>
      <c r="BC75"/>
      <c r="BD75"/>
      <c r="BF75"/>
      <c r="BG75"/>
      <c r="BH75"/>
      <c r="BI75"/>
      <c r="BJ75"/>
      <c r="BK75"/>
      <c r="BL75"/>
      <c r="FE75" s="618" t="str">
        <f>VLOOKUP(1425,Sprachindex!$A:$Z,Info!$O$7,FALSE)</f>
        <v>Sockelknie (Ausladung: 30 mm)</v>
      </c>
      <c r="FF75" s="619"/>
      <c r="FG75" s="619"/>
      <c r="FH75" s="619"/>
      <c r="FI75" s="619"/>
      <c r="FJ75" s="219"/>
      <c r="FK75" s="214"/>
      <c r="FL75" s="220"/>
      <c r="FM75" s="219"/>
      <c r="FN75" s="214"/>
      <c r="FO75" s="223"/>
      <c r="FP75" s="224"/>
      <c r="FQ75" s="105"/>
      <c r="FR75" s="220"/>
      <c r="FS75" s="233"/>
      <c r="FT75" s="248" t="str">
        <f>IF(O18=3,GA75," ")</f>
        <v xml:space="preserve"> </v>
      </c>
      <c r="FY75" s="253"/>
      <c r="FZ75" s="254"/>
      <c r="GA75" s="278">
        <v>25.3</v>
      </c>
      <c r="GB75" s="254"/>
      <c r="GC75" s="255"/>
    </row>
    <row r="76" spans="1:200" ht="32.1" customHeight="1" thickBot="1">
      <c r="A76" s="103"/>
      <c r="B76" s="76" t="str">
        <f>VLOOKUP(878,Sprachindex!$A:$Z,Info!$O$7,FALSE)</f>
        <v>Stk.</v>
      </c>
      <c r="C76" s="75"/>
      <c r="D76" s="75" t="str">
        <f>IF($O$18=2,AG76,IF($O$18=3,AQ76,IF($O$18=4,BA76,IF($O$18=5,BK76,""))))</f>
        <v/>
      </c>
      <c r="E76" s="618" t="str">
        <f>VLOOKUP(1013,Sprachindex!$A:$Z,Info!$O$7,FALSE)</f>
        <v>Wassersammler</v>
      </c>
      <c r="F76" s="619"/>
      <c r="G76" s="619"/>
      <c r="H76" s="619"/>
      <c r="I76" s="619"/>
      <c r="J76" s="681" t="str">
        <f>Formeln_RI_P.10!A231</f>
        <v/>
      </c>
      <c r="K76" s="682"/>
      <c r="L76" s="76" t="str">
        <f t="shared" si="10"/>
        <v xml:space="preserve"> </v>
      </c>
      <c r="M76" s="405" t="str">
        <f t="shared" si="3"/>
        <v>Stk.</v>
      </c>
      <c r="N76" s="77"/>
      <c r="O76" s="184" t="str">
        <f t="shared" si="31"/>
        <v xml:space="preserve"> </v>
      </c>
      <c r="R76" s="266"/>
      <c r="S76" s="179"/>
      <c r="T76" s="68"/>
      <c r="U76" s="139" t="e">
        <f t="shared" si="24"/>
        <v>#VALUE!</v>
      </c>
      <c r="V76" s="139">
        <f t="shared" si="25"/>
        <v>0</v>
      </c>
      <c r="W76" s="139" t="str">
        <f>IF($O$18=1,"",IF($O$18=2,1,IF($O$18=3,1,IF($O$18=4,1,""))))</f>
        <v/>
      </c>
      <c r="X76" s="139">
        <v>1</v>
      </c>
      <c r="Y76" t="s">
        <v>1166</v>
      </c>
      <c r="Z76" t="s">
        <v>1167</v>
      </c>
      <c r="AA76" t="s">
        <v>1168</v>
      </c>
      <c r="AB76" t="s">
        <v>849</v>
      </c>
      <c r="AC76" t="s">
        <v>1169</v>
      </c>
      <c r="AD76" t="s">
        <v>1170</v>
      </c>
      <c r="AE76" t="s">
        <v>1171</v>
      </c>
      <c r="AF76"/>
      <c r="AG76" s="59" t="e" vm="2">
        <f t="shared" si="29"/>
        <v>#VALUE!</v>
      </c>
      <c r="AH76" s="59">
        <v>80</v>
      </c>
      <c r="AI76" t="s">
        <v>1172</v>
      </c>
      <c r="AJ76" t="s">
        <v>1173</v>
      </c>
      <c r="AK76" t="s">
        <v>1174</v>
      </c>
      <c r="AL76" t="s">
        <v>1175</v>
      </c>
      <c r="AM76" t="s">
        <v>1176</v>
      </c>
      <c r="AN76" t="s">
        <v>1177</v>
      </c>
      <c r="AO76" t="s">
        <v>1178</v>
      </c>
      <c r="AP76"/>
      <c r="AQ76" s="59" t="e" vm="2">
        <f t="shared" si="30"/>
        <v>#VALUE!</v>
      </c>
      <c r="AR76" s="59">
        <v>100</v>
      </c>
      <c r="AS76" t="s">
        <v>1179</v>
      </c>
      <c r="AT76" t="s">
        <v>1180</v>
      </c>
      <c r="AU76" t="s">
        <v>1181</v>
      </c>
      <c r="AV76" t="s">
        <v>1182</v>
      </c>
      <c r="AW76" t="s">
        <v>1183</v>
      </c>
      <c r="AX76" t="s">
        <v>1184</v>
      </c>
      <c r="AY76" t="s">
        <v>1185</v>
      </c>
      <c r="AZ76"/>
      <c r="BA76" s="59" t="e" vm="2">
        <f>VLOOKUP(AS76,AS76:AZ76,$O$16,FALSE)</f>
        <v>#VALUE!</v>
      </c>
      <c r="BB76" s="59">
        <v>120</v>
      </c>
      <c r="FE76" s="618" t="str">
        <f>VLOOKUP(1013,Sprachindex!$A:$Z,Info!$O$7,FALSE)</f>
        <v>Wassersammler</v>
      </c>
      <c r="FF76" s="619"/>
      <c r="FG76" s="619"/>
      <c r="FH76" s="619"/>
      <c r="FI76" s="619"/>
      <c r="FJ76" s="219"/>
      <c r="FK76" s="214"/>
      <c r="FL76" s="220"/>
      <c r="FM76" s="219"/>
      <c r="FN76" s="214"/>
      <c r="FO76" s="223"/>
      <c r="FP76" s="224"/>
      <c r="FQ76" s="105"/>
      <c r="FR76" s="220"/>
      <c r="FS76" s="233"/>
      <c r="FT76" s="248" t="str">
        <f>IF(O18=2,FZ76,IF(O18=3,GA76,IF(O18=4,GB76," ")))</f>
        <v xml:space="preserve"> </v>
      </c>
      <c r="FY76" s="253"/>
      <c r="FZ76" s="278">
        <v>137.4</v>
      </c>
      <c r="GA76" s="278">
        <v>143.69</v>
      </c>
      <c r="GB76" s="278">
        <v>196.42</v>
      </c>
      <c r="GC76" s="255"/>
    </row>
    <row r="77" spans="1:200" ht="32.1" customHeight="1">
      <c r="A77" s="103"/>
      <c r="B77" s="76" t="str">
        <f>VLOOKUP(878,Sprachindex!$A:$Z,Info!$O$7,FALSE)</f>
        <v>Stk.</v>
      </c>
      <c r="C77" s="75"/>
      <c r="D77" s="75" t="str">
        <f>IF($O$18=2,AG77,IF($O$18=3,AQ77,IF($O$18=4,BA77,IF($O$18=5,BK77,""))))</f>
        <v/>
      </c>
      <c r="E77" s="618" t="str">
        <f>VLOOKUP(702,Sprachindex!$A:$Z,Info!$O$7,FALSE)</f>
        <v>Regenklappe</v>
      </c>
      <c r="F77" s="619"/>
      <c r="G77" s="619"/>
      <c r="H77" s="619"/>
      <c r="I77" s="619"/>
      <c r="J77" s="681" t="str">
        <f>Formeln_RI_P.10!A231</f>
        <v/>
      </c>
      <c r="K77" s="682"/>
      <c r="L77" s="76" t="str">
        <f t="shared" si="10"/>
        <v xml:space="preserve"> </v>
      </c>
      <c r="M77" s="405" t="str">
        <f t="shared" si="3"/>
        <v>Stk.</v>
      </c>
      <c r="N77" s="77"/>
      <c r="O77" s="184" t="str">
        <f t="shared" si="31"/>
        <v xml:space="preserve"> </v>
      </c>
      <c r="R77" s="266"/>
      <c r="S77" s="179"/>
      <c r="T77" s="68"/>
      <c r="U77" s="139" t="e">
        <f t="shared" si="24"/>
        <v>#VALUE!</v>
      </c>
      <c r="V77" s="139">
        <f t="shared" si="25"/>
        <v>0</v>
      </c>
      <c r="W77" s="139" t="str">
        <f>IF($O$18=1,"",IF($O$18=2,1,IF($O$18=3,1,IF($O$18=4,1,""))))</f>
        <v/>
      </c>
      <c r="X77" s="139">
        <v>1</v>
      </c>
      <c r="Y77" t="s">
        <v>1186</v>
      </c>
      <c r="Z77" t="s">
        <v>1187</v>
      </c>
      <c r="AA77" t="s">
        <v>1188</v>
      </c>
      <c r="AB77" t="s">
        <v>1189</v>
      </c>
      <c r="AC77" t="s">
        <v>1190</v>
      </c>
      <c r="AD77" t="s">
        <v>1191</v>
      </c>
      <c r="AE77" t="s">
        <v>1192</v>
      </c>
      <c r="AF77"/>
      <c r="AG77" s="59" t="e" vm="2">
        <f t="shared" si="29"/>
        <v>#VALUE!</v>
      </c>
      <c r="AH77" s="59">
        <v>80</v>
      </c>
      <c r="AI77" t="s">
        <v>1193</v>
      </c>
      <c r="AJ77" t="s">
        <v>1194</v>
      </c>
      <c r="AK77" t="s">
        <v>1195</v>
      </c>
      <c r="AL77" t="s">
        <v>1196</v>
      </c>
      <c r="AM77" t="s">
        <v>1197</v>
      </c>
      <c r="AN77" t="s">
        <v>1198</v>
      </c>
      <c r="AO77" t="s">
        <v>1199</v>
      </c>
      <c r="AP77">
        <v>539029</v>
      </c>
      <c r="AQ77" s="59" t="e" vm="2">
        <f t="shared" si="30"/>
        <v>#VALUE!</v>
      </c>
      <c r="AR77" s="59">
        <v>100</v>
      </c>
      <c r="AS77" t="s">
        <v>1200</v>
      </c>
      <c r="AT77" t="s">
        <v>1201</v>
      </c>
      <c r="AU77" t="s">
        <v>1202</v>
      </c>
      <c r="AV77" t="s">
        <v>1203</v>
      </c>
      <c r="AW77">
        <v>203065</v>
      </c>
      <c r="AX77" t="s">
        <v>1204</v>
      </c>
      <c r="AY77" t="s">
        <v>1205</v>
      </c>
      <c r="AZ77"/>
      <c r="BA77" s="59" t="e" vm="2">
        <f>VLOOKUP(AS77,AS77:AZ77,$O$16,FALSE)</f>
        <v>#VALUE!</v>
      </c>
      <c r="BB77" s="59">
        <v>120</v>
      </c>
      <c r="FE77" s="618" t="str">
        <f>VLOOKUP(702,Sprachindex!$A:$Z,Info!$O$7,FALSE)</f>
        <v>Regenklappe</v>
      </c>
      <c r="FF77" s="619"/>
      <c r="FG77" s="619"/>
      <c r="FH77" s="619"/>
      <c r="FI77" s="619"/>
      <c r="FJ77" s="219"/>
      <c r="FK77" s="214"/>
      <c r="FL77" s="220"/>
      <c r="FM77" s="219"/>
      <c r="FN77" s="214"/>
      <c r="FO77" s="223"/>
      <c r="FP77" s="224"/>
      <c r="FQ77" s="105"/>
      <c r="FR77" s="220"/>
      <c r="FS77" s="233"/>
      <c r="FT77" s="248" t="str">
        <f>IF(O18=2,FZ77,IF(O18=3,GA77,IF(O18=4,GB77," ")))</f>
        <v xml:space="preserve"> </v>
      </c>
      <c r="FY77" s="253"/>
      <c r="FZ77" s="278">
        <v>60.35</v>
      </c>
      <c r="GA77" s="278">
        <v>67.349999999999994</v>
      </c>
      <c r="GB77" s="278">
        <v>78.17</v>
      </c>
      <c r="GC77" s="255"/>
      <c r="GE77" s="717">
        <v>80</v>
      </c>
      <c r="GF77" s="718"/>
      <c r="GG77" s="714">
        <v>100</v>
      </c>
      <c r="GH77" s="715"/>
      <c r="GI77" s="716"/>
      <c r="GJ77" s="711">
        <v>120</v>
      </c>
      <c r="GK77" s="712"/>
      <c r="GL77" s="713"/>
    </row>
    <row r="78" spans="1:200" ht="32.1" customHeight="1">
      <c r="A78" s="103"/>
      <c r="B78" s="76" t="str">
        <f>VLOOKUP(878,Sprachindex!$A:$Z,Info!$O$7,FALSE)</f>
        <v>Stk.</v>
      </c>
      <c r="C78" s="75"/>
      <c r="D78" s="75" t="str">
        <f>IF(O18=2,AG78,IF(O18=3,AQ78,IF(O18=4,BA78,"")))</f>
        <v/>
      </c>
      <c r="E78" s="618" t="str">
        <f>VLOOKUP(373,Sprachindex!$A:$Z,Info!$O$7,FALSE)</f>
        <v>Ersatzgitter für Regenklappe</v>
      </c>
      <c r="F78" s="619"/>
      <c r="G78" s="619"/>
      <c r="H78" s="619"/>
      <c r="I78" s="619"/>
      <c r="J78" s="681" t="str">
        <f>Formeln_RI_P.10!A222</f>
        <v/>
      </c>
      <c r="K78" s="682"/>
      <c r="L78" s="76" t="str">
        <f t="shared" si="10"/>
        <v xml:space="preserve"> </v>
      </c>
      <c r="M78" s="405" t="str">
        <f t="shared" si="3"/>
        <v>Stk.</v>
      </c>
      <c r="N78" s="77"/>
      <c r="O78" s="184" t="str">
        <f t="shared" si="31"/>
        <v xml:space="preserve"> </v>
      </c>
      <c r="R78" s="266"/>
      <c r="S78" s="179"/>
      <c r="T78" s="68"/>
      <c r="U78" s="139" t="e">
        <f t="shared" si="24"/>
        <v>#VALUE!</v>
      </c>
      <c r="V78" s="139">
        <f t="shared" si="25"/>
        <v>0</v>
      </c>
      <c r="W78" s="139" t="str">
        <f>IF($O$18=1,"",IF($O$18=2,1,IF($O$18=3,1,IF($O$18=4,1,""))))</f>
        <v/>
      </c>
      <c r="X78" s="139">
        <v>1</v>
      </c>
      <c r="Y78"/>
      <c r="Z78"/>
      <c r="AA78"/>
      <c r="AB78"/>
      <c r="AC78"/>
      <c r="AD78"/>
      <c r="AE78"/>
      <c r="AF78"/>
      <c r="AG78" s="59">
        <v>539089</v>
      </c>
      <c r="AH78" s="59">
        <v>80</v>
      </c>
      <c r="AI78"/>
      <c r="AJ78"/>
      <c r="AK78"/>
      <c r="AL78"/>
      <c r="AM78"/>
      <c r="AN78"/>
      <c r="AO78"/>
      <c r="AP78"/>
      <c r="AQ78" s="59">
        <v>539090</v>
      </c>
      <c r="AR78" s="59">
        <v>100</v>
      </c>
      <c r="AS78"/>
      <c r="AT78"/>
      <c r="AU78"/>
      <c r="AV78"/>
      <c r="AW78"/>
      <c r="AX78"/>
      <c r="AY78"/>
      <c r="AZ78"/>
      <c r="BA78" s="59">
        <v>539091</v>
      </c>
      <c r="BB78" s="59">
        <v>120</v>
      </c>
      <c r="FE78" s="618" t="str">
        <f>VLOOKUP(373,Sprachindex!$A:$Z,Info!$O$7,FALSE)</f>
        <v>Ersatzgitter für Regenklappe</v>
      </c>
      <c r="FF78" s="619"/>
      <c r="FG78" s="619"/>
      <c r="FH78" s="619"/>
      <c r="FI78" s="619"/>
      <c r="FJ78" s="219"/>
      <c r="FK78" s="214"/>
      <c r="FL78" s="220"/>
      <c r="FM78" s="219"/>
      <c r="FN78" s="214"/>
      <c r="FO78" s="223"/>
      <c r="FP78" s="224"/>
      <c r="FQ78" s="105"/>
      <c r="FR78" s="220"/>
      <c r="FS78" s="233"/>
      <c r="FT78" s="248" t="str">
        <f>IF(O18=2,FZ78,IF(O18=3,GA78,IF(O18=4,GB78," ")))</f>
        <v xml:space="preserve"> </v>
      </c>
      <c r="FY78" s="253"/>
      <c r="FZ78" s="278">
        <v>25.99</v>
      </c>
      <c r="GA78" s="278">
        <v>25.99</v>
      </c>
      <c r="GB78" s="278">
        <v>25.99</v>
      </c>
      <c r="GC78" s="255"/>
      <c r="GE78" s="253" t="s">
        <v>1206</v>
      </c>
      <c r="GF78" s="294" t="s">
        <v>1207</v>
      </c>
      <c r="GG78" s="253" t="s">
        <v>1208</v>
      </c>
      <c r="GH78" s="254" t="s">
        <v>1209</v>
      </c>
      <c r="GI78" s="255" t="s">
        <v>1210</v>
      </c>
      <c r="GJ78" s="253" t="s">
        <v>1211</v>
      </c>
      <c r="GK78" s="254" t="s">
        <v>1212</v>
      </c>
      <c r="GL78" s="255" t="s">
        <v>1213</v>
      </c>
    </row>
    <row r="79" spans="1:200" ht="32.1" customHeight="1" thickBot="1">
      <c r="A79" s="408"/>
      <c r="B79" s="76" t="str">
        <f>VLOOKUP(878,Sprachindex!$A:$Z,Info!$O$7,FALSE)</f>
        <v>Stk.</v>
      </c>
      <c r="C79" s="75"/>
      <c r="D79" s="75" t="str">
        <f>IF(AND($O$18=2,J79=Formeln_RI_P.10!A235),AG79,IF(AND($O$18=3,J79=Formeln_RI_P.10!A236),BK79,IF(AND($O$18=3,J79=Formeln_RI_P.10!A237),BU79,IF(AND($O$18=4,J79=Formeln_RI_P.10!A235),CE79,IF(AND($O$18=4,J79=Formeln_RI_P.10!A236),CO79,IF(AND($O$18=4,J79=Formeln_RI_P.10!A237),CY79,IF(AND($O$18=2,J79=Formeln_RI_P.10!A236),AQ79,IF(AND($O$18=3,J79=Formeln_RI_P.10!A235),BA79,""))))))))</f>
        <v/>
      </c>
      <c r="E79" s="618" t="str">
        <f>VLOOKUP(732,Sprachindex!$A:$Z,Info!$O$7,FALSE)</f>
        <v>Rohreinmündung</v>
      </c>
      <c r="F79" s="619"/>
      <c r="G79" s="619"/>
      <c r="H79" s="619"/>
      <c r="I79" s="619"/>
      <c r="J79" s="631"/>
      <c r="K79" s="706"/>
      <c r="L79" s="76" t="str">
        <f>IF(OR(A79="",W79="",X79="")," ",IF($O$11=1,U79,IF($O$11=2,V79,0)))</f>
        <v xml:space="preserve"> </v>
      </c>
      <c r="M79" s="405" t="str">
        <f t="shared" si="3"/>
        <v>Stk.</v>
      </c>
      <c r="N79" s="77"/>
      <c r="O79" s="204" t="str">
        <f>IF(ISNUMBER(L79),FT79*L79," ")</f>
        <v xml:space="preserve"> </v>
      </c>
      <c r="R79" s="266"/>
      <c r="S79" s="179"/>
      <c r="T79" s="68"/>
      <c r="U79" s="139" t="e">
        <f t="shared" si="24"/>
        <v>#VALUE!</v>
      </c>
      <c r="V79" s="139">
        <f t="shared" si="25"/>
        <v>0</v>
      </c>
      <c r="W79" s="139" t="str">
        <f>IF(J79="","",IF($O$18=1,"",IF(OR($O$18=2,3),2,IF($O$18=4,1,""))))</f>
        <v/>
      </c>
      <c r="X79" s="139">
        <v>1</v>
      </c>
      <c r="Y79" s="19" t="s">
        <v>1214</v>
      </c>
      <c r="Z79" s="19" t="s">
        <v>1215</v>
      </c>
      <c r="AA79" s="19" t="s">
        <v>1216</v>
      </c>
      <c r="AB79" s="19" t="s">
        <v>1217</v>
      </c>
      <c r="AC79" s="19" t="s">
        <v>1218</v>
      </c>
      <c r="AD79" s="19" t="s">
        <v>1219</v>
      </c>
      <c r="AE79" s="19" t="s">
        <v>1220</v>
      </c>
      <c r="AF79" s="19"/>
      <c r="AG79" s="59" t="e" vm="2">
        <f t="shared" si="29"/>
        <v>#VALUE!</v>
      </c>
      <c r="AH79" s="59" t="s">
        <v>1221</v>
      </c>
      <c r="AI79" s="19" t="s">
        <v>1222</v>
      </c>
      <c r="AJ79" s="19" t="s">
        <v>1223</v>
      </c>
      <c r="AK79" s="19" t="s">
        <v>1224</v>
      </c>
      <c r="AL79" s="19" t="s">
        <v>1225</v>
      </c>
      <c r="AM79" s="19" t="s">
        <v>1226</v>
      </c>
      <c r="AN79" s="19" t="s">
        <v>1227</v>
      </c>
      <c r="AO79" s="19" t="s">
        <v>1228</v>
      </c>
      <c r="AP79" s="19"/>
      <c r="AQ79" s="59" t="e" vm="2">
        <f>VLOOKUP(AI79,AI79:AP79,$O$16,FALSE)</f>
        <v>#VALUE!</v>
      </c>
      <c r="AR79" s="59" t="s">
        <v>1229</v>
      </c>
      <c r="AS79" s="19" t="s">
        <v>1230</v>
      </c>
      <c r="AT79" s="19" t="s">
        <v>1231</v>
      </c>
      <c r="AU79" s="19" t="s">
        <v>1232</v>
      </c>
      <c r="AV79" s="19" t="s">
        <v>1233</v>
      </c>
      <c r="AW79" s="19" t="s">
        <v>1234</v>
      </c>
      <c r="AX79" s="19" t="s">
        <v>1235</v>
      </c>
      <c r="AY79" s="19" t="s">
        <v>1236</v>
      </c>
      <c r="AZ79" s="19"/>
      <c r="BA79" s="59" t="e" vm="2">
        <f>VLOOKUP(AS79,AS79:AZ79,$O$16,FALSE)</f>
        <v>#VALUE!</v>
      </c>
      <c r="BB79" s="59" t="s">
        <v>1237</v>
      </c>
      <c r="BC79" s="19" t="s">
        <v>1238</v>
      </c>
      <c r="BD79" s="19" t="s">
        <v>1239</v>
      </c>
      <c r="BE79" s="19">
        <v>203264</v>
      </c>
      <c r="BF79" s="19" t="s">
        <v>1240</v>
      </c>
      <c r="BG79" s="19" t="s">
        <v>1241</v>
      </c>
      <c r="BH79" s="19" t="s">
        <v>1242</v>
      </c>
      <c r="BI79" s="19" t="s">
        <v>1243</v>
      </c>
      <c r="BJ79" s="19"/>
      <c r="BK79" s="59" t="e" vm="2">
        <f>VLOOKUP(BC79,BC79:BJ79,$O$16,FALSE)</f>
        <v>#VALUE!</v>
      </c>
      <c r="BL79" s="59" t="s">
        <v>1244</v>
      </c>
      <c r="BM79" s="19" t="s">
        <v>1245</v>
      </c>
      <c r="BN79" s="19" t="s">
        <v>1246</v>
      </c>
      <c r="BO79" s="19" t="s">
        <v>1247</v>
      </c>
      <c r="BP79" s="19" t="s">
        <v>1248</v>
      </c>
      <c r="BQ79" s="19" t="s">
        <v>1249</v>
      </c>
      <c r="BR79" s="19" t="s">
        <v>1250</v>
      </c>
      <c r="BS79" s="19" t="s">
        <v>1251</v>
      </c>
      <c r="BT79" s="19">
        <v>542049</v>
      </c>
      <c r="BU79" s="59" t="e" vm="2">
        <f t="shared" ref="BU79" si="33">VLOOKUP(BM79,BM79:BT79,$O$16,FALSE)</f>
        <v>#VALUE!</v>
      </c>
      <c r="BV79" s="59" t="s">
        <v>1252</v>
      </c>
      <c r="BW79" s="19" t="s">
        <v>1253</v>
      </c>
      <c r="BX79" s="19" t="s">
        <v>1254</v>
      </c>
      <c r="BY79" s="19" t="s">
        <v>1255</v>
      </c>
      <c r="BZ79" s="19" t="s">
        <v>1256</v>
      </c>
      <c r="CA79" s="19" t="s">
        <v>1257</v>
      </c>
      <c r="CB79" s="19" t="s">
        <v>1258</v>
      </c>
      <c r="CC79" s="19" t="s">
        <v>1259</v>
      </c>
      <c r="CD79" s="19"/>
      <c r="CE79" s="59" t="e" vm="2">
        <f t="shared" ref="CE79" si="34">VLOOKUP(BW79,BW79:CD79,$O$16,FALSE)</f>
        <v>#VALUE!</v>
      </c>
      <c r="CF79" s="59" t="s">
        <v>1260</v>
      </c>
      <c r="CG79" s="19" t="s">
        <v>1261</v>
      </c>
      <c r="CH79" s="19" t="s">
        <v>1262</v>
      </c>
      <c r="CI79" s="19" t="s">
        <v>1263</v>
      </c>
      <c r="CJ79" s="19" t="s">
        <v>1264</v>
      </c>
      <c r="CK79" s="19" t="s">
        <v>1265</v>
      </c>
      <c r="CL79" s="19" t="s">
        <v>1266</v>
      </c>
      <c r="CM79" s="19" t="s">
        <v>1267</v>
      </c>
      <c r="CN79" s="19"/>
      <c r="CO79" s="59" t="e" vm="2">
        <f t="shared" ref="CO79" si="35">VLOOKUP(CG79,CG79:CN79,$O$16,FALSE)</f>
        <v>#VALUE!</v>
      </c>
      <c r="CP79" s="59" t="s">
        <v>1268</v>
      </c>
      <c r="CQ79" s="19" t="s">
        <v>1269</v>
      </c>
      <c r="CR79" s="19" t="s">
        <v>1270</v>
      </c>
      <c r="CS79" s="19" t="s">
        <v>1271</v>
      </c>
      <c r="CT79" s="19" t="s">
        <v>1272</v>
      </c>
      <c r="CU79" s="19" t="s">
        <v>1273</v>
      </c>
      <c r="CV79" s="19" t="s">
        <v>1274</v>
      </c>
      <c r="CW79" s="19" t="s">
        <v>1275</v>
      </c>
      <c r="CX79" s="19"/>
      <c r="CY79" s="59" t="e" vm="2">
        <f t="shared" ref="CY79" si="36">VLOOKUP(CQ79,CQ79:CX79,$O$16,FALSE)</f>
        <v>#VALUE!</v>
      </c>
      <c r="CZ79" s="59" t="s">
        <v>1276</v>
      </c>
      <c r="FE79" s="618" t="str">
        <f>VLOOKUP(732,Sprachindex!$A:$Z,Info!$O$7,FALSE)</f>
        <v>Rohreinmündung</v>
      </c>
      <c r="FF79" s="619"/>
      <c r="FG79" s="619"/>
      <c r="FH79" s="619"/>
      <c r="FI79" s="619"/>
      <c r="FJ79" s="219"/>
      <c r="FK79" s="214"/>
      <c r="FL79" s="220"/>
      <c r="FM79" s="219"/>
      <c r="FN79" s="214"/>
      <c r="FO79" s="223"/>
      <c r="FP79" s="224"/>
      <c r="FQ79" s="105"/>
      <c r="FR79" s="220"/>
      <c r="FS79" s="233"/>
      <c r="FT79" s="248" t="str">
        <f>IF(O18=2,FV79,IF(O18=3,FW79,IF(O18=4,FX79," ")))</f>
        <v xml:space="preserve"> </v>
      </c>
      <c r="FV79" s="295" t="str">
        <f>IF(O18=2,IF(J79=GE78,GE79,IF(J79=GF78,GF79," "))," ")</f>
        <v xml:space="preserve"> </v>
      </c>
      <c r="FW79" s="296" t="str">
        <f>IF(O18=3,IF(J79=GG78,GG79,IF(J79=GH78,GH79,IF(J79=GI78,GI79," ")))," ")</f>
        <v xml:space="preserve"> </v>
      </c>
      <c r="FX79" s="297" t="str">
        <f>IF(O18=4,IF(J79=GJ78,GJ79,IF(J79=GK78,GK79,IF(J79=GL78,GL79," ")))," ")</f>
        <v xml:space="preserve"> </v>
      </c>
      <c r="FY79" s="253"/>
      <c r="FZ79" s="254"/>
      <c r="GA79" s="254"/>
      <c r="GB79" s="254"/>
      <c r="GC79" s="255"/>
      <c r="GE79" s="290">
        <v>68.739999999999995</v>
      </c>
      <c r="GF79" s="293">
        <v>70.87</v>
      </c>
      <c r="GG79" s="290">
        <v>69.56</v>
      </c>
      <c r="GH79" s="291">
        <v>71.73</v>
      </c>
      <c r="GI79" s="292">
        <v>72.48</v>
      </c>
      <c r="GJ79" s="290">
        <v>73.239999999999995</v>
      </c>
      <c r="GK79" s="291">
        <v>73.239999999999995</v>
      </c>
      <c r="GL79" s="292">
        <v>81.02</v>
      </c>
    </row>
    <row r="80" spans="1:200" ht="32.1" customHeight="1">
      <c r="A80" s="408"/>
      <c r="B80" s="76" t="str">
        <f>VLOOKUP(878,Sprachindex!$A:$Z,Info!$O$7,FALSE)</f>
        <v>Stk.</v>
      </c>
      <c r="C80" s="75"/>
      <c r="D80" s="75" t="str">
        <f>IF(O18=3,AG80,"")</f>
        <v/>
      </c>
      <c r="E80" s="618" t="str">
        <f>VLOOKUP(733,Sprachindex!$A:$Z,Info!$O$7,FALSE)</f>
        <v>Rohreinmündung konisch</v>
      </c>
      <c r="F80" s="619"/>
      <c r="G80" s="619"/>
      <c r="H80" s="619"/>
      <c r="I80" s="647"/>
      <c r="J80" s="681" t="s">
        <v>1277</v>
      </c>
      <c r="K80" s="682"/>
      <c r="L80" s="76" t="str">
        <f>IF(OR(A80="",W80="",X80="")," ",IF($O$11=1,U80,IF($O$11=2,V80,"")))</f>
        <v xml:space="preserve"> </v>
      </c>
      <c r="M80" s="405" t="str">
        <f t="shared" si="3"/>
        <v>Stk.</v>
      </c>
      <c r="N80" s="77"/>
      <c r="O80" s="184" t="str">
        <f t="shared" si="31"/>
        <v xml:space="preserve"> </v>
      </c>
      <c r="R80" s="266"/>
      <c r="S80" s="179"/>
      <c r="T80" s="68"/>
      <c r="U80" s="139" t="e">
        <f t="shared" si="24"/>
        <v>#VALUE!</v>
      </c>
      <c r="V80" s="139">
        <f t="shared" si="25"/>
        <v>0</v>
      </c>
      <c r="W80" s="139" t="str">
        <f>IF($O$18=3,2,"")</f>
        <v/>
      </c>
      <c r="X80" s="139">
        <v>1</v>
      </c>
      <c r="Y80" t="s">
        <v>1278</v>
      </c>
      <c r="Z80" t="s">
        <v>1279</v>
      </c>
      <c r="AA80" t="s">
        <v>1280</v>
      </c>
      <c r="AB80" t="s">
        <v>1281</v>
      </c>
      <c r="AC80" t="s">
        <v>1282</v>
      </c>
      <c r="AD80" t="s">
        <v>1283</v>
      </c>
      <c r="AE80" t="s">
        <v>1284</v>
      </c>
      <c r="AF80"/>
      <c r="AG80" s="59" t="e" vm="2">
        <f t="shared" si="29"/>
        <v>#VALUE!</v>
      </c>
      <c r="AH80" s="59" t="s">
        <v>1285</v>
      </c>
      <c r="FE80" s="618" t="str">
        <f>VLOOKUP(733,Sprachindex!$A:$Z,Info!$O$7,FALSE)</f>
        <v>Rohreinmündung konisch</v>
      </c>
      <c r="FF80" s="619"/>
      <c r="FG80" s="619"/>
      <c r="FH80" s="619"/>
      <c r="FI80" s="647"/>
      <c r="FJ80" s="219"/>
      <c r="FK80" s="214"/>
      <c r="FL80" s="220"/>
      <c r="FM80" s="219"/>
      <c r="FN80" s="214"/>
      <c r="FO80" s="223"/>
      <c r="FP80" s="224"/>
      <c r="FQ80" s="105"/>
      <c r="FR80" s="220"/>
      <c r="FS80" s="233"/>
      <c r="FT80" s="248">
        <f>GA80</f>
        <v>97.76</v>
      </c>
      <c r="FY80" s="253"/>
      <c r="FZ80" s="254"/>
      <c r="GA80" s="278">
        <v>97.76</v>
      </c>
      <c r="GB80" s="254"/>
      <c r="GC80" s="255"/>
    </row>
    <row r="81" spans="1:204" ht="32.1" customHeight="1">
      <c r="A81" s="103"/>
      <c r="B81" s="76" t="str">
        <f>VLOOKUP(878,Sprachindex!$A:$Z,Info!$O$7,FALSE)</f>
        <v>Stk.</v>
      </c>
      <c r="C81" s="75"/>
      <c r="D81" s="75" t="str">
        <f>IF(AND(O18=1,J81=Formeln_RI_P.10!A250),AG81,IF(AND(O18=2,J81=Formeln_RI_P.10!A250),AQ81,IF(AND(O18=3,J81=Formeln_RI_P.10!A250),BA81,IF(AND(O18=3,J81=Formeln_RI_P.10!A251),BK81,IF(AND(O18=4,J81=Formeln_RI_P.10!A250),BU81,"")))))</f>
        <v/>
      </c>
      <c r="E81" s="618" t="str">
        <f>VLOOKUP(861,Sprachindex!$A:$Z,Info!$O$7,FALSE)</f>
        <v>Standrohrkappe</v>
      </c>
      <c r="F81" s="619"/>
      <c r="G81" s="619"/>
      <c r="H81" s="619"/>
      <c r="I81" s="647"/>
      <c r="J81" s="631" t="s">
        <v>1286</v>
      </c>
      <c r="K81" s="706"/>
      <c r="L81" s="76" t="str">
        <f>IF(OR(A81="",W81="",X81="")," ",IF($O$11=1,U81,IF($O$11=2,V81,0)))</f>
        <v xml:space="preserve"> </v>
      </c>
      <c r="M81" s="405" t="str">
        <f t="shared" si="3"/>
        <v>Stk.</v>
      </c>
      <c r="N81" s="77"/>
      <c r="O81" s="184" t="str">
        <f t="shared" si="31"/>
        <v xml:space="preserve"> </v>
      </c>
      <c r="R81" s="266"/>
      <c r="S81" s="179"/>
      <c r="T81" s="68"/>
      <c r="U81" s="139" t="e">
        <f t="shared" si="24"/>
        <v>#VALUE!</v>
      </c>
      <c r="V81" s="139">
        <f t="shared" si="25"/>
        <v>0</v>
      </c>
      <c r="W81" s="139" t="str">
        <f>IF(J81="","",IF($O$18=1,20,IF($O$18=2,20,IF($O$18=3,20,IF($O$18=4,10,"")))))</f>
        <v/>
      </c>
      <c r="X81" s="139">
        <v>1</v>
      </c>
      <c r="Y81" t="s">
        <v>1287</v>
      </c>
      <c r="Z81" t="s">
        <v>1288</v>
      </c>
      <c r="AA81" t="s">
        <v>1289</v>
      </c>
      <c r="AB81" t="s">
        <v>1290</v>
      </c>
      <c r="AC81" t="s">
        <v>1291</v>
      </c>
      <c r="AD81" t="s">
        <v>1292</v>
      </c>
      <c r="AE81" t="s">
        <v>1293</v>
      </c>
      <c r="AF81"/>
      <c r="AG81" s="59" t="e" vm="2">
        <f t="shared" si="29"/>
        <v>#VALUE!</v>
      </c>
      <c r="AH81" s="59" t="s">
        <v>1294</v>
      </c>
      <c r="AI81" t="s">
        <v>1295</v>
      </c>
      <c r="AJ81" t="s">
        <v>1296</v>
      </c>
      <c r="AK81" t="s">
        <v>1297</v>
      </c>
      <c r="AL81" t="s">
        <v>1298</v>
      </c>
      <c r="AM81" t="s">
        <v>1299</v>
      </c>
      <c r="AN81" t="s">
        <v>1300</v>
      </c>
      <c r="AO81" t="s">
        <v>1301</v>
      </c>
      <c r="AP81"/>
      <c r="AQ81" s="59" t="e" vm="2">
        <f>VLOOKUP(AI81,AI81:AP81,$O$16,FALSE)</f>
        <v>#VALUE!</v>
      </c>
      <c r="AR81" s="59" t="s">
        <v>1302</v>
      </c>
      <c r="AS81" t="s">
        <v>1303</v>
      </c>
      <c r="AT81" t="s">
        <v>1304</v>
      </c>
      <c r="AU81" t="s">
        <v>1305</v>
      </c>
      <c r="AV81" t="s">
        <v>1306</v>
      </c>
      <c r="AW81" t="s">
        <v>1307</v>
      </c>
      <c r="AX81" t="s">
        <v>1308</v>
      </c>
      <c r="AY81" t="s">
        <v>1309</v>
      </c>
      <c r="AZ81">
        <v>537228</v>
      </c>
      <c r="BA81" s="59" t="e" vm="2">
        <f>VLOOKUP(AS81,AS81:AZ81,$O$16,FALSE)</f>
        <v>#VALUE!</v>
      </c>
      <c r="BB81" s="59" t="s">
        <v>1310</v>
      </c>
      <c r="BC81" t="s">
        <v>1311</v>
      </c>
      <c r="BD81" t="s">
        <v>1312</v>
      </c>
      <c r="BE81" t="s">
        <v>1313</v>
      </c>
      <c r="BF81" t="s">
        <v>1314</v>
      </c>
      <c r="BG81" t="s">
        <v>1315</v>
      </c>
      <c r="BH81" t="s">
        <v>1316</v>
      </c>
      <c r="BI81" t="s">
        <v>1317</v>
      </c>
      <c r="BJ81">
        <v>537238</v>
      </c>
      <c r="BK81" s="59" t="e" vm="2">
        <f>VLOOKUP(BC81,BC81:BJ81,$O$16,FALSE)</f>
        <v>#VALUE!</v>
      </c>
      <c r="BL81" s="59" t="s">
        <v>1286</v>
      </c>
      <c r="BM81" t="s">
        <v>1318</v>
      </c>
      <c r="BN81" t="s">
        <v>1319</v>
      </c>
      <c r="BO81" t="s">
        <v>1320</v>
      </c>
      <c r="BP81" t="s">
        <v>1321</v>
      </c>
      <c r="BQ81" t="s">
        <v>1322</v>
      </c>
      <c r="BR81" t="s">
        <v>1323</v>
      </c>
      <c r="BS81" t="s">
        <v>1324</v>
      </c>
      <c r="BT81"/>
      <c r="BU81" s="59" t="e" vm="2">
        <f t="shared" ref="BU81" si="37">VLOOKUP(BM81,BM81:BT81,$O$16,FALSE)</f>
        <v>#VALUE!</v>
      </c>
      <c r="BV81" s="59" t="s">
        <v>1325</v>
      </c>
      <c r="FE81" s="618" t="str">
        <f>VLOOKUP(861,Sprachindex!$A:$Z,Info!$O$7,FALSE)</f>
        <v>Standrohrkappe</v>
      </c>
      <c r="FF81" s="619"/>
      <c r="FG81" s="619"/>
      <c r="FH81" s="619"/>
      <c r="FI81" s="647"/>
      <c r="FJ81" s="219"/>
      <c r="FK81" s="214"/>
      <c r="FL81" s="220"/>
      <c r="FM81" s="219"/>
      <c r="FN81" s="214"/>
      <c r="FO81" s="223"/>
      <c r="FP81" s="224"/>
      <c r="FQ81" s="105"/>
      <c r="FR81" s="220"/>
      <c r="FS81" s="233"/>
      <c r="FT81" s="248" t="str">
        <f>IF(O18=1,FY81,IF(O18=2,FZ81,IF(O18=3,GA81,IF(O18=4,GB81,IF(O18=5,GC81," ")))))</f>
        <v xml:space="preserve"> </v>
      </c>
      <c r="FY81" s="277">
        <v>6.96</v>
      </c>
      <c r="FZ81" s="278">
        <v>7.17</v>
      </c>
      <c r="GA81" s="278">
        <v>7.33</v>
      </c>
      <c r="GB81" s="278">
        <v>8.4700000000000006</v>
      </c>
      <c r="GC81" s="279">
        <v>9.74</v>
      </c>
    </row>
    <row r="82" spans="1:204" ht="32.1" customHeight="1">
      <c r="A82" s="103"/>
      <c r="B82" s="76" t="str">
        <f>VLOOKUP(878,Sprachindex!$A:$Z,Info!$O$7,FALSE)</f>
        <v>Stk.</v>
      </c>
      <c r="C82" s="75"/>
      <c r="D82" s="75" t="str">
        <f>IF($O$18=2,AG82,IF($O$18=3,AQ82,IF($O$18=4,BA82,IF($O$18=5,BK82,""))))</f>
        <v/>
      </c>
      <c r="E82" s="618" t="str">
        <f>VLOOKUP(860,Sprachindex!$A:$Z,Info!$O$7,FALSE)</f>
        <v>Standrohr mit Reinigungsöffnung</v>
      </c>
      <c r="F82" s="619"/>
      <c r="G82" s="619"/>
      <c r="H82" s="619"/>
      <c r="I82" s="619"/>
      <c r="J82" s="681" t="str">
        <f>Formeln_RI_P.10!A254</f>
        <v/>
      </c>
      <c r="K82" s="682"/>
      <c r="L82" s="76" t="str">
        <f>IF(OR(A82="",W82="",X82="")," ",IF($O$11=1,U82,IF($O$11=2,V82,0)))</f>
        <v xml:space="preserve"> </v>
      </c>
      <c r="M82" s="405" t="str">
        <f t="shared" si="3"/>
        <v>Stk.</v>
      </c>
      <c r="N82" s="77"/>
      <c r="O82" s="184" t="str">
        <f t="shared" si="31"/>
        <v xml:space="preserve"> </v>
      </c>
      <c r="R82" s="266"/>
      <c r="S82" s="179"/>
      <c r="T82" s="68"/>
      <c r="U82" s="139" t="e">
        <f t="shared" si="24"/>
        <v>#VALUE!</v>
      </c>
      <c r="V82" s="139">
        <f t="shared" si="25"/>
        <v>0</v>
      </c>
      <c r="W82" s="139" t="str">
        <f>IF($O$18=2,1,IF($O$18=3,1,IF($O$18=4,1,"")))</f>
        <v/>
      </c>
      <c r="X82" s="139">
        <v>1</v>
      </c>
      <c r="Y82" t="s">
        <v>1326</v>
      </c>
      <c r="Z82" t="s">
        <v>1327</v>
      </c>
      <c r="AA82" t="s">
        <v>1328</v>
      </c>
      <c r="AB82" t="s">
        <v>1329</v>
      </c>
      <c r="AC82" t="s">
        <v>1330</v>
      </c>
      <c r="AD82" t="s">
        <v>1331</v>
      </c>
      <c r="AE82" t="s">
        <v>1332</v>
      </c>
      <c r="AF82"/>
      <c r="AG82" s="59" t="e" vm="2">
        <f t="shared" si="29"/>
        <v>#VALUE!</v>
      </c>
      <c r="AH82" s="59" t="s">
        <v>1333</v>
      </c>
      <c r="AI82" t="s">
        <v>1334</v>
      </c>
      <c r="AJ82" t="s">
        <v>1335</v>
      </c>
      <c r="AK82" t="s">
        <v>1336</v>
      </c>
      <c r="AL82" t="s">
        <v>1337</v>
      </c>
      <c r="AM82" t="s">
        <v>1338</v>
      </c>
      <c r="AN82" t="s">
        <v>1339</v>
      </c>
      <c r="AO82" t="s">
        <v>1340</v>
      </c>
      <c r="AP82">
        <v>668142</v>
      </c>
      <c r="AQ82" s="59" t="e" vm="2">
        <f>VLOOKUP(AI82,AI82:AP82,$O$16,FALSE)</f>
        <v>#VALUE!</v>
      </c>
      <c r="AR82" s="59" t="s">
        <v>1341</v>
      </c>
      <c r="AS82" t="s">
        <v>1342</v>
      </c>
      <c r="AT82" t="s">
        <v>1343</v>
      </c>
      <c r="AU82" t="s">
        <v>1344</v>
      </c>
      <c r="AV82" t="s">
        <v>1345</v>
      </c>
      <c r="AW82" t="s">
        <v>1346</v>
      </c>
      <c r="AX82" t="s">
        <v>1347</v>
      </c>
      <c r="AY82" t="s">
        <v>1348</v>
      </c>
      <c r="AZ82"/>
      <c r="BA82" s="59" t="e" vm="2">
        <f>VLOOKUP(AS82,AS82:AZ82,$O$16,FALSE)</f>
        <v>#VALUE!</v>
      </c>
      <c r="BB82" s="59" t="s">
        <v>1349</v>
      </c>
      <c r="FE82" s="618" t="str">
        <f>VLOOKUP(860,Sprachindex!$A:$Z,Info!$O$7,FALSE)</f>
        <v>Standrohr mit Reinigungsöffnung</v>
      </c>
      <c r="FF82" s="619"/>
      <c r="FG82" s="619"/>
      <c r="FH82" s="619"/>
      <c r="FI82" s="619"/>
      <c r="FJ82" s="219"/>
      <c r="FK82" s="214"/>
      <c r="FL82" s="220"/>
      <c r="FM82" s="219"/>
      <c r="FN82" s="214"/>
      <c r="FO82" s="223"/>
      <c r="FP82" s="224"/>
      <c r="FQ82" s="105"/>
      <c r="FR82" s="220"/>
      <c r="FS82" s="233"/>
      <c r="FT82" s="248" t="str">
        <f>IF(O18=2,FZ82,IF(O18=3,GA82,IF(O18=4,GB82," ")))</f>
        <v xml:space="preserve"> </v>
      </c>
      <c r="FY82" s="253"/>
      <c r="FZ82" s="278">
        <v>88.91</v>
      </c>
      <c r="GA82" s="278">
        <v>96.32</v>
      </c>
      <c r="GB82" s="278">
        <v>210.43</v>
      </c>
      <c r="GC82" s="255"/>
    </row>
    <row r="83" spans="1:204" ht="32.1" customHeight="1">
      <c r="A83" s="103"/>
      <c r="B83" s="76" t="str">
        <f>VLOOKUP(878,Sprachindex!$A:$Z,Info!$O$7,FALSE)</f>
        <v>Stk.</v>
      </c>
      <c r="C83" s="75"/>
      <c r="D83" s="75" t="str">
        <f>IF($O$18=2,AQ83,IF($O$18=3,BA83,IF($O$18=4,BK83,IF($O$18=1,AG83,IF($O$18=5,BU83,"")))))</f>
        <v/>
      </c>
      <c r="E83" s="618" t="str">
        <f>VLOOKUP(747,Sprachindex!$A:$Z,Info!$O$7,FALSE)</f>
        <v>Rohrverbinder</v>
      </c>
      <c r="F83" s="619"/>
      <c r="G83" s="619"/>
      <c r="H83" s="619"/>
      <c r="I83" s="647"/>
      <c r="J83" s="681" t="str">
        <f>Formeln_RI_P.10!A187</f>
        <v/>
      </c>
      <c r="K83" s="682"/>
      <c r="L83" s="76" t="str">
        <f>IF(OR(A83="",W83="",X83="")," ",IF($O$11=1,U83,IF($O$11=2,V83,0)))</f>
        <v xml:space="preserve"> </v>
      </c>
      <c r="M83" s="405" t="str">
        <f t="shared" si="3"/>
        <v>Stk.</v>
      </c>
      <c r="N83" s="77"/>
      <c r="O83" s="184" t="str">
        <f t="shared" si="27"/>
        <v xml:space="preserve"> </v>
      </c>
      <c r="R83" s="266"/>
      <c r="S83" s="179"/>
      <c r="T83" s="68"/>
      <c r="U83" s="139">
        <f t="shared" si="24"/>
        <v>0</v>
      </c>
      <c r="V83" s="139">
        <f t="shared" si="25"/>
        <v>0</v>
      </c>
      <c r="W83" s="139">
        <f>IF($O$18="","",2)</f>
        <v>2</v>
      </c>
      <c r="X83" s="139">
        <v>1</v>
      </c>
      <c r="Y83" t="s">
        <v>1350</v>
      </c>
      <c r="Z83" t="s">
        <v>1351</v>
      </c>
      <c r="AA83" t="s">
        <v>1352</v>
      </c>
      <c r="AB83" t="s">
        <v>1353</v>
      </c>
      <c r="AC83" t="s">
        <v>1354</v>
      </c>
      <c r="AD83" t="s">
        <v>1355</v>
      </c>
      <c r="AE83" t="s">
        <v>1356</v>
      </c>
      <c r="AF83"/>
      <c r="AG83" s="59" t="e" vm="2">
        <f t="shared" si="29"/>
        <v>#VALUE!</v>
      </c>
      <c r="AH83" s="59">
        <v>60</v>
      </c>
      <c r="AI83" t="s">
        <v>1357</v>
      </c>
      <c r="AJ83" t="s">
        <v>1358</v>
      </c>
      <c r="AK83" t="s">
        <v>1359</v>
      </c>
      <c r="AL83" t="s">
        <v>1360</v>
      </c>
      <c r="AM83" t="s">
        <v>1361</v>
      </c>
      <c r="AN83" t="s">
        <v>1362</v>
      </c>
      <c r="AO83" t="s">
        <v>1363</v>
      </c>
      <c r="AP83"/>
      <c r="AQ83" s="59" t="e" vm="2">
        <f>VLOOKUP(AI83,AI83:AP83,$O$16,FALSE)</f>
        <v>#VALUE!</v>
      </c>
      <c r="AR83" s="59">
        <v>80</v>
      </c>
      <c r="AS83" t="s">
        <v>1364</v>
      </c>
      <c r="AT83" t="s">
        <v>1365</v>
      </c>
      <c r="AU83" t="s">
        <v>1366</v>
      </c>
      <c r="AV83" t="s">
        <v>1367</v>
      </c>
      <c r="AW83" t="s">
        <v>1368</v>
      </c>
      <c r="AX83" t="s">
        <v>1369</v>
      </c>
      <c r="AY83" t="s">
        <v>1370</v>
      </c>
      <c r="AZ83"/>
      <c r="BA83" s="59" t="e" vm="2">
        <f>VLOOKUP(AS83,AS83:AZ83,$O$16,FALSE)</f>
        <v>#VALUE!</v>
      </c>
      <c r="BB83" s="59">
        <v>100</v>
      </c>
      <c r="BC83" t="s">
        <v>1371</v>
      </c>
      <c r="BD83" t="s">
        <v>1372</v>
      </c>
      <c r="BE83" t="s">
        <v>1373</v>
      </c>
      <c r="BF83" t="s">
        <v>1374</v>
      </c>
      <c r="BG83" t="s">
        <v>1375</v>
      </c>
      <c r="BH83" t="s">
        <v>1376</v>
      </c>
      <c r="BI83" t="s">
        <v>1377</v>
      </c>
      <c r="BJ83"/>
      <c r="BK83" s="59" t="e" vm="2">
        <f>VLOOKUP(BC83,BC83:BJ83,$O$16,FALSE)</f>
        <v>#VALUE!</v>
      </c>
      <c r="BL83" s="59">
        <v>120</v>
      </c>
      <c r="BM83"/>
      <c r="BN83"/>
      <c r="BO83"/>
      <c r="BP83"/>
      <c r="BQ83"/>
      <c r="BR83"/>
      <c r="BS83"/>
      <c r="BT83"/>
      <c r="BU83" s="59" t="e">
        <f t="shared" ref="BU83" si="38">VLOOKUP(BM83,BM83:BT83,$O$16,FALSE)</f>
        <v>#N/A</v>
      </c>
      <c r="BV83" s="59">
        <v>150</v>
      </c>
      <c r="FE83" s="618" t="str">
        <f>VLOOKUP(747,Sprachindex!$A:$Z,Info!$O$7,FALSE)</f>
        <v>Rohrverbinder</v>
      </c>
      <c r="FF83" s="619"/>
      <c r="FG83" s="619"/>
      <c r="FH83" s="619"/>
      <c r="FI83" s="647"/>
      <c r="FJ83" s="219"/>
      <c r="FK83" s="214"/>
      <c r="FL83" s="220"/>
      <c r="FM83" s="219"/>
      <c r="FN83" s="214"/>
      <c r="FO83" s="223"/>
      <c r="FP83" s="224"/>
      <c r="FQ83" s="105"/>
      <c r="FR83" s="220"/>
      <c r="FS83" s="233"/>
      <c r="FT83" s="248" t="str">
        <f>IF(O18=1,FY83,IF(O18=2,FZ83,IF(O18=3,GA83,IF(O18=4,GB83,IF(O18=5,GC83," ")))))</f>
        <v xml:space="preserve"> </v>
      </c>
      <c r="FY83" s="277">
        <v>8.56</v>
      </c>
      <c r="FZ83" s="278">
        <v>6.67</v>
      </c>
      <c r="GA83" s="278">
        <v>6.86</v>
      </c>
      <c r="GB83" s="278">
        <v>9.76</v>
      </c>
      <c r="GC83" s="279">
        <v>64.290000000000006</v>
      </c>
    </row>
    <row r="84" spans="1:204" ht="32.1" customHeight="1">
      <c r="A84" s="103"/>
      <c r="B84" s="76" t="str">
        <f>VLOOKUP(878,Sprachindex!$A:$Z,Info!$O$7,FALSE)</f>
        <v>Stk.</v>
      </c>
      <c r="C84" s="75"/>
      <c r="D84" s="75"/>
      <c r="E84" s="618" t="str">
        <f>VLOOKUP(1876,Sprachindex!$A:$Z,Info!$O$7,FALSE)</f>
        <v>Rohrverbinder Stärke 1,6 mm</v>
      </c>
      <c r="F84" s="619"/>
      <c r="G84" s="619"/>
      <c r="H84" s="619"/>
      <c r="I84" s="619"/>
      <c r="J84" s="681" t="str">
        <f>IF($O$18="","",IF($O$18=1,Formeln!$A$177,IF($O$18=2,Formeln!$A$177,IF($O$18=3,Formeln!$F$194,IF($O$18=4,Formeln!$A$177,IF($O$18=5,Formeln!$A$177,""))))))</f>
        <v/>
      </c>
      <c r="K84" s="682"/>
      <c r="L84" s="76" t="str">
        <f>IF(OR(A84="",W84="",X84="")," ",IF($O$11=1,$U84,IF($O$11=2,V84,0)))</f>
        <v xml:space="preserve"> </v>
      </c>
      <c r="M84" s="405" t="str">
        <f t="shared" si="3"/>
        <v>Stk.</v>
      </c>
      <c r="N84" s="77"/>
      <c r="O84" s="184" t="str">
        <f t="shared" ref="O84:O92" si="39">IF(ISNUMBER(L84),FT84*L84," ")</f>
        <v xml:space="preserve"> </v>
      </c>
      <c r="R84" s="266"/>
      <c r="S84" s="179"/>
      <c r="T84" s="68"/>
      <c r="U84" s="139">
        <f t="shared" si="24"/>
        <v>0</v>
      </c>
      <c r="V84" s="139">
        <f t="shared" si="25"/>
        <v>0</v>
      </c>
      <c r="W84" s="139">
        <v>2</v>
      </c>
      <c r="X84" s="139">
        <v>1</v>
      </c>
      <c r="Y84" t="s">
        <v>1378</v>
      </c>
      <c r="Z84"/>
      <c r="AA84"/>
      <c r="AB84"/>
      <c r="AC84"/>
      <c r="AD84"/>
      <c r="AE84"/>
      <c r="AF84"/>
      <c r="AG84"/>
      <c r="AH84"/>
      <c r="AI84"/>
      <c r="AJ84"/>
      <c r="AK84" s="57"/>
      <c r="AL84" s="59" t="str">
        <f>IF($O$21=1,AA84,IF($O$21=2,AC84,IF($O$21=3,AB84,IF($O$21=4,AE84,IF($O$21=5,AG84,IF($O$21=6,Z84,IF($O$21=7,AH84,IF($O$21=8,AI84,IF($O$21=9,Y84,"")))))))))</f>
        <v/>
      </c>
      <c r="AM84" s="59"/>
      <c r="FE84" s="618" t="str">
        <f>VLOOKUP(1876,Sprachindex!$A:$Z,Info!$O$7,FALSE)</f>
        <v>Rohrverbinder Stärke 1,6 mm</v>
      </c>
      <c r="FF84" s="619"/>
      <c r="FG84" s="619"/>
      <c r="FH84" s="619"/>
      <c r="FI84" s="619"/>
      <c r="FJ84" s="219"/>
      <c r="FK84" s="214"/>
      <c r="FL84" s="220"/>
      <c r="FM84" s="219"/>
      <c r="FN84" s="214"/>
      <c r="FO84" s="223"/>
      <c r="FP84" s="224"/>
      <c r="FQ84" s="105"/>
      <c r="FR84" s="220"/>
      <c r="FS84" s="233"/>
      <c r="FT84" s="248">
        <f>GA84</f>
        <v>80.900000000000006</v>
      </c>
      <c r="FY84" s="253"/>
      <c r="FZ84" s="254"/>
      <c r="GA84" s="278">
        <v>80.900000000000006</v>
      </c>
      <c r="GB84" s="254"/>
      <c r="GC84" s="255"/>
    </row>
    <row r="85" spans="1:204" ht="32.1" customHeight="1">
      <c r="A85" s="103"/>
      <c r="B85" s="76" t="str">
        <f>VLOOKUP(878,Sprachindex!$A:$Z,Info!$O$7,FALSE)</f>
        <v>Stk.</v>
      </c>
      <c r="C85" s="75"/>
      <c r="D85" s="75" t="str">
        <f>IF(J85=Formeln_RI_P.10!G185,AG85,IF(J85=Formeln_RI_P.10!G186,AQ85,""))</f>
        <v/>
      </c>
      <c r="E85" s="618" t="str">
        <f>VLOOKUP(788,Sprachindex!$A:$Z,Info!$O$7,FALSE)</f>
        <v>Schiebemuffe</v>
      </c>
      <c r="F85" s="619"/>
      <c r="G85" s="619"/>
      <c r="H85" s="619"/>
      <c r="I85" s="647"/>
      <c r="J85" s="681" t="str">
        <f>Formeln_RI_P.10!A187</f>
        <v/>
      </c>
      <c r="K85" s="682"/>
      <c r="L85" s="76" t="str">
        <f t="shared" ref="L85:L89" si="40">IF(OR(A85="",W85="",X85="")," ",IF($O$11=1,U85,IF($O$11=2,V85,0)))</f>
        <v xml:space="preserve"> </v>
      </c>
      <c r="M85" s="405" t="str">
        <f t="shared" si="3"/>
        <v>Stk.</v>
      </c>
      <c r="N85" s="77"/>
      <c r="O85" s="184" t="str">
        <f t="shared" si="39"/>
        <v xml:space="preserve"> </v>
      </c>
      <c r="R85" s="266"/>
      <c r="S85" s="179"/>
      <c r="T85" s="68"/>
      <c r="U85" s="139" t="e">
        <f t="shared" si="24"/>
        <v>#VALUE!</v>
      </c>
      <c r="V85" s="139">
        <f t="shared" si="25"/>
        <v>0</v>
      </c>
      <c r="W85" s="139" t="str">
        <f>IF(J85=Formeln_RI_P.10!G185,2,IF('RI_P.10'!J85=Formeln_RI_P.10!G186,2,IF('RI_P.10'!J85=Formeln_RI_P.10!G187,1,IF('RI_P.10'!J85=Formeln_RI_P.10!G184,"",""))))</f>
        <v/>
      </c>
      <c r="X85" s="139">
        <v>1</v>
      </c>
      <c r="Y85" t="s">
        <v>1379</v>
      </c>
      <c r="Z85" t="s">
        <v>1380</v>
      </c>
      <c r="AA85" t="s">
        <v>1381</v>
      </c>
      <c r="AB85" t="s">
        <v>1382</v>
      </c>
      <c r="AC85" t="s">
        <v>1383</v>
      </c>
      <c r="AD85" t="s">
        <v>1384</v>
      </c>
      <c r="AE85" t="s">
        <v>1385</v>
      </c>
      <c r="AF85"/>
      <c r="AG85" s="59" t="e" vm="2">
        <f t="shared" si="29"/>
        <v>#VALUE!</v>
      </c>
      <c r="AH85" s="59">
        <v>80</v>
      </c>
      <c r="AI85" t="s">
        <v>1386</v>
      </c>
      <c r="AJ85" t="s">
        <v>1387</v>
      </c>
      <c r="AK85" t="s">
        <v>1388</v>
      </c>
      <c r="AL85" t="s">
        <v>1389</v>
      </c>
      <c r="AM85" t="s">
        <v>1390</v>
      </c>
      <c r="AN85" t="s">
        <v>1391</v>
      </c>
      <c r="AO85" t="s">
        <v>1392</v>
      </c>
      <c r="AP85"/>
      <c r="AQ85" s="59" t="e" vm="2">
        <f t="shared" ref="AQ85:AQ90" si="41">VLOOKUP(AI85,AI85:AP85,$O$16,FALSE)</f>
        <v>#VALUE!</v>
      </c>
      <c r="AR85" s="59">
        <v>100</v>
      </c>
      <c r="AS85"/>
      <c r="AT85"/>
      <c r="AU85"/>
      <c r="AV85"/>
      <c r="AW85"/>
      <c r="AX85"/>
      <c r="AY85"/>
      <c r="AZ85"/>
      <c r="BA85" s="59" t="e">
        <f>VLOOKUP(AS85,AS85:AZ85,$O$16,FALSE)</f>
        <v>#N/A</v>
      </c>
      <c r="BB85" s="59">
        <v>120</v>
      </c>
      <c r="BC85"/>
      <c r="BD85"/>
      <c r="BE85"/>
      <c r="BF85"/>
      <c r="BG85"/>
      <c r="BH85"/>
      <c r="BI85"/>
      <c r="BJ85"/>
      <c r="BK85" s="59" t="str">
        <f>IF($O$16=1,BC85,IF($O$16=2,BD85,IF($O$16=3,BF85,"")))</f>
        <v/>
      </c>
      <c r="BL85" s="126"/>
      <c r="FE85" s="618" t="str">
        <f>VLOOKUP(788,Sprachindex!$A:$Z,Info!$O$7,FALSE)</f>
        <v>Schiebemuffe</v>
      </c>
      <c r="FF85" s="619"/>
      <c r="FG85" s="619"/>
      <c r="FH85" s="619"/>
      <c r="FI85" s="647"/>
      <c r="FJ85" s="219"/>
      <c r="FK85" s="214"/>
      <c r="FL85" s="220"/>
      <c r="FM85" s="219"/>
      <c r="FN85" s="214"/>
      <c r="FO85" s="223"/>
      <c r="FP85" s="224"/>
      <c r="FQ85" s="105"/>
      <c r="FR85" s="220"/>
      <c r="FS85" s="233"/>
      <c r="FT85" s="248" t="str">
        <f>IF(O18=2,FZ85,IF(O18=3,GA85,IF(O18=4,GB85," ")))</f>
        <v xml:space="preserve"> </v>
      </c>
      <c r="FY85" s="253"/>
      <c r="FZ85" s="278">
        <v>52.33</v>
      </c>
      <c r="GA85" s="278">
        <v>52.78</v>
      </c>
      <c r="GB85" s="278">
        <v>60.44</v>
      </c>
      <c r="GC85" s="255"/>
    </row>
    <row r="86" spans="1:204" ht="32.1" customHeight="1">
      <c r="A86" s="103"/>
      <c r="B86" s="76" t="s">
        <v>31</v>
      </c>
      <c r="C86" s="75"/>
      <c r="D86" s="75" t="str">
        <f>IF(J86=Formeln_RI_P.10!A299,'RI_P.10'!AG86,IF('RI_P.10'!J86=Formeln_RI_P.10!A300,'RI_P.10'!AQ86,""))</f>
        <v/>
      </c>
      <c r="E86" s="618" t="str">
        <f>VLOOKUP(1439,Sprachindex!$A:$Z,Info!$O$7,FALSE)</f>
        <v>Rohrübergang</v>
      </c>
      <c r="F86" s="619"/>
      <c r="G86" s="619"/>
      <c r="H86" s="619"/>
      <c r="I86" s="647"/>
      <c r="J86" s="631"/>
      <c r="K86" s="632"/>
      <c r="L86" s="76" t="str">
        <f t="shared" si="40"/>
        <v xml:space="preserve"> </v>
      </c>
      <c r="M86" s="405" t="str">
        <f t="shared" si="3"/>
        <v>STK</v>
      </c>
      <c r="N86" s="77"/>
      <c r="O86" s="184" t="str">
        <f t="shared" si="39"/>
        <v xml:space="preserve"> </v>
      </c>
      <c r="R86" s="266"/>
      <c r="S86" s="179"/>
      <c r="T86" s="68"/>
      <c r="U86" s="139">
        <f t="shared" si="24"/>
        <v>0</v>
      </c>
      <c r="V86" s="139">
        <f t="shared" si="25"/>
        <v>0</v>
      </c>
      <c r="W86" s="139">
        <v>1</v>
      </c>
      <c r="X86" s="139">
        <v>1</v>
      </c>
      <c r="Y86"/>
      <c r="Z86">
        <v>205000</v>
      </c>
      <c r="AA86"/>
      <c r="AB86"/>
      <c r="AC86"/>
      <c r="AD86"/>
      <c r="AE86"/>
      <c r="AF86"/>
      <c r="AG86" s="59" t="e">
        <f t="shared" ref="AG86:AG92" si="42">VLOOKUP(Y86,Y86:AF86,$O$16,FALSE)</f>
        <v>#N/A</v>
      </c>
      <c r="AH86" s="59" t="s">
        <v>1394</v>
      </c>
      <c r="AI86"/>
      <c r="AJ86"/>
      <c r="AK86"/>
      <c r="AL86"/>
      <c r="AM86"/>
      <c r="AN86"/>
      <c r="AO86"/>
      <c r="AP86"/>
      <c r="AQ86" s="59" t="e">
        <f t="shared" si="41"/>
        <v>#N/A</v>
      </c>
      <c r="AR86" s="59" t="s">
        <v>1395</v>
      </c>
      <c r="AS86"/>
      <c r="AT86"/>
      <c r="AU86"/>
      <c r="AV86"/>
      <c r="AW86"/>
      <c r="AX86"/>
      <c r="AY86"/>
      <c r="AZ86"/>
      <c r="BA86" s="59" t="str">
        <f t="shared" ref="BA86:BA89" si="43">IF($O$16=1,AS86,IF($O$16=2,AT86,IF($O$16=3,AU86,IF($O$16=4,AV86,IF($O$16=5,AW86,IF($O$16=6,AX86,IF($O$16=8,AY86,IF($O$16=10,AZ86,""))))))))</f>
        <v/>
      </c>
      <c r="BB86" s="59"/>
      <c r="BC86"/>
      <c r="BD86"/>
      <c r="BE86"/>
      <c r="BF86"/>
      <c r="BG86"/>
      <c r="BH86"/>
      <c r="BI86"/>
      <c r="BJ86"/>
      <c r="BK86" s="126"/>
      <c r="BL86" s="126"/>
      <c r="FE86" s="618" t="str">
        <f>VLOOKUP(1439,Sprachindex!$A:$Z,Info!$O$7,FALSE)</f>
        <v>Rohrübergang</v>
      </c>
      <c r="FF86" s="619"/>
      <c r="FG86" s="619"/>
      <c r="FH86" s="619"/>
      <c r="FI86" s="647"/>
      <c r="FJ86" s="219"/>
      <c r="FK86" s="214"/>
      <c r="FL86" s="220"/>
      <c r="FM86" s="219"/>
      <c r="FN86" s="214"/>
      <c r="FO86" s="223"/>
      <c r="FP86" s="224"/>
      <c r="FQ86" s="105"/>
      <c r="FR86" s="220"/>
      <c r="FS86" s="233"/>
      <c r="FT86" s="248" t="str">
        <f>IF($J$86=GF86,GA86,IF($J$86=GJ86,GB86," "))</f>
        <v xml:space="preserve"> </v>
      </c>
      <c r="FY86" s="253"/>
      <c r="FZ86" s="254"/>
      <c r="GA86" s="278">
        <v>85.84</v>
      </c>
      <c r="GB86" s="278">
        <v>118.52</v>
      </c>
      <c r="GC86" s="255"/>
      <c r="GF86" s="1" t="s">
        <v>1396</v>
      </c>
      <c r="GJ86" s="1" t="s">
        <v>1397</v>
      </c>
    </row>
    <row r="87" spans="1:204" ht="32.1" customHeight="1">
      <c r="A87" s="103"/>
      <c r="B87" s="76" t="str">
        <f>VLOOKUP(878,Sprachindex!$A:$Z,Info!$O$7,FALSE)</f>
        <v>Stk.</v>
      </c>
      <c r="C87" s="75"/>
      <c r="D87" s="75" t="str">
        <f>IF($O$18=2,AG87,IF($O$18=3,AQ87,IF($O$18=4,BA87,IF($O$18=5,BK87,""))))</f>
        <v/>
      </c>
      <c r="E87" s="618" t="str">
        <f>VLOOKUP(741,Sprachindex!$A:$Z,Info!$O$7,FALSE)</f>
        <v>Rohrschelle für Standrohr</v>
      </c>
      <c r="F87" s="619"/>
      <c r="G87" s="619"/>
      <c r="H87" s="619"/>
      <c r="I87" s="619"/>
      <c r="J87" s="681" t="str">
        <f>Formeln_RI_P.10!A231</f>
        <v/>
      </c>
      <c r="K87" s="682"/>
      <c r="L87" s="76" t="str">
        <f t="shared" si="40"/>
        <v xml:space="preserve"> </v>
      </c>
      <c r="M87" s="405" t="str">
        <f t="shared" si="3"/>
        <v>Stk.</v>
      </c>
      <c r="N87" s="77"/>
      <c r="O87" s="184" t="str">
        <f t="shared" si="39"/>
        <v xml:space="preserve"> </v>
      </c>
      <c r="R87" s="266"/>
      <c r="S87" s="179"/>
      <c r="T87" s="68"/>
      <c r="U87" s="139" t="e">
        <f t="shared" si="24"/>
        <v>#VALUE!</v>
      </c>
      <c r="V87" s="139">
        <f t="shared" si="25"/>
        <v>0</v>
      </c>
      <c r="W87" s="139" t="str">
        <f>IF($O$18=2,15,IF($O$18=3,15,IF($O$18=4,15,"")))</f>
        <v/>
      </c>
      <c r="X87" s="139">
        <v>2</v>
      </c>
      <c r="Y87" t="s">
        <v>1398</v>
      </c>
      <c r="Z87" t="s">
        <v>1399</v>
      </c>
      <c r="AA87" t="s">
        <v>1400</v>
      </c>
      <c r="AB87" t="s">
        <v>1401</v>
      </c>
      <c r="AC87" t="s">
        <v>1402</v>
      </c>
      <c r="AD87" t="s">
        <v>1403</v>
      </c>
      <c r="AE87" t="s">
        <v>1404</v>
      </c>
      <c r="AF87"/>
      <c r="AG87" s="59" t="e" vm="2">
        <f t="shared" si="42"/>
        <v>#VALUE!</v>
      </c>
      <c r="AH87" s="59">
        <v>80</v>
      </c>
      <c r="AI87" t="s">
        <v>1405</v>
      </c>
      <c r="AJ87" t="s">
        <v>1406</v>
      </c>
      <c r="AK87">
        <v>203824</v>
      </c>
      <c r="AL87" t="s">
        <v>1407</v>
      </c>
      <c r="AM87" t="s">
        <v>1408</v>
      </c>
      <c r="AN87" t="s">
        <v>1409</v>
      </c>
      <c r="AO87" t="s">
        <v>1410</v>
      </c>
      <c r="AP87">
        <v>668330</v>
      </c>
      <c r="AQ87" s="59" t="e" vm="2">
        <f t="shared" si="41"/>
        <v>#VALUE!</v>
      </c>
      <c r="AR87" s="59">
        <v>100</v>
      </c>
      <c r="AS87" t="s">
        <v>1411</v>
      </c>
      <c r="AT87" t="s">
        <v>1412</v>
      </c>
      <c r="AU87" t="s">
        <v>1413</v>
      </c>
      <c r="AV87" t="s">
        <v>1414</v>
      </c>
      <c r="AW87" t="s">
        <v>1415</v>
      </c>
      <c r="AX87" t="s">
        <v>1416</v>
      </c>
      <c r="AY87" t="s">
        <v>1417</v>
      </c>
      <c r="AZ87"/>
      <c r="BA87" s="59" t="e" vm="2">
        <f>VLOOKUP(AS87,AS87:AZ87,$O$16,FALSE)</f>
        <v>#VALUE!</v>
      </c>
      <c r="BB87" s="59">
        <v>120</v>
      </c>
      <c r="FE87" s="618" t="str">
        <f>VLOOKUP(741,Sprachindex!$A:$Z,Info!$O$7,FALSE)</f>
        <v>Rohrschelle für Standrohr</v>
      </c>
      <c r="FF87" s="619"/>
      <c r="FG87" s="619"/>
      <c r="FH87" s="619"/>
      <c r="FI87" s="619"/>
      <c r="FJ87" s="219"/>
      <c r="FK87" s="214"/>
      <c r="FL87" s="220"/>
      <c r="FM87" s="219"/>
      <c r="FN87" s="214"/>
      <c r="FO87" s="223"/>
      <c r="FP87" s="224"/>
      <c r="FQ87" s="105"/>
      <c r="FR87" s="220"/>
      <c r="FS87" s="233"/>
      <c r="FT87" s="248" t="str">
        <f>IF(O18=2,FZ87,IF(O18=3,GA87,IF(O18=4,GB87," ")))</f>
        <v xml:space="preserve"> </v>
      </c>
      <c r="FY87" s="253"/>
      <c r="FZ87" s="278">
        <v>10.19</v>
      </c>
      <c r="GA87" s="278">
        <v>10.51</v>
      </c>
      <c r="GB87" s="278">
        <v>11.04</v>
      </c>
      <c r="GC87" s="255"/>
    </row>
    <row r="88" spans="1:204" ht="32.1" customHeight="1">
      <c r="A88" s="103"/>
      <c r="B88" s="76" t="str">
        <f>VLOOKUP(878,Sprachindex!$A:$Z,Info!$O$7,FALSE)</f>
        <v>Stk.</v>
      </c>
      <c r="C88" s="75"/>
      <c r="D88" s="75" t="str">
        <f>IF($O$18=2,AG88,IF($O$18=3,AQ88,IF($O$18=4,BA88,IF($O$18=5,BK88,""))))</f>
        <v/>
      </c>
      <c r="E88" s="618" t="str">
        <f>VLOOKUP(1008,Sprachindex!$A:$Z,Info!$O$7,FALSE)</f>
        <v>Wasserfangkasten</v>
      </c>
      <c r="F88" s="619"/>
      <c r="G88" s="619"/>
      <c r="H88" s="619"/>
      <c r="I88" s="619"/>
      <c r="J88" s="681" t="str">
        <f>Formeln_RI_P.10!A222</f>
        <v/>
      </c>
      <c r="K88" s="682"/>
      <c r="L88" s="76" t="str">
        <f>IF(OR(A88="",W88="",X88="")," ",IF($O$11=1,U88,IF($O$11=2,V88,0)))</f>
        <v xml:space="preserve"> </v>
      </c>
      <c r="M88" s="405" t="str">
        <f t="shared" si="3"/>
        <v>Stk.</v>
      </c>
      <c r="N88" s="77"/>
      <c r="O88" s="184" t="str">
        <f t="shared" si="39"/>
        <v xml:space="preserve"> </v>
      </c>
      <c r="R88" s="266"/>
      <c r="S88" s="179"/>
      <c r="T88" s="68"/>
      <c r="U88" s="139" t="str">
        <f>IF(ISNUMBER(W88),ROUNDUP($A88/W88,0)*W88," ")</f>
        <v xml:space="preserve"> </v>
      </c>
      <c r="V88" s="139">
        <f t="shared" si="25"/>
        <v>0</v>
      </c>
      <c r="W88" s="139" t="str">
        <f>IF(OR($O$18=2,$O$18=3,$O$18=4),1,IF($O$18=5,2," "))</f>
        <v xml:space="preserve"> </v>
      </c>
      <c r="X88" s="139">
        <v>1</v>
      </c>
      <c r="Y88" t="s">
        <v>1418</v>
      </c>
      <c r="Z88" t="s">
        <v>1419</v>
      </c>
      <c r="AA88" t="s">
        <v>1420</v>
      </c>
      <c r="AB88" t="s">
        <v>1421</v>
      </c>
      <c r="AC88" t="s">
        <v>1422</v>
      </c>
      <c r="AD88" t="s">
        <v>1423</v>
      </c>
      <c r="AE88" t="s">
        <v>1424</v>
      </c>
      <c r="AF88"/>
      <c r="AG88" s="59" t="e" vm="2">
        <f t="shared" si="42"/>
        <v>#VALUE!</v>
      </c>
      <c r="AH88" s="59">
        <v>80</v>
      </c>
      <c r="AI88" t="s">
        <v>1425</v>
      </c>
      <c r="AJ88" t="s">
        <v>1426</v>
      </c>
      <c r="AK88" t="s">
        <v>1427</v>
      </c>
      <c r="AL88" t="s">
        <v>1428</v>
      </c>
      <c r="AM88" t="s">
        <v>1429</v>
      </c>
      <c r="AN88" t="s">
        <v>1430</v>
      </c>
      <c r="AO88" t="s">
        <v>1431</v>
      </c>
      <c r="AP88">
        <v>550131</v>
      </c>
      <c r="AQ88" s="59" t="e" vm="2">
        <f t="shared" si="41"/>
        <v>#VALUE!</v>
      </c>
      <c r="AR88" s="59">
        <v>100</v>
      </c>
      <c r="AS88" t="s">
        <v>1432</v>
      </c>
      <c r="AT88" t="s">
        <v>1433</v>
      </c>
      <c r="AU88" t="s">
        <v>1434</v>
      </c>
      <c r="AV88" t="s">
        <v>1435</v>
      </c>
      <c r="AW88" t="s">
        <v>1436</v>
      </c>
      <c r="AX88" t="s">
        <v>1437</v>
      </c>
      <c r="AY88" t="s">
        <v>1438</v>
      </c>
      <c r="AZ88"/>
      <c r="BA88" s="59" t="e" vm="2">
        <f>VLOOKUP(AS88,AS88:AZ88,$O$16,FALSE)</f>
        <v>#VALUE!</v>
      </c>
      <c r="BB88" s="59">
        <v>120</v>
      </c>
      <c r="BC88">
        <v>202181</v>
      </c>
      <c r="BD88">
        <v>202180</v>
      </c>
      <c r="BE88" t="s">
        <v>2349</v>
      </c>
      <c r="BF88">
        <v>202182</v>
      </c>
      <c r="BG88" t="s">
        <v>2349</v>
      </c>
      <c r="BH88" t="s">
        <v>2349</v>
      </c>
      <c r="BI88" t="s">
        <v>2349</v>
      </c>
      <c r="BJ88"/>
      <c r="BK88" s="59" t="e" vm="2">
        <f>VLOOKUP(BC88,BC88:BJ88,$O$16,FALSE)</f>
        <v>#VALUE!</v>
      </c>
      <c r="BL88" s="59">
        <v>150</v>
      </c>
      <c r="FE88" s="618" t="str">
        <f>VLOOKUP(1008,Sprachindex!$A:$Z,Info!$O$7,FALSE)</f>
        <v>Wasserfangkasten</v>
      </c>
      <c r="FF88" s="619"/>
      <c r="FG88" s="619"/>
      <c r="FH88" s="619"/>
      <c r="FI88" s="619"/>
      <c r="FJ88" s="219"/>
      <c r="FK88" s="214"/>
      <c r="FL88" s="220"/>
      <c r="FM88" s="219"/>
      <c r="FN88" s="214"/>
      <c r="FO88" s="223"/>
      <c r="FP88" s="224"/>
      <c r="FQ88" s="105"/>
      <c r="FR88" s="220"/>
      <c r="FS88" s="233"/>
      <c r="FT88" s="248" t="str">
        <f>IF(O18=2,FZ88,IF(O18=3,GA88,IF(O18=4,GB88,IF(O18=5,GC88," "))))</f>
        <v xml:space="preserve"> </v>
      </c>
      <c r="FY88" s="253"/>
      <c r="FZ88" s="278">
        <v>193.67</v>
      </c>
      <c r="GA88" s="278">
        <v>204.69</v>
      </c>
      <c r="GB88" s="278">
        <v>210.3</v>
      </c>
      <c r="GC88" s="279">
        <v>226.4</v>
      </c>
    </row>
    <row r="89" spans="1:204" ht="32.1" customHeight="1">
      <c r="A89" s="408"/>
      <c r="B89" s="76" t="str">
        <f>VLOOKUP(878,Sprachindex!$A:$Z,Info!$O$7,FALSE)</f>
        <v>Stk.</v>
      </c>
      <c r="C89" s="75"/>
      <c r="D89" s="75" t="e" vm="99">
        <f>AG89</f>
        <v>#VALUE!</v>
      </c>
      <c r="E89" s="618" t="str">
        <f>VLOOKUP(1010,Sprachindex!$A:$Z,Info!$O$7,FALSE)</f>
        <v>Wasserfangkasten rund</v>
      </c>
      <c r="F89" s="619"/>
      <c r="G89" s="619"/>
      <c r="H89" s="619"/>
      <c r="I89" s="619"/>
      <c r="J89" s="681" t="str">
        <f>IF($O$18="","",IF(O18=3,Formeln_RI_P.10!F186,Formeln_RI_P.10!A169))</f>
        <v>Dimension nicht möglich</v>
      </c>
      <c r="K89" s="682"/>
      <c r="L89" s="76" t="str">
        <f t="shared" si="40"/>
        <v xml:space="preserve"> </v>
      </c>
      <c r="M89" s="405" t="str">
        <f t="shared" si="3"/>
        <v>Stk.</v>
      </c>
      <c r="N89" s="77"/>
      <c r="O89" s="184" t="str">
        <f t="shared" si="39"/>
        <v xml:space="preserve"> </v>
      </c>
      <c r="R89" s="266"/>
      <c r="S89" s="179"/>
      <c r="T89" s="68"/>
      <c r="U89" s="139" t="e">
        <f t="shared" si="24"/>
        <v>#VALUE!</v>
      </c>
      <c r="V89" s="139">
        <f t="shared" si="25"/>
        <v>0</v>
      </c>
      <c r="W89" s="139" t="str">
        <f>IF($O$18=3,1,"")</f>
        <v/>
      </c>
      <c r="X89" s="139">
        <v>1</v>
      </c>
      <c r="Y89" t="s">
        <v>1439</v>
      </c>
      <c r="Z89" t="s">
        <v>1440</v>
      </c>
      <c r="AA89" t="s">
        <v>1441</v>
      </c>
      <c r="AB89" t="s">
        <v>1442</v>
      </c>
      <c r="AC89" t="s">
        <v>1443</v>
      </c>
      <c r="AD89" t="s">
        <v>1444</v>
      </c>
      <c r="AE89" t="s">
        <v>1445</v>
      </c>
      <c r="AF89"/>
      <c r="AG89" s="59" t="e" vm="2">
        <f t="shared" si="42"/>
        <v>#VALUE!</v>
      </c>
      <c r="AH89" s="59"/>
      <c r="AI89"/>
      <c r="AJ89"/>
      <c r="AK89"/>
      <c r="AL89"/>
      <c r="AM89"/>
      <c r="AN89"/>
      <c r="AO89"/>
      <c r="AP89"/>
      <c r="AQ89" s="59" t="e">
        <f t="shared" si="41"/>
        <v>#N/A</v>
      </c>
      <c r="AR89" s="126"/>
      <c r="AS89"/>
      <c r="AT89"/>
      <c r="AU89"/>
      <c r="AV89"/>
      <c r="AW89"/>
      <c r="AX89"/>
      <c r="AY89"/>
      <c r="AZ89"/>
      <c r="BA89" s="59" t="str">
        <f t="shared" si="43"/>
        <v/>
      </c>
      <c r="BB89" s="126"/>
      <c r="BC89"/>
      <c r="BD89"/>
      <c r="BE89"/>
      <c r="BF89"/>
      <c r="BG89"/>
      <c r="BH89"/>
      <c r="BI89"/>
      <c r="BJ89"/>
      <c r="BK89" s="59" t="str">
        <f>IF($O$16=1,BC89,IF($O$16=2,BD89,IF($O$16=3,BE89,IF($O$16=4,BF89,IF($O$16=5,BG89,IF($O$16=6,BH89,IF($O$16=8,BI89,IF($O$16=10,BJ89,""))))))))</f>
        <v/>
      </c>
      <c r="BL89" s="126"/>
      <c r="FE89" s="618" t="str">
        <f>VLOOKUP(1010,Sprachindex!$A:$Z,Info!$O$7,FALSE)</f>
        <v>Wasserfangkasten rund</v>
      </c>
      <c r="FF89" s="619"/>
      <c r="FG89" s="619"/>
      <c r="FH89" s="619"/>
      <c r="FI89" s="619"/>
      <c r="FJ89" s="219"/>
      <c r="FK89" s="214"/>
      <c r="FL89" s="220"/>
      <c r="FM89" s="219"/>
      <c r="FN89" s="214"/>
      <c r="FO89" s="223"/>
      <c r="FP89" s="224"/>
      <c r="FQ89" s="105"/>
      <c r="FR89" s="220"/>
      <c r="FS89" s="233"/>
      <c r="FT89" s="248">
        <f>GA89</f>
        <v>231.44</v>
      </c>
      <c r="FY89" s="253"/>
      <c r="FZ89" s="464"/>
      <c r="GA89" s="278">
        <v>231.44</v>
      </c>
      <c r="GB89" s="464"/>
      <c r="GC89" s="587"/>
    </row>
    <row r="90" spans="1:204" ht="32.1" customHeight="1">
      <c r="A90" s="103"/>
      <c r="B90" s="76" t="str">
        <f>VLOOKUP(878,Sprachindex!$A:$Z,Info!$O$7,FALSE)</f>
        <v>Stk.</v>
      </c>
      <c r="C90" s="75"/>
      <c r="D90" s="75" t="str">
        <f>IF($O$18=2,AG90,IF($O$18=3,AQ90,IF($O$18=4,BA90,"")))</f>
        <v/>
      </c>
      <c r="E90" s="618" t="str">
        <f>VLOOKUP(850,Sprachindex!$A:$Z,Info!$O$7,FALSE)</f>
        <v>Speiereinmündung</v>
      </c>
      <c r="F90" s="619"/>
      <c r="G90" s="619"/>
      <c r="H90" s="619"/>
      <c r="I90" s="619"/>
      <c r="J90" s="681" t="str">
        <f>IF(O18=0,"",IF(O18=3,Formeln_RI_P.10!F186,IF(O18=4,Formeln_RI_P.10!F187,IF(O18=2,Formeln_RI_P.10!F185,Formeln_RI_P.10!A169))))</f>
        <v/>
      </c>
      <c r="K90" s="682"/>
      <c r="L90" s="76" t="str">
        <f>IF(OR(A90="",W90="",X90="")," ",IF($O$11=1,U90,IF($O$11=2,V90,0)))</f>
        <v xml:space="preserve"> </v>
      </c>
      <c r="M90" s="405" t="str">
        <f t="shared" si="3"/>
        <v>Stk.</v>
      </c>
      <c r="N90" s="77"/>
      <c r="O90" s="184" t="str">
        <f t="shared" si="39"/>
        <v xml:space="preserve"> </v>
      </c>
      <c r="R90" s="266"/>
      <c r="S90" s="179"/>
      <c r="T90" s="68"/>
      <c r="U90" s="139" t="e">
        <f t="shared" si="24"/>
        <v>#VALUE!</v>
      </c>
      <c r="V90" s="139">
        <f t="shared" si="25"/>
        <v>0</v>
      </c>
      <c r="W90" s="139" t="str">
        <f>IF($O$18=2,1,IF($O$18=3,1,IF($O$18=4,1,"")))</f>
        <v/>
      </c>
      <c r="X90" s="139">
        <v>1</v>
      </c>
      <c r="Y90" t="s">
        <v>2349</v>
      </c>
      <c r="Z90">
        <v>201220</v>
      </c>
      <c r="AA90" t="s">
        <v>2349</v>
      </c>
      <c r="AB90" t="s">
        <v>2349</v>
      </c>
      <c r="AC90" t="s">
        <v>2349</v>
      </c>
      <c r="AD90" t="s">
        <v>2349</v>
      </c>
      <c r="AE90" t="s">
        <v>2349</v>
      </c>
      <c r="AF90"/>
      <c r="AG90" s="59" t="e" vm="2">
        <f t="shared" si="42"/>
        <v>#VALUE!</v>
      </c>
      <c r="AH90" s="59">
        <v>80</v>
      </c>
      <c r="AI90" t="s">
        <v>1446</v>
      </c>
      <c r="AJ90" t="s">
        <v>1447</v>
      </c>
      <c r="AK90" t="s">
        <v>1448</v>
      </c>
      <c r="AL90" t="s">
        <v>1449</v>
      </c>
      <c r="AM90" t="s">
        <v>1450</v>
      </c>
      <c r="AN90">
        <v>201246</v>
      </c>
      <c r="AO90" t="s">
        <v>1451</v>
      </c>
      <c r="AP90"/>
      <c r="AQ90" s="59" t="e" vm="2">
        <f t="shared" si="41"/>
        <v>#VALUE!</v>
      </c>
      <c r="AR90" s="59">
        <v>100</v>
      </c>
      <c r="AS90" t="s">
        <v>1452</v>
      </c>
      <c r="AT90" t="s">
        <v>1453</v>
      </c>
      <c r="AU90" t="s">
        <v>1454</v>
      </c>
      <c r="AV90" t="s">
        <v>1455</v>
      </c>
      <c r="AW90" t="s">
        <v>1456</v>
      </c>
      <c r="AX90" t="s">
        <v>1457</v>
      </c>
      <c r="AY90" t="s">
        <v>1458</v>
      </c>
      <c r="AZ90"/>
      <c r="BA90" s="59" t="e" vm="2">
        <f>VLOOKUP(AS90,AS90:AZ90,$O$16,FALSE)</f>
        <v>#VALUE!</v>
      </c>
      <c r="BB90" s="59">
        <v>120</v>
      </c>
      <c r="DO90" s="47" t="s">
        <v>84</v>
      </c>
      <c r="DP90" s="47" t="s">
        <v>99</v>
      </c>
      <c r="DQ90" s="47" t="s">
        <v>94</v>
      </c>
      <c r="DR90" s="47" t="s">
        <v>97</v>
      </c>
      <c r="DS90" s="47" t="s">
        <v>95</v>
      </c>
      <c r="DT90" s="47" t="s">
        <v>104</v>
      </c>
      <c r="DU90" s="47" t="s">
        <v>98</v>
      </c>
      <c r="DX90" s="47" t="s">
        <v>102</v>
      </c>
      <c r="DY90" s="47" t="s">
        <v>103</v>
      </c>
      <c r="DZ90" s="47" t="s">
        <v>1459</v>
      </c>
      <c r="EA90" s="47" t="s">
        <v>101</v>
      </c>
      <c r="EB90" s="47" t="s">
        <v>96</v>
      </c>
      <c r="EC90" s="47" t="s">
        <v>1460</v>
      </c>
      <c r="ED90" s="47"/>
      <c r="EE90" s="59"/>
      <c r="EF90" s="59" t="s">
        <v>30</v>
      </c>
      <c r="EG90" s="47" t="s">
        <v>84</v>
      </c>
      <c r="EH90" s="47" t="s">
        <v>99</v>
      </c>
      <c r="EI90" s="47" t="s">
        <v>94</v>
      </c>
      <c r="EJ90" s="47" t="s">
        <v>97</v>
      </c>
      <c r="EK90" s="47" t="s">
        <v>95</v>
      </c>
      <c r="EL90" s="47" t="s">
        <v>104</v>
      </c>
      <c r="EM90" s="47" t="s">
        <v>98</v>
      </c>
      <c r="EN90" s="47" t="s">
        <v>102</v>
      </c>
      <c r="EO90" s="47" t="s">
        <v>103</v>
      </c>
      <c r="EP90" s="47" t="s">
        <v>1459</v>
      </c>
      <c r="EQ90" s="47" t="s">
        <v>101</v>
      </c>
      <c r="ER90" s="47" t="s">
        <v>96</v>
      </c>
      <c r="ES90" s="47" t="s">
        <v>1460</v>
      </c>
      <c r="ET90" s="47"/>
      <c r="EU90" s="59"/>
      <c r="EV90" s="59"/>
      <c r="FE90" s="618" t="str">
        <f>VLOOKUP(850,Sprachindex!$A:$Z,Info!$O$7,FALSE)</f>
        <v>Speiereinmündung</v>
      </c>
      <c r="FF90" s="619"/>
      <c r="FG90" s="619"/>
      <c r="FH90" s="619"/>
      <c r="FI90" s="619"/>
      <c r="FJ90" s="219"/>
      <c r="FK90" s="214"/>
      <c r="FL90" s="220"/>
      <c r="FM90" s="219"/>
      <c r="FN90" s="214"/>
      <c r="FO90" s="223"/>
      <c r="FP90" s="224"/>
      <c r="FQ90" s="105"/>
      <c r="FR90" s="220"/>
      <c r="FS90" s="233"/>
      <c r="FT90" s="248" t="str">
        <f>IF(O18=2,FZ90,IF(O18=3,GA90,IF(O18=4,GB90," ")))</f>
        <v xml:space="preserve"> </v>
      </c>
      <c r="FY90" s="253"/>
      <c r="FZ90" s="278">
        <v>236.3</v>
      </c>
      <c r="GA90" s="278">
        <v>242.05</v>
      </c>
      <c r="GB90" s="278">
        <v>299.01</v>
      </c>
      <c r="GC90" s="255"/>
    </row>
    <row r="91" spans="1:204" ht="32.1" customHeight="1">
      <c r="A91" s="103"/>
      <c r="B91" s="76" t="str">
        <f>VLOOKUP(878,Sprachindex!$A:$Z,Info!$O$7,FALSE)</f>
        <v>Stk.</v>
      </c>
      <c r="C91" s="75"/>
      <c r="D91" s="75" t="e" vm="99">
        <f>AG91</f>
        <v>#VALUE!</v>
      </c>
      <c r="E91" s="618" t="str">
        <f>VLOOKUP(654,Sprachindex!$A:$Z,Info!$O$7,FALSE)</f>
        <v>Patentniete</v>
      </c>
      <c r="F91" s="619"/>
      <c r="G91" s="619"/>
      <c r="H91" s="619"/>
      <c r="I91" s="619"/>
      <c r="J91" s="631" t="s">
        <v>1461</v>
      </c>
      <c r="K91" s="632"/>
      <c r="L91" s="76" t="str">
        <f>IF(OR(A91="",W91="",X91="")," ",IF($O$11=1,U91,IF($O$11=2,V91,0)))</f>
        <v xml:space="preserve"> </v>
      </c>
      <c r="M91" s="405" t="str">
        <f t="shared" si="3"/>
        <v>Stk.</v>
      </c>
      <c r="N91" s="77"/>
      <c r="O91" s="184" t="str">
        <f t="shared" si="39"/>
        <v xml:space="preserve"> </v>
      </c>
      <c r="R91" s="266"/>
      <c r="S91" s="179"/>
      <c r="T91" s="68"/>
      <c r="U91" s="139">
        <f t="shared" si="24"/>
        <v>0</v>
      </c>
      <c r="V91" s="139">
        <f t="shared" si="25"/>
        <v>0</v>
      </c>
      <c r="W91" s="139">
        <v>1000</v>
      </c>
      <c r="X91" s="139">
        <v>1</v>
      </c>
      <c r="Y91" t="s">
        <v>1462</v>
      </c>
      <c r="Z91" t="s">
        <v>1463</v>
      </c>
      <c r="AA91" t="s">
        <v>1464</v>
      </c>
      <c r="AB91" t="s">
        <v>1465</v>
      </c>
      <c r="AC91" t="s">
        <v>1466</v>
      </c>
      <c r="AD91" t="s">
        <v>1467</v>
      </c>
      <c r="AE91" t="s">
        <v>1468</v>
      </c>
      <c r="AF91"/>
      <c r="AG91" s="59" t="e" vm="2">
        <f t="shared" si="42"/>
        <v>#VALUE!</v>
      </c>
      <c r="DO91" t="s">
        <v>1469</v>
      </c>
      <c r="DP91" t="s">
        <v>1470</v>
      </c>
      <c r="DQ91" t="s">
        <v>1471</v>
      </c>
      <c r="DR91" t="s">
        <v>1472</v>
      </c>
      <c r="DS91" t="s">
        <v>1473</v>
      </c>
      <c r="DT91" t="s">
        <v>1474</v>
      </c>
      <c r="DU91" t="s">
        <v>1475</v>
      </c>
      <c r="DX91" t="s">
        <v>1476</v>
      </c>
      <c r="DY91" t="s">
        <v>1477</v>
      </c>
      <c r="DZ91" t="s">
        <v>1478</v>
      </c>
      <c r="EA91" t="s">
        <v>1479</v>
      </c>
      <c r="EB91">
        <v>533011</v>
      </c>
      <c r="EC91" t="s">
        <v>1480</v>
      </c>
      <c r="ED91" s="59" t="str">
        <f>IF($H91=Formeln_RI_P.10!$A$280,$DQ91,IF($H91=Formeln_RI_P.10!$A$281,$DS91,IF($H91=Formeln_RI_P.10!$A$282,$DP91,IF($H91=Formeln_RI_P.10!$A$283,$EB91,IF($H91=Formeln_RI_P.10!$A$284,$DR91,IF($H91=Formeln_RI_P.10!$A$285,$DU91,IF($H91=Formeln_RI_P.10!$A$286,$DX91,IF($H91=Formeln_RI_P.10!$A$287,$DY91,IF($H91=Formeln_RI_P.10!$A$288,$DT$91,IF($H91=Formeln_RI_P.10!$A$289,$EA91,IF($H91=Formeln_RI_P.10!$A$290,$DZ91,IF($H91=Formeln_RI_P.10!$A$291,$DO91,IF($H91=Formeln_RI_P.10!$A$292,$EC91,"")))))))))))))</f>
        <v xml:space="preserve">533014  </v>
      </c>
      <c r="EE91" s="59" t="s">
        <v>1481</v>
      </c>
      <c r="EF91" s="59">
        <v>1000</v>
      </c>
      <c r="EG91" t="s">
        <v>1482</v>
      </c>
      <c r="EH91" s="57"/>
      <c r="EI91" s="57"/>
      <c r="EJ91" s="57"/>
      <c r="EK91" s="57"/>
      <c r="EL91" s="57"/>
      <c r="EM91" s="57"/>
      <c r="EN91" s="57"/>
      <c r="EO91" s="57"/>
      <c r="EP91" s="57"/>
      <c r="EQ91" s="57"/>
      <c r="ER91" s="57"/>
      <c r="ES91" s="57"/>
      <c r="ET91" s="59" t="str">
        <f>EG91</f>
        <v xml:space="preserve">533002  </v>
      </c>
      <c r="EU91" s="59" t="s">
        <v>1483</v>
      </c>
      <c r="EV91" s="59">
        <v>500</v>
      </c>
      <c r="FE91" s="618" t="str">
        <f>VLOOKUP(654,Sprachindex!$A:$Z,Info!$O$7,FALSE)</f>
        <v>Patentniete</v>
      </c>
      <c r="FF91" s="619"/>
      <c r="FG91" s="619"/>
      <c r="FH91" s="619"/>
      <c r="FI91" s="619"/>
      <c r="FJ91" s="219"/>
      <c r="FK91" s="214"/>
      <c r="FL91" s="220"/>
      <c r="FM91" s="219"/>
      <c r="FN91" s="214"/>
      <c r="FO91" s="223"/>
      <c r="FP91" s="224"/>
      <c r="FQ91" s="105"/>
      <c r="FR91" s="220"/>
      <c r="FS91" s="233"/>
      <c r="FT91" s="248">
        <f>FY91</f>
        <v>0.19</v>
      </c>
      <c r="FY91" s="253">
        <v>0.19</v>
      </c>
      <c r="FZ91" s="254"/>
      <c r="GA91" s="254"/>
      <c r="GB91" s="254"/>
      <c r="GC91" s="255"/>
    </row>
    <row r="92" spans="1:204" ht="32.1" customHeight="1">
      <c r="A92" s="103"/>
      <c r="B92" s="76" t="str">
        <f>VLOOKUP(1512,Sprachindex!$A:$Z,Info!$O$7,FALSE)</f>
        <v>lfm</v>
      </c>
      <c r="C92" s="75"/>
      <c r="D92" s="75" t="e" vm="99">
        <f>AG92</f>
        <v>#VALUE!</v>
      </c>
      <c r="E92" s="618" t="str">
        <f>VLOOKUP(147,Sprachindex!$A:$Z,Info!$O$7,FALSE)</f>
        <v>Ablaufkette (5 mm)</v>
      </c>
      <c r="F92" s="619"/>
      <c r="G92" s="619"/>
      <c r="H92" s="619"/>
      <c r="I92" s="619"/>
      <c r="J92" s="681"/>
      <c r="K92" s="682"/>
      <c r="L92" s="76" t="str">
        <f>IF($O$11=1,U92,IF($O$11=2,V92,""))</f>
        <v/>
      </c>
      <c r="M92" s="405" t="str">
        <f t="shared" si="3"/>
        <v>lfm</v>
      </c>
      <c r="N92" s="77"/>
      <c r="O92" s="184" t="str">
        <f t="shared" si="39"/>
        <v xml:space="preserve"> </v>
      </c>
      <c r="R92" s="266"/>
      <c r="S92" s="179"/>
      <c r="T92" s="68"/>
      <c r="U92" s="139">
        <f t="shared" si="24"/>
        <v>0</v>
      </c>
      <c r="V92" s="139">
        <f t="shared" si="25"/>
        <v>0</v>
      </c>
      <c r="W92" s="139">
        <v>1</v>
      </c>
      <c r="X92" s="139">
        <v>1</v>
      </c>
      <c r="Y92" t="s">
        <v>1484</v>
      </c>
      <c r="Z92" t="s">
        <v>1485</v>
      </c>
      <c r="AA92" t="s">
        <v>1486</v>
      </c>
      <c r="AB92" t="s">
        <v>1487</v>
      </c>
      <c r="AC92" t="s">
        <v>1488</v>
      </c>
      <c r="AD92" t="s">
        <v>1489</v>
      </c>
      <c r="AE92" t="s">
        <v>1490</v>
      </c>
      <c r="AF92"/>
      <c r="AG92" s="59" t="e" vm="2">
        <f t="shared" si="42"/>
        <v>#VALUE!</v>
      </c>
      <c r="DO92" t="s">
        <v>1491</v>
      </c>
      <c r="DP92" t="s">
        <v>1492</v>
      </c>
      <c r="DQ92" t="s">
        <v>1493</v>
      </c>
      <c r="DR92" t="s">
        <v>1494</v>
      </c>
      <c r="DS92" t="s">
        <v>1495</v>
      </c>
      <c r="DT92" t="s">
        <v>1496</v>
      </c>
      <c r="DU92" t="s">
        <v>1497</v>
      </c>
      <c r="DX92" t="s">
        <v>1498</v>
      </c>
      <c r="DY92" t="s">
        <v>1499</v>
      </c>
      <c r="DZ92" t="s">
        <v>1500</v>
      </c>
      <c r="EA92" t="s">
        <v>1501</v>
      </c>
      <c r="EB92" t="s">
        <v>1502</v>
      </c>
      <c r="EC92" t="s">
        <v>1490</v>
      </c>
      <c r="ED92" s="59" t="str">
        <f>IF($H92=Formeln_RI_P.10!$A$280,$DQ92,IF($H92=Formeln_RI_P.10!$A$281,$DS92,IF($H92=Formeln_RI_P.10!$A$282,$DP92,IF($H92=Formeln_RI_P.10!$A$283,$EB92,IF($H92=Formeln_RI_P.10!$A$284,$DR92,IF($H92=Formeln_RI_P.10!$A$285,$DU92,IF($H92=Formeln_RI_P.10!$A$286,$DX92,IF($H92=Formeln_RI_P.10!$A$287,$DY92,IF($H92=Formeln_RI_P.10!$A$288,$DT$92,IF($H92=Formeln_RI_P.10!$A$289,$EA92,IF($H92=Formeln_RI_P.10!$A$290,$DZ92,IF($H92=Formeln_RI_P.10!$A$291,$DO92,IF($H92=Formeln_RI_P.10!$A$292,$EC92,"")))))))))))))</f>
        <v>667009</v>
      </c>
      <c r="EE92" s="59"/>
      <c r="EF92" s="59"/>
      <c r="FE92" s="618" t="str">
        <f>VLOOKUP(147,Sprachindex!$A:$Z,Info!$O$7,FALSE)</f>
        <v>Ablaufkette (5 mm)</v>
      </c>
      <c r="FF92" s="619"/>
      <c r="FG92" s="619"/>
      <c r="FH92" s="619"/>
      <c r="FI92" s="619"/>
      <c r="FJ92" s="219"/>
      <c r="FK92" s="214"/>
      <c r="FL92" s="220"/>
      <c r="FM92" s="219"/>
      <c r="FN92" s="214"/>
      <c r="FO92" s="223"/>
      <c r="FP92" s="224"/>
      <c r="FQ92" s="105"/>
      <c r="FR92" s="220"/>
      <c r="FS92" s="233"/>
      <c r="FT92" s="248">
        <f t="shared" ref="FT92:FT93" si="44">FY92</f>
        <v>21.32</v>
      </c>
      <c r="FY92" s="253">
        <v>21.32</v>
      </c>
      <c r="FZ92" s="254"/>
      <c r="GA92" s="254"/>
      <c r="GB92" s="254"/>
      <c r="GC92" s="255"/>
    </row>
    <row r="93" spans="1:204" ht="32.1" customHeight="1">
      <c r="A93" s="103"/>
      <c r="B93" s="76" t="str">
        <f>VLOOKUP(1512,Sprachindex!$A:$Z,Info!$O$7,FALSE)</f>
        <v>lfm</v>
      </c>
      <c r="C93" s="75"/>
      <c r="D93" s="75">
        <v>580001</v>
      </c>
      <c r="E93" s="618" t="str">
        <f>VLOOKUP(304,Sprachindex!$A:$Z,Info!$O$7,FALSE)</f>
        <v>Dila</v>
      </c>
      <c r="F93" s="619"/>
      <c r="G93" s="619"/>
      <c r="H93" s="619"/>
      <c r="I93" s="619"/>
      <c r="J93" s="681" t="str">
        <f>VLOOKUP(122,Sprachindex!$A:$Z,Info!$O$7,FALSE)</f>
        <v>6.000 × 375 mm</v>
      </c>
      <c r="K93" s="682"/>
      <c r="L93" s="76" t="str">
        <f>IF(A93=""," ",IF($O$11=1,U93,IF($O$11=2,V93,0)))</f>
        <v xml:space="preserve"> </v>
      </c>
      <c r="M93" s="405" t="str">
        <f t="shared" si="3"/>
        <v>lfm</v>
      </c>
      <c r="N93" s="77"/>
      <c r="O93" s="184" t="str">
        <f t="shared" si="27"/>
        <v xml:space="preserve"> </v>
      </c>
      <c r="R93" s="266"/>
      <c r="S93" s="179"/>
      <c r="T93" s="68"/>
      <c r="U93" s="139">
        <f>ROUNDUP($A93/6,0)*6</f>
        <v>0</v>
      </c>
      <c r="V93" s="139">
        <f>ROUNDUP($A93,0)</f>
        <v>0</v>
      </c>
      <c r="W93" s="139"/>
      <c r="X93" s="139"/>
      <c r="Y93" s="47" t="s">
        <v>94</v>
      </c>
      <c r="Z93" s="47" t="s">
        <v>398</v>
      </c>
      <c r="AA93" s="47" t="s">
        <v>96</v>
      </c>
      <c r="AB93" s="47" t="s">
        <v>99</v>
      </c>
      <c r="AC93" s="47" t="s">
        <v>104</v>
      </c>
      <c r="AD93" s="47" t="s">
        <v>101</v>
      </c>
      <c r="AE93" s="47" t="s">
        <v>399</v>
      </c>
      <c r="AF93" s="47" t="s">
        <v>400</v>
      </c>
      <c r="AG93" s="47"/>
      <c r="AH93" s="59"/>
      <c r="AI93" s="47" t="s">
        <v>94</v>
      </c>
      <c r="AJ93" s="47" t="s">
        <v>398</v>
      </c>
      <c r="AK93" s="47" t="s">
        <v>96</v>
      </c>
      <c r="AL93" s="47" t="s">
        <v>99</v>
      </c>
      <c r="AM93" s="47" t="s">
        <v>104</v>
      </c>
      <c r="AN93" s="47" t="s">
        <v>101</v>
      </c>
      <c r="AO93" s="47" t="s">
        <v>399</v>
      </c>
      <c r="AP93" s="47" t="s">
        <v>400</v>
      </c>
      <c r="AQ93" s="47"/>
      <c r="AR93" s="59"/>
      <c r="AS93" s="47" t="s">
        <v>94</v>
      </c>
      <c r="AT93" s="47" t="s">
        <v>398</v>
      </c>
      <c r="AU93" s="47" t="s">
        <v>96</v>
      </c>
      <c r="AV93" s="47" t="s">
        <v>99</v>
      </c>
      <c r="AW93" s="47" t="s">
        <v>104</v>
      </c>
      <c r="AX93" s="47" t="s">
        <v>101</v>
      </c>
      <c r="AY93" s="47" t="s">
        <v>399</v>
      </c>
      <c r="AZ93" s="47" t="s">
        <v>400</v>
      </c>
      <c r="BA93" s="47"/>
      <c r="BB93" s="59"/>
      <c r="BC93" s="47" t="s">
        <v>94</v>
      </c>
      <c r="BD93" s="47" t="s">
        <v>398</v>
      </c>
      <c r="BE93" s="47" t="s">
        <v>96</v>
      </c>
      <c r="BF93" s="47" t="s">
        <v>99</v>
      </c>
      <c r="BG93" s="47" t="s">
        <v>104</v>
      </c>
      <c r="BH93" s="47" t="s">
        <v>101</v>
      </c>
      <c r="BI93" s="47" t="s">
        <v>399</v>
      </c>
      <c r="BJ93" s="47" t="s">
        <v>400</v>
      </c>
      <c r="BK93" s="47"/>
      <c r="BL93" s="59"/>
      <c r="BM93" s="47" t="s">
        <v>94</v>
      </c>
      <c r="BN93" s="47" t="s">
        <v>398</v>
      </c>
      <c r="BO93" s="47" t="s">
        <v>96</v>
      </c>
      <c r="BP93" s="47" t="s">
        <v>99</v>
      </c>
      <c r="BQ93" s="47" t="s">
        <v>104</v>
      </c>
      <c r="BR93" s="47" t="s">
        <v>101</v>
      </c>
      <c r="BS93" s="47" t="s">
        <v>399</v>
      </c>
      <c r="BT93" s="47" t="s">
        <v>400</v>
      </c>
      <c r="BU93" s="47"/>
      <c r="BV93" s="59"/>
      <c r="BW93" s="47" t="s">
        <v>94</v>
      </c>
      <c r="BX93" s="47" t="s">
        <v>398</v>
      </c>
      <c r="BY93" s="47" t="s">
        <v>96</v>
      </c>
      <c r="BZ93" s="47" t="s">
        <v>99</v>
      </c>
      <c r="CA93" s="47" t="s">
        <v>104</v>
      </c>
      <c r="CB93" s="47" t="s">
        <v>101</v>
      </c>
      <c r="CC93" s="47" t="s">
        <v>399</v>
      </c>
      <c r="CD93" s="47" t="s">
        <v>400</v>
      </c>
      <c r="CE93" s="47"/>
      <c r="CF93" s="59"/>
      <c r="CG93" s="47" t="s">
        <v>94</v>
      </c>
      <c r="CH93" s="47" t="s">
        <v>398</v>
      </c>
      <c r="CI93" s="47" t="s">
        <v>96</v>
      </c>
      <c r="CJ93" s="47" t="s">
        <v>99</v>
      </c>
      <c r="CK93" s="47" t="s">
        <v>104</v>
      </c>
      <c r="CL93" s="47" t="s">
        <v>101</v>
      </c>
      <c r="CM93" s="47" t="s">
        <v>399</v>
      </c>
      <c r="CN93" s="47" t="s">
        <v>400</v>
      </c>
      <c r="CO93" s="47"/>
      <c r="CP93" s="59"/>
      <c r="CQ93" s="47" t="s">
        <v>94</v>
      </c>
      <c r="CR93" s="47" t="s">
        <v>398</v>
      </c>
      <c r="CS93" s="47" t="s">
        <v>96</v>
      </c>
      <c r="CT93" s="47" t="s">
        <v>99</v>
      </c>
      <c r="CU93" s="47" t="s">
        <v>104</v>
      </c>
      <c r="CV93" s="47" t="s">
        <v>101</v>
      </c>
      <c r="CW93" s="47" t="s">
        <v>399</v>
      </c>
      <c r="CX93" s="47" t="s">
        <v>400</v>
      </c>
      <c r="CY93" s="47"/>
      <c r="CZ93" s="59"/>
      <c r="DA93" s="47" t="s">
        <v>94</v>
      </c>
      <c r="DB93" s="47" t="s">
        <v>398</v>
      </c>
      <c r="DC93" s="47" t="s">
        <v>96</v>
      </c>
      <c r="DD93" s="47" t="s">
        <v>99</v>
      </c>
      <c r="DE93" s="47" t="s">
        <v>104</v>
      </c>
      <c r="DF93" s="47" t="s">
        <v>101</v>
      </c>
      <c r="DG93" s="47" t="s">
        <v>399</v>
      </c>
      <c r="DH93" s="47" t="s">
        <v>400</v>
      </c>
      <c r="DI93" s="47"/>
      <c r="DJ93" s="59"/>
      <c r="FE93" s="618" t="str">
        <f>VLOOKUP(304,Sprachindex!$A:$Z,Info!$O$7,FALSE)</f>
        <v>Dila</v>
      </c>
      <c r="FF93" s="619"/>
      <c r="FG93" s="619"/>
      <c r="FH93" s="619"/>
      <c r="FI93" s="619"/>
      <c r="FJ93" s="219"/>
      <c r="FK93" s="214"/>
      <c r="FL93" s="220"/>
      <c r="FM93" s="219"/>
      <c r="FN93" s="214"/>
      <c r="FO93" s="223"/>
      <c r="FP93" s="224"/>
      <c r="FQ93" s="105"/>
      <c r="FR93" s="220"/>
      <c r="FS93" s="233"/>
      <c r="FT93" s="248">
        <f t="shared" si="44"/>
        <v>104.34</v>
      </c>
      <c r="FY93" s="280">
        <v>104.34</v>
      </c>
      <c r="FZ93" s="588"/>
      <c r="GA93" s="588"/>
      <c r="GB93" s="588"/>
      <c r="GC93" s="589"/>
    </row>
    <row r="94" spans="1:204" ht="32.1" customHeight="1">
      <c r="A94" s="103"/>
      <c r="B94" s="76" t="str">
        <f>VLOOKUP(878,Sprachindex!$A:$Z,Info!$O$7,FALSE)</f>
        <v>Stk.</v>
      </c>
      <c r="C94" s="75"/>
      <c r="D94" s="76" t="str">
        <f>IF($O$17=1,AG94,IF($O$17=2,AQ94,IF($O$17=3,BA94,IF($O$17=4,BK94,""))))</f>
        <v/>
      </c>
      <c r="E94" s="618" t="str">
        <f>VLOOKUP(457,Sprachindex!$A:$Z,Info!$O$7,FALSE)</f>
        <v>Hängerinnen-Dila mit Wulst und Blende</v>
      </c>
      <c r="F94" s="619"/>
      <c r="G94" s="619"/>
      <c r="H94" s="619"/>
      <c r="I94" s="619"/>
      <c r="J94" s="681" t="str">
        <f>Formeln_RI_P.10!A175</f>
        <v/>
      </c>
      <c r="K94" s="682"/>
      <c r="L94" s="76" t="str">
        <f>IF(OR(A94="",W94="",X94="")," ",IF($O$11=1,U94,IF($O$11=2,V94,0)))</f>
        <v xml:space="preserve"> </v>
      </c>
      <c r="M94" s="405" t="str">
        <f t="shared" si="3"/>
        <v>Stk.</v>
      </c>
      <c r="N94" s="77"/>
      <c r="O94" s="184" t="str">
        <f t="shared" ref="O94:O106" si="45">IF(ISNUMBER(A94),FT94*L94," ")</f>
        <v xml:space="preserve"> </v>
      </c>
      <c r="R94" s="266"/>
      <c r="S94" s="179"/>
      <c r="T94" s="68"/>
      <c r="U94" s="139">
        <f>ROUNDUP($A94/$W94,0)*$W94</f>
        <v>0</v>
      </c>
      <c r="V94" s="139">
        <f>ROUNDUP($A94/X94,0)*X94</f>
        <v>0</v>
      </c>
      <c r="W94" s="139">
        <f>IF($O$17="","",6)</f>
        <v>6</v>
      </c>
      <c r="X94" s="139">
        <v>1</v>
      </c>
      <c r="Y94" s="62">
        <v>203401</v>
      </c>
      <c r="Z94" s="62">
        <v>203400</v>
      </c>
      <c r="AA94" s="62">
        <v>203404</v>
      </c>
      <c r="AB94" s="62">
        <v>203402</v>
      </c>
      <c r="AC94" s="62">
        <v>203405</v>
      </c>
      <c r="AD94" s="62">
        <v>203406</v>
      </c>
      <c r="AE94" s="62">
        <v>203403</v>
      </c>
      <c r="AF94" s="62"/>
      <c r="AG94" s="59" t="e" vm="2">
        <f>VLOOKUP(Y94,Y94:AF94,$O$16,FALSE)</f>
        <v>#VALUE!</v>
      </c>
      <c r="AH94" s="61" t="s">
        <v>1503</v>
      </c>
      <c r="AI94" s="62">
        <v>203421</v>
      </c>
      <c r="AJ94" s="62">
        <v>203420</v>
      </c>
      <c r="AK94" s="62">
        <v>203424</v>
      </c>
      <c r="AL94" s="62">
        <v>203422</v>
      </c>
      <c r="AM94" s="62">
        <v>203425</v>
      </c>
      <c r="AN94" s="62">
        <v>203426</v>
      </c>
      <c r="AO94" s="62">
        <v>203423</v>
      </c>
      <c r="AP94" s="62"/>
      <c r="AQ94" s="59" t="e" vm="2">
        <f>VLOOKUP(AI94,AI94:AP94,$O$16,FALSE)</f>
        <v>#VALUE!</v>
      </c>
      <c r="AR94" s="61" t="s">
        <v>1504</v>
      </c>
      <c r="AS94" s="62">
        <v>203441</v>
      </c>
      <c r="AT94" s="62">
        <v>203440</v>
      </c>
      <c r="AU94" s="62">
        <v>203444</v>
      </c>
      <c r="AV94" s="62">
        <v>203442</v>
      </c>
      <c r="AW94" s="62">
        <v>203445</v>
      </c>
      <c r="AX94" s="62">
        <v>203446</v>
      </c>
      <c r="AY94" s="62">
        <v>203443</v>
      </c>
      <c r="AZ94" s="62">
        <v>547034</v>
      </c>
      <c r="BA94" s="59" t="e" vm="2">
        <f>VLOOKUP(AS94,AS94:AZ94,$O$16,FALSE)</f>
        <v>#VALUE!</v>
      </c>
      <c r="BB94" s="61" t="s">
        <v>1505</v>
      </c>
      <c r="BC94" s="62">
        <v>203461</v>
      </c>
      <c r="BD94" s="62">
        <v>203460</v>
      </c>
      <c r="BE94" s="62">
        <v>203464</v>
      </c>
      <c r="BF94" s="62">
        <v>203462</v>
      </c>
      <c r="BG94" s="62">
        <v>203465</v>
      </c>
      <c r="BH94" s="62">
        <v>203466</v>
      </c>
      <c r="BI94" s="62">
        <v>203463</v>
      </c>
      <c r="BJ94" s="62"/>
      <c r="BK94" s="59" t="e" vm="2">
        <f>VLOOKUP(BC94,BC94:BJ94,$O$16,FALSE)</f>
        <v>#VALUE!</v>
      </c>
      <c r="BL94" s="61" t="s">
        <v>1506</v>
      </c>
      <c r="FE94" s="618" t="str">
        <f>VLOOKUP(457,Sprachindex!$A:$Z,Info!$O$7,FALSE)</f>
        <v>Hängerinnen-Dila mit Wulst und Blende</v>
      </c>
      <c r="FF94" s="619"/>
      <c r="FG94" s="619"/>
      <c r="FH94" s="619"/>
      <c r="FI94" s="619"/>
      <c r="FJ94" s="219"/>
      <c r="FK94" s="210">
        <v>32.81</v>
      </c>
      <c r="FL94" s="220"/>
      <c r="FM94" s="219"/>
      <c r="FN94" s="217">
        <v>40.96</v>
      </c>
      <c r="FO94" s="223"/>
      <c r="FP94" s="224"/>
      <c r="FQ94" s="215">
        <v>44.56</v>
      </c>
      <c r="FR94" s="220"/>
      <c r="FS94" s="234">
        <v>52.43</v>
      </c>
      <c r="FT94" s="248" t="str">
        <f>IF($O$17=1,FK94,IF($O$17=2,FN94,IF($O$17=3,FQ94,IF($O$17=4,FS94," "))))</f>
        <v xml:space="preserve"> </v>
      </c>
      <c r="FY94" s="132"/>
      <c r="FZ94" s="132"/>
      <c r="GA94" s="132"/>
      <c r="GB94" s="132"/>
      <c r="GC94" s="132"/>
      <c r="GD94" s="132"/>
      <c r="GE94" s="132"/>
      <c r="GF94" s="132"/>
      <c r="GG94" s="583"/>
      <c r="GH94" s="132"/>
      <c r="GI94" s="132"/>
      <c r="GJ94" s="132"/>
      <c r="GK94" s="132"/>
      <c r="GL94" s="583"/>
      <c r="GM94" s="132"/>
      <c r="GN94" s="132"/>
      <c r="GO94" s="132"/>
      <c r="GP94" s="132"/>
      <c r="GQ94" s="583"/>
      <c r="GR94" s="132"/>
      <c r="GS94" s="132"/>
      <c r="GT94" s="132"/>
      <c r="GU94" s="132"/>
      <c r="GV94" s="132"/>
    </row>
    <row r="95" spans="1:204" ht="32.1" customHeight="1">
      <c r="A95" s="408"/>
      <c r="B95" s="76" t="str">
        <f>VLOOKUP(878,Sprachindex!$A:$Z,Info!$O$7,FALSE)</f>
        <v>Stk.</v>
      </c>
      <c r="C95" s="75"/>
      <c r="D95" s="76" t="str">
        <f>IF($O$17=1,AG95,IF($O$17=3,AQ95,IF($O$17=4,BA95,"")))</f>
        <v/>
      </c>
      <c r="E95" s="618" t="str">
        <f>VLOOKUP(517,Sprachindex!$A:$Z,Info!$O$7,FALSE)</f>
        <v>Kastenrinnen-Dila mit Wulst und Blende</v>
      </c>
      <c r="F95" s="619"/>
      <c r="G95" s="619"/>
      <c r="H95" s="619"/>
      <c r="I95" s="619"/>
      <c r="J95" s="681" t="str">
        <f>Formeln_RI_P.10!A181</f>
        <v/>
      </c>
      <c r="K95" s="682"/>
      <c r="L95" s="76" t="str">
        <f>IF(OR(A95="",W95="",X95="")," ",IF($O$11=1,U95,IF($O$11=2,V95,0)))</f>
        <v xml:space="preserve"> </v>
      </c>
      <c r="M95" s="405" t="str">
        <f t="shared" si="3"/>
        <v>Stk.</v>
      </c>
      <c r="N95" s="77"/>
      <c r="O95" s="184" t="str">
        <f>IF(ISNUMBER(L95),FT95*L95," ")</f>
        <v xml:space="preserve"> </v>
      </c>
      <c r="R95" s="266"/>
      <c r="S95" s="179"/>
      <c r="T95" s="68"/>
      <c r="U95" s="139" t="e">
        <f>ROUNDUP($A95/W95,0)*W95</f>
        <v>#VALUE!</v>
      </c>
      <c r="V95" s="139">
        <f>ROUNDUP($A95/X95,0)*X95</f>
        <v>0</v>
      </c>
      <c r="W95" s="139" t="str">
        <f>IF($O$17=1,6,IF($O$17=3,6,IF($O$17=4,6,"")))</f>
        <v/>
      </c>
      <c r="X95" s="139">
        <v>1</v>
      </c>
      <c r="Y95" s="62">
        <v>203501</v>
      </c>
      <c r="Z95" s="62">
        <v>203500</v>
      </c>
      <c r="AA95" s="62">
        <v>203504</v>
      </c>
      <c r="AB95" s="62">
        <v>203502</v>
      </c>
      <c r="AC95" s="62">
        <v>203505</v>
      </c>
      <c r="AD95" s="62">
        <v>203506</v>
      </c>
      <c r="AE95" s="62">
        <v>203503</v>
      </c>
      <c r="AF95" s="62"/>
      <c r="AG95" s="59" t="e" vm="2">
        <f>VLOOKUP(Y95,Y95:AF95,$O$16,FALSE)</f>
        <v>#VALUE!</v>
      </c>
      <c r="AH95" s="61" t="s">
        <v>1503</v>
      </c>
      <c r="AI95" s="62">
        <v>203541</v>
      </c>
      <c r="AJ95" s="62">
        <v>203540</v>
      </c>
      <c r="AK95" s="62">
        <v>203544</v>
      </c>
      <c r="AL95" s="62">
        <v>203542</v>
      </c>
      <c r="AM95" s="62">
        <v>203545</v>
      </c>
      <c r="AN95" s="62">
        <v>203546</v>
      </c>
      <c r="AO95" s="62">
        <v>203543</v>
      </c>
      <c r="AP95" s="62">
        <v>547074</v>
      </c>
      <c r="AQ95" s="59" t="e" vm="2">
        <f>VLOOKUP(AI95,AI95:AP95,$O$16,FALSE)</f>
        <v>#VALUE!</v>
      </c>
      <c r="AR95" s="61" t="s">
        <v>1505</v>
      </c>
      <c r="AS95" s="62">
        <v>203561</v>
      </c>
      <c r="AT95" s="62">
        <v>203560</v>
      </c>
      <c r="AU95" s="62">
        <v>203564</v>
      </c>
      <c r="AV95" s="62">
        <v>203562</v>
      </c>
      <c r="AW95" s="62">
        <v>203565</v>
      </c>
      <c r="AX95" s="62">
        <v>203566</v>
      </c>
      <c r="AY95" s="62">
        <v>203563</v>
      </c>
      <c r="AZ95" s="62"/>
      <c r="BA95" s="59" t="e" vm="2">
        <f>VLOOKUP(AS95,AS95:AZ95,$O$16,FALSE)</f>
        <v>#VALUE!</v>
      </c>
      <c r="BB95" s="61" t="s">
        <v>1506</v>
      </c>
      <c r="FE95" s="618" t="str">
        <f>VLOOKUP(517,Sprachindex!$A:$Z,Info!$O$7,FALSE)</f>
        <v>Kastenrinnen-Dila mit Wulst und Blende</v>
      </c>
      <c r="FF95" s="619"/>
      <c r="FG95" s="619"/>
      <c r="FH95" s="619"/>
      <c r="FI95" s="619"/>
      <c r="FJ95" s="219"/>
      <c r="FK95" s="210">
        <v>36.81</v>
      </c>
      <c r="FL95" s="220"/>
      <c r="FM95" s="219"/>
      <c r="FN95" s="214"/>
      <c r="FO95" s="223"/>
      <c r="FP95" s="224"/>
      <c r="FQ95" s="215">
        <v>44.56</v>
      </c>
      <c r="FR95" s="220"/>
      <c r="FS95" s="234">
        <v>52.43</v>
      </c>
      <c r="FT95" s="248" t="str">
        <f>IF($O$17=1,FK95,IF($O$17=3,FQ95,IF($O$17=4,FS95," ")))</f>
        <v xml:space="preserve"> </v>
      </c>
      <c r="FY95" s="132"/>
      <c r="FZ95" s="132"/>
      <c r="GA95" s="132"/>
      <c r="GB95" s="132"/>
      <c r="GC95" s="132"/>
      <c r="GD95" s="132"/>
      <c r="GE95" s="132"/>
      <c r="GF95" s="132"/>
      <c r="GG95" s="583"/>
      <c r="GH95" s="132"/>
      <c r="GI95" s="132"/>
      <c r="GJ95" s="132"/>
      <c r="GK95" s="132"/>
      <c r="GL95" s="583"/>
      <c r="GM95" s="132"/>
      <c r="GN95" s="132"/>
      <c r="GO95" s="132"/>
      <c r="GP95" s="132"/>
      <c r="GQ95" s="583"/>
      <c r="GR95" s="132"/>
      <c r="GS95" s="132"/>
      <c r="GT95" s="132"/>
      <c r="GU95" s="132"/>
      <c r="GV95" s="132"/>
    </row>
    <row r="96" spans="1:204" ht="32.1" customHeight="1">
      <c r="A96" s="103"/>
      <c r="B96" s="76" t="str">
        <f>VLOOKUP(878,Sprachindex!$A:$Z,Info!$O$7,FALSE)</f>
        <v>Stk.</v>
      </c>
      <c r="C96" s="75"/>
      <c r="D96" s="76" t="str">
        <f>IF($O$17=1,AG96,IF($O$17=2,AQ96,IF($O$17=3,BA96,IF($O$17=4,BK96,""))))</f>
        <v/>
      </c>
      <c r="E96" s="618" t="str">
        <f>VLOOKUP(458,Sprachindex!$A:$Z,Info!$O$7,FALSE)</f>
        <v>Hängerinnen-Dila ohne Wulst und Blende</v>
      </c>
      <c r="F96" s="619"/>
      <c r="G96" s="619"/>
      <c r="H96" s="619"/>
      <c r="I96" s="619"/>
      <c r="J96" s="681" t="str">
        <f>Formeln_RI_P.10!A175</f>
        <v/>
      </c>
      <c r="K96" s="682"/>
      <c r="L96" s="76" t="str">
        <f>IF(OR(A96="",W96="",X96="")," ",IF($O$11=1,U96,IF($O$11=2,V96,0)))</f>
        <v xml:space="preserve"> </v>
      </c>
      <c r="M96" s="405" t="str">
        <f t="shared" ref="M96:M106" si="46">B96</f>
        <v>Stk.</v>
      </c>
      <c r="N96" s="77"/>
      <c r="O96" s="184" t="str">
        <f t="shared" si="45"/>
        <v xml:space="preserve"> </v>
      </c>
      <c r="R96" s="266"/>
      <c r="S96" s="179"/>
      <c r="T96" s="68"/>
      <c r="U96" s="139">
        <f>ROUNDUP($A96/W96,0)*W96</f>
        <v>0</v>
      </c>
      <c r="V96" s="139">
        <f>ROUNDUP($A96/X96,0)*X96</f>
        <v>0</v>
      </c>
      <c r="W96" s="139">
        <f>IF($O$17="","",6)</f>
        <v>6</v>
      </c>
      <c r="X96" s="139">
        <v>1</v>
      </c>
      <c r="Y96"/>
      <c r="AG96" s="61">
        <v>547102</v>
      </c>
      <c r="AH96" s="61" t="s">
        <v>1507</v>
      </c>
      <c r="AI96"/>
      <c r="AQ96" s="61">
        <v>547101</v>
      </c>
      <c r="AR96" s="61" t="s">
        <v>1508</v>
      </c>
      <c r="AS96"/>
      <c r="BA96" s="61">
        <v>547100</v>
      </c>
      <c r="BB96" s="61" t="s">
        <v>1509</v>
      </c>
      <c r="BC96"/>
      <c r="BK96" s="61">
        <v>547103</v>
      </c>
      <c r="BL96" s="61" t="s">
        <v>1510</v>
      </c>
      <c r="FE96" s="618" t="str">
        <f>VLOOKUP(458,Sprachindex!$A:$Z,Info!$O$7,FALSE)</f>
        <v>Hängerinnen-Dila ohne Wulst und Blende</v>
      </c>
      <c r="FF96" s="619"/>
      <c r="FG96" s="619"/>
      <c r="FH96" s="619"/>
      <c r="FI96" s="619"/>
      <c r="FJ96" s="219"/>
      <c r="FK96" s="210">
        <v>22.24</v>
      </c>
      <c r="FL96" s="220"/>
      <c r="FM96" s="219"/>
      <c r="FN96" s="217">
        <v>25.33</v>
      </c>
      <c r="FO96" s="223"/>
      <c r="FP96" s="224"/>
      <c r="FQ96" s="215">
        <v>30.89</v>
      </c>
      <c r="FR96" s="220"/>
      <c r="FS96" s="234">
        <v>37.82</v>
      </c>
      <c r="FT96" s="248" t="str">
        <f>IF($O$17=1,FK96,IF($O$17=2,FN96,IF($O$17=3,FQ96,IF($O$17=4,FS96," "))))</f>
        <v xml:space="preserve"> </v>
      </c>
      <c r="FY96" s="132"/>
      <c r="FZ96" s="132"/>
      <c r="GA96" s="132"/>
      <c r="GB96" s="132"/>
      <c r="GC96" s="132"/>
      <c r="GD96" s="132"/>
      <c r="GE96" s="132"/>
      <c r="GF96" s="132"/>
      <c r="GG96" s="132"/>
      <c r="GH96" s="132"/>
      <c r="GI96" s="132"/>
      <c r="GJ96" s="132"/>
      <c r="GK96" s="132"/>
      <c r="GL96" s="132"/>
      <c r="GM96" s="132"/>
      <c r="GN96" s="132"/>
      <c r="GO96" s="132"/>
      <c r="GP96" s="132"/>
      <c r="GQ96" s="132"/>
      <c r="GR96" s="132"/>
      <c r="GS96" s="132"/>
      <c r="GT96" s="132"/>
      <c r="GU96" s="132"/>
      <c r="GV96" s="132"/>
    </row>
    <row r="97" spans="1:195" ht="32.1" customHeight="1">
      <c r="A97" s="103"/>
      <c r="B97" s="76" t="str">
        <f>VLOOKUP(878,Sprachindex!$A:$Z,Info!$O$7,FALSE)</f>
        <v>Stk.</v>
      </c>
      <c r="C97" s="75"/>
      <c r="D97" s="76" t="str">
        <f>IF($O$17=1,AG97,IF($O$17=3,AQ97,IF($O$17=4,BA97,"")))</f>
        <v/>
      </c>
      <c r="E97" s="618" t="str">
        <f>VLOOKUP(518,Sprachindex!$A:$Z,Info!$O$7,FALSE)</f>
        <v>Kastenrinnen-Dila ohne Wulst und Blende</v>
      </c>
      <c r="F97" s="619"/>
      <c r="G97" s="619"/>
      <c r="H97" s="619"/>
      <c r="I97" s="619"/>
      <c r="J97" s="681" t="str">
        <f>Formeln_RI_P.10!A181</f>
        <v/>
      </c>
      <c r="K97" s="682"/>
      <c r="L97" s="76" t="str">
        <f>IF(OR(A97="",W97="",X97="")," ",IF($O$11=1,U97,IF($O$11=2,V97,0)))</f>
        <v xml:space="preserve"> </v>
      </c>
      <c r="M97" s="405" t="str">
        <f t="shared" si="46"/>
        <v>Stk.</v>
      </c>
      <c r="N97" s="77"/>
      <c r="O97" s="184" t="str">
        <f>IF(ISNUMBER(L97),FT97*L97," ")</f>
        <v xml:space="preserve"> </v>
      </c>
      <c r="R97" s="266"/>
      <c r="S97" s="179"/>
      <c r="T97" s="68"/>
      <c r="U97" s="139" t="e">
        <f>ROUNDUP($A97/W97,0)*W97</f>
        <v>#VALUE!</v>
      </c>
      <c r="V97" s="139">
        <f>ROUNDUP($A97/X97,0)*X97</f>
        <v>0</v>
      </c>
      <c r="W97" s="139" t="str">
        <f>IF($O$17=1,6,IF($O$17=3,6,IF($O$17=4,6,"")))</f>
        <v/>
      </c>
      <c r="X97" s="139">
        <v>1</v>
      </c>
      <c r="Y97"/>
      <c r="AG97" s="61">
        <v>547106</v>
      </c>
      <c r="AH97" s="61" t="s">
        <v>1507</v>
      </c>
      <c r="AI97"/>
      <c r="AQ97" s="61">
        <v>547105</v>
      </c>
      <c r="AR97" s="61" t="s">
        <v>1509</v>
      </c>
      <c r="AS97"/>
      <c r="BA97" s="61">
        <v>547104</v>
      </c>
      <c r="BB97" s="61" t="s">
        <v>1510</v>
      </c>
      <c r="FE97" s="618" t="str">
        <f>VLOOKUP(518,Sprachindex!$A:$Z,Info!$O$7,FALSE)</f>
        <v>Kastenrinnen-Dila ohne Wulst und Blende</v>
      </c>
      <c r="FF97" s="619"/>
      <c r="FG97" s="619"/>
      <c r="FH97" s="619"/>
      <c r="FI97" s="619"/>
      <c r="FJ97" s="219"/>
      <c r="FK97" s="210">
        <v>22.24</v>
      </c>
      <c r="FL97" s="223"/>
      <c r="FM97" s="224"/>
      <c r="FN97" s="214"/>
      <c r="FO97" s="223"/>
      <c r="FP97" s="224"/>
      <c r="FQ97" s="215">
        <v>30.89</v>
      </c>
      <c r="FR97" s="230"/>
      <c r="FS97" s="234">
        <v>37.82</v>
      </c>
      <c r="FT97" s="248" t="str">
        <f>IF($O$17=1,FK97,IF($O$17=3,FQ97,IF($O$17=4,FS97," ")))</f>
        <v xml:space="preserve"> </v>
      </c>
    </row>
    <row r="98" spans="1:195" ht="32.1" customHeight="1">
      <c r="A98" s="93"/>
      <c r="B98" s="76" t="str">
        <f>VLOOKUP(1512,Sprachindex!$A:$Z,Info!$O$7,FALSE)</f>
        <v>lfm</v>
      </c>
      <c r="C98" s="75"/>
      <c r="D98" s="75" t="e" vm="99">
        <f>AG98</f>
        <v>#VALUE!</v>
      </c>
      <c r="E98" s="618" t="str">
        <f>VLOOKUP(334,Sprachindex!$A:$Z,Info!$O$7,FALSE)</f>
        <v>Einlaufblech (230 × 2.000 × 0,7 mm)</v>
      </c>
      <c r="F98" s="619"/>
      <c r="G98" s="619"/>
      <c r="H98" s="619"/>
      <c r="I98" s="619"/>
      <c r="J98" s="681"/>
      <c r="K98" s="682"/>
      <c r="L98" s="76" t="str">
        <f>IF(A98=0,"",IF($O$11=1,U98,V98))</f>
        <v/>
      </c>
      <c r="M98" s="405" t="str">
        <f t="shared" si="46"/>
        <v>lfm</v>
      </c>
      <c r="N98" s="77"/>
      <c r="O98" s="184" t="str">
        <f t="shared" si="45"/>
        <v xml:space="preserve"> </v>
      </c>
      <c r="R98" s="266"/>
      <c r="S98" s="179"/>
      <c r="U98" s="139">
        <f>ROUNDUP($A98/2,0)*2</f>
        <v>0</v>
      </c>
      <c r="V98" s="139">
        <f>ROUNDUP($A98/2,0)*2</f>
        <v>0</v>
      </c>
      <c r="W98" s="135"/>
      <c r="Y98" s="463">
        <v>212101</v>
      </c>
      <c r="Z98" s="463">
        <v>212100</v>
      </c>
      <c r="AA98" s="463">
        <v>212104</v>
      </c>
      <c r="AB98" s="463">
        <v>212102</v>
      </c>
      <c r="AC98" s="463">
        <v>212105</v>
      </c>
      <c r="AD98" s="463">
        <v>212106</v>
      </c>
      <c r="AE98" s="463">
        <v>212103</v>
      </c>
      <c r="AF98" s="463">
        <v>563018</v>
      </c>
      <c r="AG98" s="59" t="e" vm="2">
        <f>VLOOKUP(Y98,Y98:AF98,$O$16,FALSE)</f>
        <v>#VALUE!</v>
      </c>
      <c r="AH98"/>
      <c r="AI98"/>
      <c r="FE98" s="618" t="str">
        <f>VLOOKUP(334,Sprachindex!$A:$Z,Info!$O$7,FALSE)</f>
        <v>Einlaufblech (230 × 2.000 × 0,7 mm)</v>
      </c>
      <c r="FF98" s="619"/>
      <c r="FG98" s="619"/>
      <c r="FH98" s="619"/>
      <c r="FI98" s="619"/>
      <c r="FJ98" s="237">
        <v>8.91</v>
      </c>
      <c r="FK98" s="275"/>
      <c r="FL98" s="242"/>
      <c r="FM98" s="240"/>
      <c r="FN98" s="275"/>
      <c r="FO98" s="287"/>
      <c r="FP98" s="288"/>
      <c r="FQ98" s="106"/>
      <c r="FR98" s="242"/>
      <c r="FS98" s="289"/>
      <c r="FT98" s="248">
        <f>FJ98</f>
        <v>8.91</v>
      </c>
    </row>
    <row r="99" spans="1:195" ht="32.1" customHeight="1">
      <c r="A99" s="103"/>
      <c r="B99" s="76" t="str">
        <f>VLOOKUP(878,Sprachindex!$A:$Z,Info!$O$7,FALSE)</f>
        <v>Stk.</v>
      </c>
      <c r="C99" s="75"/>
      <c r="D99" s="75" t="e" vm="99">
        <f>AG99</f>
        <v>#VALUE!</v>
      </c>
      <c r="E99" s="618" t="str">
        <f>VLOOKUP(1877,Sprachindex!$A:$Z,Info!$O$7,FALSE)</f>
        <v>Ausbesserungslack</v>
      </c>
      <c r="F99" s="619"/>
      <c r="G99" s="619"/>
      <c r="H99" s="619"/>
      <c r="I99" s="619"/>
      <c r="J99" s="681" t="str">
        <f>VLOOKUP(1878,Sprachindex!$A:$Z,Info!$O$7,FALSE)</f>
        <v>12 ml</v>
      </c>
      <c r="K99" s="682"/>
      <c r="L99" s="76" t="str">
        <f>IF(OR(A99="",W99="",X99="")," ",IF($O$11=1,$U99,IF($O$11=2,V99,0)))</f>
        <v xml:space="preserve"> </v>
      </c>
      <c r="M99" s="405" t="str">
        <f t="shared" si="46"/>
        <v>Stk.</v>
      </c>
      <c r="N99" s="77"/>
      <c r="O99" s="184" t="str">
        <f t="shared" si="45"/>
        <v xml:space="preserve"> </v>
      </c>
      <c r="R99" s="266"/>
      <c r="S99" s="179"/>
      <c r="T99" s="68"/>
      <c r="U99" s="139">
        <f t="shared" ref="U99:V102" si="47">ROUNDUP($A99/W99,0)*W99</f>
        <v>0</v>
      </c>
      <c r="V99" s="139">
        <f t="shared" si="47"/>
        <v>0</v>
      </c>
      <c r="W99" s="139">
        <v>1</v>
      </c>
      <c r="X99" s="139">
        <v>1</v>
      </c>
      <c r="Y99" t="s">
        <v>1511</v>
      </c>
      <c r="Z99" t="s">
        <v>1512</v>
      </c>
      <c r="AA99" t="s">
        <v>1513</v>
      </c>
      <c r="AB99" t="s">
        <v>1514</v>
      </c>
      <c r="AC99" t="s">
        <v>2349</v>
      </c>
      <c r="AD99" t="s">
        <v>1515</v>
      </c>
      <c r="AE99" t="s">
        <v>1516</v>
      </c>
      <c r="AF99"/>
      <c r="AG99" s="59" t="e" vm="2">
        <f>VLOOKUP(Y99,Y99:AF99,$O$16,FALSE)</f>
        <v>#VALUE!</v>
      </c>
      <c r="AH99"/>
      <c r="AI99"/>
      <c r="AJ99"/>
      <c r="AL99" s="132"/>
      <c r="AM99" s="465"/>
      <c r="AN99"/>
      <c r="BA99" s="63"/>
      <c r="BB99" s="59"/>
      <c r="BC99" s="61"/>
      <c r="BD99"/>
      <c r="BP99" s="63"/>
      <c r="BQ99" s="59"/>
      <c r="BR99" s="61"/>
      <c r="FE99" s="618" t="str">
        <f>VLOOKUP(1877,Sprachindex!$A:$Z,Info!$O$7,FALSE)</f>
        <v>Ausbesserungslack</v>
      </c>
      <c r="FF99" s="619"/>
      <c r="FG99" s="619"/>
      <c r="FH99" s="619"/>
      <c r="FI99" s="619"/>
      <c r="FJ99" s="237">
        <v>6.19</v>
      </c>
      <c r="FK99" s="214"/>
      <c r="FL99" s="220"/>
      <c r="FM99" s="219"/>
      <c r="FN99" s="214"/>
      <c r="FO99" s="223"/>
      <c r="FP99" s="224"/>
      <c r="FQ99" s="105"/>
      <c r="FR99" s="220"/>
      <c r="FS99" s="233"/>
      <c r="FT99" s="248">
        <f t="shared" ref="FT99:FT106" si="48">FJ99</f>
        <v>6.19</v>
      </c>
    </row>
    <row r="100" spans="1:195" ht="32.1" customHeight="1">
      <c r="A100" s="103"/>
      <c r="B100" s="76" t="str">
        <f>VLOOKUP(878,Sprachindex!$A:$Z,Info!$O$7,FALSE)</f>
        <v>Stk.</v>
      </c>
      <c r="C100" s="75"/>
      <c r="D100" s="75" t="e" vm="99">
        <f>AG100</f>
        <v>#VALUE!</v>
      </c>
      <c r="E100" s="618" t="str">
        <f>VLOOKUP(1879,Sprachindex!$A:$Z,Info!$O$7,FALSE)</f>
        <v>Ausbesserungsstift</v>
      </c>
      <c r="F100" s="619"/>
      <c r="G100" s="619"/>
      <c r="H100" s="619"/>
      <c r="I100" s="619"/>
      <c r="J100" s="681" t="str">
        <f>VLOOKUP(1880,Sprachindex!$A:$Z,Info!$O$7,FALSE)</f>
        <v>11 ml</v>
      </c>
      <c r="K100" s="682"/>
      <c r="L100" s="76" t="str">
        <f>IF(OR(A100="",W100="",X100="")," ",IF($O$11=1,$U100,IF($O$11=2,V100,0)))</f>
        <v xml:space="preserve"> </v>
      </c>
      <c r="M100" s="405" t="str">
        <f t="shared" si="46"/>
        <v>Stk.</v>
      </c>
      <c r="N100" s="77"/>
      <c r="O100" s="184" t="str">
        <f t="shared" si="45"/>
        <v xml:space="preserve"> </v>
      </c>
      <c r="R100" s="266"/>
      <c r="S100" s="179"/>
      <c r="T100" s="68"/>
      <c r="U100" s="139">
        <f t="shared" si="47"/>
        <v>0</v>
      </c>
      <c r="V100" s="139">
        <f t="shared" si="47"/>
        <v>0</v>
      </c>
      <c r="W100" s="139">
        <v>1</v>
      </c>
      <c r="X100" s="139">
        <v>1</v>
      </c>
      <c r="Y100" t="s">
        <v>1517</v>
      </c>
      <c r="Z100" t="s">
        <v>1518</v>
      </c>
      <c r="AA100" t="s">
        <v>1519</v>
      </c>
      <c r="AB100" t="s">
        <v>1520</v>
      </c>
      <c r="AC100">
        <v>430206</v>
      </c>
      <c r="AD100" t="s">
        <v>1521</v>
      </c>
      <c r="AE100" t="s">
        <v>1522</v>
      </c>
      <c r="AF100"/>
      <c r="AG100" s="59" t="e" vm="2">
        <f>VLOOKUP(Y100,Y100:AF100,$O$16,FALSE)</f>
        <v>#VALUE!</v>
      </c>
      <c r="AH100"/>
      <c r="AI100"/>
      <c r="AJ100"/>
      <c r="AL100" s="132"/>
      <c r="AM100" s="465"/>
      <c r="AN100"/>
      <c r="BA100" s="63"/>
      <c r="BB100" s="59"/>
      <c r="BC100" s="61"/>
      <c r="BD100"/>
      <c r="BP100" s="63"/>
      <c r="BQ100" s="59"/>
      <c r="BR100" s="61"/>
      <c r="FE100" s="618" t="str">
        <f>VLOOKUP(1879,Sprachindex!$A:$Z,Info!$O$7,FALSE)</f>
        <v>Ausbesserungsstift</v>
      </c>
      <c r="FF100" s="619"/>
      <c r="FG100" s="619"/>
      <c r="FH100" s="619"/>
      <c r="FI100" s="619"/>
      <c r="FJ100" s="237">
        <v>14.75</v>
      </c>
      <c r="FK100" s="214"/>
      <c r="FL100" s="220"/>
      <c r="FM100" s="219"/>
      <c r="FN100" s="214"/>
      <c r="FO100" s="223"/>
      <c r="FP100" s="224"/>
      <c r="FQ100" s="105"/>
      <c r="FR100" s="220"/>
      <c r="FS100" s="233"/>
      <c r="FT100" s="248">
        <f t="shared" si="48"/>
        <v>14.75</v>
      </c>
    </row>
    <row r="101" spans="1:195" ht="32.1" customHeight="1">
      <c r="A101" s="103"/>
      <c r="B101" s="76" t="str">
        <f>VLOOKUP(878,Sprachindex!$A:$Z,Info!$O$7,FALSE)</f>
        <v>Stk.</v>
      </c>
      <c r="C101" s="75"/>
      <c r="D101" s="75">
        <v>425002</v>
      </c>
      <c r="E101" s="618" t="str">
        <f>VLOOKUP(167,Sprachindex!$A:$Z,Info!$O$7,FALSE)</f>
        <v>Aluminiumlötstäbe</v>
      </c>
      <c r="F101" s="619"/>
      <c r="G101" s="619"/>
      <c r="H101" s="619"/>
      <c r="I101" s="619"/>
      <c r="J101" s="681" t="str">
        <f>VLOOKUP(75,Sprachindex!$A:$Z,Info!$O$7,FALSE)</f>
        <v>250 g</v>
      </c>
      <c r="K101" s="682"/>
      <c r="L101" s="76" t="str">
        <f>IF(OR(A101="",W101="",X101="")," ",IF($O$11=1,U101,IF($O$11=2,V101,0)))</f>
        <v xml:space="preserve"> </v>
      </c>
      <c r="M101" s="405" t="str">
        <f t="shared" si="46"/>
        <v>Stk.</v>
      </c>
      <c r="N101" s="77"/>
      <c r="O101" s="184" t="str">
        <f t="shared" si="45"/>
        <v xml:space="preserve"> </v>
      </c>
      <c r="R101" s="266"/>
      <c r="S101" s="179"/>
      <c r="T101" s="68"/>
      <c r="U101" s="139">
        <f t="shared" si="47"/>
        <v>0</v>
      </c>
      <c r="V101" s="139">
        <f t="shared" si="47"/>
        <v>0</v>
      </c>
      <c r="W101" s="139">
        <v>1</v>
      </c>
      <c r="X101" s="139">
        <v>1</v>
      </c>
      <c r="FE101" s="618" t="str">
        <f>VLOOKUP(167,Sprachindex!$A:$Z,Info!$O$7,FALSE)</f>
        <v>Aluminiumlötstäbe</v>
      </c>
      <c r="FF101" s="619"/>
      <c r="FG101" s="619"/>
      <c r="FH101" s="619"/>
      <c r="FI101" s="619"/>
      <c r="FJ101" s="237">
        <v>149.97</v>
      </c>
      <c r="FK101" s="214"/>
      <c r="FL101" s="220"/>
      <c r="FM101" s="219"/>
      <c r="FN101" s="214"/>
      <c r="FO101" s="223"/>
      <c r="FP101" s="224"/>
      <c r="FQ101" s="105"/>
      <c r="FR101" s="220"/>
      <c r="FS101" s="233"/>
      <c r="FT101" s="248">
        <f t="shared" si="48"/>
        <v>149.97</v>
      </c>
    </row>
    <row r="102" spans="1:195" ht="32.1" customHeight="1">
      <c r="A102" s="93"/>
      <c r="B102" s="76" t="str">
        <f>VLOOKUP(878,Sprachindex!$A:$Z,Info!$O$7,FALSE)</f>
        <v>Stk.</v>
      </c>
      <c r="C102" s="75"/>
      <c r="D102" s="75">
        <v>420006</v>
      </c>
      <c r="E102" s="618" t="str">
        <f>VLOOKUP(838,Sprachindex!$A:$Z,Info!$O$7,FALSE)</f>
        <v>Spezialsilikon</v>
      </c>
      <c r="F102" s="619"/>
      <c r="G102" s="619"/>
      <c r="H102" s="619"/>
      <c r="I102" s="619"/>
      <c r="J102" s="681" t="str">
        <f>VLOOKUP(86,Sprachindex!$A:$Z,Info!$O$7,FALSE)</f>
        <v>300 ml</v>
      </c>
      <c r="K102" s="682"/>
      <c r="L102" s="76" t="str">
        <f>IF(OR(A102="",W102="",X102="")," ",IF($O$11=1,$U102,IF($O$11=2,V102,0)))</f>
        <v xml:space="preserve"> </v>
      </c>
      <c r="M102" s="405" t="str">
        <f t="shared" si="46"/>
        <v>Stk.</v>
      </c>
      <c r="N102" s="77"/>
      <c r="O102" s="184" t="str">
        <f t="shared" si="45"/>
        <v xml:space="preserve"> </v>
      </c>
      <c r="R102" s="266"/>
      <c r="S102" s="179"/>
      <c r="T102" s="68"/>
      <c r="U102" s="139">
        <f t="shared" si="47"/>
        <v>0</v>
      </c>
      <c r="V102" s="139">
        <f t="shared" si="47"/>
        <v>0</v>
      </c>
      <c r="W102" s="139">
        <v>1</v>
      </c>
      <c r="X102" s="139">
        <v>1</v>
      </c>
      <c r="FE102" s="618" t="str">
        <f>VLOOKUP(838,Sprachindex!$A:$Z,Info!$O$7,FALSE)</f>
        <v>Spezialsilikon</v>
      </c>
      <c r="FF102" s="619"/>
      <c r="FG102" s="619"/>
      <c r="FH102" s="619"/>
      <c r="FI102" s="619"/>
      <c r="FJ102" s="237">
        <v>10.41</v>
      </c>
      <c r="FK102" s="214"/>
      <c r="FL102" s="220"/>
      <c r="FM102" s="219"/>
      <c r="FN102" s="214"/>
      <c r="FO102" s="223"/>
      <c r="FP102" s="224"/>
      <c r="FQ102" s="105"/>
      <c r="FR102" s="220"/>
      <c r="FS102" s="233"/>
      <c r="FT102" s="248">
        <f t="shared" si="48"/>
        <v>10.41</v>
      </c>
    </row>
    <row r="103" spans="1:195" ht="32.1" customHeight="1">
      <c r="A103" s="93"/>
      <c r="B103" s="76" t="str">
        <f>VLOOKUP(878,Sprachindex!$A:$Z,Info!$O$7,FALSE)</f>
        <v>Stk.</v>
      </c>
      <c r="C103" s="75"/>
      <c r="D103" s="75">
        <v>420501</v>
      </c>
      <c r="E103" s="618" t="str">
        <f>VLOOKUP(851,Sprachindex!$A:$Z,Info!$O$7,FALSE)</f>
        <v>Spezialkleber</v>
      </c>
      <c r="F103" s="619"/>
      <c r="G103" s="619"/>
      <c r="H103" s="619"/>
      <c r="I103" s="619"/>
      <c r="J103" s="681"/>
      <c r="K103" s="682"/>
      <c r="L103" s="76" t="str">
        <f>IF(A103=0,"",IF($O$11=1,U103,V103))</f>
        <v/>
      </c>
      <c r="M103" s="405" t="str">
        <f t="shared" si="46"/>
        <v>Stk.</v>
      </c>
      <c r="N103" s="77"/>
      <c r="O103" s="184" t="str">
        <f t="shared" si="45"/>
        <v xml:space="preserve"> </v>
      </c>
      <c r="R103" s="266"/>
      <c r="S103" s="179"/>
      <c r="U103" s="139">
        <f>ROUNDUP($A103/24,0)*24</f>
        <v>0</v>
      </c>
      <c r="V103" s="139">
        <f>ROUNDUP($A103,0)</f>
        <v>0</v>
      </c>
      <c r="W103" s="140"/>
      <c r="FE103" s="618" t="str">
        <f>VLOOKUP(851,Sprachindex!$A:$Z,Info!$O$7,FALSE)</f>
        <v>Spezialkleber</v>
      </c>
      <c r="FF103" s="619"/>
      <c r="FG103" s="619"/>
      <c r="FH103" s="619"/>
      <c r="FI103" s="619"/>
      <c r="FJ103" s="237">
        <v>40.299999999999997</v>
      </c>
      <c r="FK103" s="214"/>
      <c r="FL103" s="220"/>
      <c r="FM103" s="219"/>
      <c r="FN103" s="214"/>
      <c r="FO103" s="223"/>
      <c r="FP103" s="224"/>
      <c r="FQ103" s="105"/>
      <c r="FR103" s="220"/>
      <c r="FS103" s="233"/>
      <c r="FT103" s="248">
        <f t="shared" si="48"/>
        <v>40.299999999999997</v>
      </c>
    </row>
    <row r="104" spans="1:195" ht="32.1" customHeight="1">
      <c r="A104" s="93"/>
      <c r="B104" s="76" t="str">
        <f>VLOOKUP(821,Sprachindex!$A:$Z,Info!$O$7,FALSE)</f>
        <v>Set</v>
      </c>
      <c r="C104" s="78"/>
      <c r="D104" s="75">
        <v>420500</v>
      </c>
      <c r="E104" s="618" t="str">
        <f>VLOOKUP(852,Sprachindex!$A:$Z,Info!$O$7,FALSE)</f>
        <v>Spezialkleberset</v>
      </c>
      <c r="F104" s="619"/>
      <c r="G104" s="619"/>
      <c r="H104" s="619"/>
      <c r="I104" s="619"/>
      <c r="J104" s="681"/>
      <c r="K104" s="682"/>
      <c r="L104" s="76" t="str">
        <f>IF(A104=0,"",IF($O$11=1,U104,V104))</f>
        <v/>
      </c>
      <c r="M104" s="405" t="str">
        <f t="shared" si="46"/>
        <v>Set</v>
      </c>
      <c r="N104" s="77"/>
      <c r="O104" s="184" t="str">
        <f t="shared" si="45"/>
        <v xml:space="preserve"> </v>
      </c>
      <c r="R104" s="209"/>
      <c r="S104" s="179"/>
      <c r="U104" s="139">
        <f>ROUNDUP($A104,0)</f>
        <v>0</v>
      </c>
      <c r="V104" s="139">
        <f>ROUNDUP($A104,0)</f>
        <v>0</v>
      </c>
      <c r="W104" s="135"/>
      <c r="Y104" s="47" t="s">
        <v>32</v>
      </c>
      <c r="Z104" s="47" t="s">
        <v>33</v>
      </c>
      <c r="AA104" s="47" t="s">
        <v>34</v>
      </c>
      <c r="AB104" s="47" t="s">
        <v>35</v>
      </c>
      <c r="AC104" s="47" t="s">
        <v>36</v>
      </c>
      <c r="AD104" s="47" t="s">
        <v>37</v>
      </c>
      <c r="AE104" s="47" t="s">
        <v>38</v>
      </c>
      <c r="AF104" s="47"/>
      <c r="AG104" s="47" t="s">
        <v>39</v>
      </c>
      <c r="AH104" s="47" t="s">
        <v>40</v>
      </c>
      <c r="AI104" s="47" t="s">
        <v>41</v>
      </c>
      <c r="AJ104" s="47" t="s">
        <v>32</v>
      </c>
      <c r="AK104" s="47" t="s">
        <v>33</v>
      </c>
      <c r="AL104" s="47" t="s">
        <v>34</v>
      </c>
      <c r="AM104" s="47" t="s">
        <v>35</v>
      </c>
      <c r="AN104" s="47" t="s">
        <v>36</v>
      </c>
      <c r="AO104" s="47" t="s">
        <v>37</v>
      </c>
      <c r="AP104" s="47"/>
      <c r="AQ104" s="47" t="s">
        <v>38</v>
      </c>
      <c r="AR104" s="47" t="s">
        <v>39</v>
      </c>
      <c r="AS104" s="47" t="s">
        <v>40</v>
      </c>
      <c r="AT104" s="47" t="s">
        <v>41</v>
      </c>
      <c r="FE104" s="618" t="str">
        <f>VLOOKUP(852,Sprachindex!$A:$Z,Info!$O$7,FALSE)</f>
        <v>Spezialkleberset</v>
      </c>
      <c r="FF104" s="619"/>
      <c r="FG104" s="619"/>
      <c r="FH104" s="619"/>
      <c r="FI104" s="619"/>
      <c r="FJ104" s="237">
        <v>55.18</v>
      </c>
      <c r="FK104" s="214"/>
      <c r="FL104" s="220"/>
      <c r="FM104" s="219"/>
      <c r="FN104" s="214"/>
      <c r="FO104" s="223"/>
      <c r="FP104" s="224"/>
      <c r="FQ104" s="105"/>
      <c r="FR104" s="220"/>
      <c r="FS104" s="233"/>
      <c r="FT104" s="248">
        <f t="shared" si="48"/>
        <v>55.18</v>
      </c>
    </row>
    <row r="105" spans="1:195" ht="32.1" customHeight="1">
      <c r="A105" s="93"/>
      <c r="B105" s="76" t="str">
        <f>VLOOKUP(878,Sprachindex!$A:$Z,Info!$O$7,FALSE)</f>
        <v>Stk.</v>
      </c>
      <c r="C105" s="75"/>
      <c r="D105" s="75">
        <v>420028</v>
      </c>
      <c r="E105" s="618" t="str">
        <f>VLOOKUP(723,Sprachindex!$A:$Z,Info!$O$7,FALSE)</f>
        <v>Rinnenwulstöffner</v>
      </c>
      <c r="F105" s="619"/>
      <c r="G105" s="619"/>
      <c r="H105" s="619"/>
      <c r="I105" s="619"/>
      <c r="J105" s="681"/>
      <c r="K105" s="682"/>
      <c r="L105" s="76" t="str">
        <f>IF(OR(A105="",W105="",X105="")," ",IF($O$11=1,U105,IF($O$11=2,V105,0)))</f>
        <v xml:space="preserve"> </v>
      </c>
      <c r="M105" s="405" t="str">
        <f t="shared" si="46"/>
        <v>Stk.</v>
      </c>
      <c r="N105" s="77"/>
      <c r="O105" s="184" t="str">
        <f t="shared" si="45"/>
        <v xml:space="preserve"> </v>
      </c>
      <c r="R105" s="209"/>
      <c r="S105" s="179"/>
      <c r="T105" s="68"/>
      <c r="U105" s="139">
        <f>ROUNDUP($A105/W105,0)*W105</f>
        <v>0</v>
      </c>
      <c r="V105" s="139">
        <f>ROUNDUP($A105/X105,0)*X105</f>
        <v>0</v>
      </c>
      <c r="W105" s="139">
        <v>1</v>
      </c>
      <c r="X105" s="139">
        <v>1</v>
      </c>
      <c r="Y105" s="117"/>
      <c r="Z105" s="117"/>
      <c r="AA105" s="117"/>
      <c r="AB105" s="117"/>
      <c r="AC105" s="117"/>
      <c r="AD105" s="117"/>
      <c r="AE105" s="117"/>
      <c r="AF105" s="117"/>
      <c r="AG105" s="117"/>
      <c r="AH105" s="117"/>
      <c r="AI105" s="117"/>
      <c r="AJ105" s="117"/>
      <c r="AK105" s="117"/>
      <c r="AL105" s="117"/>
      <c r="AM105" s="117"/>
      <c r="AN105" s="117"/>
      <c r="AO105" s="117"/>
      <c r="AP105" s="117"/>
      <c r="FE105" s="618" t="str">
        <f>VLOOKUP(723,Sprachindex!$A:$Z,Info!$O$7,FALSE)</f>
        <v>Rinnenwulstöffner</v>
      </c>
      <c r="FF105" s="619"/>
      <c r="FG105" s="619"/>
      <c r="FH105" s="619"/>
      <c r="FI105" s="619"/>
      <c r="FJ105" s="237">
        <v>74.45</v>
      </c>
      <c r="FK105" s="214"/>
      <c r="FL105" s="220"/>
      <c r="FM105" s="219"/>
      <c r="FN105" s="214"/>
      <c r="FO105" s="223"/>
      <c r="FP105" s="224"/>
      <c r="FQ105" s="105"/>
      <c r="FR105" s="220"/>
      <c r="FS105" s="233"/>
      <c r="FT105" s="248">
        <f t="shared" si="48"/>
        <v>74.45</v>
      </c>
    </row>
    <row r="106" spans="1:195" ht="32.1" customHeight="1">
      <c r="A106" s="93"/>
      <c r="B106" s="76" t="str">
        <f>VLOOKUP(878,Sprachindex!$A:$Z,Info!$O$7,FALSE)</f>
        <v>Stk.</v>
      </c>
      <c r="C106" s="75"/>
      <c r="D106" s="75">
        <v>420546</v>
      </c>
      <c r="E106" s="618" t="str">
        <f>VLOOKUP(575,Sprachindex!$A:$Z,Info!$O$7,FALSE)</f>
        <v>Leitersicherung</v>
      </c>
      <c r="F106" s="619"/>
      <c r="G106" s="619"/>
      <c r="H106" s="619"/>
      <c r="I106" s="619"/>
      <c r="J106" s="681"/>
      <c r="K106" s="682"/>
      <c r="L106" s="76" t="str">
        <f>IF(OR(A106="",W106="",X106="")," ",IF($O$11=1,U106,IF($O$11=2,V106,0)))</f>
        <v xml:space="preserve"> </v>
      </c>
      <c r="M106" s="405" t="str">
        <f t="shared" si="46"/>
        <v>Stk.</v>
      </c>
      <c r="N106" s="77"/>
      <c r="O106" s="184" t="str">
        <f t="shared" si="45"/>
        <v xml:space="preserve"> </v>
      </c>
      <c r="R106" s="209"/>
      <c r="S106" s="179"/>
      <c r="T106" s="68"/>
      <c r="U106" s="139">
        <f>ROUNDUP($A106/W106,0)*W106</f>
        <v>0</v>
      </c>
      <c r="V106" s="139">
        <f>ROUNDUP($A106/X106,0)*X106</f>
        <v>0</v>
      </c>
      <c r="W106" s="139">
        <v>1</v>
      </c>
      <c r="X106" s="139">
        <v>1</v>
      </c>
      <c r="Y106" s="117"/>
      <c r="Z106" s="117"/>
      <c r="AA106" s="117"/>
      <c r="AB106" s="117"/>
      <c r="AC106" s="117"/>
      <c r="AD106" s="117"/>
      <c r="AE106" s="117"/>
      <c r="AF106" s="117"/>
      <c r="AG106" s="117"/>
      <c r="AH106" s="117"/>
      <c r="AI106" s="117"/>
      <c r="AJ106" s="117"/>
      <c r="AK106" s="117"/>
      <c r="AL106" s="117"/>
      <c r="AM106" s="117"/>
      <c r="AN106" s="117"/>
      <c r="AO106" s="117"/>
      <c r="AP106" s="117"/>
      <c r="FE106" s="618" t="str">
        <f>VLOOKUP(575,Sprachindex!$A:$Z,Info!$O$7,FALSE)</f>
        <v>Leitersicherung</v>
      </c>
      <c r="FF106" s="619"/>
      <c r="FG106" s="619"/>
      <c r="FH106" s="619"/>
      <c r="FI106" s="619"/>
      <c r="FJ106" s="237">
        <v>114.23</v>
      </c>
      <c r="FK106" s="285"/>
      <c r="FT106" s="248">
        <f t="shared" si="48"/>
        <v>114.23</v>
      </c>
    </row>
    <row r="107" spans="1:195" ht="32.1" customHeight="1">
      <c r="A107" s="146"/>
      <c r="B107" s="98"/>
      <c r="C107" s="98"/>
      <c r="D107" s="98"/>
      <c r="E107" s="648"/>
      <c r="F107" s="649"/>
      <c r="G107" s="649"/>
      <c r="H107" s="649"/>
      <c r="I107" s="649"/>
      <c r="J107" s="649"/>
      <c r="K107" s="650"/>
      <c r="L107" s="98"/>
      <c r="M107" s="399"/>
      <c r="N107" s="77"/>
      <c r="O107" s="67"/>
      <c r="R107" s="209"/>
      <c r="S107" s="179"/>
      <c r="T107" s="68"/>
      <c r="U107" s="8"/>
      <c r="V107" s="8"/>
    </row>
    <row r="108" spans="1:195" ht="32.1" customHeight="1">
      <c r="A108" s="103"/>
      <c r="B108" s="98"/>
      <c r="C108" s="98"/>
      <c r="D108" s="98"/>
      <c r="E108" s="648"/>
      <c r="F108" s="649"/>
      <c r="G108" s="649"/>
      <c r="H108" s="649"/>
      <c r="I108" s="649"/>
      <c r="J108" s="649"/>
      <c r="K108" s="650"/>
      <c r="L108" s="98"/>
      <c r="M108" s="399"/>
      <c r="N108" s="77"/>
      <c r="R108" s="209"/>
      <c r="S108" s="179"/>
      <c r="T108" s="68"/>
      <c r="U108" s="8"/>
      <c r="V108" s="8"/>
    </row>
    <row r="109" spans="1:195" ht="32.1" customHeight="1" thickBot="1">
      <c r="A109" s="143"/>
      <c r="B109" s="144"/>
      <c r="C109" s="144"/>
      <c r="D109" s="144"/>
      <c r="E109" s="651"/>
      <c r="F109" s="652"/>
      <c r="G109" s="652"/>
      <c r="H109" s="652"/>
      <c r="I109" s="652"/>
      <c r="J109" s="652"/>
      <c r="K109" s="653"/>
      <c r="L109" s="144"/>
      <c r="M109" s="400"/>
      <c r="N109" s="145"/>
      <c r="R109" s="209"/>
      <c r="S109" s="179"/>
      <c r="T109" s="68"/>
      <c r="U109" s="8"/>
      <c r="V109" s="8"/>
    </row>
    <row r="110" spans="1:195" ht="15" customHeight="1">
      <c r="A110" s="67"/>
      <c r="B110" s="67"/>
      <c r="C110" s="67"/>
      <c r="D110" s="641"/>
      <c r="E110" s="641"/>
      <c r="F110" s="641"/>
      <c r="G110" s="641"/>
      <c r="H110" s="641"/>
      <c r="I110" s="641"/>
      <c r="J110" s="641"/>
      <c r="K110" s="641"/>
      <c r="L110" s="641"/>
      <c r="M110" s="641"/>
      <c r="N110" s="641"/>
      <c r="O110" s="68"/>
      <c r="P110" s="68"/>
      <c r="Q110" s="88"/>
      <c r="R110" s="88"/>
      <c r="S110" s="68"/>
      <c r="T110" s="68"/>
    </row>
    <row r="111" spans="1:195" ht="17.399999999999999">
      <c r="A111" s="67"/>
      <c r="B111" s="67"/>
      <c r="C111" s="84" t="str">
        <f>VLOOKUP(1035,Sprachindex!$A:$Z,Info!$O$7,FALSE)</f>
        <v>Zusatzvermerk:</v>
      </c>
      <c r="D111" s="642"/>
      <c r="E111" s="642"/>
      <c r="F111" s="642"/>
      <c r="G111" s="642"/>
      <c r="H111" s="642"/>
      <c r="I111" s="642"/>
      <c r="J111" s="642"/>
      <c r="K111" s="642"/>
      <c r="L111" s="642"/>
      <c r="M111" s="642"/>
      <c r="N111" s="642"/>
      <c r="O111" s="191">
        <f>SUM(O31:O109)</f>
        <v>0</v>
      </c>
      <c r="P111" s="68"/>
      <c r="Q111" s="88"/>
      <c r="R111" s="88"/>
      <c r="S111" s="68"/>
      <c r="T111" s="68"/>
    </row>
    <row r="112" spans="1:195" s="9" customFormat="1" ht="17.399999999999999">
      <c r="A112" s="67"/>
      <c r="B112" s="67"/>
      <c r="C112" s="67"/>
      <c r="D112" s="643"/>
      <c r="E112" s="643"/>
      <c r="F112" s="643"/>
      <c r="G112" s="643"/>
      <c r="H112" s="643"/>
      <c r="I112" s="643"/>
      <c r="J112" s="643"/>
      <c r="K112" s="643"/>
      <c r="L112" s="643"/>
      <c r="M112" s="643"/>
      <c r="N112" s="643"/>
      <c r="O112" s="68"/>
      <c r="P112" s="68"/>
      <c r="Q112" s="88"/>
      <c r="R112" s="88"/>
      <c r="S112" s="68"/>
      <c r="T112" s="68"/>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row>
    <row r="113" spans="1:196" s="9" customFormat="1" ht="17.399999999999999">
      <c r="A113" s="67"/>
      <c r="B113" s="67"/>
      <c r="C113" s="67"/>
      <c r="D113" s="642"/>
      <c r="E113" s="642"/>
      <c r="F113" s="642"/>
      <c r="G113" s="642"/>
      <c r="H113" s="642"/>
      <c r="I113" s="642"/>
      <c r="J113" s="642"/>
      <c r="K113" s="642"/>
      <c r="L113" s="642"/>
      <c r="M113" s="642"/>
      <c r="N113" s="642"/>
      <c r="O113" s="68"/>
      <c r="P113" s="68"/>
      <c r="Q113" s="88"/>
      <c r="R113" s="88"/>
      <c r="S113" s="68"/>
      <c r="T113" s="68"/>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row>
    <row r="114" spans="1:196" s="9" customFormat="1" ht="17.399999999999999">
      <c r="A114" s="67"/>
      <c r="B114" s="67"/>
      <c r="C114" s="67"/>
      <c r="D114" s="643"/>
      <c r="E114" s="643"/>
      <c r="F114" s="643"/>
      <c r="G114" s="643"/>
      <c r="H114" s="643"/>
      <c r="I114" s="643"/>
      <c r="J114" s="643"/>
      <c r="K114" s="643"/>
      <c r="L114" s="643"/>
      <c r="M114" s="643"/>
      <c r="N114" s="643"/>
      <c r="O114" s="68"/>
      <c r="P114" s="68"/>
      <c r="Q114" s="88"/>
      <c r="R114" s="88"/>
      <c r="S114" s="68"/>
      <c r="T114" s="68"/>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row>
    <row r="115" spans="1:196" s="9" customFormat="1" ht="17.399999999999999">
      <c r="A115" s="67"/>
      <c r="B115" s="67"/>
      <c r="C115" s="67"/>
      <c r="D115" s="642"/>
      <c r="E115" s="642"/>
      <c r="F115" s="642"/>
      <c r="G115" s="642"/>
      <c r="H115" s="642"/>
      <c r="I115" s="642"/>
      <c r="J115" s="642"/>
      <c r="K115" s="642"/>
      <c r="L115" s="642"/>
      <c r="M115" s="642"/>
      <c r="N115" s="642"/>
      <c r="O115" s="68"/>
      <c r="P115" s="68"/>
      <c r="Q115" s="88"/>
      <c r="R115" s="88"/>
      <c r="S115" s="68"/>
      <c r="T115" s="68"/>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row>
    <row r="116" spans="1:196" s="9" customFormat="1" ht="17.399999999999999">
      <c r="A116" s="67"/>
      <c r="B116" s="67"/>
      <c r="C116" s="67"/>
      <c r="D116" s="67"/>
      <c r="E116" s="67"/>
      <c r="F116" s="67"/>
      <c r="G116" s="67"/>
      <c r="H116" s="67"/>
      <c r="I116" s="67"/>
      <c r="J116" s="67"/>
      <c r="K116" s="67"/>
      <c r="L116" s="67"/>
      <c r="M116" s="67"/>
      <c r="N116" s="67"/>
      <c r="O116" s="68"/>
      <c r="P116" s="68"/>
      <c r="Q116" s="88"/>
      <c r="R116" s="88"/>
      <c r="S116" s="68"/>
      <c r="T116" s="68"/>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row>
    <row r="117" spans="1:196" s="9" customFormat="1" ht="17.399999999999999">
      <c r="A117" s="67"/>
      <c r="B117" s="67"/>
      <c r="C117" s="67"/>
      <c r="D117" s="67"/>
      <c r="E117" s="67"/>
      <c r="F117" s="67"/>
      <c r="G117" s="67"/>
      <c r="H117" s="67"/>
      <c r="I117" s="67"/>
      <c r="J117" s="67"/>
      <c r="K117" s="67"/>
      <c r="L117" s="67"/>
      <c r="M117" s="67"/>
      <c r="N117" s="67"/>
      <c r="O117" s="68"/>
      <c r="P117" s="68"/>
      <c r="Q117" s="88"/>
      <c r="R117" s="88"/>
      <c r="S117" s="68"/>
      <c r="T117" s="68"/>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row>
    <row r="118" spans="1:196" s="9" customFormat="1" ht="17.399999999999999">
      <c r="A118" s="85" t="str">
        <f>VLOOKUP(2097,Sprachindex!$A:$Z,Info!$O$7,FALSE)</f>
        <v>Produkttechnik</v>
      </c>
      <c r="B118" s="86"/>
      <c r="C118" s="86"/>
      <c r="D118" s="646"/>
      <c r="E118" s="646"/>
      <c r="F118" s="646"/>
      <c r="G118" s="646"/>
      <c r="H118" s="646"/>
      <c r="I118" s="646"/>
      <c r="J118" s="646"/>
      <c r="K118" s="87" t="str">
        <f>VLOOKUP(856,Sprachindex!$A:$Z,Info!$O$7,FALSE)</f>
        <v>Stand:</v>
      </c>
      <c r="L118" s="644">
        <f>Info!M59</f>
        <v>45728</v>
      </c>
      <c r="M118" s="644"/>
      <c r="N118" s="645"/>
      <c r="O118" s="68"/>
      <c r="P118" s="68"/>
      <c r="Q118" s="88"/>
      <c r="R118" s="88"/>
      <c r="S118" s="68"/>
      <c r="T118" s="68"/>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row>
    <row r="119" spans="1:196" s="9" customFormat="1" ht="14.25" customHeight="1">
      <c r="A119" s="67"/>
      <c r="B119" s="67"/>
      <c r="C119" s="67"/>
      <c r="D119" s="67"/>
      <c r="E119" s="67"/>
      <c r="F119" s="67"/>
      <c r="G119" s="67"/>
      <c r="H119" s="67"/>
      <c r="I119" s="67"/>
      <c r="J119" s="67"/>
      <c r="K119" s="67"/>
      <c r="L119" s="67"/>
      <c r="M119" s="67"/>
      <c r="N119" s="67"/>
      <c r="O119" s="68"/>
      <c r="P119" s="68"/>
      <c r="Q119" s="88"/>
      <c r="R119" s="88"/>
      <c r="S119" s="68"/>
      <c r="T119" s="68"/>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row>
    <row r="120" spans="1:196" s="9" customFormat="1" ht="13.8" hidden="1">
      <c r="A120" s="1"/>
      <c r="B120" s="1"/>
      <c r="C120" s="1"/>
      <c r="D120" s="1"/>
      <c r="E120" s="1"/>
      <c r="F120" s="1"/>
      <c r="G120" s="1"/>
      <c r="H120" s="1"/>
      <c r="I120" s="1"/>
      <c r="J120" s="1"/>
      <c r="K120" s="1"/>
      <c r="L120" s="1"/>
      <c r="M120" s="1"/>
      <c r="N120" s="1"/>
      <c r="O120" s="5"/>
      <c r="P120" s="5"/>
      <c r="Q120" s="129"/>
      <c r="R120" s="129"/>
      <c r="S120" s="5"/>
      <c r="T120" s="5"/>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row>
    <row r="121" spans="1:196" s="9" customFormat="1" ht="13.8" hidden="1">
      <c r="A121" s="1"/>
      <c r="B121" s="1"/>
      <c r="C121" s="1"/>
      <c r="D121" s="1"/>
      <c r="E121" s="1"/>
      <c r="F121" s="1"/>
      <c r="G121" s="1"/>
      <c r="H121" s="1"/>
      <c r="I121" s="1"/>
      <c r="J121" s="1"/>
      <c r="K121" s="1"/>
      <c r="L121" s="1"/>
      <c r="M121" s="1"/>
      <c r="N121" s="1"/>
      <c r="O121" s="5"/>
      <c r="P121" s="5"/>
      <c r="Q121" s="129"/>
      <c r="R121" s="129"/>
      <c r="S121" s="5"/>
      <c r="T121" s="5"/>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row>
    <row r="122" spans="1:196" s="9" customFormat="1" ht="13.8" hidden="1">
      <c r="A122" s="1"/>
      <c r="B122" s="1"/>
      <c r="C122" s="1"/>
      <c r="D122" s="1"/>
      <c r="E122" s="1"/>
      <c r="F122" s="1"/>
      <c r="G122" s="1"/>
      <c r="H122" s="1"/>
      <c r="I122" s="1"/>
      <c r="J122" s="1"/>
      <c r="K122" s="1"/>
      <c r="L122" s="1"/>
      <c r="M122" s="1"/>
      <c r="N122" s="1"/>
      <c r="O122" s="5"/>
      <c r="P122" s="5"/>
      <c r="Q122" s="129"/>
      <c r="R122" s="129"/>
      <c r="S122" s="5"/>
      <c r="T122" s="5"/>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row>
    <row r="123" spans="1:196" s="9" customFormat="1" ht="13.8" hidden="1">
      <c r="A123" s="1"/>
      <c r="B123" s="1"/>
      <c r="C123" s="1"/>
      <c r="D123" s="1"/>
      <c r="E123" s="1"/>
      <c r="F123" s="1"/>
      <c r="G123" s="1"/>
      <c r="H123" s="1"/>
      <c r="I123" s="1"/>
      <c r="J123" s="1"/>
      <c r="K123" s="1"/>
      <c r="L123" s="1"/>
      <c r="M123" s="1"/>
      <c r="N123" s="1"/>
      <c r="O123" s="5"/>
      <c r="P123" s="5"/>
      <c r="Q123" s="129"/>
      <c r="R123" s="129"/>
      <c r="S123" s="5"/>
      <c r="T123" s="5"/>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row>
    <row r="124" spans="1:196" s="9" customFormat="1" ht="13.8" hidden="1">
      <c r="A124" s="1"/>
      <c r="B124" s="1"/>
      <c r="C124" s="1"/>
      <c r="D124" s="1"/>
      <c r="E124" s="1"/>
      <c r="F124" s="1"/>
      <c r="G124" s="1"/>
      <c r="H124" s="1"/>
      <c r="I124" s="1"/>
      <c r="J124" s="1"/>
      <c r="K124" s="1"/>
      <c r="L124" s="1"/>
      <c r="M124" s="1"/>
      <c r="N124" s="1"/>
      <c r="O124" s="5"/>
      <c r="P124" s="5"/>
      <c r="Q124" s="129"/>
      <c r="R124" s="129"/>
      <c r="S124" s="5"/>
      <c r="T124" s="5"/>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row>
    <row r="125" spans="1:196" s="9" customFormat="1" ht="13.8" hidden="1">
      <c r="A125" s="1"/>
      <c r="B125" s="1"/>
      <c r="C125" s="1"/>
      <c r="D125" s="1"/>
      <c r="E125" s="1"/>
      <c r="F125" s="1"/>
      <c r="G125" s="1"/>
      <c r="H125" s="1"/>
      <c r="I125" s="1"/>
      <c r="J125" s="1"/>
      <c r="K125" s="1"/>
      <c r="L125" s="1"/>
      <c r="M125" s="1"/>
      <c r="N125" s="1"/>
      <c r="O125" s="5"/>
      <c r="P125" s="5"/>
      <c r="Q125" s="129"/>
      <c r="R125" s="129"/>
      <c r="S125" s="5"/>
      <c r="T125" s="5"/>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row>
    <row r="126" spans="1:196" s="9" customFormat="1" ht="13.8" hidden="1">
      <c r="A126" s="1"/>
      <c r="B126" s="1"/>
      <c r="C126" s="1"/>
      <c r="D126" s="1"/>
      <c r="E126" s="1"/>
      <c r="F126" s="1"/>
      <c r="G126" s="1"/>
      <c r="H126" s="1"/>
      <c r="I126" s="1"/>
      <c r="J126" s="1"/>
      <c r="K126" s="1"/>
      <c r="L126" s="1"/>
      <c r="M126" s="1"/>
      <c r="N126" s="1"/>
      <c r="O126" s="5"/>
      <c r="P126" s="5"/>
      <c r="Q126" s="129"/>
      <c r="R126" s="129"/>
      <c r="S126" s="5"/>
      <c r="T126" s="5"/>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row>
    <row r="127" spans="1:196" s="9" customFormat="1" ht="13.8" hidden="1">
      <c r="A127" s="1"/>
      <c r="B127" s="1"/>
      <c r="C127" s="1"/>
      <c r="D127" s="1"/>
      <c r="E127" s="1"/>
      <c r="F127" s="1"/>
      <c r="G127" s="1"/>
      <c r="H127" s="1"/>
      <c r="I127" s="1"/>
      <c r="J127" s="1"/>
      <c r="K127" s="1"/>
      <c r="L127" s="1"/>
      <c r="M127" s="1"/>
      <c r="N127" s="1"/>
      <c r="O127" s="5"/>
      <c r="P127" s="5"/>
      <c r="Q127" s="129"/>
      <c r="R127" s="129"/>
      <c r="S127" s="5"/>
      <c r="T127" s="5"/>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row>
    <row r="128" spans="1:196"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3.8" hidden="1"/>
    <row r="142" ht="13.8" hidden="1"/>
    <row r="143" ht="13.8" hidden="1"/>
    <row r="144"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4.25" hidden="1" customHeight="1"/>
  </sheetData>
  <sheetProtection algorithmName="SHA-512" hashValue="zqFJWYGCOlHD5GQaVgOwTg9+bHT/1Y/0JqC+ebipVde5MsZ1wjz72NZOsanQSgzH0Y5D4th687ujhMUPFPbvtw==" saltValue="Y/ersk1J1eFPGAxtzL/m3w==" spinCount="100000" sheet="1" objects="1" scenarios="1" selectLockedCells="1" autoFilter="0"/>
  <protectedRanges>
    <protectedRange password="DEBF" sqref="U107:V109" name="darf vom Benutzer nicht verändert werden_1_5"/>
    <protectedRange password="DEBF" sqref="X31:X32 W31:W40 W47:X48" name="darf vom Benutzer nicht verändert werden_1_12"/>
    <protectedRange password="DEBF" sqref="U55:V55 U31:V32 U47:V48" name="darf vom Benutzer nicht verändert werden_1_2_2"/>
    <protectedRange password="DEBF" sqref="U33:U34 V34 U35:V44 U46:V46 U49:V54 U93:V93 U56:V61" name="darf vom Benutzer nicht verändert werden_1_2_3"/>
    <protectedRange password="DEBF" sqref="V33" name="darf vom Benutzer nicht verändert werden_1_2_4"/>
    <protectedRange password="DEBF" sqref="U45:V45" name="darf vom Benutzer nicht verändert werden_1_5_3"/>
    <protectedRange password="DEBF" sqref="U94:V97 U105:V106 U70:V83 U101:V101 U85:V92 U62:V68" name="darf vom Benutzer nicht verändert werden_1_2_1"/>
    <protectedRange password="DEBF" sqref="U69:V69" name="darf vom Benutzer nicht verändert werden_1_2_6"/>
    <protectedRange password="DEBF" sqref="W69" name="darf vom Benutzer nicht verändert werden_1_12_1_1"/>
    <protectedRange password="DEBF" sqref="U84:V84" name="darf vom Benutzer nicht verändert werden_1_2_3_4_1"/>
    <protectedRange password="DEBF" sqref="U102:V102" name="darf vom Benutzer nicht verändert werden_1_2_1_1"/>
    <protectedRange password="DEBF" sqref="U103:V104" name="darf vom Benutzer nicht verändert werden_1_5_4"/>
    <protectedRange password="DEBF" sqref="U99:V100" name="darf vom Benutzer nicht verändert werden_1_2_1_1_1"/>
    <protectedRange password="DEBF" sqref="U98:V98" name="darf vom Benutzer nicht verändert werden_1_5_1"/>
  </protectedRanges>
  <autoFilter ref="A29:A109" xr:uid="{00000000-0009-0000-0000-000009000000}"/>
  <mergeCells count="279">
    <mergeCell ref="GJ77:GL77"/>
    <mergeCell ref="GG77:GI77"/>
    <mergeCell ref="E87:I87"/>
    <mergeCell ref="J87:K87"/>
    <mergeCell ref="E81:I81"/>
    <mergeCell ref="E100:I100"/>
    <mergeCell ref="J100:K100"/>
    <mergeCell ref="E92:I92"/>
    <mergeCell ref="E91:I91"/>
    <mergeCell ref="E99:I99"/>
    <mergeCell ref="J99:K99"/>
    <mergeCell ref="J81:K81"/>
    <mergeCell ref="E82:I82"/>
    <mergeCell ref="J82:K82"/>
    <mergeCell ref="E83:I83"/>
    <mergeCell ref="J83:K83"/>
    <mergeCell ref="J86:K86"/>
    <mergeCell ref="E86:I86"/>
    <mergeCell ref="E84:I84"/>
    <mergeCell ref="J84:K84"/>
    <mergeCell ref="GE77:GF77"/>
    <mergeCell ref="FE86:FI86"/>
    <mergeCell ref="FE81:FI81"/>
    <mergeCell ref="E85:I85"/>
    <mergeCell ref="FE103:FI103"/>
    <mergeCell ref="L118:N118"/>
    <mergeCell ref="D110:N111"/>
    <mergeCell ref="D112:N113"/>
    <mergeCell ref="D114:N115"/>
    <mergeCell ref="E101:I101"/>
    <mergeCell ref="J101:K101"/>
    <mergeCell ref="E93:I93"/>
    <mergeCell ref="J93:K93"/>
    <mergeCell ref="E94:I94"/>
    <mergeCell ref="J94:K94"/>
    <mergeCell ref="E95:I95"/>
    <mergeCell ref="J97:K97"/>
    <mergeCell ref="D118:J118"/>
    <mergeCell ref="E107:K107"/>
    <mergeCell ref="E108:K108"/>
    <mergeCell ref="E109:K109"/>
    <mergeCell ref="FE104:FI104"/>
    <mergeCell ref="FE105:FI105"/>
    <mergeCell ref="FE106:FI106"/>
    <mergeCell ref="FE98:FI98"/>
    <mergeCell ref="FE99:FI99"/>
    <mergeCell ref="FE100:FI100"/>
    <mergeCell ref="FE101:FI101"/>
    <mergeCell ref="E75:I75"/>
    <mergeCell ref="J75:K75"/>
    <mergeCell ref="E78:I78"/>
    <mergeCell ref="J78:K78"/>
    <mergeCell ref="E102:I102"/>
    <mergeCell ref="J102:K102"/>
    <mergeCell ref="E105:I105"/>
    <mergeCell ref="E106:I106"/>
    <mergeCell ref="E104:I104"/>
    <mergeCell ref="J104:K104"/>
    <mergeCell ref="E103:I103"/>
    <mergeCell ref="J103:K103"/>
    <mergeCell ref="J106:K106"/>
    <mergeCell ref="E98:I98"/>
    <mergeCell ref="J98:K98"/>
    <mergeCell ref="J85:K85"/>
    <mergeCell ref="E60:I60"/>
    <mergeCell ref="J60:K60"/>
    <mergeCell ref="E61:I61"/>
    <mergeCell ref="J61:K61"/>
    <mergeCell ref="E68:I68"/>
    <mergeCell ref="J68:K68"/>
    <mergeCell ref="J69:K69"/>
    <mergeCell ref="E65:I65"/>
    <mergeCell ref="J65:K65"/>
    <mergeCell ref="E66:H66"/>
    <mergeCell ref="J66:K66"/>
    <mergeCell ref="E67:I67"/>
    <mergeCell ref="J67:K67"/>
    <mergeCell ref="E69:H69"/>
    <mergeCell ref="E63:I63"/>
    <mergeCell ref="J63:K63"/>
    <mergeCell ref="E57:I57"/>
    <mergeCell ref="J57:K57"/>
    <mergeCell ref="E58:I58"/>
    <mergeCell ref="J58:K58"/>
    <mergeCell ref="E59:I59"/>
    <mergeCell ref="J59:K59"/>
    <mergeCell ref="E54:H54"/>
    <mergeCell ref="J54:K54"/>
    <mergeCell ref="E55:I55"/>
    <mergeCell ref="J55:K55"/>
    <mergeCell ref="E56:I56"/>
    <mergeCell ref="J56:K56"/>
    <mergeCell ref="E52:I52"/>
    <mergeCell ref="J52:K52"/>
    <mergeCell ref="E53:I53"/>
    <mergeCell ref="J53:K53"/>
    <mergeCell ref="E51:I51"/>
    <mergeCell ref="J51:K51"/>
    <mergeCell ref="E46:I46"/>
    <mergeCell ref="J46:K46"/>
    <mergeCell ref="J47:K47"/>
    <mergeCell ref="E49:I49"/>
    <mergeCell ref="J49:K49"/>
    <mergeCell ref="E47:I47"/>
    <mergeCell ref="E48:I48"/>
    <mergeCell ref="J48:K48"/>
    <mergeCell ref="E45:I45"/>
    <mergeCell ref="J45:K45"/>
    <mergeCell ref="E41:I41"/>
    <mergeCell ref="J41:K41"/>
    <mergeCell ref="E42:I42"/>
    <mergeCell ref="J42:K42"/>
    <mergeCell ref="E43:I43"/>
    <mergeCell ref="J43:K43"/>
    <mergeCell ref="E50:I50"/>
    <mergeCell ref="J50:K50"/>
    <mergeCell ref="E44:I44"/>
    <mergeCell ref="C9:E9"/>
    <mergeCell ref="C10:E10"/>
    <mergeCell ref="C11:E11"/>
    <mergeCell ref="C21:E21"/>
    <mergeCell ref="B29:E29"/>
    <mergeCell ref="E30:K30"/>
    <mergeCell ref="C13:E13"/>
    <mergeCell ref="C14:E14"/>
    <mergeCell ref="C15:E15"/>
    <mergeCell ref="C18:E18"/>
    <mergeCell ref="C19:E19"/>
    <mergeCell ref="C20:E20"/>
    <mergeCell ref="B24:B27"/>
    <mergeCell ref="C24:E24"/>
    <mergeCell ref="C25:E25"/>
    <mergeCell ref="C26:E26"/>
    <mergeCell ref="C27:E27"/>
    <mergeCell ref="E40:I40"/>
    <mergeCell ref="J40:K40"/>
    <mergeCell ref="E31:H31"/>
    <mergeCell ref="J31:K31"/>
    <mergeCell ref="E33:H33"/>
    <mergeCell ref="J33:K33"/>
    <mergeCell ref="E37:I37"/>
    <mergeCell ref="J37:K37"/>
    <mergeCell ref="E38:I38"/>
    <mergeCell ref="J38:K38"/>
    <mergeCell ref="E39:I39"/>
    <mergeCell ref="J39:K39"/>
    <mergeCell ref="E34:I34"/>
    <mergeCell ref="J34:K34"/>
    <mergeCell ref="E35:H35"/>
    <mergeCell ref="J35:K35"/>
    <mergeCell ref="E36:H36"/>
    <mergeCell ref="J36:K36"/>
    <mergeCell ref="E32:H32"/>
    <mergeCell ref="J32:K32"/>
    <mergeCell ref="FE42:FI42"/>
    <mergeCell ref="FE43:FI43"/>
    <mergeCell ref="FE44:FI44"/>
    <mergeCell ref="FE45:FI45"/>
    <mergeCell ref="FE46:FI46"/>
    <mergeCell ref="FJ29:FL29"/>
    <mergeCell ref="FM29:FO29"/>
    <mergeCell ref="FP29:FR29"/>
    <mergeCell ref="J105:K105"/>
    <mergeCell ref="J44:K44"/>
    <mergeCell ref="J95:K95"/>
    <mergeCell ref="J88:K88"/>
    <mergeCell ref="J89:K89"/>
    <mergeCell ref="J90:K90"/>
    <mergeCell ref="J91:K91"/>
    <mergeCell ref="J92:K92"/>
    <mergeCell ref="J96:K96"/>
    <mergeCell ref="U29:V29"/>
    <mergeCell ref="W29:X29"/>
    <mergeCell ref="J62:K62"/>
    <mergeCell ref="J64:K64"/>
    <mergeCell ref="J70:K70"/>
    <mergeCell ref="J79:K79"/>
    <mergeCell ref="J80:K80"/>
    <mergeCell ref="GN41:GR41"/>
    <mergeCell ref="FY41:GC41"/>
    <mergeCell ref="GD41:GH41"/>
    <mergeCell ref="GI41:GM41"/>
    <mergeCell ref="FE31:FH31"/>
    <mergeCell ref="FE32:FH32"/>
    <mergeCell ref="FE33:FH33"/>
    <mergeCell ref="FE34:FI34"/>
    <mergeCell ref="FE35:FH35"/>
    <mergeCell ref="FE36:FH36"/>
    <mergeCell ref="FE37:FI37"/>
    <mergeCell ref="FE38:FI38"/>
    <mergeCell ref="FE39:FI39"/>
    <mergeCell ref="FE40:FI40"/>
    <mergeCell ref="FE41:FI41"/>
    <mergeCell ref="FJ61:FL61"/>
    <mergeCell ref="FM61:FO61"/>
    <mergeCell ref="FP61:FR61"/>
    <mergeCell ref="FJ62:FL62"/>
    <mergeCell ref="FM62:FO62"/>
    <mergeCell ref="FP62:FR62"/>
    <mergeCell ref="FE67:FI67"/>
    <mergeCell ref="FE68:FI68"/>
    <mergeCell ref="FE69:FI69"/>
    <mergeCell ref="FE61:FI61"/>
    <mergeCell ref="FE62:FH62"/>
    <mergeCell ref="FE64:FH64"/>
    <mergeCell ref="FE65:FI65"/>
    <mergeCell ref="FE66:FH66"/>
    <mergeCell ref="FE63:FI63"/>
    <mergeCell ref="FE47:FI47"/>
    <mergeCell ref="FE48:FI48"/>
    <mergeCell ref="FE49:FI49"/>
    <mergeCell ref="FE50:FI50"/>
    <mergeCell ref="FE51:FI51"/>
    <mergeCell ref="FE94:FI94"/>
    <mergeCell ref="FE95:FI95"/>
    <mergeCell ref="FE96:FI96"/>
    <mergeCell ref="FE97:FI97"/>
    <mergeCell ref="FE90:FI90"/>
    <mergeCell ref="FE91:FI91"/>
    <mergeCell ref="FE92:FI92"/>
    <mergeCell ref="FE93:FI93"/>
    <mergeCell ref="FE57:FI57"/>
    <mergeCell ref="FE58:FI58"/>
    <mergeCell ref="FE59:FI59"/>
    <mergeCell ref="FE60:FI60"/>
    <mergeCell ref="FE52:FI52"/>
    <mergeCell ref="FE53:FI53"/>
    <mergeCell ref="FE54:FH54"/>
    <mergeCell ref="FE55:FI55"/>
    <mergeCell ref="FE56:FI56"/>
    <mergeCell ref="FE75:FI75"/>
    <mergeCell ref="GA63:GB63"/>
    <mergeCell ref="GC63:GD63"/>
    <mergeCell ref="FY64:FZ64"/>
    <mergeCell ref="GA64:GB64"/>
    <mergeCell ref="GC64:GD64"/>
    <mergeCell ref="FJ66:FK66"/>
    <mergeCell ref="FP66:FQ66"/>
    <mergeCell ref="FE89:FI89"/>
    <mergeCell ref="FE87:FI87"/>
    <mergeCell ref="FE88:FI88"/>
    <mergeCell ref="FE82:FI82"/>
    <mergeCell ref="FE83:FI83"/>
    <mergeCell ref="FE84:FI84"/>
    <mergeCell ref="FE85:FI85"/>
    <mergeCell ref="FE72:FI72"/>
    <mergeCell ref="FE73:FI73"/>
    <mergeCell ref="FE74:FI74"/>
    <mergeCell ref="FE76:FI76"/>
    <mergeCell ref="FE70:FI70"/>
    <mergeCell ref="FE71:FI71"/>
    <mergeCell ref="FE77:FI77"/>
    <mergeCell ref="FE78:FI78"/>
    <mergeCell ref="FE79:FI79"/>
    <mergeCell ref="FE80:FI80"/>
    <mergeCell ref="FE102:FI102"/>
    <mergeCell ref="FY63:FZ63"/>
    <mergeCell ref="E88:I88"/>
    <mergeCell ref="E89:I89"/>
    <mergeCell ref="E90:I90"/>
    <mergeCell ref="E96:I96"/>
    <mergeCell ref="E97:I97"/>
    <mergeCell ref="E62:H62"/>
    <mergeCell ref="E64:H64"/>
    <mergeCell ref="E70:I70"/>
    <mergeCell ref="E79:I79"/>
    <mergeCell ref="E80:I80"/>
    <mergeCell ref="E71:I71"/>
    <mergeCell ref="J71:K71"/>
    <mergeCell ref="E72:I72"/>
    <mergeCell ref="J72:K72"/>
    <mergeCell ref="E73:I73"/>
    <mergeCell ref="J73:K73"/>
    <mergeCell ref="E74:I74"/>
    <mergeCell ref="J74:K74"/>
    <mergeCell ref="E76:I76"/>
    <mergeCell ref="J76:K76"/>
    <mergeCell ref="E77:I77"/>
    <mergeCell ref="J77:K77"/>
  </mergeCells>
  <conditionalFormatting sqref="A31:A97">
    <cfRule type="cellIs" dxfId="467" priority="78" operator="equal">
      <formula>0</formula>
    </cfRule>
  </conditionalFormatting>
  <conditionalFormatting sqref="A47:A48 E48 FE48">
    <cfRule type="expression" dxfId="466" priority="1926">
      <formula>$O$17=2</formula>
    </cfRule>
  </conditionalFormatting>
  <conditionalFormatting sqref="A79">
    <cfRule type="expression" dxfId="464" priority="94">
      <formula>$O$18=1</formula>
    </cfRule>
  </conditionalFormatting>
  <conditionalFormatting sqref="A98">
    <cfRule type="cellIs" dxfId="463" priority="63" operator="equal">
      <formula>""</formula>
    </cfRule>
  </conditionalFormatting>
  <conditionalFormatting sqref="A99:A102">
    <cfRule type="cellIs" dxfId="462" priority="65" operator="equal">
      <formula>0</formula>
    </cfRule>
  </conditionalFormatting>
  <conditionalFormatting sqref="A103:A104">
    <cfRule type="cellIs" dxfId="461" priority="70" operator="equal">
      <formula>""</formula>
    </cfRule>
  </conditionalFormatting>
  <conditionalFormatting sqref="A105:A109 B107:N109">
    <cfRule type="cellIs" dxfId="460" priority="80" operator="equal">
      <formula>0</formula>
    </cfRule>
  </conditionalFormatting>
  <conditionalFormatting sqref="A89:B89 D89:K89 M89:N89">
    <cfRule type="expression" dxfId="430" priority="146">
      <formula>OR($O$18=1,$O$18=2,$O$18=4,$O$18=5)</formula>
    </cfRule>
  </conditionalFormatting>
  <conditionalFormatting sqref="B35:N35 FE35:FI35">
    <cfRule type="expression" dxfId="420" priority="1929">
      <formula>OR($O$17=1,$O$17=5)</formula>
    </cfRule>
  </conditionalFormatting>
  <conditionalFormatting sqref="C9:E11">
    <cfRule type="cellIs" dxfId="419" priority="268" operator="equal">
      <formula>""</formula>
    </cfRule>
  </conditionalFormatting>
  <conditionalFormatting sqref="C13:E15">
    <cfRule type="cellIs" dxfId="418" priority="265" operator="equal">
      <formula>""</formula>
    </cfRule>
  </conditionalFormatting>
  <conditionalFormatting sqref="C18:E21">
    <cfRule type="cellIs" dxfId="417" priority="261" operator="equal">
      <formula>""</formula>
    </cfRule>
  </conditionalFormatting>
  <conditionalFormatting sqref="C24:E27">
    <cfRule type="cellIs" dxfId="416" priority="141" operator="equal">
      <formula>""</formula>
    </cfRule>
  </conditionalFormatting>
  <conditionalFormatting sqref="D79:K79 A79:B79 M79:N79">
    <cfRule type="expression" dxfId="399" priority="1703" stopIfTrue="1">
      <formula>$O$18=1</formula>
    </cfRule>
  </conditionalFormatting>
  <conditionalFormatting sqref="I13">
    <cfRule type="expression" dxfId="392" priority="165">
      <formula>$O$13=1</formula>
    </cfRule>
    <cfRule type="expression" dxfId="391" priority="162">
      <formula>$O$13=2</formula>
    </cfRule>
  </conditionalFormatting>
  <conditionalFormatting sqref="J86">
    <cfRule type="cellIs" dxfId="389" priority="147" operator="equal">
      <formula>""</formula>
    </cfRule>
  </conditionalFormatting>
  <conditionalFormatting sqref="J79:K79">
    <cfRule type="cellIs" dxfId="383" priority="210" operator="equal">
      <formula>""</formula>
    </cfRule>
  </conditionalFormatting>
  <conditionalFormatting sqref="J91:K91">
    <cfRule type="cellIs" dxfId="379" priority="119" operator="equal">
      <formula>""</formula>
    </cfRule>
  </conditionalFormatting>
  <conditionalFormatting sqref="K17">
    <cfRule type="expression" dxfId="375" priority="1687">
      <formula>$O$16=13</formula>
    </cfRule>
  </conditionalFormatting>
  <conditionalFormatting sqref="L13">
    <cfRule type="expression" dxfId="374" priority="163">
      <formula>$O$13=1</formula>
    </cfRule>
    <cfRule type="expression" dxfId="373" priority="164">
      <formula>$O$13=2</formula>
    </cfRule>
  </conditionalFormatting>
  <conditionalFormatting sqref="L25:L27">
    <cfRule type="cellIs" dxfId="372" priority="4" operator="equal">
      <formula>""</formula>
    </cfRule>
  </conditionalFormatting>
  <conditionalFormatting sqref="Y98:AF98">
    <cfRule type="duplicateValues" dxfId="366" priority="62"/>
  </conditionalFormatting>
  <conditionalFormatting sqref="AH67">
    <cfRule type="dataBar" priority="175">
      <dataBar>
        <cfvo type="min"/>
        <cfvo type="max"/>
        <color rgb="FF638EC6"/>
      </dataBar>
      <extLst>
        <ext xmlns:x14="http://schemas.microsoft.com/office/spreadsheetml/2009/9/main" uri="{B025F937-C7B1-47D3-B67F-A62EFF666E3E}">
          <x14:id>{2E26CFC5-73A6-4150-A877-F1CFCBD68F0E}</x14:id>
        </ext>
      </extLst>
    </cfRule>
  </conditionalFormatting>
  <conditionalFormatting sqref="FE79:FI79">
    <cfRule type="expression" dxfId="336" priority="49" stopIfTrue="1">
      <formula>$O$18=1</formula>
    </cfRule>
  </conditionalFormatting>
  <conditionalFormatting sqref="FE89:FI89">
    <cfRule type="expression" dxfId="328" priority="14">
      <formula>OR($O$18=1,$O$18=2,$O$18=4,$O$18=5)</formula>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shapeId="72721" r:id="rId5">
          <objectPr defaultSize="0" autoPict="0" r:id="rId6">
            <anchor moveWithCells="1" sizeWithCells="1">
              <from>
                <xdr:col>2</xdr:col>
                <xdr:colOff>182880</xdr:colOff>
                <xdr:row>45</xdr:row>
                <xdr:rowOff>68580</xdr:rowOff>
              </from>
              <to>
                <xdr:col>2</xdr:col>
                <xdr:colOff>601980</xdr:colOff>
                <xdr:row>45</xdr:row>
                <xdr:rowOff>350520</xdr:rowOff>
              </to>
            </anchor>
          </objectPr>
        </oleObject>
      </mc:Choice>
      <mc:Fallback>
        <oleObject shapeId="72721" r:id="rId5"/>
      </mc:Fallback>
    </mc:AlternateContent>
    <mc:AlternateContent xmlns:mc="http://schemas.openxmlformats.org/markup-compatibility/2006">
      <mc:Choice Requires="x14">
        <oleObject shapeId="72722" r:id="rId7">
          <objectPr defaultSize="0" autoPict="0" r:id="rId8">
            <anchor moveWithCells="1" sizeWithCells="1">
              <from>
                <xdr:col>2</xdr:col>
                <xdr:colOff>182880</xdr:colOff>
                <xdr:row>93</xdr:row>
                <xdr:rowOff>68580</xdr:rowOff>
              </from>
              <to>
                <xdr:col>2</xdr:col>
                <xdr:colOff>601980</xdr:colOff>
                <xdr:row>93</xdr:row>
                <xdr:rowOff>350520</xdr:rowOff>
              </to>
            </anchor>
          </objectPr>
        </oleObject>
      </mc:Choice>
      <mc:Fallback>
        <oleObject shapeId="72722" r:id="rId7"/>
      </mc:Fallback>
    </mc:AlternateContent>
  </oleObjects>
  <mc:AlternateContent xmlns:mc="http://schemas.openxmlformats.org/markup-compatibility/2006">
    <mc:Choice Requires="x14">
      <controls>
        <mc:AlternateContent xmlns:mc="http://schemas.openxmlformats.org/markup-compatibility/2006">
          <mc:Choice Requires="x14">
            <control shapeId="72705" r:id="rId9" name="Group Box 1">
              <controlPr defaultSize="0" print="0" autoFill="0" autoPict="0" altText="">
                <anchor moveWithCells="1">
                  <from>
                    <xdr:col>5</xdr:col>
                    <xdr:colOff>563880</xdr:colOff>
                    <xdr:row>8</xdr:row>
                    <xdr:rowOff>0</xdr:rowOff>
                  </from>
                  <to>
                    <xdr:col>13</xdr:col>
                    <xdr:colOff>662940</xdr:colOff>
                    <xdr:row>9</xdr:row>
                    <xdr:rowOff>0</xdr:rowOff>
                  </to>
                </anchor>
              </controlPr>
            </control>
          </mc:Choice>
        </mc:AlternateContent>
        <mc:AlternateContent xmlns:mc="http://schemas.openxmlformats.org/markup-compatibility/2006">
          <mc:Choice Requires="x14">
            <control shapeId="72706" r:id="rId10" name="Group Box 2">
              <controlPr defaultSize="0" print="0" autoFill="0" autoPict="0" altText="">
                <anchor moveWithCells="1">
                  <from>
                    <xdr:col>5</xdr:col>
                    <xdr:colOff>563880</xdr:colOff>
                    <xdr:row>14</xdr:row>
                    <xdr:rowOff>0</xdr:rowOff>
                  </from>
                  <to>
                    <xdr:col>8</xdr:col>
                    <xdr:colOff>914400</xdr:colOff>
                    <xdr:row>22</xdr:row>
                    <xdr:rowOff>45720</xdr:rowOff>
                  </to>
                </anchor>
              </controlPr>
            </control>
          </mc:Choice>
        </mc:AlternateContent>
        <mc:AlternateContent xmlns:mc="http://schemas.openxmlformats.org/markup-compatibility/2006">
          <mc:Choice Requires="x14">
            <control shapeId="72707" r:id="rId11" name="Group Box 3">
              <controlPr defaultSize="0" print="0" autoFill="0" autoPict="0">
                <anchor moveWithCells="1">
                  <from>
                    <xdr:col>5</xdr:col>
                    <xdr:colOff>571500</xdr:colOff>
                    <xdr:row>12</xdr:row>
                    <xdr:rowOff>0</xdr:rowOff>
                  </from>
                  <to>
                    <xdr:col>13</xdr:col>
                    <xdr:colOff>662940</xdr:colOff>
                    <xdr:row>13</xdr:row>
                    <xdr:rowOff>0</xdr:rowOff>
                  </to>
                </anchor>
              </controlPr>
            </control>
          </mc:Choice>
        </mc:AlternateContent>
        <mc:AlternateContent xmlns:mc="http://schemas.openxmlformats.org/markup-compatibility/2006">
          <mc:Choice Requires="x14">
            <control shapeId="72708" r:id="rId12" name="Option Button 4">
              <controlPr defaultSize="0" autoFill="0" autoLine="0" autoPict="0">
                <anchor moveWithCells="1">
                  <from>
                    <xdr:col>10</xdr:col>
                    <xdr:colOff>563880</xdr:colOff>
                    <xdr:row>8</xdr:row>
                    <xdr:rowOff>45720</xdr:rowOff>
                  </from>
                  <to>
                    <xdr:col>11</xdr:col>
                    <xdr:colOff>327660</xdr:colOff>
                    <xdr:row>9</xdr:row>
                    <xdr:rowOff>7620</xdr:rowOff>
                  </to>
                </anchor>
              </controlPr>
            </control>
          </mc:Choice>
        </mc:AlternateContent>
        <mc:AlternateContent xmlns:mc="http://schemas.openxmlformats.org/markup-compatibility/2006">
          <mc:Choice Requires="x14">
            <control shapeId="72709" r:id="rId13" name="Option Button 5">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72710" r:id="rId14" name="Option Button 6">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72711" r:id="rId15" name="Option Button 7">
              <controlPr defaultSize="0" autoFill="0" autoLine="0" autoPict="0" altText="">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72723" r:id="rId16" name="Group Box 19">
              <controlPr defaultSize="0" print="0" autoFill="0" autoPict="0" altText="">
                <anchor moveWithCells="1">
                  <from>
                    <xdr:col>11</xdr:col>
                    <xdr:colOff>0</xdr:colOff>
                    <xdr:row>19</xdr:row>
                    <xdr:rowOff>0</xdr:rowOff>
                  </from>
                  <to>
                    <xdr:col>12</xdr:col>
                    <xdr:colOff>678180</xdr:colOff>
                    <xdr:row>22</xdr:row>
                    <xdr:rowOff>30480</xdr:rowOff>
                  </to>
                </anchor>
              </controlPr>
            </control>
          </mc:Choice>
        </mc:AlternateContent>
        <mc:AlternateContent xmlns:mc="http://schemas.openxmlformats.org/markup-compatibility/2006">
          <mc:Choice Requires="x14">
            <control shapeId="72726" r:id="rId17" name="Option Button 22">
              <controlPr defaultSize="0" autoFill="0" autoLine="0" autoPict="0" altText="">
                <anchor moveWithCells="1">
                  <from>
                    <xdr:col>10</xdr:col>
                    <xdr:colOff>678180</xdr:colOff>
                    <xdr:row>15</xdr:row>
                    <xdr:rowOff>30480</xdr:rowOff>
                  </from>
                  <to>
                    <xdr:col>11</xdr:col>
                    <xdr:colOff>563880</xdr:colOff>
                    <xdr:row>15</xdr:row>
                    <xdr:rowOff>190500</xdr:rowOff>
                  </to>
                </anchor>
              </controlPr>
            </control>
          </mc:Choice>
        </mc:AlternateContent>
        <mc:AlternateContent xmlns:mc="http://schemas.openxmlformats.org/markup-compatibility/2006">
          <mc:Choice Requires="x14">
            <control shapeId="72728" r:id="rId18" name="Option Button 24">
              <controlPr defaultSize="0" autoFill="0" autoLine="0" autoPict="0" altText="">
                <anchor moveWithCells="1">
                  <from>
                    <xdr:col>10</xdr:col>
                    <xdr:colOff>678180</xdr:colOff>
                    <xdr:row>16</xdr:row>
                    <xdr:rowOff>30480</xdr:rowOff>
                  </from>
                  <to>
                    <xdr:col>11</xdr:col>
                    <xdr:colOff>563880</xdr:colOff>
                    <xdr:row>16</xdr:row>
                    <xdr:rowOff>190500</xdr:rowOff>
                  </to>
                </anchor>
              </controlPr>
            </control>
          </mc:Choice>
        </mc:AlternateContent>
        <mc:AlternateContent xmlns:mc="http://schemas.openxmlformats.org/markup-compatibility/2006">
          <mc:Choice Requires="x14">
            <control shapeId="72730" r:id="rId19" name="Option Button 26">
              <controlPr defaultSize="0" autoFill="0" autoLine="0" autoPict="0" altText="">
                <anchor moveWithCells="1">
                  <from>
                    <xdr:col>10</xdr:col>
                    <xdr:colOff>678180</xdr:colOff>
                    <xdr:row>17</xdr:row>
                    <xdr:rowOff>30480</xdr:rowOff>
                  </from>
                  <to>
                    <xdr:col>11</xdr:col>
                    <xdr:colOff>525780</xdr:colOff>
                    <xdr:row>17</xdr:row>
                    <xdr:rowOff>190500</xdr:rowOff>
                  </to>
                </anchor>
              </controlPr>
            </control>
          </mc:Choice>
        </mc:AlternateContent>
        <mc:AlternateContent xmlns:mc="http://schemas.openxmlformats.org/markup-compatibility/2006">
          <mc:Choice Requires="x14">
            <control shapeId="72735" r:id="rId20"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72736" r:id="rId21" name="Option Button 32">
              <controlPr defaultSize="0" autoFill="0" autoLine="0" autoPict="0">
                <anchor moveWithCells="1">
                  <from>
                    <xdr:col>10</xdr:col>
                    <xdr:colOff>556260</xdr:colOff>
                    <xdr:row>12</xdr:row>
                    <xdr:rowOff>30480</xdr:rowOff>
                  </from>
                  <to>
                    <xdr:col>11</xdr:col>
                    <xdr:colOff>594360</xdr:colOff>
                    <xdr:row>12</xdr:row>
                    <xdr:rowOff>190500</xdr:rowOff>
                  </to>
                </anchor>
              </controlPr>
            </control>
          </mc:Choice>
        </mc:AlternateContent>
        <mc:AlternateContent xmlns:mc="http://schemas.openxmlformats.org/markup-compatibility/2006">
          <mc:Choice Requires="x14">
            <control shapeId="72741" r:id="rId22" name="Group Box 37">
              <controlPr defaultSize="0" print="0" autoFill="0" autoPict="0">
                <anchor moveWithCells="1">
                  <from>
                    <xdr:col>5</xdr:col>
                    <xdr:colOff>571500</xdr:colOff>
                    <xdr:row>10</xdr:row>
                    <xdr:rowOff>0</xdr:rowOff>
                  </from>
                  <to>
                    <xdr:col>13</xdr:col>
                    <xdr:colOff>662940</xdr:colOff>
                    <xdr:row>11</xdr:row>
                    <xdr:rowOff>0</xdr:rowOff>
                  </to>
                </anchor>
              </controlPr>
            </control>
          </mc:Choice>
        </mc:AlternateContent>
        <mc:AlternateContent xmlns:mc="http://schemas.openxmlformats.org/markup-compatibility/2006">
          <mc:Choice Requires="x14">
            <control shapeId="72742" r:id="rId23" name="Option Button 38">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2743" r:id="rId24" name="Option Button 39">
              <controlPr defaultSize="0" autoFill="0" autoLine="0" autoPict="0">
                <anchor moveWithCells="1">
                  <from>
                    <xdr:col>10</xdr:col>
                    <xdr:colOff>533400</xdr:colOff>
                    <xdr:row>10</xdr:row>
                    <xdr:rowOff>38100</xdr:rowOff>
                  </from>
                  <to>
                    <xdr:col>11</xdr:col>
                    <xdr:colOff>304800</xdr:colOff>
                    <xdr:row>10</xdr:row>
                    <xdr:rowOff>190500</xdr:rowOff>
                  </to>
                </anchor>
              </controlPr>
            </control>
          </mc:Choice>
        </mc:AlternateContent>
        <mc:AlternateContent xmlns:mc="http://schemas.openxmlformats.org/markup-compatibility/2006">
          <mc:Choice Requires="x14">
            <control shapeId="72725" r:id="rId25" name="Group Box 21">
              <controlPr defaultSize="0" print="0" autoFill="0" autoPict="0" altText="">
                <anchor moveWithCells="1">
                  <from>
                    <xdr:col>10</xdr:col>
                    <xdr:colOff>678180</xdr:colOff>
                    <xdr:row>14</xdr:row>
                    <xdr:rowOff>0</xdr:rowOff>
                  </from>
                  <to>
                    <xdr:col>12</xdr:col>
                    <xdr:colOff>678180</xdr:colOff>
                    <xdr:row>18</xdr:row>
                    <xdr:rowOff>0</xdr:rowOff>
                  </to>
                </anchor>
              </controlPr>
            </control>
          </mc:Choice>
        </mc:AlternateContent>
        <mc:AlternateContent xmlns:mc="http://schemas.openxmlformats.org/markup-compatibility/2006">
          <mc:Choice Requires="x14">
            <control shapeId="72732" r:id="rId26" name="Option Button 28">
              <controlPr defaultSize="0" autoFill="0" autoLine="0" autoPict="0" altText="">
                <anchor moveWithCells="1">
                  <from>
                    <xdr:col>11</xdr:col>
                    <xdr:colOff>731520</xdr:colOff>
                    <xdr:row>15</xdr:row>
                    <xdr:rowOff>30480</xdr:rowOff>
                  </from>
                  <to>
                    <xdr:col>12</xdr:col>
                    <xdr:colOff>457200</xdr:colOff>
                    <xdr:row>16</xdr:row>
                    <xdr:rowOff>30480</xdr:rowOff>
                  </to>
                </anchor>
              </controlPr>
            </control>
          </mc:Choice>
        </mc:AlternateContent>
        <mc:AlternateContent xmlns:mc="http://schemas.openxmlformats.org/markup-compatibility/2006">
          <mc:Choice Requires="x14">
            <control shapeId="72744" r:id="rId27" name="Option Button 40">
              <controlPr defaultSize="0" autoFill="0" autoLine="0" autoPict="0" altText="">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72745" r:id="rId28" name="Option Button 41">
              <controlPr defaultSize="0" autoFill="0" autoLine="0" autoPict="0" altText="">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72746" r:id="rId29" name="Option Button 42">
              <controlPr defaultSize="0" autoFill="0" autoLine="0" autoPict="0" altText="">
                <anchor moveWithCells="1">
                  <from>
                    <xdr:col>5</xdr:col>
                    <xdr:colOff>563880</xdr:colOff>
                    <xdr:row>20</xdr:row>
                    <xdr:rowOff>22860</xdr:rowOff>
                  </from>
                  <to>
                    <xdr:col>7</xdr:col>
                    <xdr:colOff>182880</xdr:colOff>
                    <xdr:row>20</xdr:row>
                    <xdr:rowOff>182880</xdr:rowOff>
                  </to>
                </anchor>
              </controlPr>
            </control>
          </mc:Choice>
        </mc:AlternateContent>
        <mc:AlternateContent xmlns:mc="http://schemas.openxmlformats.org/markup-compatibility/2006">
          <mc:Choice Requires="x14">
            <control shapeId="72747" r:id="rId30" name="Option Button 43">
              <controlPr defaultSize="0" autoFill="0" autoLine="0" autoPict="0" altText="">
                <anchor moveWithCells="1">
                  <from>
                    <xdr:col>5</xdr:col>
                    <xdr:colOff>563880</xdr:colOff>
                    <xdr:row>21</xdr:row>
                    <xdr:rowOff>30480</xdr:rowOff>
                  </from>
                  <to>
                    <xdr:col>7</xdr:col>
                    <xdr:colOff>182880</xdr:colOff>
                    <xdr:row>22</xdr:row>
                    <xdr:rowOff>0</xdr:rowOff>
                  </to>
                </anchor>
              </controlPr>
            </control>
          </mc:Choice>
        </mc:AlternateContent>
        <mc:AlternateContent xmlns:mc="http://schemas.openxmlformats.org/markup-compatibility/2006">
          <mc:Choice Requires="x14">
            <control shapeId="72749" r:id="rId31" name="Option Button 45">
              <controlPr defaultSize="0" autoFill="0" autoLine="0" autoPict="0" altText="">
                <anchor moveWithCells="1">
                  <from>
                    <xdr:col>11</xdr:col>
                    <xdr:colOff>731520</xdr:colOff>
                    <xdr:row>16</xdr:row>
                    <xdr:rowOff>30480</xdr:rowOff>
                  </from>
                  <to>
                    <xdr:col>12</xdr:col>
                    <xdr:colOff>457200</xdr:colOff>
                    <xdr:row>17</xdr:row>
                    <xdr:rowOff>30480</xdr:rowOff>
                  </to>
                </anchor>
              </controlPr>
            </control>
          </mc:Choice>
        </mc:AlternateContent>
        <mc:AlternateContent xmlns:mc="http://schemas.openxmlformats.org/markup-compatibility/2006">
          <mc:Choice Requires="x14">
            <control shapeId="91438" r:id="rId32" name="Option Button 1326">
              <controlPr defaultSize="0" autoFill="0" autoLine="0" autoPict="0">
                <anchor moveWithCells="1">
                  <from>
                    <xdr:col>11</xdr:col>
                    <xdr:colOff>7620</xdr:colOff>
                    <xdr:row>20</xdr:row>
                    <xdr:rowOff>15240</xdr:rowOff>
                  </from>
                  <to>
                    <xdr:col>11</xdr:col>
                    <xdr:colOff>541020</xdr:colOff>
                    <xdr:row>21</xdr:row>
                    <xdr:rowOff>0</xdr:rowOff>
                  </to>
                </anchor>
              </controlPr>
            </control>
          </mc:Choice>
        </mc:AlternateContent>
        <mc:AlternateContent xmlns:mc="http://schemas.openxmlformats.org/markup-compatibility/2006">
          <mc:Choice Requires="x14">
            <control shapeId="91439" r:id="rId33" name="Option Button 1327">
              <controlPr defaultSize="0" autoFill="0" autoLine="0" autoPict="0">
                <anchor moveWithCells="1">
                  <from>
                    <xdr:col>11</xdr:col>
                    <xdr:colOff>15240</xdr:colOff>
                    <xdr:row>21</xdr:row>
                    <xdr:rowOff>15240</xdr:rowOff>
                  </from>
                  <to>
                    <xdr:col>11</xdr:col>
                    <xdr:colOff>548640</xdr:colOff>
                    <xdr:row>22</xdr:row>
                    <xdr:rowOff>0</xdr:rowOff>
                  </to>
                </anchor>
              </controlPr>
            </control>
          </mc:Choice>
        </mc:AlternateContent>
        <mc:AlternateContent xmlns:mc="http://schemas.openxmlformats.org/markup-compatibility/2006">
          <mc:Choice Requires="x14">
            <control shapeId="91440" r:id="rId34" name="Option Button 1328">
              <controlPr defaultSize="0" autoFill="0" autoLine="0" autoPict="0">
                <anchor moveWithCells="1">
                  <from>
                    <xdr:col>11</xdr:col>
                    <xdr:colOff>723900</xdr:colOff>
                    <xdr:row>20</xdr:row>
                    <xdr:rowOff>22860</xdr:rowOff>
                  </from>
                  <to>
                    <xdr:col>12</xdr:col>
                    <xdr:colOff>320040</xdr:colOff>
                    <xdr:row>21</xdr:row>
                    <xdr:rowOff>7620</xdr:rowOff>
                  </to>
                </anchor>
              </controlPr>
            </control>
          </mc:Choice>
        </mc:AlternateContent>
        <mc:AlternateContent xmlns:mc="http://schemas.openxmlformats.org/markup-compatibility/2006">
          <mc:Choice Requires="x14">
            <control shapeId="91441" r:id="rId35" name="Option Button 1329">
              <controlPr defaultSize="0" autoFill="0" autoLine="0" autoPict="0">
                <anchor moveWithCells="1">
                  <from>
                    <xdr:col>11</xdr:col>
                    <xdr:colOff>716280</xdr:colOff>
                    <xdr:row>21</xdr:row>
                    <xdr:rowOff>15240</xdr:rowOff>
                  </from>
                  <to>
                    <xdr:col>12</xdr:col>
                    <xdr:colOff>312420</xdr:colOff>
                    <xdr:row>22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A09DD529-3A6A-46C9-8870-029FCB9D783D}">
            <xm:f>$J$54=Formeln!$A$177</xm:f>
            <x14:dxf>
              <font>
                <color theme="0" tint="-0.24994659260841701"/>
              </font>
            </x14:dxf>
          </x14:cfRule>
          <xm:sqref>A54</xm:sqref>
        </x14:conditionalFormatting>
        <x14:conditionalFormatting xmlns:xm="http://schemas.microsoft.com/office/excel/2006/main">
          <x14:cfRule type="expression" priority="90" id="{FE3FF057-C900-4248-9FA4-EE7F32D1CEB7}">
            <xm:f>$J$31=Formeln!$A$177</xm:f>
            <x14:dxf>
              <font>
                <color theme="0" tint="-0.34998626667073579"/>
              </font>
            </x14:dxf>
          </x14:cfRule>
          <xm:sqref>A31:B31 D31:K31 M31</xm:sqref>
        </x14:conditionalFormatting>
        <x14:conditionalFormatting xmlns:xm="http://schemas.microsoft.com/office/excel/2006/main">
          <x14:cfRule type="expression" priority="89" id="{DE33A216-E57C-45D5-842A-B6341BA3487A}">
            <xm:f>$J$32=Formeln!$A$177</xm:f>
            <x14:dxf>
              <font>
                <color theme="0" tint="-0.34998626667073579"/>
              </font>
            </x14:dxf>
          </x14:cfRule>
          <xm:sqref>A32:B32 D32:K32 M32</xm:sqref>
        </x14:conditionalFormatting>
        <x14:conditionalFormatting xmlns:xm="http://schemas.microsoft.com/office/excel/2006/main">
          <x14:cfRule type="expression" priority="1698" id="{A06D5D73-E221-4860-A8F1-EA894309A746}">
            <xm:f>$J$34=Formeln!$A$177</xm:f>
            <x14:dxf>
              <font>
                <color theme="0" tint="-0.34998626667073579"/>
              </font>
            </x14:dxf>
          </x14:cfRule>
          <xm:sqref>A34:B34 D34:K34 M34:N34</xm:sqref>
        </x14:conditionalFormatting>
        <x14:conditionalFormatting xmlns:xm="http://schemas.microsoft.com/office/excel/2006/main">
          <x14:cfRule type="expression" priority="1701" id="{D8DA0A97-7319-4B01-989B-2D6687347545}">
            <xm:f>$J$36=Formeln!$A$177</xm:f>
            <x14:dxf>
              <font>
                <color theme="0" tint="-0.34998626667073579"/>
              </font>
            </x14:dxf>
          </x14:cfRule>
          <xm:sqref>A36:B36 D36:K36 M36:N36</xm:sqref>
        </x14:conditionalFormatting>
        <x14:conditionalFormatting xmlns:xm="http://schemas.microsoft.com/office/excel/2006/main">
          <x14:cfRule type="expression" priority="1688" id="{31B7D49A-71C9-49B9-A5FD-B90DE1E829A8}">
            <xm:f>$J$38=Formeln!$A$177</xm:f>
            <x14:dxf>
              <font>
                <color theme="0" tint="-0.34998626667073579"/>
              </font>
            </x14:dxf>
          </x14:cfRule>
          <xm:sqref>A38:B38 D38:K38 M38:N38</xm:sqref>
        </x14:conditionalFormatting>
        <x14:conditionalFormatting xmlns:xm="http://schemas.microsoft.com/office/excel/2006/main">
          <x14:cfRule type="expression" priority="88" id="{4FCBAB69-EE9D-41C6-8C8D-400A1359692A}">
            <xm:f>$J$39=Formeln!$A$177</xm:f>
            <x14:dxf>
              <font>
                <color theme="0" tint="-0.34998626667073579"/>
              </font>
            </x14:dxf>
          </x14:cfRule>
          <xm:sqref>A39:B39 D39:K39 M39:N39</xm:sqref>
        </x14:conditionalFormatting>
        <x14:conditionalFormatting xmlns:xm="http://schemas.microsoft.com/office/excel/2006/main">
          <x14:cfRule type="expression" priority="87" id="{6B34CD5E-5AA4-497A-8CBF-B9BFF32670E6}">
            <xm:f>$J$40=Formeln!$A$177</xm:f>
            <x14:dxf>
              <font>
                <color theme="0" tint="-0.34998626667073579"/>
              </font>
            </x14:dxf>
          </x14:cfRule>
          <xm:sqref>A40:B40 E40:K40 M40:N40</xm:sqref>
        </x14:conditionalFormatting>
        <x14:conditionalFormatting xmlns:xm="http://schemas.microsoft.com/office/excel/2006/main">
          <x14:cfRule type="expression" priority="86" id="{392999CE-C5BC-4354-9300-1341BE05717B}">
            <xm:f>$J$41=Formeln!$A$177</xm:f>
            <x14:dxf>
              <font>
                <color theme="0" tint="-0.34998626667073579"/>
              </font>
            </x14:dxf>
          </x14:cfRule>
          <xm:sqref>A41:B41 D41:K41</xm:sqref>
        </x14:conditionalFormatting>
        <x14:conditionalFormatting xmlns:xm="http://schemas.microsoft.com/office/excel/2006/main">
          <x14:cfRule type="expression" priority="85" id="{77BFD5A5-051B-4351-B265-4BD1DFCF2A4B}">
            <xm:f>$J$42=Formeln!$A$177</xm:f>
            <x14:dxf>
              <font>
                <color theme="0" tint="-0.34998626667073579"/>
              </font>
            </x14:dxf>
          </x14:cfRule>
          <xm:sqref>A42:B42 D42:K42</xm:sqref>
        </x14:conditionalFormatting>
        <x14:conditionalFormatting xmlns:xm="http://schemas.microsoft.com/office/excel/2006/main">
          <x14:cfRule type="expression" priority="275" id="{6BBC25C7-AE24-4C58-9FA9-6172698C5457}">
            <xm:f>$J$43=Formeln!$A$177</xm:f>
            <x14:dxf>
              <font>
                <color theme="0" tint="-0.24994659260841701"/>
              </font>
            </x14:dxf>
          </x14:cfRule>
          <xm:sqref>A43:B43</xm:sqref>
        </x14:conditionalFormatting>
        <x14:conditionalFormatting xmlns:xm="http://schemas.microsoft.com/office/excel/2006/main">
          <x14:cfRule type="expression" priority="95" id="{E2F7BB90-A291-4BCB-871B-9581BB9CEFC8}">
            <xm:f>$J$47=Formeln!$A$177</xm:f>
            <x14:dxf>
              <font>
                <color theme="0" tint="-0.34998626667073579"/>
              </font>
            </x14:dxf>
          </x14:cfRule>
          <xm:sqref>A47:B47 D47:K47 M47:N47</xm:sqref>
        </x14:conditionalFormatting>
        <x14:conditionalFormatting xmlns:xm="http://schemas.microsoft.com/office/excel/2006/main">
          <x14:cfRule type="expression" priority="96" id="{015ADB5A-BB46-430A-9F39-4912A7C01546}">
            <xm:f>$J$48=Formeln!$A$177</xm:f>
            <x14:dxf>
              <font>
                <color theme="0" tint="-0.24994659260841701"/>
              </font>
            </x14:dxf>
          </x14:cfRule>
          <xm:sqref>A48:B48 D48:K48 M48:N48</xm:sqref>
        </x14:conditionalFormatting>
        <x14:conditionalFormatting xmlns:xm="http://schemas.microsoft.com/office/excel/2006/main">
          <x14:cfRule type="expression" priority="1702" id="{98F8FF7C-2169-4A03-9753-B2C011BADED1}">
            <xm:f>$J$49=Formeln!$A$177</xm:f>
            <x14:dxf>
              <font>
                <color theme="0" tint="-0.34998626667073579"/>
              </font>
            </x14:dxf>
          </x14:cfRule>
          <xm:sqref>A49:B49 D49:K49 M49:N49</xm:sqref>
        </x14:conditionalFormatting>
        <x14:conditionalFormatting xmlns:xm="http://schemas.microsoft.com/office/excel/2006/main">
          <x14:cfRule type="expression" priority="84" id="{399A6CAA-F753-424F-BE68-0B74AA89EE85}">
            <xm:f>$J$53=Formeln!$A$177</xm:f>
            <x14:dxf>
              <font>
                <color theme="0" tint="-0.34998626667073579"/>
              </font>
            </x14:dxf>
          </x14:cfRule>
          <xm:sqref>A53:B53 D53:K53 M53:N53</xm:sqref>
        </x14:conditionalFormatting>
        <x14:conditionalFormatting xmlns:xm="http://schemas.microsoft.com/office/excel/2006/main">
          <x14:cfRule type="expression" priority="103" id="{3A1E9F37-43C0-458A-AC12-9016DCD2A34B}">
            <xm:f>$J$60=Formeln!$A$177</xm:f>
            <x14:dxf>
              <font>
                <color theme="0" tint="-0.24994659260841701"/>
              </font>
            </x14:dxf>
          </x14:cfRule>
          <xm:sqref>A60:B60</xm:sqref>
        </x14:conditionalFormatting>
        <x14:conditionalFormatting xmlns:xm="http://schemas.microsoft.com/office/excel/2006/main">
          <x14:cfRule type="expression" priority="83" id="{48210B17-DD38-425B-89EB-3AF7B2D1D4F7}">
            <xm:f>$J$61=Formeln!$A$177</xm:f>
            <x14:dxf>
              <font>
                <color theme="0" tint="-0.34998626667073579"/>
              </font>
            </x14:dxf>
          </x14:cfRule>
          <xm:sqref>A61:B61 D61:K61</xm:sqref>
        </x14:conditionalFormatting>
        <x14:conditionalFormatting xmlns:xm="http://schemas.microsoft.com/office/excel/2006/main">
          <x14:cfRule type="expression" priority="82" id="{394D6E57-8004-482F-8051-81DA80375D3A}">
            <xm:f>$J$71=Formeln!$A$177</xm:f>
            <x14:dxf>
              <font>
                <color theme="0" tint="-0.34998626667073579"/>
              </font>
            </x14:dxf>
          </x14:cfRule>
          <xm:sqref>A71:B71 D71:K71</xm:sqref>
        </x14:conditionalFormatting>
        <x14:conditionalFormatting xmlns:xm="http://schemas.microsoft.com/office/excel/2006/main">
          <x14:cfRule type="expression" priority="283" id="{F279DC59-194E-43DF-8E24-16D8B89657D6}">
            <xm:f>$J$72=Formeln!$A$177</xm:f>
            <x14:dxf>
              <font>
                <color theme="0" tint="-0.24994659260841701"/>
              </font>
            </x14:dxf>
          </x14:cfRule>
          <xm:sqref>A72:B72 D72:K72 M72:N72</xm:sqref>
        </x14:conditionalFormatting>
        <x14:conditionalFormatting xmlns:xm="http://schemas.microsoft.com/office/excel/2006/main">
          <x14:cfRule type="expression" priority="284" id="{7CC8CC1D-4579-410D-839C-9BA0C1D33B64}">
            <xm:f>$J$73=Formeln!$A$177</xm:f>
            <x14:dxf>
              <font>
                <color theme="0" tint="-0.24994659260841701"/>
              </font>
            </x14:dxf>
          </x14:cfRule>
          <xm:sqref>A73:B73 D73:K73 M73:N73</xm:sqref>
        </x14:conditionalFormatting>
        <x14:conditionalFormatting xmlns:xm="http://schemas.microsoft.com/office/excel/2006/main">
          <x14:cfRule type="expression" priority="285" id="{A66F4046-8FCA-42C5-8499-F3B9725784BB}">
            <xm:f>$J$74=Formeln!$A$177</xm:f>
            <x14:dxf>
              <font>
                <color theme="0" tint="-0.24994659260841701"/>
              </font>
            </x14:dxf>
          </x14:cfRule>
          <xm:sqref>A74:B74 D74:K74 M74:N74 D78:K78 FE78:FI78</xm:sqref>
        </x14:conditionalFormatting>
        <x14:conditionalFormatting xmlns:xm="http://schemas.microsoft.com/office/excel/2006/main">
          <x14:cfRule type="expression" priority="81" id="{F2B9CABB-35BC-4789-9D87-5106DB90654D}">
            <xm:f>$J$75=Formeln!$A$177</xm:f>
            <x14:dxf>
              <font>
                <color theme="0" tint="-0.34998626667073579"/>
              </font>
            </x14:dxf>
          </x14:cfRule>
          <xm:sqref>A75:B75 D75:K75</xm:sqref>
        </x14:conditionalFormatting>
        <x14:conditionalFormatting xmlns:xm="http://schemas.microsoft.com/office/excel/2006/main">
          <x14:cfRule type="expression" priority="281" id="{7E96B946-5DEE-470C-9EF9-59CA78571EB8}">
            <xm:f>$J$76=Formeln!$A$177</xm:f>
            <x14:dxf>
              <font>
                <color theme="0" tint="-0.24994659260841701"/>
              </font>
            </x14:dxf>
          </x14:cfRule>
          <xm:sqref>A76:B76 D76:K76 M76:N76</xm:sqref>
        </x14:conditionalFormatting>
        <x14:conditionalFormatting xmlns:xm="http://schemas.microsoft.com/office/excel/2006/main">
          <x14:cfRule type="expression" priority="282" id="{D04D1DDB-9C6F-442E-B622-2B14A38103F8}">
            <xm:f>$J$77=Formeln!$A$177</xm:f>
            <x14:dxf>
              <font>
                <color theme="0" tint="-0.24994659260841701"/>
              </font>
            </x14:dxf>
          </x14:cfRule>
          <xm:sqref>A77:B77 D77:K77 M77:N77</xm:sqref>
        </x14:conditionalFormatting>
        <x14:conditionalFormatting xmlns:xm="http://schemas.microsoft.com/office/excel/2006/main">
          <x14:cfRule type="expression" priority="150" id="{C34B6D95-0295-43EB-9976-ABD065AC4B2A}">
            <xm:f>$J$74=Formeln!$A$177</xm:f>
            <x14:dxf>
              <font>
                <color theme="0" tint="-0.24994659260841701"/>
              </font>
            </x14:dxf>
          </x14:cfRule>
          <xm:sqref>A78:B78</xm:sqref>
        </x14:conditionalFormatting>
        <x14:conditionalFormatting xmlns:xm="http://schemas.microsoft.com/office/excel/2006/main">
          <x14:cfRule type="expression" priority="101" id="{BB6955DE-B56E-4F2D-A77D-38E44131BBF4}">
            <xm:f>$J$80=Formeln!$A$177</xm:f>
            <x14:dxf>
              <font>
                <color theme="0" tint="-0.24994659260841701"/>
              </font>
            </x14:dxf>
          </x14:cfRule>
          <xm:sqref>A80:B80 A89</xm:sqref>
        </x14:conditionalFormatting>
        <x14:conditionalFormatting xmlns:xm="http://schemas.microsoft.com/office/excel/2006/main">
          <x14:cfRule type="expression" priority="288" id="{6DECCA6C-5C3E-4F23-8F83-78D57F8BB7ED}">
            <xm:f>$J$82=Formeln!$A$177</xm:f>
            <x14:dxf>
              <font>
                <color theme="0" tint="-0.24994659260841701"/>
              </font>
            </x14:dxf>
          </x14:cfRule>
          <xm:sqref>A82:B82 D82:K82 M82:N82</xm:sqref>
        </x14:conditionalFormatting>
        <x14:conditionalFormatting xmlns:xm="http://schemas.microsoft.com/office/excel/2006/main">
          <x14:cfRule type="expression" priority="289" stopIfTrue="1" id="{E63441D7-74E8-4C25-96BB-CD42C303A0D3}">
            <xm:f>$J$83=Formeln!$A$177</xm:f>
            <x14:dxf>
              <font>
                <color theme="0" tint="-0.24994659260841701"/>
              </font>
            </x14:dxf>
          </x14:cfRule>
          <xm:sqref>A83:B83 D83:K83 M83:N83</xm:sqref>
        </x14:conditionalFormatting>
        <x14:conditionalFormatting xmlns:xm="http://schemas.microsoft.com/office/excel/2006/main">
          <x14:cfRule type="expression" priority="77" id="{8D4953C9-82EA-405D-964E-0B816AE78B19}">
            <xm:f>$J$68=Formeln!$A$177</xm:f>
            <x14:dxf>
              <font>
                <color theme="0" tint="-0.34998626667073579"/>
              </font>
            </x14:dxf>
          </x14:cfRule>
          <xm:sqref>A84:B84</xm:sqref>
        </x14:conditionalFormatting>
        <x14:conditionalFormatting xmlns:xm="http://schemas.microsoft.com/office/excel/2006/main">
          <x14:cfRule type="expression" priority="290" id="{146EFE11-5EAE-4B28-A343-975A02CEA052}">
            <xm:f>$J$87=Formeln!$A$177</xm:f>
            <x14:dxf>
              <font>
                <color theme="0" tint="-0.24994659260841701"/>
              </font>
            </x14:dxf>
          </x14:cfRule>
          <xm:sqref>A87:B87 D87:K87 M87:N87</xm:sqref>
        </x14:conditionalFormatting>
        <x14:conditionalFormatting xmlns:xm="http://schemas.microsoft.com/office/excel/2006/main">
          <x14:cfRule type="expression" priority="293" id="{DC23C48A-D1FA-4B5A-8A1B-8094E5C52AFA}">
            <xm:f>$J$90=Formeln!$A$177</xm:f>
            <x14:dxf>
              <font>
                <color theme="0" tint="-0.24994659260841701"/>
              </font>
            </x14:dxf>
          </x14:cfRule>
          <xm:sqref>A90:B90 D90:K90 M90:N90</xm:sqref>
        </x14:conditionalFormatting>
        <x14:conditionalFormatting xmlns:xm="http://schemas.microsoft.com/office/excel/2006/main">
          <x14:cfRule type="expression" priority="294" id="{C8D4C6E0-16F3-4B23-B695-86600EB32E01}">
            <xm:f>$J$94=Formeln!$A$177</xm:f>
            <x14:dxf>
              <font>
                <color theme="0" tint="-0.24994659260841701"/>
              </font>
            </x14:dxf>
          </x14:cfRule>
          <xm:sqref>A94:B94 D94:K94 M94:N94</xm:sqref>
        </x14:conditionalFormatting>
        <x14:conditionalFormatting xmlns:xm="http://schemas.microsoft.com/office/excel/2006/main">
          <x14:cfRule type="expression" priority="102" id="{777C366D-3F20-4349-96C3-C4D6F2727F5B}">
            <xm:f>$J$95=Formeln!$A$177</xm:f>
            <x14:dxf>
              <font>
                <color theme="0" tint="-0.24994659260841701"/>
              </font>
            </x14:dxf>
          </x14:cfRule>
          <xm:sqref>A95:B95 M95:N95</xm:sqref>
        </x14:conditionalFormatting>
        <x14:conditionalFormatting xmlns:xm="http://schemas.microsoft.com/office/excel/2006/main">
          <x14:cfRule type="expression" priority="296" id="{770D7506-7B4E-42AB-8E9F-B0F3EA2AAA65}">
            <xm:f>$J$96=Formeln!$A$177</xm:f>
            <x14:dxf>
              <font>
                <color theme="0" tint="-0.24994659260841701"/>
              </font>
            </x14:dxf>
          </x14:cfRule>
          <xm:sqref>A96:B96 D96:K96 M96:N96</xm:sqref>
        </x14:conditionalFormatting>
        <x14:conditionalFormatting xmlns:xm="http://schemas.microsoft.com/office/excel/2006/main">
          <x14:cfRule type="expression" priority="297" id="{F00D2CFB-E84F-4144-B3CC-4418257D5FBD}">
            <xm:f>$J$97=Formeln!$A$177</xm:f>
            <x14:dxf>
              <font>
                <color theme="0" tint="-0.24994659260841701"/>
              </font>
            </x14:dxf>
          </x14:cfRule>
          <xm:sqref>A97:B97 D97:K97 M97:N97</xm:sqref>
        </x14:conditionalFormatting>
        <x14:conditionalFormatting xmlns:xm="http://schemas.microsoft.com/office/excel/2006/main">
          <x14:cfRule type="expression" priority="64" id="{F60EF13A-6950-46BB-BD02-CE3C81C2B3F3}">
            <xm:f>$J$107=Formeln!$A$177</xm:f>
            <x14:dxf>
              <font>
                <color theme="0" tint="-0.34998626667073579"/>
              </font>
            </x14:dxf>
          </x14:cfRule>
          <xm:sqref>A99:B100</xm:sqref>
        </x14:conditionalFormatting>
        <x14:conditionalFormatting xmlns:xm="http://schemas.microsoft.com/office/excel/2006/main">
          <x14:cfRule type="expression" priority="276" id="{C35BF913-712F-417C-B0A2-EA7BC189727D}">
            <xm:f>$J$44=Formeln!$A$177</xm:f>
            <x14:dxf>
              <font>
                <color theme="0" tint="-0.34998626667073579"/>
              </font>
            </x14:dxf>
          </x14:cfRule>
          <xm:sqref>A44:C44 E44:K44 M44:N44</xm:sqref>
        </x14:conditionalFormatting>
        <x14:conditionalFormatting xmlns:xm="http://schemas.microsoft.com/office/excel/2006/main">
          <x14:cfRule type="expression" priority="291" id="{601EF4DF-8BA4-47D7-8590-8F7753F111C5}">
            <xm:f>$J$88=Formeln!$A$177</xm:f>
            <x14:dxf>
              <font>
                <color theme="0" tint="-0.24994659260841701"/>
              </font>
            </x14:dxf>
          </x14:cfRule>
          <xm:sqref>A88:K88 M88:N88</xm:sqref>
        </x14:conditionalFormatting>
        <x14:conditionalFormatting xmlns:xm="http://schemas.microsoft.com/office/excel/2006/main">
          <x14:cfRule type="expression" priority="149" id="{ABC7DAD1-35DD-4C27-9850-CC53A2B92D37}">
            <xm:f>$J$83=Formeln!$A$177</xm:f>
            <x14:dxf>
              <font>
                <color theme="0" tint="-0.24994659260841701"/>
              </font>
            </x14:dxf>
          </x14:cfRule>
          <xm:sqref>B85:B86</xm:sqref>
        </x14:conditionalFormatting>
        <x14:conditionalFormatting xmlns:xm="http://schemas.microsoft.com/office/excel/2006/main">
          <x14:cfRule type="expression" priority="79" id="{90BF8945-FED8-401F-B3BA-FACCD7DDD719}">
            <xm:f>$J$39=Formeln!$A$177</xm:f>
            <x14:dxf>
              <font>
                <color theme="0" tint="-0.34998626667073579"/>
              </font>
            </x14:dxf>
          </x14:cfRule>
          <xm:sqref>D40</xm:sqref>
        </x14:conditionalFormatting>
        <x14:conditionalFormatting xmlns:xm="http://schemas.microsoft.com/office/excel/2006/main">
          <x14:cfRule type="expression" priority="188" id="{CE4235F8-524C-4919-9D3B-970D4931E4F6}">
            <xm:f>$J$44=Formeln!$A$177</xm:f>
            <x14:dxf>
              <font>
                <color theme="0" tint="-0.24994659260841701"/>
              </font>
            </x14:dxf>
          </x14:cfRule>
          <xm:sqref>D44</xm:sqref>
        </x14:conditionalFormatting>
        <x14:conditionalFormatting xmlns:xm="http://schemas.microsoft.com/office/excel/2006/main">
          <x14:cfRule type="expression" priority="189" id="{3A369BDB-F0A0-4AD0-8F59-1EDFA826F50B}">
            <xm:f>$J$50=Formeln!$A$177</xm:f>
            <x14:dxf>
              <font>
                <color theme="0" tint="-0.24994659260841701"/>
              </font>
            </x14:dxf>
          </x14:cfRule>
          <xm:sqref>D50</xm:sqref>
        </x14:conditionalFormatting>
        <x14:conditionalFormatting xmlns:xm="http://schemas.microsoft.com/office/excel/2006/main">
          <x14:cfRule type="expression" priority="190" id="{F3650292-5A73-454F-AD11-D6E470481612}">
            <xm:f>$J$51=Formeln!$A$177</xm:f>
            <x14:dxf>
              <font>
                <color theme="0" tint="-0.24994659260841701"/>
              </font>
            </x14:dxf>
          </x14:cfRule>
          <xm:sqref>D51</xm:sqref>
        </x14:conditionalFormatting>
        <x14:conditionalFormatting xmlns:xm="http://schemas.microsoft.com/office/excel/2006/main">
          <x14:cfRule type="expression" priority="191" id="{B87FE91F-E04F-4272-A07E-9F0EBCEBBC5F}">
            <xm:f>$J$52=Formeln!$A$177</xm:f>
            <x14:dxf>
              <font>
                <color theme="0" tint="-0.24994659260841701"/>
              </font>
            </x14:dxf>
          </x14:cfRule>
          <xm:sqref>D52:D53</xm:sqref>
        </x14:conditionalFormatting>
        <x14:conditionalFormatting xmlns:xm="http://schemas.microsoft.com/office/excel/2006/main">
          <x14:cfRule type="expression" priority="185" id="{B3B38BB3-5DE2-4BD6-81FA-6CE45945C86A}">
            <xm:f>$J$54=Formeln!$A$177</xm:f>
            <x14:dxf>
              <font>
                <color theme="0" tint="-0.24994659260841701"/>
              </font>
            </x14:dxf>
          </x14:cfRule>
          <xm:sqref>D54</xm:sqref>
        </x14:conditionalFormatting>
        <x14:conditionalFormatting xmlns:xm="http://schemas.microsoft.com/office/excel/2006/main">
          <x14:cfRule type="expression" priority="192" id="{8BC88737-74EA-432E-8904-A6764CA89EF1}">
            <xm:f>$J$59=Formeln!$A$177</xm:f>
            <x14:dxf>
              <font>
                <color theme="0" tint="-0.24994659260841701"/>
              </font>
            </x14:dxf>
          </x14:cfRule>
          <xm:sqref>D59</xm:sqref>
        </x14:conditionalFormatting>
        <x14:conditionalFormatting xmlns:xm="http://schemas.microsoft.com/office/excel/2006/main">
          <x14:cfRule type="expression" priority="172" id="{8AFA0AAE-C6AC-49C3-A159-0ADCF01D6219}">
            <xm:f>$J$59=Formeln!$A$177</xm:f>
            <x14:dxf>
              <font>
                <color theme="0" tint="-0.24994659260841701"/>
              </font>
            </x14:dxf>
          </x14:cfRule>
          <xm:sqref>D87:D88</xm:sqref>
        </x14:conditionalFormatting>
        <x14:conditionalFormatting xmlns:xm="http://schemas.microsoft.com/office/excel/2006/main">
          <x14:cfRule type="expression" priority="169" id="{71F4F160-9ABE-4AD9-90BE-0BBB67C73314}">
            <xm:f>$J$94=Formeln!$A$177</xm:f>
            <x14:dxf>
              <font>
                <color theme="0" tint="-0.24994659260841701"/>
              </font>
            </x14:dxf>
          </x14:cfRule>
          <xm:sqref>D94:D97</xm:sqref>
        </x14:conditionalFormatting>
        <x14:conditionalFormatting xmlns:xm="http://schemas.microsoft.com/office/excel/2006/main">
          <x14:cfRule type="expression" priority="75" id="{B24D8B2D-1484-4F4D-964D-3951EFAF2E39}">
            <xm:f>$J$83=Formeln!$A$177</xm:f>
            <x14:dxf>
              <font>
                <color theme="0" tint="-0.34998626667073579"/>
              </font>
            </x14:dxf>
          </x14:cfRule>
          <xm:sqref>D84:I84</xm:sqref>
        </x14:conditionalFormatting>
        <x14:conditionalFormatting xmlns:xm="http://schemas.microsoft.com/office/excel/2006/main">
          <x14:cfRule type="expression" priority="187" id="{BDD58534-7F3E-4D85-A584-B2FE3FB495C2}">
            <xm:f>$J$43=Formeln!$A$177</xm:f>
            <x14:dxf>
              <font>
                <color theme="0" tint="-0.24994659260841701"/>
              </font>
            </x14:dxf>
          </x14:cfRule>
          <xm:sqref>D43:K43</xm:sqref>
        </x14:conditionalFormatting>
        <x14:conditionalFormatting xmlns:xm="http://schemas.microsoft.com/office/excel/2006/main">
          <x14:cfRule type="expression" priority="277" id="{CF63EF5A-7828-4F2C-B04D-B2B5641B9342}">
            <xm:f>$J$50=Formeln!$A$177</xm:f>
            <x14:dxf>
              <font>
                <color theme="0" tint="-0.34998626667073579"/>
              </font>
            </x14:dxf>
          </x14:cfRule>
          <xm:sqref>D50:K50 A50:B50 M50:N50</xm:sqref>
        </x14:conditionalFormatting>
        <x14:conditionalFormatting xmlns:xm="http://schemas.microsoft.com/office/excel/2006/main">
          <x14:cfRule type="expression" priority="278" id="{477E9AEC-1614-4430-A133-B1A67DD97F17}">
            <xm:f>$J$51=Formeln!$A$177</xm:f>
            <x14:dxf>
              <font>
                <color theme="0" tint="-0.34998626667073579"/>
              </font>
            </x14:dxf>
          </x14:cfRule>
          <xm:sqref>D51:K51 A51:B51 M51:N51</xm:sqref>
        </x14:conditionalFormatting>
        <x14:conditionalFormatting xmlns:xm="http://schemas.microsoft.com/office/excel/2006/main">
          <x14:cfRule type="expression" priority="279" id="{2DF16B30-D490-4204-B8B3-DF31977E2178}">
            <xm:f>$J$52=Formeln!$A$177</xm:f>
            <x14:dxf>
              <font>
                <color theme="0" tint="-0.34998626667073579"/>
              </font>
            </x14:dxf>
          </x14:cfRule>
          <xm:sqref>D52:K52 A52:B52 M52:N52</xm:sqref>
        </x14:conditionalFormatting>
        <x14:conditionalFormatting xmlns:xm="http://schemas.microsoft.com/office/excel/2006/main">
          <x14:cfRule type="expression" priority="273" id="{AAC574F2-7D81-4D8B-9E9E-FB5D56EE720F}">
            <xm:f>$J$54=Formeln!$A$177</xm:f>
            <x14:dxf>
              <font>
                <color theme="0" tint="-0.34998626667073579"/>
              </font>
            </x14:dxf>
          </x14:cfRule>
          <xm:sqref>D54:K54 A54:B54 M54:N54</xm:sqref>
        </x14:conditionalFormatting>
        <x14:conditionalFormatting xmlns:xm="http://schemas.microsoft.com/office/excel/2006/main">
          <x14:cfRule type="expression" priority="280" id="{4CF16E65-D4B2-4C56-B3B2-FF395EAC64DF}">
            <xm:f>$J$59=Formeln!$A$177</xm:f>
            <x14:dxf>
              <font>
                <color theme="0" tint="-0.34998626667073579"/>
              </font>
            </x14:dxf>
          </x14:cfRule>
          <xm:sqref>D59:K59 A59:B59 M59:N59</xm:sqref>
        </x14:conditionalFormatting>
        <x14:conditionalFormatting xmlns:xm="http://schemas.microsoft.com/office/excel/2006/main">
          <x14:cfRule type="expression" priority="186" id="{DCEA48A0-9D67-4E6F-ACB3-60066DE9BC21}">
            <xm:f>$J$80=Formeln!$A$177</xm:f>
            <x14:dxf>
              <font>
                <color theme="0" tint="-0.24994659260841701"/>
              </font>
            </x14:dxf>
          </x14:cfRule>
          <xm:sqref>D80:K80</xm:sqref>
        </x14:conditionalFormatting>
        <x14:conditionalFormatting xmlns:xm="http://schemas.microsoft.com/office/excel/2006/main">
          <x14:cfRule type="expression" priority="295" id="{D030417B-17DB-43D3-A2DF-5DB4257A0F46}">
            <xm:f>$J$95=Formeln!$A$177</xm:f>
            <x14:dxf>
              <font>
                <color theme="0" tint="-0.24994659260841701"/>
              </font>
            </x14:dxf>
          </x14:cfRule>
          <xm:sqref>D95:K95</xm:sqref>
        </x14:conditionalFormatting>
        <x14:conditionalFormatting xmlns:xm="http://schemas.microsoft.com/office/excel/2006/main">
          <x14:cfRule type="expression" priority="194" id="{A22A3004-C748-426A-8618-C3E0C139878D}">
            <xm:f>$J$60=Formeln!$A$177</xm:f>
            <x14:dxf>
              <font>
                <color theme="0" tint="-0.24994659260841701"/>
              </font>
            </x14:dxf>
          </x14:cfRule>
          <xm:sqref>D60:N60</xm:sqref>
        </x14:conditionalFormatting>
        <x14:conditionalFormatting xmlns:xm="http://schemas.microsoft.com/office/excel/2006/main">
          <x14:cfRule type="expression" priority="1" id="{44C5DBD7-C8FD-426B-B043-47068AEAE8DC}">
            <xm:f>$J$61=Formeln!$A$177</xm:f>
            <x14:dxf>
              <font>
                <color theme="0" tint="-0.34998626667073579"/>
              </font>
            </x14:dxf>
          </x14:cfRule>
          <xm:sqref>E63:I63</xm:sqref>
        </x14:conditionalFormatting>
        <x14:conditionalFormatting xmlns:xm="http://schemas.microsoft.com/office/excel/2006/main">
          <x14:cfRule type="expression" priority="92" id="{67339983-31F8-4406-A15E-B4B14501CED9}">
            <xm:f>$J$81=Formeln!$A$177</xm:f>
            <x14:dxf>
              <font>
                <color theme="0" tint="-0.24994659260841701"/>
              </font>
            </x14:dxf>
          </x14:cfRule>
          <xm:sqref>E81:I81</xm:sqref>
        </x14:conditionalFormatting>
        <x14:conditionalFormatting xmlns:xm="http://schemas.microsoft.com/office/excel/2006/main">
          <x14:cfRule type="expression" priority="67" id="{A396E524-1A20-4C00-92A9-7A76835DFCAA}">
            <xm:f>$J$107=Formeln!$A$177</xm:f>
            <x14:dxf>
              <font>
                <color theme="0" tint="-0.34998626667073579"/>
              </font>
            </x14:dxf>
          </x14:cfRule>
          <xm:sqref>E99:I100</xm:sqref>
        </x14:conditionalFormatting>
        <x14:conditionalFormatting xmlns:xm="http://schemas.microsoft.com/office/excel/2006/main">
          <x14:cfRule type="expression" priority="155" id="{CED06D55-0062-4A09-86B2-080D20E17405}">
            <xm:f>$J$62=Formeln!$A$1</xm:f>
            <x14:dxf>
              <fill>
                <patternFill>
                  <bgColor theme="0" tint="-0.14996795556505021"/>
                </patternFill>
              </fill>
            </x14:dxf>
          </x14:cfRule>
          <xm:sqref>J62</xm:sqref>
        </x14:conditionalFormatting>
        <x14:conditionalFormatting xmlns:xm="http://schemas.microsoft.com/office/excel/2006/main">
          <x14:cfRule type="expression" priority="208" id="{1CD33345-A691-4B95-803B-34DEE002EC2E}">
            <xm:f>$J$33=Formeln!$A$1</xm:f>
            <x14:dxf>
              <fill>
                <patternFill>
                  <bgColor theme="0" tint="-0.14996795556505021"/>
                </patternFill>
              </fill>
            </x14:dxf>
          </x14:cfRule>
          <xm:sqref>J33:K33</xm:sqref>
        </x14:conditionalFormatting>
        <x14:conditionalFormatting xmlns:xm="http://schemas.microsoft.com/office/excel/2006/main">
          <x14:cfRule type="expression" priority="207" id="{B8B3C658-E71A-4D70-9034-CA088EFE2A0F}">
            <xm:f>$J$35=Formeln!$A$1</xm:f>
            <x14:dxf>
              <fill>
                <patternFill>
                  <bgColor theme="0" tint="-0.14996795556505021"/>
                </patternFill>
              </fill>
            </x14:dxf>
          </x14:cfRule>
          <xm:sqref>J35:K35</xm:sqref>
        </x14:conditionalFormatting>
        <x14:conditionalFormatting xmlns:xm="http://schemas.microsoft.com/office/excel/2006/main">
          <x14:cfRule type="expression" priority="154" id="{37665CF9-08E2-4E75-BB47-6D4E6AF6E570}">
            <xm:f>$J$64=Formeln!$A$1</xm:f>
            <x14:dxf>
              <fill>
                <patternFill>
                  <bgColor theme="0" tint="-0.14996795556505021"/>
                </patternFill>
              </fill>
            </x14:dxf>
          </x14:cfRule>
          <xm:sqref>J64:K64</xm:sqref>
        </x14:conditionalFormatting>
        <x14:conditionalFormatting xmlns:xm="http://schemas.microsoft.com/office/excel/2006/main">
          <x14:cfRule type="expression" priority="204" id="{FB6303C5-DA45-4E29-9F2D-1F2356A20B8E}">
            <xm:f>$J$66=Formeln!$A$1</xm:f>
            <x14:dxf>
              <fill>
                <patternFill>
                  <bgColor theme="0" tint="-0.14996795556505021"/>
                </patternFill>
              </fill>
            </x14:dxf>
          </x14:cfRule>
          <xm:sqref>J66:K66</xm:sqref>
        </x14:conditionalFormatting>
        <x14:conditionalFormatting xmlns:xm="http://schemas.microsoft.com/office/excel/2006/main">
          <x14:cfRule type="expression" priority="3" id="{66DAFF3B-3237-4761-8D7B-7C8ADE82BA5B}">
            <xm:f>$J$69=Formeln_RI_P.10!$I$186</xm:f>
            <x14:dxf>
              <fill>
                <patternFill>
                  <bgColor theme="0" tint="-0.14996795556505021"/>
                </patternFill>
              </fill>
            </x14:dxf>
          </x14:cfRule>
          <xm:sqref>J69:K69</xm:sqref>
        </x14:conditionalFormatting>
        <x14:conditionalFormatting xmlns:xm="http://schemas.microsoft.com/office/excel/2006/main">
          <x14:cfRule type="expression" priority="91" id="{25ACC5B7-839D-4418-A512-D36A15528AC9}">
            <xm:f>$J$81=Formeln!$A$1</xm:f>
            <x14:dxf>
              <font>
                <color auto="1"/>
              </font>
              <fill>
                <patternFill>
                  <bgColor theme="0" tint="-0.14996795556505021"/>
                </patternFill>
              </fill>
            </x14:dxf>
          </x14:cfRule>
          <xm:sqref>J81:K81</xm:sqref>
        </x14:conditionalFormatting>
        <x14:conditionalFormatting xmlns:xm="http://schemas.microsoft.com/office/excel/2006/main">
          <x14:cfRule type="expression" priority="74" id="{D7657FE6-453A-4F0D-B93B-18B75F71849A}">
            <xm:f>$J$60=Formeln!$A$177</xm:f>
            <x14:dxf>
              <font>
                <color theme="0" tint="-0.24994659260841701"/>
              </font>
            </x14:dxf>
          </x14:cfRule>
          <xm:sqref>J84:K84</xm:sqref>
        </x14:conditionalFormatting>
        <x14:conditionalFormatting xmlns:xm="http://schemas.microsoft.com/office/excel/2006/main">
          <x14:cfRule type="expression" priority="7" stopIfTrue="1" id="{3A2C5CC1-D33B-4CCA-9704-A2770F59E4DB}">
            <xm:f>$J$83=Formeln!$A$177</xm:f>
            <x14:dxf>
              <font>
                <color theme="0" tint="-0.24994659260841701"/>
              </font>
            </x14:dxf>
          </x14:cfRule>
          <xm:sqref>J85:K85</xm:sqref>
        </x14:conditionalFormatting>
        <x14:conditionalFormatting xmlns:xm="http://schemas.microsoft.com/office/excel/2006/main">
          <x14:cfRule type="expression" priority="120" id="{427E75FA-614E-4AC0-BC68-8BA8CAEEE2BA}">
            <xm:f>$J$83=Formeln!$A$177</xm:f>
            <x14:dxf>
              <font>
                <color theme="0" tint="-0.24994659260841701"/>
              </font>
            </x14:dxf>
          </x14:cfRule>
          <xm:sqref>J91:K91</xm:sqref>
        </x14:conditionalFormatting>
        <x14:conditionalFormatting xmlns:xm="http://schemas.microsoft.com/office/excel/2006/main">
          <x14:cfRule type="expression" priority="118" id="{CCB5D509-E9B4-41B0-84AC-CAAAA1E29FFD}">
            <xm:f>$J$94=Formeln!$A$177</xm:f>
            <x14:dxf>
              <font>
                <color theme="0" tint="-0.24994659260841701"/>
              </font>
            </x14:dxf>
          </x14:cfRule>
          <xm:sqref>J92:K92</xm:sqref>
        </x14:conditionalFormatting>
        <x14:conditionalFormatting xmlns:xm="http://schemas.microsoft.com/office/excel/2006/main">
          <x14:cfRule type="expression" priority="2" id="{141AE40F-1E1F-44B2-9414-E09955972636}">
            <xm:f>$J$97=Formeln!$A$177</xm:f>
            <x14:dxf>
              <font>
                <color theme="0" tint="-0.24994659260841701"/>
              </font>
            </x14:dxf>
          </x14:cfRule>
          <xm:sqref>J98:K98</xm:sqref>
        </x14:conditionalFormatting>
        <x14:conditionalFormatting xmlns:xm="http://schemas.microsoft.com/office/excel/2006/main">
          <x14:cfRule type="expression" priority="104" id="{EC9D6309-0FD4-4B37-B191-3B10D3904B99}">
            <xm:f>$J$54=Formeln!$A$177</xm:f>
            <x14:dxf>
              <font>
                <color theme="0" tint="-0.24994659260841701"/>
              </font>
            </x14:dxf>
          </x14:cfRule>
          <xm:sqref>L54</xm:sqref>
        </x14:conditionalFormatting>
        <x14:conditionalFormatting xmlns:xm="http://schemas.microsoft.com/office/excel/2006/main">
          <x14:cfRule type="expression" priority="99" id="{ADA83D0E-EBB1-499B-964E-9EE25185B206}">
            <xm:f>$J$43=Formeln!$A$177</xm:f>
            <x14:dxf>
              <font>
                <color theme="0" tint="-0.24994659260841701"/>
              </font>
            </x14:dxf>
          </x14:cfRule>
          <xm:sqref>M43:N43 A43:A44</xm:sqref>
        </x14:conditionalFormatting>
        <x14:conditionalFormatting xmlns:xm="http://schemas.microsoft.com/office/excel/2006/main">
          <x14:cfRule type="expression" priority="100" id="{441A60AB-8DE8-4335-BB44-AD1FF798BFCC}">
            <xm:f>$J$80=Formeln!$A$177</xm:f>
            <x14:dxf>
              <font>
                <color theme="0" tint="-0.24994659260841701"/>
              </font>
            </x14:dxf>
          </x14:cfRule>
          <xm:sqref>M80:N80</xm:sqref>
        </x14:conditionalFormatting>
        <x14:conditionalFormatting xmlns:xm="http://schemas.microsoft.com/office/excel/2006/main">
          <x14:cfRule type="expression" priority="61" id="{0E90C8BB-FD5F-44D8-882C-3F254CCAB1D7}">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60" id="{289FD04E-1A6A-4877-A737-A6952F192A2B}">
            <xm:f>Info!$V$7=8</xm:f>
            <x14:dxf>
              <font>
                <color theme="1"/>
              </font>
              <border>
                <bottom style="thin">
                  <color auto="1"/>
                </bottom>
              </border>
            </x14:dxf>
          </x14:cfRule>
          <xm:sqref>O111</xm:sqref>
        </x14:conditionalFormatting>
        <x14:conditionalFormatting xmlns:xm="http://schemas.microsoft.com/office/excel/2006/main">
          <x14:cfRule type="dataBar" id="{2E26CFC5-73A6-4150-A877-F1CFCBD68F0E}">
            <x14:dataBar minLength="0" maxLength="100" gradient="0">
              <x14:cfvo type="autoMin"/>
              <x14:cfvo type="autoMax"/>
              <x14:negativeFillColor rgb="FFFF0000"/>
              <x14:axisColor rgb="FF000000"/>
            </x14:dataBar>
          </x14:cfRule>
          <xm:sqref>AH67</xm:sqref>
        </x14:conditionalFormatting>
        <x14:conditionalFormatting xmlns:xm="http://schemas.microsoft.com/office/excel/2006/main">
          <x14:cfRule type="expression" priority="55" id="{C3D9FF2F-39EE-46AD-B089-DD1988335781}">
            <xm:f>$J$31=Formeln!$A$177</xm:f>
            <x14:dxf>
              <font>
                <color theme="0" tint="-0.34998626667073579"/>
              </font>
            </x14:dxf>
          </x14:cfRule>
          <xm:sqref>FE31:FI31</xm:sqref>
        </x14:conditionalFormatting>
        <x14:conditionalFormatting xmlns:xm="http://schemas.microsoft.com/office/excel/2006/main">
          <x14:cfRule type="expression" priority="54" id="{168A41D6-9550-4C73-98F3-97BD6E28CC1F}">
            <xm:f>$J$32=Formeln!$A$177</xm:f>
            <x14:dxf>
              <font>
                <color theme="0" tint="-0.34998626667073579"/>
              </font>
            </x14:dxf>
          </x14:cfRule>
          <xm:sqref>FE32:FI32</xm:sqref>
        </x14:conditionalFormatting>
        <x14:conditionalFormatting xmlns:xm="http://schemas.microsoft.com/office/excel/2006/main">
          <x14:cfRule type="expression" priority="57" id="{F3043B5C-1AE3-441B-A246-885453D23C14}">
            <xm:f>$J$34=Formeln!$A$177</xm:f>
            <x14:dxf>
              <font>
                <color theme="0" tint="-0.34998626667073579"/>
              </font>
            </x14:dxf>
          </x14:cfRule>
          <xm:sqref>FE34:FI34</xm:sqref>
        </x14:conditionalFormatting>
        <x14:conditionalFormatting xmlns:xm="http://schemas.microsoft.com/office/excel/2006/main">
          <x14:cfRule type="expression" priority="59" id="{AFA91687-2BAF-40F7-81CB-71C20D23B3CF}">
            <xm:f>$J$36=Formeln!$A$177</xm:f>
            <x14:dxf>
              <font>
                <color theme="0" tint="-0.34998626667073579"/>
              </font>
            </x14:dxf>
          </x14:cfRule>
          <xm:sqref>FE36:FI36</xm:sqref>
        </x14:conditionalFormatting>
        <x14:conditionalFormatting xmlns:xm="http://schemas.microsoft.com/office/excel/2006/main">
          <x14:cfRule type="expression" priority="56" id="{A62826AE-AA12-455A-834F-BF8A10BF0B95}">
            <xm:f>$J$38=Formeln!$A$177</xm:f>
            <x14:dxf>
              <font>
                <color theme="0" tint="-0.34998626667073579"/>
              </font>
            </x14:dxf>
          </x14:cfRule>
          <xm:sqref>FE38:FI38</xm:sqref>
        </x14:conditionalFormatting>
        <x14:conditionalFormatting xmlns:xm="http://schemas.microsoft.com/office/excel/2006/main">
          <x14:cfRule type="expression" priority="53" id="{4DC469DD-15FA-4E6E-B4B9-61EB76218B89}">
            <xm:f>$J$39=Formeln!$A$177</xm:f>
            <x14:dxf>
              <font>
                <color theme="0" tint="-0.34998626667073579"/>
              </font>
            </x14:dxf>
          </x14:cfRule>
          <xm:sqref>FE39:FI39</xm:sqref>
        </x14:conditionalFormatting>
        <x14:conditionalFormatting xmlns:xm="http://schemas.microsoft.com/office/excel/2006/main">
          <x14:cfRule type="expression" priority="52" id="{502B9A51-F91B-4A6C-9320-A20E9114CE6F}">
            <xm:f>$J$40=Formeln!$A$177</xm:f>
            <x14:dxf>
              <font>
                <color theme="0" tint="-0.34998626667073579"/>
              </font>
            </x14:dxf>
          </x14:cfRule>
          <xm:sqref>FE40:FI40</xm:sqref>
        </x14:conditionalFormatting>
        <x14:conditionalFormatting xmlns:xm="http://schemas.microsoft.com/office/excel/2006/main">
          <x14:cfRule type="expression" priority="51" id="{52B30769-DCDD-48D4-9E51-3731C2A148FA}">
            <xm:f>$J$41=Formeln!$A$177</xm:f>
            <x14:dxf>
              <font>
                <color theme="0" tint="-0.34998626667073579"/>
              </font>
            </x14:dxf>
          </x14:cfRule>
          <xm:sqref>FE41:FI41</xm:sqref>
        </x14:conditionalFormatting>
        <x14:conditionalFormatting xmlns:xm="http://schemas.microsoft.com/office/excel/2006/main">
          <x14:cfRule type="expression" priority="50" id="{AAE0C45A-3B2B-4B63-B650-0D310ABD21B4}">
            <xm:f>$J$42=Formeln!$A$177</xm:f>
            <x14:dxf>
              <font>
                <color theme="0" tint="-0.34998626667073579"/>
              </font>
            </x14:dxf>
          </x14:cfRule>
          <xm:sqref>FE42:FI42</xm:sqref>
        </x14:conditionalFormatting>
        <x14:conditionalFormatting xmlns:xm="http://schemas.microsoft.com/office/excel/2006/main">
          <x14:cfRule type="expression" priority="35" id="{5F47E39A-D9AB-4B0D-A846-F87E566E1D69}">
            <xm:f>$J$43=Formeln!$A$177</xm:f>
            <x14:dxf>
              <font>
                <color theme="0" tint="-0.24994659260841701"/>
              </font>
            </x14:dxf>
          </x14:cfRule>
          <xm:sqref>FE43:FI43</xm:sqref>
        </x14:conditionalFormatting>
        <x14:conditionalFormatting xmlns:xm="http://schemas.microsoft.com/office/excel/2006/main">
          <x14:cfRule type="expression" priority="38" id="{976177B0-A7A8-4335-A6CB-547BD65975D5}">
            <xm:f>$J$44=Formeln!$A$177</xm:f>
            <x14:dxf>
              <font>
                <color theme="0" tint="-0.34998626667073579"/>
              </font>
            </x14:dxf>
          </x14:cfRule>
          <xm:sqref>FE44:FI44</xm:sqref>
        </x14:conditionalFormatting>
        <x14:conditionalFormatting xmlns:xm="http://schemas.microsoft.com/office/excel/2006/main">
          <x14:cfRule type="expression" priority="30" id="{ECCB1487-D740-476A-BBDF-47D76FF0B8B0}">
            <xm:f>$J$47=Formeln!$A$177</xm:f>
            <x14:dxf>
              <font>
                <color theme="0" tint="-0.34998626667073579"/>
              </font>
            </x14:dxf>
          </x14:cfRule>
          <xm:sqref>FE47:FI47</xm:sqref>
        </x14:conditionalFormatting>
        <x14:conditionalFormatting xmlns:xm="http://schemas.microsoft.com/office/excel/2006/main">
          <x14:cfRule type="expression" priority="31" id="{6DCF9E68-7CD1-4B93-A245-8B896585BBA5}">
            <xm:f>$J$48=Formeln!$A$177</xm:f>
            <x14:dxf>
              <font>
                <color theme="0" tint="-0.24994659260841701"/>
              </font>
            </x14:dxf>
          </x14:cfRule>
          <xm:sqref>FE48:FI48</xm:sqref>
        </x14:conditionalFormatting>
        <x14:conditionalFormatting xmlns:xm="http://schemas.microsoft.com/office/excel/2006/main">
          <x14:cfRule type="expression" priority="48" id="{7ADB50F3-4141-4232-AF27-3101DCDAE492}">
            <xm:f>$J$49=Formeln!$A$177</xm:f>
            <x14:dxf>
              <font>
                <color theme="0" tint="-0.34998626667073579"/>
              </font>
            </x14:dxf>
          </x14:cfRule>
          <xm:sqref>FE49:FI49</xm:sqref>
        </x14:conditionalFormatting>
        <x14:conditionalFormatting xmlns:xm="http://schemas.microsoft.com/office/excel/2006/main">
          <x14:cfRule type="expression" priority="39" id="{96264E7A-EA98-4EFC-8EB7-DF223C82262C}">
            <xm:f>$J$50=Formeln!$A$177</xm:f>
            <x14:dxf>
              <font>
                <color theme="0" tint="-0.34998626667073579"/>
              </font>
            </x14:dxf>
          </x14:cfRule>
          <xm:sqref>FE50:FI50</xm:sqref>
        </x14:conditionalFormatting>
        <x14:conditionalFormatting xmlns:xm="http://schemas.microsoft.com/office/excel/2006/main">
          <x14:cfRule type="expression" priority="40" id="{8486543E-9D43-4131-9C01-3AB4E0439012}">
            <xm:f>$J$51=Formeln!$A$177</xm:f>
            <x14:dxf>
              <font>
                <color theme="0" tint="-0.34998626667073579"/>
              </font>
            </x14:dxf>
          </x14:cfRule>
          <xm:sqref>FE51:FI51</xm:sqref>
        </x14:conditionalFormatting>
        <x14:conditionalFormatting xmlns:xm="http://schemas.microsoft.com/office/excel/2006/main">
          <x14:cfRule type="expression" priority="41" id="{2FB5094B-AE4C-40E1-BEB2-6D8D7A389CF3}">
            <xm:f>$J$52=Formeln!$A$177</xm:f>
            <x14:dxf>
              <font>
                <color theme="0" tint="-0.34998626667073579"/>
              </font>
            </x14:dxf>
          </x14:cfRule>
          <xm:sqref>FE52:FI52</xm:sqref>
        </x14:conditionalFormatting>
        <x14:conditionalFormatting xmlns:xm="http://schemas.microsoft.com/office/excel/2006/main">
          <x14:cfRule type="expression" priority="28" id="{D74A8014-A2AC-41D4-9941-CD39887CF76F}">
            <xm:f>$J$53=Formeln!$A$177</xm:f>
            <x14:dxf>
              <font>
                <color theme="0" tint="-0.34998626667073579"/>
              </font>
            </x14:dxf>
          </x14:cfRule>
          <xm:sqref>FE53:FI53</xm:sqref>
        </x14:conditionalFormatting>
        <x14:conditionalFormatting xmlns:xm="http://schemas.microsoft.com/office/excel/2006/main">
          <x14:cfRule type="expression" priority="37" id="{A127FD16-A499-421C-B6C3-CDDF1E75F902}">
            <xm:f>$J$54=Formeln!$A$177</xm:f>
            <x14:dxf>
              <font>
                <color theme="0" tint="-0.34998626667073579"/>
              </font>
            </x14:dxf>
          </x14:cfRule>
          <xm:sqref>FE54:FI54</xm:sqref>
        </x14:conditionalFormatting>
        <x14:conditionalFormatting xmlns:xm="http://schemas.microsoft.com/office/excel/2006/main">
          <x14:cfRule type="expression" priority="42" id="{C56232FF-02E3-441D-BE2F-6A44707C48DC}">
            <xm:f>$J$59=Formeln!$A$177</xm:f>
            <x14:dxf>
              <font>
                <color theme="0" tint="-0.34998626667073579"/>
              </font>
            </x14:dxf>
          </x14:cfRule>
          <xm:sqref>FE59:FI59</xm:sqref>
        </x14:conditionalFormatting>
        <x14:conditionalFormatting xmlns:xm="http://schemas.microsoft.com/office/excel/2006/main">
          <x14:cfRule type="expression" priority="36" id="{B867B7D7-0FFB-4A33-AFF1-DF060D9EA742}">
            <xm:f>$J$60=Formeln!$A$177</xm:f>
            <x14:dxf>
              <font>
                <color theme="0" tint="-0.24994659260841701"/>
              </font>
            </x14:dxf>
          </x14:cfRule>
          <xm:sqref>FE60:FI60</xm:sqref>
        </x14:conditionalFormatting>
        <x14:conditionalFormatting xmlns:xm="http://schemas.microsoft.com/office/excel/2006/main">
          <x14:cfRule type="expression" priority="27" id="{996D7A92-173A-46C2-8843-E9F4CB14165E}">
            <xm:f>$J$61=Formeln!$A$177</xm:f>
            <x14:dxf>
              <font>
                <color theme="0" tint="-0.34998626667073579"/>
              </font>
            </x14:dxf>
          </x14:cfRule>
          <xm:sqref>FE61:FI61</xm:sqref>
        </x14:conditionalFormatting>
        <x14:conditionalFormatting xmlns:xm="http://schemas.microsoft.com/office/excel/2006/main">
          <x14:cfRule type="expression" priority="26" id="{0393D8A9-9CE6-432B-A637-CD0CD0A9E6C2}">
            <xm:f>$J$71=Formeln!$A$177</xm:f>
            <x14:dxf>
              <font>
                <color theme="0" tint="-0.34998626667073579"/>
              </font>
            </x14:dxf>
          </x14:cfRule>
          <xm:sqref>FE71:FI71</xm:sqref>
        </x14:conditionalFormatting>
        <x14:conditionalFormatting xmlns:xm="http://schemas.microsoft.com/office/excel/2006/main">
          <x14:cfRule type="expression" priority="45" id="{4452F66F-D0CD-4D8D-9989-DCEC75F27A34}">
            <xm:f>$J$72=Formeln!$A$177</xm:f>
            <x14:dxf>
              <font>
                <color theme="0" tint="-0.24994659260841701"/>
              </font>
            </x14:dxf>
          </x14:cfRule>
          <xm:sqref>FE72:FI72</xm:sqref>
        </x14:conditionalFormatting>
        <x14:conditionalFormatting xmlns:xm="http://schemas.microsoft.com/office/excel/2006/main">
          <x14:cfRule type="expression" priority="46" id="{D34D2153-A866-4AD9-88FC-31A2C2BD7DCD}">
            <xm:f>$J$73=Formeln!$A$177</xm:f>
            <x14:dxf>
              <font>
                <color theme="0" tint="-0.24994659260841701"/>
              </font>
            </x14:dxf>
          </x14:cfRule>
          <xm:sqref>FE73:FI73</xm:sqref>
        </x14:conditionalFormatting>
        <x14:conditionalFormatting xmlns:xm="http://schemas.microsoft.com/office/excel/2006/main">
          <x14:cfRule type="expression" priority="47" id="{F84F70AC-1604-4016-9F07-565EC355C9A0}">
            <xm:f>$J$74=Formeln!$A$177</xm:f>
            <x14:dxf>
              <font>
                <color theme="0" tint="-0.24994659260841701"/>
              </font>
            </x14:dxf>
          </x14:cfRule>
          <xm:sqref>FE74:FI74</xm:sqref>
        </x14:conditionalFormatting>
        <x14:conditionalFormatting xmlns:xm="http://schemas.microsoft.com/office/excel/2006/main">
          <x14:cfRule type="expression" priority="25" id="{BBD9EFD4-C1C5-4316-8EB6-6FC82F7219FB}">
            <xm:f>$J$75=Formeln!$A$177</xm:f>
            <x14:dxf>
              <font>
                <color theme="0" tint="-0.34998626667073579"/>
              </font>
            </x14:dxf>
          </x14:cfRule>
          <xm:sqref>FE75:FI75</xm:sqref>
        </x14:conditionalFormatting>
        <x14:conditionalFormatting xmlns:xm="http://schemas.microsoft.com/office/excel/2006/main">
          <x14:cfRule type="expression" priority="43" id="{85CCFBC7-94A1-483C-BAF0-DEB1719AE568}">
            <xm:f>$J$76=Formeln!$A$177</xm:f>
            <x14:dxf>
              <font>
                <color theme="0" tint="-0.24994659260841701"/>
              </font>
            </x14:dxf>
          </x14:cfRule>
          <xm:sqref>FE76:FI76</xm:sqref>
        </x14:conditionalFormatting>
        <x14:conditionalFormatting xmlns:xm="http://schemas.microsoft.com/office/excel/2006/main">
          <x14:cfRule type="expression" priority="44" id="{216C5E83-3E10-4B83-B126-F4A135B6BEEA}">
            <xm:f>$J$77=Formeln!$A$177</xm:f>
            <x14:dxf>
              <font>
                <color theme="0" tint="-0.24994659260841701"/>
              </font>
            </x14:dxf>
          </x14:cfRule>
          <xm:sqref>FE77:FI77</xm:sqref>
        </x14:conditionalFormatting>
        <x14:conditionalFormatting xmlns:xm="http://schemas.microsoft.com/office/excel/2006/main">
          <x14:cfRule type="expression" priority="34" id="{9799DA2D-D83D-412F-8A8B-43CFDE5DA770}">
            <xm:f>$J$80=Formeln!$A$177</xm:f>
            <x14:dxf>
              <font>
                <color theme="0" tint="-0.24994659260841701"/>
              </font>
            </x14:dxf>
          </x14:cfRule>
          <xm:sqref>FE80:FI80</xm:sqref>
        </x14:conditionalFormatting>
        <x14:conditionalFormatting xmlns:xm="http://schemas.microsoft.com/office/excel/2006/main">
          <x14:cfRule type="expression" priority="29" id="{255335D3-0374-4216-8D60-964C5F6BD533}">
            <xm:f>$J$81=Formeln!$A$177</xm:f>
            <x14:dxf>
              <font>
                <color theme="0" tint="-0.24994659260841701"/>
              </font>
            </x14:dxf>
          </x14:cfRule>
          <xm:sqref>FE81:FI81</xm:sqref>
        </x14:conditionalFormatting>
        <x14:conditionalFormatting xmlns:xm="http://schemas.microsoft.com/office/excel/2006/main">
          <x14:cfRule type="expression" priority="21" id="{35C523BA-E688-4DE3-B5CF-93EBE17AD32F}">
            <xm:f>$J$82=Formeln!$A$177</xm:f>
            <x14:dxf>
              <font>
                <color theme="0" tint="-0.24994659260841701"/>
              </font>
            </x14:dxf>
          </x14:cfRule>
          <xm:sqref>FE82:FI82</xm:sqref>
        </x14:conditionalFormatting>
        <x14:conditionalFormatting xmlns:xm="http://schemas.microsoft.com/office/excel/2006/main">
          <x14:cfRule type="expression" priority="22" stopIfTrue="1" id="{2673BF6C-FEAE-487B-BEEB-018778011A94}">
            <xm:f>$J$83=Formeln!$A$177</xm:f>
            <x14:dxf>
              <font>
                <color theme="0" tint="-0.24994659260841701"/>
              </font>
            </x14:dxf>
          </x14:cfRule>
          <xm:sqref>FE83:FI83</xm:sqref>
        </x14:conditionalFormatting>
        <x14:conditionalFormatting xmlns:xm="http://schemas.microsoft.com/office/excel/2006/main">
          <x14:cfRule type="expression" priority="20" id="{CACDA58D-7B1A-4253-A153-E64EA37D9AAD}">
            <xm:f>$J$83=Formeln!$A$177</xm:f>
            <x14:dxf>
              <font>
                <color theme="0" tint="-0.34998626667073579"/>
              </font>
            </x14:dxf>
          </x14:cfRule>
          <xm:sqref>FE84:FI84</xm:sqref>
        </x14:conditionalFormatting>
        <x14:conditionalFormatting xmlns:xm="http://schemas.microsoft.com/office/excel/2006/main">
          <x14:cfRule type="expression" priority="23" id="{2BE57D0A-38CF-43FD-8169-9A7FE160AE0D}">
            <xm:f>$J$87=Formeln!$A$177</xm:f>
            <x14:dxf>
              <font>
                <color theme="0" tint="-0.24994659260841701"/>
              </font>
            </x14:dxf>
          </x14:cfRule>
          <xm:sqref>FE87:FI87</xm:sqref>
        </x14:conditionalFormatting>
        <x14:conditionalFormatting xmlns:xm="http://schemas.microsoft.com/office/excel/2006/main">
          <x14:cfRule type="expression" priority="24" id="{A746C0A1-C8CF-431B-B054-90B3778B4863}">
            <xm:f>$J$88=Formeln!$A$177</xm:f>
            <x14:dxf>
              <font>
                <color theme="0" tint="-0.24994659260841701"/>
              </font>
            </x14:dxf>
          </x14:cfRule>
          <xm:sqref>FE88:FI88</xm:sqref>
        </x14:conditionalFormatting>
        <x14:conditionalFormatting xmlns:xm="http://schemas.microsoft.com/office/excel/2006/main">
          <x14:cfRule type="expression" priority="15" id="{8958A9C6-87A2-43CA-BCBA-C08512D007BE}">
            <xm:f>$J$90=Formeln!$A$177</xm:f>
            <x14:dxf>
              <font>
                <color theme="0" tint="-0.24994659260841701"/>
              </font>
            </x14:dxf>
          </x14:cfRule>
          <xm:sqref>FE90:FI90</xm:sqref>
        </x14:conditionalFormatting>
        <x14:conditionalFormatting xmlns:xm="http://schemas.microsoft.com/office/excel/2006/main">
          <x14:cfRule type="expression" priority="16" id="{E9590DAA-7204-4435-B499-EF01E98B0CDE}">
            <xm:f>$J$94=Formeln!$A$177</xm:f>
            <x14:dxf>
              <font>
                <color theme="0" tint="-0.24994659260841701"/>
              </font>
            </x14:dxf>
          </x14:cfRule>
          <xm:sqref>FE94:FI94</xm:sqref>
        </x14:conditionalFormatting>
        <x14:conditionalFormatting xmlns:xm="http://schemas.microsoft.com/office/excel/2006/main">
          <x14:cfRule type="expression" priority="17" id="{F84FF0A6-9E15-496A-9A8E-2AEB97AFAAD6}">
            <xm:f>$J$95=Formeln!$A$177</xm:f>
            <x14:dxf>
              <font>
                <color theme="0" tint="-0.24994659260841701"/>
              </font>
            </x14:dxf>
          </x14:cfRule>
          <xm:sqref>FE95:FI95</xm:sqref>
        </x14:conditionalFormatting>
        <x14:conditionalFormatting xmlns:xm="http://schemas.microsoft.com/office/excel/2006/main">
          <x14:cfRule type="expression" priority="18" id="{F79EBACA-1D72-482D-8EE9-D68CD03AF6BC}">
            <xm:f>$J$96=Formeln!$A$177</xm:f>
            <x14:dxf>
              <font>
                <color theme="0" tint="-0.24994659260841701"/>
              </font>
            </x14:dxf>
          </x14:cfRule>
          <xm:sqref>FE96:FI96</xm:sqref>
        </x14:conditionalFormatting>
        <x14:conditionalFormatting xmlns:xm="http://schemas.microsoft.com/office/excel/2006/main">
          <x14:cfRule type="expression" priority="19" id="{6AD58904-7E28-47D6-A519-D3A31118097D}">
            <xm:f>$J$97=Formeln!$A$177</xm:f>
            <x14:dxf>
              <font>
                <color theme="0" tint="-0.24994659260841701"/>
              </font>
            </x14:dxf>
          </x14:cfRule>
          <xm:sqref>FE97:FI97</xm:sqref>
        </x14:conditionalFormatting>
        <x14:conditionalFormatting xmlns:xm="http://schemas.microsoft.com/office/excel/2006/main">
          <x14:cfRule type="expression" priority="8" id="{D5EA8940-213D-4D99-8869-88B0C9E03747}">
            <xm:f>$J$107=Formeln!$A$177</xm:f>
            <x14:dxf>
              <font>
                <color theme="0" tint="-0.34998626667073579"/>
              </font>
            </x14:dxf>
          </x14:cfRule>
          <xm:sqref>FE99:FI100</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900-000001000000}">
          <x14:formula1>
            <xm:f>Formeln_RI_P.10!$A$272:$A$275</xm:f>
          </x14:formula1>
          <xm:sqref>J64:K64</xm:sqref>
        </x14:dataValidation>
        <x14:dataValidation type="list" allowBlank="1" showInputMessage="1" showErrorMessage="1" xr:uid="{00000000-0002-0000-0900-000002000000}">
          <x14:formula1>
            <xm:f>Formeln_RI_P.10!$A$249:$A$251</xm:f>
          </x14:formula1>
          <xm:sqref>J81:K81</xm:sqref>
        </x14:dataValidation>
        <x14:dataValidation type="list" allowBlank="1" showInputMessage="1" showErrorMessage="1" xr:uid="{00000000-0002-0000-0900-000003000000}">
          <x14:formula1>
            <xm:f>Formeln_RI_P.10!$A$234:$A$237</xm:f>
          </x14:formula1>
          <xm:sqref>J79:K79</xm:sqref>
        </x14:dataValidation>
        <x14:dataValidation type="list" allowBlank="1" showInputMessage="1" showErrorMessage="1" xr:uid="{00000000-0002-0000-0900-000004000000}">
          <x14:formula1>
            <xm:f>Formeln_RI_P.10!$E$159:$E$162</xm:f>
          </x14:formula1>
          <xm:sqref>J33:K33</xm:sqref>
        </x14:dataValidation>
        <x14:dataValidation type="list" allowBlank="1" showInputMessage="1" showErrorMessage="1" xr:uid="{00000000-0002-0000-0900-000005000000}">
          <x14:formula1>
            <xm:f>Formeln_RI_P.10!$E$170:$E$172</xm:f>
          </x14:formula1>
          <xm:sqref>J35:K35</xm:sqref>
        </x14:dataValidation>
        <x14:dataValidation type="list" allowBlank="1" showInputMessage="1" showErrorMessage="1" xr:uid="{00000000-0002-0000-0900-000006000000}">
          <x14:formula1>
            <xm:f>Formeln_RI_P.10!$A$151:$A$153</xm:f>
          </x14:formula1>
          <xm:sqref>J66:K66</xm:sqref>
        </x14:dataValidation>
        <x14:dataValidation type="list" allowBlank="1" showInputMessage="1" showErrorMessage="1" xr:uid="{00000000-0002-0000-0900-000008000000}">
          <x14:formula1>
            <xm:f>Formeln_RI_P.10!$A$298:$A$300</xm:f>
          </x14:formula1>
          <xm:sqref>J86:K86</xm:sqref>
        </x14:dataValidation>
        <x14:dataValidation type="list" allowBlank="1" showInputMessage="1" showErrorMessage="1" xr:uid="{0BCEE268-4220-42AC-9697-9EC98BA8AD8A}">
          <x14:formula1>
            <xm:f>Formeln_RI_P.10!$G$186:$G$188</xm:f>
          </x14:formula1>
          <xm:sqref>J69:K69</xm:sqref>
        </x14:dataValidation>
        <x14:dataValidation type="list" allowBlank="1" showInputMessage="1" showErrorMessage="1" xr:uid="{00000000-0002-0000-0900-000009000000}">
          <x14:formula1>
            <xm:f>Formeln_RI_P.10!$B$145:$B$148</xm:f>
          </x14:formula1>
          <xm:sqref>J62:K62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dimension ref="A1:N435"/>
  <sheetViews>
    <sheetView topLeftCell="A179" workbookViewId="0">
      <selection activeCell="A192" sqref="A192"/>
    </sheetView>
  </sheetViews>
  <sheetFormatPr baseColWidth="10" defaultColWidth="11.44140625" defaultRowHeight="14.4"/>
  <cols>
    <col min="1" max="1" width="59.109375" bestFit="1" customWidth="1"/>
    <col min="3" max="11" width="11.6640625" customWidth="1"/>
  </cols>
  <sheetData>
    <row r="1" spans="1:11">
      <c r="A1" s="6"/>
      <c r="F1" s="6"/>
    </row>
    <row r="2" spans="1:11">
      <c r="A2" s="6" t="str">
        <f>VLOOKUP(2193,Sprachindex!$A:$Z,Info!$O$7,FALSE)</f>
        <v>2,8/25 (1 kg = ca. 570 St.)</v>
      </c>
      <c r="F2" s="6"/>
    </row>
    <row r="3" spans="1:11">
      <c r="A3" s="6" t="str">
        <f>VLOOKUP(2194,Sprachindex!$A:$Z,Info!$O$7,FALSE)</f>
        <v>2,8/30 (1 kg = ca. 480 St.)</v>
      </c>
    </row>
    <row r="4" spans="1:11">
      <c r="A4" s="6" t="str">
        <f>VLOOKUP(2195,Sprachindex!$A:$Z,Info!$O$7,FALSE)</f>
        <v>2,8/40 (1 kg = ca. 380 St.)</v>
      </c>
    </row>
    <row r="6" spans="1:11">
      <c r="A6" s="6" t="str">
        <f>VLOOKUP(2196,Sprachindex!$A:$Z,Info!$O$7,FALSE)</f>
        <v>Länge 26 mm (3.200 Stk/Karton)</v>
      </c>
    </row>
    <row r="7" spans="1:11" ht="17.399999999999999">
      <c r="A7" s="6" t="str">
        <f>VLOOKUP(2197,Sprachindex!$A:$Z,Info!$O$7,FALSE)</f>
        <v>Länge 35 mm (2.400 Stk/Karton)</v>
      </c>
      <c r="C7" s="187"/>
      <c r="F7" s="187"/>
      <c r="I7" s="179"/>
      <c r="K7" s="179"/>
    </row>
    <row r="8" spans="1:11" ht="17.399999999999999">
      <c r="A8" s="6" t="str">
        <f>VLOOKUP(2198,Sprachindex!$A:$Z,Info!$O$7,FALSE)</f>
        <v>Länge 26 mm (3.200 Stk/Karton) NIRO</v>
      </c>
      <c r="C8" s="187"/>
      <c r="F8" s="187"/>
      <c r="I8" s="179"/>
      <c r="K8" s="179"/>
    </row>
    <row r="9" spans="1:11" ht="17.399999999999999">
      <c r="B9" s="179"/>
      <c r="C9" s="187"/>
      <c r="E9" s="179"/>
      <c r="F9" s="179"/>
      <c r="G9" s="179"/>
      <c r="H9" s="179"/>
      <c r="I9" s="179"/>
      <c r="J9" s="179"/>
      <c r="K9" s="179"/>
    </row>
    <row r="10" spans="1:11" ht="17.399999999999999">
      <c r="A10" s="6" t="str">
        <f>VLOOKUP(2199,Sprachindex!$A:$Z,Info!$O$7,FALSE) &amp; " " &amp; VLOOKUP(24,Sprachindex!$A:$Z,Info!$O$7,FALSE) &amp; "/" &amp; VLOOKUP(26,Sprachindex!$A:$Z,Info!$O$7,FALSE)</f>
        <v>1x250 (A=140 B=85 C=25 mm) 01 Braun/02 Anthrazit</v>
      </c>
      <c r="C10" s="187"/>
      <c r="F10" s="179"/>
      <c r="I10" s="179"/>
    </row>
    <row r="11" spans="1:11" ht="17.399999999999999">
      <c r="A11" s="6" t="str">
        <f>VLOOKUP(2199,Sprachindex!$A:$Z,Info!$O$7,FALSE) &amp; " " &amp; VLOOKUP(36,Sprachindex!$A:$Z,Info!$O$7,FALSE) &amp; "/" &amp; VLOOKUP(36,Sprachindex!$A:$Z,Info!$O$7,FALSE)</f>
        <v>1x250 (A=140 B=85 C=25 mm) 07 Hellgrau/07 Hellgrau</v>
      </c>
      <c r="F11" s="187"/>
      <c r="H11" s="179"/>
      <c r="I11" s="179"/>
      <c r="K11" s="179"/>
    </row>
    <row r="12" spans="1:11" ht="17.399999999999999">
      <c r="A12" s="6" t="str">
        <f>VLOOKUP(2200,Sprachindex!$A:$Z,Info!$O$7,FALSE) &amp; " " &amp; VLOOKUP(24,Sprachindex!$A:$Z,Info!$O$7,FALSE) &amp; "/" &amp; VLOOKUP(26,Sprachindex!$A:$Z,Info!$O$7,FALSE)</f>
        <v>1x333 (A=223 B=85 C=25 mm) 01 Braun/02 Anthrazit</v>
      </c>
      <c r="I12" s="187"/>
    </row>
    <row r="13" spans="1:11" ht="17.399999999999999">
      <c r="A13" s="6" t="str">
        <f>VLOOKUP(2200,Sprachindex!$A:$Z,Info!$O$7,FALSE) &amp; " " &amp; VLOOKUP(36,Sprachindex!$A:$Z,Info!$O$7,FALSE) &amp; "/" &amp; VLOOKUP(36,Sprachindex!$A:$Z,Info!$O$7,FALSE)</f>
        <v>1x333 (A=223 B=85 C=25 mm) 07 Hellgrau/07 Hellgrau</v>
      </c>
      <c r="B13" s="187"/>
    </row>
    <row r="14" spans="1:11" ht="17.399999999999999">
      <c r="C14" s="187"/>
      <c r="F14" s="179"/>
      <c r="I14" s="179"/>
      <c r="K14" s="179"/>
    </row>
    <row r="15" spans="1:11" ht="17.399999999999999">
      <c r="A15" s="6" t="str">
        <f>VLOOKUP(2201,Sprachindex!$A:$Z,Info!$O$7,FALSE)</f>
        <v>(4,5 x 45 mm, 250 Stk/Pkt)</v>
      </c>
      <c r="F15" s="179"/>
      <c r="G15" s="179"/>
      <c r="H15" s="179"/>
      <c r="I15" s="179"/>
    </row>
    <row r="16" spans="1:11" ht="17.399999999999999">
      <c r="A16" s="6" t="str">
        <f>VLOOKUP(2202,Sprachindex!$A:$Z,Info!$O$7,FALSE)</f>
        <v>(4,5 x 45 mm, 250 Stk/Pkt, blank)</v>
      </c>
      <c r="G16" s="179"/>
      <c r="H16" s="179"/>
      <c r="I16" s="179"/>
    </row>
    <row r="17" spans="1:11" ht="17.399999999999999">
      <c r="C17" s="187"/>
      <c r="D17" s="179"/>
      <c r="E17" s="179"/>
      <c r="F17" s="179"/>
      <c r="G17" s="179"/>
      <c r="H17" s="179"/>
      <c r="I17" s="179"/>
      <c r="J17" s="5"/>
      <c r="K17" s="179"/>
    </row>
    <row r="18" spans="1:11" ht="17.399999999999999">
      <c r="A18" s="6" t="str">
        <f>VLOOKUP(2203,Sprachindex!$A:$Z,Info!$O$7,FALSE)</f>
        <v>(4,5 x 60 mm, 100 Stk/Pkt)</v>
      </c>
      <c r="C18" s="187"/>
      <c r="D18" s="179"/>
      <c r="E18" s="179"/>
      <c r="F18" s="179"/>
      <c r="G18" s="179"/>
      <c r="H18" s="179"/>
      <c r="I18" s="179"/>
      <c r="J18" s="5"/>
      <c r="K18" s="179"/>
    </row>
    <row r="19" spans="1:11" ht="17.399999999999999">
      <c r="A19" s="6" t="str">
        <f>VLOOKUP(2204,Sprachindex!$A:$Z,Info!$O$7,FALSE)</f>
        <v>(4,5 x 60 mm, 100 Stk/Pkt, blank)</v>
      </c>
      <c r="G19" s="179"/>
      <c r="H19" s="179"/>
      <c r="I19" s="179"/>
    </row>
    <row r="20" spans="1:11" ht="17.399999999999999">
      <c r="D20" s="187"/>
      <c r="E20" s="179"/>
      <c r="F20" s="179"/>
      <c r="G20" s="179"/>
      <c r="H20" s="179"/>
      <c r="I20" s="179"/>
      <c r="J20" s="179"/>
      <c r="K20" s="179"/>
    </row>
    <row r="21" spans="1:11" ht="17.399999999999999">
      <c r="A21" s="6" t="str">
        <f>VLOOKUP(433,Sprachindex!$A:$Z,Info!$O$7,FALSE)</f>
        <v>glatt</v>
      </c>
      <c r="D21" s="179"/>
      <c r="E21" s="179"/>
      <c r="F21" s="179"/>
      <c r="G21" s="179"/>
      <c r="H21" s="179"/>
      <c r="I21" s="179"/>
      <c r="J21" s="179"/>
      <c r="K21" s="179"/>
    </row>
    <row r="22" spans="1:11" ht="17.399999999999999">
      <c r="A22" s="6" t="str">
        <f>VLOOKUP(886,Sprachindex!$A:$Z,Info!$O$7,FALSE)</f>
        <v>Stucco</v>
      </c>
      <c r="G22" s="179"/>
      <c r="H22" s="179"/>
      <c r="I22" s="179"/>
      <c r="J22" s="179"/>
      <c r="K22" s="179"/>
    </row>
    <row r="23" spans="1:11" ht="17.399999999999999">
      <c r="G23" s="179"/>
      <c r="H23" s="179"/>
      <c r="I23" s="179"/>
      <c r="J23" s="179"/>
      <c r="K23" s="179"/>
    </row>
    <row r="24" spans="1:11" ht="17.399999999999999">
      <c r="A24" s="6" t="str">
        <f>VLOOKUP(2205,Sprachindex!$A:$Z,Info!$O$7,FALSE)</f>
        <v>0,7 x 500 mm</v>
      </c>
      <c r="J24" s="179"/>
      <c r="K24" s="179"/>
    </row>
    <row r="25" spans="1:11" ht="17.399999999999999">
      <c r="A25" s="6" t="str">
        <f>VLOOKUP(2206,Sprachindex!$A:$Z,Info!$O$7,FALSE)</f>
        <v>0,7 x 650 mm</v>
      </c>
      <c r="J25" s="179"/>
      <c r="K25" s="179"/>
    </row>
    <row r="26" spans="1:11" ht="17.399999999999999">
      <c r="A26" s="6" t="str">
        <f>VLOOKUP(2207,Sprachindex!$A:$Z,Info!$O$7,FALSE)</f>
        <v>0,7 x 1.000 mm</v>
      </c>
      <c r="J26" s="179"/>
      <c r="K26" s="179"/>
    </row>
    <row r="27" spans="1:11" ht="17.399999999999999">
      <c r="J27" s="179"/>
      <c r="K27" s="179"/>
    </row>
    <row r="28" spans="1:11" ht="17.399999999999999">
      <c r="A28" s="6" t="s">
        <v>2169</v>
      </c>
      <c r="J28" s="179"/>
      <c r="K28" s="179"/>
    </row>
    <row r="29" spans="1:11">
      <c r="A29" s="6" t="s">
        <v>2170</v>
      </c>
      <c r="E29" s="6"/>
    </row>
    <row r="30" spans="1:11">
      <c r="A30" s="7" t="s">
        <v>2172</v>
      </c>
    </row>
    <row r="31" spans="1:11">
      <c r="A31" s="6" t="s">
        <v>88</v>
      </c>
      <c r="B31">
        <v>111100</v>
      </c>
      <c r="C31" t="s">
        <v>2362</v>
      </c>
    </row>
    <row r="32" spans="1:11">
      <c r="A32" s="6" t="s">
        <v>2174</v>
      </c>
      <c r="B32">
        <v>111120</v>
      </c>
      <c r="C32" t="s">
        <v>2175</v>
      </c>
    </row>
    <row r="33" spans="1:3">
      <c r="A33" s="6" t="s">
        <v>2176</v>
      </c>
      <c r="B33">
        <v>111160</v>
      </c>
      <c r="C33" t="s">
        <v>2177</v>
      </c>
    </row>
    <row r="34" spans="1:3">
      <c r="A34" s="118" t="s">
        <v>2178</v>
      </c>
      <c r="B34">
        <v>111280</v>
      </c>
      <c r="C34" t="s">
        <v>2179</v>
      </c>
    </row>
    <row r="35" spans="1:3">
      <c r="A35" s="6" t="s">
        <v>2180</v>
      </c>
      <c r="B35">
        <v>111180</v>
      </c>
      <c r="C35" t="s">
        <v>367</v>
      </c>
    </row>
    <row r="36" spans="1:3">
      <c r="A36" s="7" t="s">
        <v>2181</v>
      </c>
      <c r="B36">
        <v>111200</v>
      </c>
      <c r="C36" t="s">
        <v>2182</v>
      </c>
    </row>
    <row r="37" spans="1:3">
      <c r="A37" s="6" t="s">
        <v>2183</v>
      </c>
      <c r="B37">
        <v>111220</v>
      </c>
      <c r="C37" t="s">
        <v>2184</v>
      </c>
    </row>
    <row r="38" spans="1:3">
      <c r="A38" s="6" t="s">
        <v>2185</v>
      </c>
      <c r="B38">
        <v>111600</v>
      </c>
      <c r="C38" t="s">
        <v>2186</v>
      </c>
    </row>
    <row r="39" spans="1:3">
      <c r="A39" s="6" t="s">
        <v>2187</v>
      </c>
      <c r="B39">
        <v>111240</v>
      </c>
      <c r="C39" t="s">
        <v>2188</v>
      </c>
    </row>
    <row r="40" spans="1:3">
      <c r="A40" s="7" t="s">
        <v>2189</v>
      </c>
      <c r="B40">
        <v>111620</v>
      </c>
      <c r="C40" t="s">
        <v>2190</v>
      </c>
    </row>
    <row r="41" spans="1:3">
      <c r="A41" s="6" t="s">
        <v>2191</v>
      </c>
    </row>
    <row r="42" spans="1:3">
      <c r="A42" s="6" t="s">
        <v>2192</v>
      </c>
    </row>
    <row r="43" spans="1:3">
      <c r="A43" s="6" t="s">
        <v>2193</v>
      </c>
    </row>
    <row r="44" spans="1:3">
      <c r="A44" s="6" t="s">
        <v>2194</v>
      </c>
    </row>
    <row r="45" spans="1:3">
      <c r="A45" s="7" t="s">
        <v>2195</v>
      </c>
    </row>
    <row r="46" spans="1:3">
      <c r="A46" s="6" t="s">
        <v>2196</v>
      </c>
    </row>
    <row r="47" spans="1:3">
      <c r="A47" s="6" t="s">
        <v>2197</v>
      </c>
    </row>
    <row r="48" spans="1:3">
      <c r="A48" s="6" t="s">
        <v>2198</v>
      </c>
    </row>
    <row r="50" spans="1:7">
      <c r="A50" s="6" t="str">
        <f>VLOOKUP(608,Sprachindex!$A:$Z,Info!$O$7,FALSE)</f>
        <v>MIT Wärmedämmung</v>
      </c>
      <c r="C50" s="6" t="str">
        <f>VLOOKUP(608,Sprachindex!$A:$Z,Info!$O$7,FALSE)</f>
        <v>MIT Wärmedämmung</v>
      </c>
      <c r="D50" s="6"/>
    </row>
    <row r="51" spans="1:7">
      <c r="A51" s="6" t="s">
        <v>2199</v>
      </c>
      <c r="C51" s="6" t="s">
        <v>2200</v>
      </c>
    </row>
    <row r="52" spans="1:7">
      <c r="A52" s="6" t="s">
        <v>89</v>
      </c>
      <c r="C52" s="6" t="s">
        <v>2201</v>
      </c>
    </row>
    <row r="53" spans="1:7">
      <c r="A53" s="7" t="s">
        <v>2202</v>
      </c>
      <c r="C53" s="6" t="s">
        <v>2203</v>
      </c>
    </row>
    <row r="54" spans="1:7">
      <c r="A54" s="6" t="s">
        <v>2204</v>
      </c>
      <c r="C54" s="6" t="s">
        <v>2205</v>
      </c>
    </row>
    <row r="55" spans="1:7">
      <c r="A55" s="6" t="s">
        <v>2206</v>
      </c>
      <c r="C55" s="6" t="s">
        <v>90</v>
      </c>
    </row>
    <row r="56" spans="1:7">
      <c r="A56" s="6" t="s">
        <v>2207</v>
      </c>
      <c r="C56" s="6" t="s">
        <v>2208</v>
      </c>
    </row>
    <row r="57" spans="1:7">
      <c r="A57" s="118" t="s">
        <v>2209</v>
      </c>
      <c r="C57" s="6" t="s">
        <v>2210</v>
      </c>
    </row>
    <row r="58" spans="1:7">
      <c r="A58" s="6" t="s">
        <v>2211</v>
      </c>
      <c r="C58" s="6" t="s">
        <v>2212</v>
      </c>
    </row>
    <row r="59" spans="1:7">
      <c r="A59" s="7" t="s">
        <v>2213</v>
      </c>
      <c r="C59" s="6" t="s">
        <v>2214</v>
      </c>
    </row>
    <row r="60" spans="1:7">
      <c r="A60" s="6" t="s">
        <v>2215</v>
      </c>
      <c r="C60" s="6" t="s">
        <v>2216</v>
      </c>
      <c r="G60" s="6"/>
    </row>
    <row r="61" spans="1:7">
      <c r="A61" s="7" t="s">
        <v>2217</v>
      </c>
      <c r="C61" s="6" t="s">
        <v>2218</v>
      </c>
      <c r="G61" s="6"/>
    </row>
    <row r="62" spans="1:7">
      <c r="A62" s="6" t="s">
        <v>2219</v>
      </c>
      <c r="C62" s="6" t="s">
        <v>2220</v>
      </c>
      <c r="G62" s="6"/>
    </row>
    <row r="63" spans="1:7">
      <c r="A63" s="6" t="s">
        <v>2221</v>
      </c>
      <c r="C63" s="6" t="s">
        <v>2222</v>
      </c>
      <c r="G63" s="6"/>
    </row>
    <row r="64" spans="1:7">
      <c r="A64" s="7" t="s">
        <v>2223</v>
      </c>
      <c r="C64" s="6" t="s">
        <v>2224</v>
      </c>
      <c r="G64" s="6"/>
    </row>
    <row r="65" spans="1:7">
      <c r="A65" s="6" t="s">
        <v>2225</v>
      </c>
      <c r="C65" s="6" t="s">
        <v>2226</v>
      </c>
      <c r="G65" s="6"/>
    </row>
    <row r="66" spans="1:7">
      <c r="A66" s="6" t="s">
        <v>2227</v>
      </c>
      <c r="C66" s="6" t="s">
        <v>2228</v>
      </c>
    </row>
    <row r="67" spans="1:7">
      <c r="A67" s="6" t="s">
        <v>2229</v>
      </c>
      <c r="C67" s="6" t="s">
        <v>2230</v>
      </c>
    </row>
    <row r="68" spans="1:7">
      <c r="A68" s="6" t="s">
        <v>2231</v>
      </c>
      <c r="C68" s="6" t="s">
        <v>2232</v>
      </c>
    </row>
    <row r="69" spans="1:7">
      <c r="A69" s="6" t="s">
        <v>2233</v>
      </c>
      <c r="C69" s="6" t="s">
        <v>2234</v>
      </c>
    </row>
    <row r="70" spans="1:7">
      <c r="A70" s="6" t="s">
        <v>2235</v>
      </c>
      <c r="C70" s="6" t="s">
        <v>2236</v>
      </c>
    </row>
    <row r="71" spans="1:7">
      <c r="A71" s="7" t="s">
        <v>2237</v>
      </c>
      <c r="C71" s="6" t="s">
        <v>2238</v>
      </c>
    </row>
    <row r="72" spans="1:7">
      <c r="A72" s="6" t="s">
        <v>2239</v>
      </c>
      <c r="C72" s="6" t="s">
        <v>2240</v>
      </c>
    </row>
    <row r="73" spans="1:7">
      <c r="A73" s="6" t="s">
        <v>2241</v>
      </c>
      <c r="C73" s="6" t="s">
        <v>2242</v>
      </c>
    </row>
    <row r="74" spans="1:7">
      <c r="A74" s="6" t="s">
        <v>2243</v>
      </c>
      <c r="C74" s="6" t="s">
        <v>2244</v>
      </c>
    </row>
    <row r="75" spans="1:7">
      <c r="A75" s="6"/>
      <c r="C75" s="6" t="s">
        <v>2245</v>
      </c>
    </row>
    <row r="76" spans="1:7">
      <c r="A76" s="6" t="str">
        <f>VLOOKUP(640,Sprachindex!$A:$Z,Info!$O$7,FALSE)</f>
        <v>OHNE Wärmedämmung</v>
      </c>
      <c r="C76" s="6" t="s">
        <v>2246</v>
      </c>
      <c r="D76" s="6"/>
    </row>
    <row r="77" spans="1:7">
      <c r="A77" s="6" t="s">
        <v>2247</v>
      </c>
      <c r="C77" s="6" t="s">
        <v>2248</v>
      </c>
    </row>
    <row r="78" spans="1:7">
      <c r="A78" s="6" t="s">
        <v>2249</v>
      </c>
      <c r="C78" s="6" t="s">
        <v>2250</v>
      </c>
    </row>
    <row r="79" spans="1:7">
      <c r="A79" s="6" t="s">
        <v>2251</v>
      </c>
    </row>
    <row r="80" spans="1:7">
      <c r="A80" s="6" t="s">
        <v>2252</v>
      </c>
      <c r="C80" s="6" t="str">
        <f>VLOOKUP(640,Sprachindex!$A:$Z,Info!$O$7,FALSE)</f>
        <v>OHNE Wärmedämmung</v>
      </c>
    </row>
    <row r="81" spans="1:3">
      <c r="A81" s="6" t="s">
        <v>2253</v>
      </c>
      <c r="C81" s="6" t="s">
        <v>2254</v>
      </c>
    </row>
    <row r="82" spans="1:3">
      <c r="A82" s="6" t="s">
        <v>2255</v>
      </c>
      <c r="C82" s="6" t="s">
        <v>2256</v>
      </c>
    </row>
    <row r="83" spans="1:3">
      <c r="A83" s="6" t="s">
        <v>2257</v>
      </c>
      <c r="C83" s="6" t="s">
        <v>2258</v>
      </c>
    </row>
    <row r="84" spans="1:3">
      <c r="A84" s="6" t="s">
        <v>2259</v>
      </c>
      <c r="C84" s="6" t="s">
        <v>2260</v>
      </c>
    </row>
    <row r="85" spans="1:3">
      <c r="A85" s="6" t="s">
        <v>2261</v>
      </c>
      <c r="C85" s="6" t="s">
        <v>2262</v>
      </c>
    </row>
    <row r="86" spans="1:3">
      <c r="A86" s="6" t="s">
        <v>2263</v>
      </c>
      <c r="C86" s="6" t="s">
        <v>2264</v>
      </c>
    </row>
    <row r="87" spans="1:3">
      <c r="A87" s="6" t="s">
        <v>2265</v>
      </c>
      <c r="C87" s="6" t="s">
        <v>2266</v>
      </c>
    </row>
    <row r="88" spans="1:3">
      <c r="A88" s="6" t="s">
        <v>2267</v>
      </c>
      <c r="C88" s="6" t="s">
        <v>2268</v>
      </c>
    </row>
    <row r="89" spans="1:3">
      <c r="A89" s="6" t="s">
        <v>2269</v>
      </c>
      <c r="C89" s="6" t="s">
        <v>2270</v>
      </c>
    </row>
    <row r="90" spans="1:3">
      <c r="A90" s="6" t="s">
        <v>2271</v>
      </c>
      <c r="C90" s="6" t="s">
        <v>2272</v>
      </c>
    </row>
    <row r="91" spans="1:3">
      <c r="A91" s="6" t="s">
        <v>2273</v>
      </c>
      <c r="C91" s="6" t="s">
        <v>2274</v>
      </c>
    </row>
    <row r="92" spans="1:3">
      <c r="A92" s="6" t="s">
        <v>2275</v>
      </c>
      <c r="C92" s="6" t="s">
        <v>2276</v>
      </c>
    </row>
    <row r="93" spans="1:3">
      <c r="A93" s="6" t="s">
        <v>2277</v>
      </c>
      <c r="C93" s="6" t="s">
        <v>2278</v>
      </c>
    </row>
    <row r="94" spans="1:3">
      <c r="A94" s="6" t="s">
        <v>2279</v>
      </c>
      <c r="C94" s="6" t="s">
        <v>2280</v>
      </c>
    </row>
    <row r="95" spans="1:3">
      <c r="A95" s="6" t="s">
        <v>2281</v>
      </c>
      <c r="C95" s="6" t="s">
        <v>2282</v>
      </c>
    </row>
    <row r="96" spans="1:3">
      <c r="A96" s="6" t="s">
        <v>2283</v>
      </c>
      <c r="C96" s="6" t="s">
        <v>2284</v>
      </c>
    </row>
    <row r="97" spans="1:4">
      <c r="A97" s="6" t="s">
        <v>2285</v>
      </c>
      <c r="C97" s="6" t="s">
        <v>2286</v>
      </c>
    </row>
    <row r="98" spans="1:4">
      <c r="A98" s="6" t="s">
        <v>2287</v>
      </c>
      <c r="C98" s="6" t="s">
        <v>2288</v>
      </c>
    </row>
    <row r="99" spans="1:4">
      <c r="A99" s="6" t="s">
        <v>2289</v>
      </c>
      <c r="C99" s="6" t="s">
        <v>2290</v>
      </c>
    </row>
    <row r="100" spans="1:4">
      <c r="A100" s="6" t="s">
        <v>2291</v>
      </c>
      <c r="C100" s="6" t="s">
        <v>2292</v>
      </c>
    </row>
    <row r="101" spans="1:4">
      <c r="C101" s="6" t="s">
        <v>2293</v>
      </c>
    </row>
    <row r="102" spans="1:4">
      <c r="A102" s="6" t="str">
        <f>VLOOKUP(591,Sprachindex!$A:$Z,Info!$O$7,FALSE)</f>
        <v>Maße:</v>
      </c>
      <c r="C102" s="6" t="s">
        <v>2294</v>
      </c>
      <c r="D102" s="6"/>
    </row>
    <row r="103" spans="1:4">
      <c r="C103" s="6" t="s">
        <v>2295</v>
      </c>
    </row>
    <row r="104" spans="1:4">
      <c r="A104" s="6" t="str">
        <f>VLOOKUP(617,Sprachindex!$A:$Z,Info!$O$7,FALSE)</f>
        <v>Moosgrün/Hellgrau</v>
      </c>
      <c r="C104" s="6" t="s">
        <v>2296</v>
      </c>
      <c r="D104" s="6"/>
    </row>
    <row r="105" spans="1:4">
      <c r="A105" s="6" t="str">
        <f>VLOOKUP(242,Sprachindex!$A:$Z,Info!$O$7,FALSE)</f>
        <v>Braun/Anthrazit</v>
      </c>
      <c r="C105" s="6" t="s">
        <v>2297</v>
      </c>
      <c r="D105" s="6"/>
    </row>
    <row r="106" spans="1:4">
      <c r="A106" s="6" t="str">
        <f>VLOOKUP(1031,Sprachindex!$A:$Z,Info!$O$7,FALSE)</f>
        <v>Ziegelrot/Oxydrot</v>
      </c>
      <c r="C106" s="6" t="s">
        <v>2298</v>
      </c>
      <c r="D106" s="6"/>
    </row>
    <row r="107" spans="1:4">
      <c r="A107" s="6" t="str">
        <f>VLOOKUP(680,Sprachindex!$A:$Z,Info!$O$7,FALSE)</f>
        <v>Prefaweiß/Prefaweiß</v>
      </c>
      <c r="C107" s="6" t="s">
        <v>2299</v>
      </c>
      <c r="D107" s="6"/>
    </row>
    <row r="108" spans="1:4">
      <c r="A108" s="6" t="str">
        <f>VLOOKUP(54,Sprachindex!$A:$Z,Info!$O$7,FALSE)</f>
        <v>13 Naturblank</v>
      </c>
      <c r="C108" s="6" t="s">
        <v>2300</v>
      </c>
      <c r="D108" s="6"/>
    </row>
    <row r="110" spans="1:4">
      <c r="A110" s="6" t="str">
        <f>VLOOKUP(588,Sprachindex!$A:$Z,Info!$O$7,FALSE)</f>
        <v>m²</v>
      </c>
    </row>
    <row r="111" spans="1:4">
      <c r="A111" s="6" t="str">
        <f>VLOOKUP(878,Sprachindex!$A:$Z,Info!$O$7,FALSE)</f>
        <v>Stk.</v>
      </c>
    </row>
    <row r="112" spans="1:4">
      <c r="A112" s="6" t="str">
        <f>VLOOKUP(1512,Sprachindex!$A:$Z,Info!$O$7,FALSE)</f>
        <v>lfm</v>
      </c>
    </row>
    <row r="113" spans="1:4">
      <c r="A113" s="6" t="str">
        <f>VLOOKUP(515,Sprachindex!$A:$Z,Info!$O$7,FALSE)</f>
        <v>Karton</v>
      </c>
    </row>
    <row r="114" spans="1:4">
      <c r="A114" s="6" t="str">
        <f>VLOOKUP(531,Sprachindex!$A:$Z,Info!$O$7,FALSE)</f>
        <v>kg</v>
      </c>
    </row>
    <row r="115" spans="1:4">
      <c r="A115" s="6" t="str">
        <f>VLOOKUP(748,Sprachindex!$A:$Z,Info!$O$7,FALSE)</f>
        <v>Rolle</v>
      </c>
    </row>
    <row r="116" spans="1:4">
      <c r="A116" s="6" t="str">
        <f>VLOOKUP(749,Sprachindex!$A:$Z,Info!$O$7,FALSE)</f>
        <v>Rollen</v>
      </c>
    </row>
    <row r="118" spans="1:4">
      <c r="A118" s="6" t="str">
        <f>VLOOKUP(242,Sprachindex!$A:$Z,Info!$O$7,FALSE)</f>
        <v>Braun/Anthrazit</v>
      </c>
      <c r="C118" s="15"/>
    </row>
    <row r="119" spans="1:4">
      <c r="A119" s="6" t="str">
        <f>VLOOKUP(460,Sprachindex!$A:$Z,Info!$O$7,FALSE)</f>
        <v>Hellgrau/Hellgrau</v>
      </c>
      <c r="C119" s="15"/>
    </row>
    <row r="121" spans="1:4">
      <c r="A121" s="6" t="str">
        <f>VLOOKUP(25,Sprachindex!$A:$Z,Info!$O$7,FALSE)</f>
        <v>01 P.10 Braun</v>
      </c>
    </row>
    <row r="122" spans="1:4">
      <c r="A122" s="6" t="str">
        <f>VLOOKUP(27,Sprachindex!$A:$Z,Info!$O$7,FALSE)</f>
        <v>02 P.10 Anthrazit</v>
      </c>
    </row>
    <row r="123" spans="1:4">
      <c r="A123" s="6" t="str">
        <f>VLOOKUP(28,Sprachindex!$A:$Z,Info!$O$7,FALSE)</f>
        <v>03 P.10 Schwarz</v>
      </c>
    </row>
    <row r="124" spans="1:4">
      <c r="A124" s="6" t="str">
        <f>VLOOKUP(30,Sprachindex!$A:$Z,Info!$O$7,FALSE)</f>
        <v>04 P.10 Ziegelrot</v>
      </c>
    </row>
    <row r="125" spans="1:4">
      <c r="A125" s="6" t="str">
        <f>VLOOKUP(33,Sprachindex!$A:$Z,Info!$O$7,FALSE)</f>
        <v>05 P.10 Oxydrot</v>
      </c>
    </row>
    <row r="126" spans="1:4">
      <c r="A126" s="6" t="str">
        <f>VLOOKUP(35,Sprachindex!$A:$Z,Info!$O$7,FALSE)</f>
        <v>06 P.10 Moosgrün</v>
      </c>
      <c r="D126" s="64"/>
    </row>
    <row r="127" spans="1:4">
      <c r="A127" s="6" t="str">
        <f>VLOOKUP(37,Sprachindex!$A:$Z,Info!$O$7,FALSE)</f>
        <v>07 P.10 Hellgrau</v>
      </c>
      <c r="D127" s="65"/>
    </row>
    <row r="128" spans="1:4">
      <c r="A128" s="6" t="str">
        <f>VLOOKUP(51,Sprachindex!$A:$Z,Info!$O$7,FALSE)</f>
        <v>11 P.10 Nussbraun</v>
      </c>
    </row>
    <row r="129" spans="1:2">
      <c r="A129" s="6" t="str">
        <f>VLOOKUP(110,Sprachindex!$A:$Z,Info!$O$7,FALSE)</f>
        <v>43 P.10 Steingrau</v>
      </c>
    </row>
    <row r="130" spans="1:2">
      <c r="A130" s="6" t="str">
        <f>VLOOKUP(54,Sprachindex!$A:$Z,Info!$O$7,FALSE)</f>
        <v>13 Naturblank</v>
      </c>
    </row>
    <row r="132" spans="1:2">
      <c r="A132" s="15" t="str">
        <f>VLOOKUP(257,Sprachindex!$A:$Z,Info!$O$7,FALSE)</f>
        <v>Dachlukendeckel mit Holzrahmen  (Innenmaß: 600 × 600 mm)</v>
      </c>
    </row>
    <row r="133" spans="1:2">
      <c r="A133" s="15" t="str">
        <f>VLOOKUP(464,Sprachindex!$A:$Z,Info!$O$7,FALSE)</f>
        <v>Holzrahmen (Innenmaß: 600 × 600 mm)</v>
      </c>
    </row>
    <row r="134" spans="1:2">
      <c r="A134" s="15" t="str">
        <f>VLOOKUP(258,Sprachindex!$A:$Z,Info!$O$7,FALSE)</f>
        <v>Dachlukendeckel (Innenmaß: 600 × 600 mm)</v>
      </c>
    </row>
    <row r="135" spans="1:2">
      <c r="B135" t="str">
        <f>VLOOKUP(2208,Sprachindex!$A:$Z,Info!$O$7,FALSE)</f>
        <v>600 mm</v>
      </c>
    </row>
    <row r="136" spans="1:2">
      <c r="A136" t="str">
        <f>VLOOKUP(2209,Sprachindex!$A:$Z,Info!$O$7,FALSE)</f>
        <v>1.500 mm</v>
      </c>
      <c r="B136" t="str">
        <f>VLOOKUP(2209,Sprachindex!$A:$Z,Info!$O$7,FALSE)</f>
        <v>1.500 mm</v>
      </c>
    </row>
    <row r="137" spans="1:2">
      <c r="A137" t="str">
        <f>VLOOKUP(2210,Sprachindex!$A:$Z,Info!$O$7,FALSE)</f>
        <v>3.000 mm</v>
      </c>
      <c r="B137" t="str">
        <f>VLOOKUP(2210,Sprachindex!$A:$Z,Info!$O$7,FALSE)</f>
        <v>3.000 mm</v>
      </c>
    </row>
    <row r="139" spans="1:2">
      <c r="A139" t="str">
        <f>VLOOKUP(18,Sprachindex!$A:$Z,Info!$O$7,FALSE)</f>
        <v>⌀ 100 mm; passend für HT/KG (NW 110 mm)</v>
      </c>
    </row>
    <row r="140" spans="1:2">
      <c r="A140" t="str">
        <f>VLOOKUP(19,Sprachindex!$A:$Z,Info!$O$7,FALSE)</f>
        <v>⌀ 115 mm; passend für HT/KG (NW 125 mm)</v>
      </c>
    </row>
    <row r="141" spans="1:2">
      <c r="A141" s="174" t="s">
        <v>1612</v>
      </c>
    </row>
    <row r="142" spans="1:2">
      <c r="A142" s="174" t="s">
        <v>1613</v>
      </c>
    </row>
    <row r="143" spans="1:2">
      <c r="A143" s="174" t="s">
        <v>1614</v>
      </c>
    </row>
    <row r="144" spans="1:2">
      <c r="A144" s="174" t="s">
        <v>1615</v>
      </c>
    </row>
    <row r="146" spans="1:5">
      <c r="B146" t="str">
        <f>VLOOKUP(57,Sprachindex!$A:$Z,Info!$O$7,FALSE)</f>
        <v>140 mm</v>
      </c>
    </row>
    <row r="147" spans="1:5">
      <c r="B147" t="str">
        <f>VLOOKUP(69,Sprachindex!$A:$Z,Info!$O$7,FALSE)</f>
        <v>200 mm</v>
      </c>
    </row>
    <row r="148" spans="1:5">
      <c r="B148" t="str">
        <f>VLOOKUP(90,Sprachindex!$A:$Z,Info!$O$7,FALSE)</f>
        <v>330 mm</v>
      </c>
    </row>
    <row r="149" spans="1:5">
      <c r="A149" t="str">
        <f>VLOOKUP(48,Sprachindex!$A:$Z,Info!$O$7,FALSE)</f>
        <v>100–160 mm</v>
      </c>
    </row>
    <row r="150" spans="1:5">
      <c r="A150" t="str">
        <f>VLOOKUP(61,Sprachindex!$A:$Z,Info!$O$7,FALSE)</f>
        <v>180–220 mm</v>
      </c>
    </row>
    <row r="152" spans="1:5">
      <c r="A152" t="str">
        <f>VLOOKUP(49,Sprachindex!$A:$Z,Info!$O$7,FALSE)</f>
        <v>100–180 mm</v>
      </c>
      <c r="E152" t="s">
        <v>2302</v>
      </c>
    </row>
    <row r="153" spans="1:5">
      <c r="A153" t="str">
        <f>VLOOKUP(62,Sprachindex!$A:$Z,Info!$O$7,FALSE)</f>
        <v>180–260 mm</v>
      </c>
      <c r="E153" s="22" t="s">
        <v>2363</v>
      </c>
    </row>
    <row r="154" spans="1:5">
      <c r="E154" s="22"/>
    </row>
    <row r="155" spans="1:5">
      <c r="A155" t="str">
        <f>VLOOKUP(83,Sprachindex!$A:$Z,Info!$O$7,FALSE)</f>
        <v>3 m</v>
      </c>
      <c r="B155" s="15" t="str">
        <f>IF('RI_P.10'!O17=1,'RI_P.10'!L21,IF('RI_P.10'!O17=2,'RI_P.10'!L22,IF('RI_P.10'!O17=3,'RI_P.10'!M21,IF('RI_P.10'!O17=4,'RI_P.10'!M22,IF('RI_P.10'!O17=5,VLOOKUP(305,Sprachindex!$A:$Z,Info!$O$7,FALSE),"")))))</f>
        <v/>
      </c>
      <c r="E155" s="22" t="str">
        <f>IF('RI_P.10'!O17=0,"",IF(B155= 305,"",A155))</f>
        <v/>
      </c>
    </row>
    <row r="156" spans="1:5">
      <c r="A156" t="str">
        <f>VLOOKUP(121,Sprachindex!$A:$Z,Info!$O$7,FALSE)</f>
        <v>6 m</v>
      </c>
      <c r="B156" s="15" t="str">
        <f>IF('RI_P.10'!O17=1,'RI_P.10'!L21,IF('RI_P.10'!O17=2,'RI_P.10'!L22,IF('RI_P.10'!O17=3,'RI_P.10'!M21,IF('RI_P.10'!O17=4,'RI_P.10'!M22,IF('RI_P.10'!O17=5,VLOOKUP(305,Sprachindex!$A:$Z,Info!$O$7,FALSE),"")))))</f>
        <v/>
      </c>
      <c r="E156" s="22" t="str">
        <f>IF('RI_P.10'!O17=0,"",IF(B156= 305,"",A156))</f>
        <v/>
      </c>
    </row>
    <row r="157" spans="1:5">
      <c r="B157" s="15"/>
    </row>
    <row r="158" spans="1:5">
      <c r="B158" s="15"/>
      <c r="E158" s="22" t="s">
        <v>2304</v>
      </c>
    </row>
    <row r="159" spans="1:5">
      <c r="E159" s="24"/>
    </row>
    <row r="160" spans="1:5">
      <c r="A160" t="str">
        <f>VLOOKUP(635,Sprachindex!$A:$Z,Info!$O$7,FALSE)</f>
        <v>normal</v>
      </c>
      <c r="B160" t="str">
        <f>IF('RI_P.10'!O17=1,'RI_P.10'!L21,IF('RI_P.10'!O17=2,'RI_P.10'!L22,IF('RI_P.10'!O17=3,'RI_P.10'!M21,IF('RI_P.10'!O17=4,'RI_P.10'!M22,IF('RI_P.10'!O17=5,VLOOKUP(305,Sprachindex!$A:$Z,Info!$O$7,FALSE),"")))))</f>
        <v/>
      </c>
      <c r="E160" s="24" t="str">
        <f>IF('RI_P.10'!O17=0,"",IF('RI_P.10'!O17=5,"",A160))</f>
        <v/>
      </c>
    </row>
    <row r="161" spans="1:5">
      <c r="A161" t="str">
        <f>VLOOKUP(547,Sprachindex!$A:$Z,Info!$O$7,FALSE)</f>
        <v>kurz</v>
      </c>
      <c r="B161" t="str">
        <f>IF('RI_P.10'!O17=1,'RI_P.10'!L21,IF('RI_P.10'!O17=2,'RI_P.10'!L22,IF('RI_P.10'!O17=3,'RI_P.10'!M21,IF('RI_P.10'!O17=4,'RI_P.10'!M22,IF('RI_P.10'!O17=5,VLOOKUP(305,Sprachindex!$A:$Z,Info!$O$7,FALSE),"")))))</f>
        <v/>
      </c>
      <c r="E161" s="24" t="str">
        <f>IF('RI_P.10'!O17=0,"",IF('RI_P.10'!O17=4,"",IF('RI_P.10'!O17=5,"",A161)))</f>
        <v/>
      </c>
    </row>
    <row r="162" spans="1:5">
      <c r="A162" t="str">
        <f>VLOOKUP(551,Sprachindex!$A:$Z,Info!$O$7,FALSE)</f>
        <v>lang</v>
      </c>
      <c r="B162" t="str">
        <f>IF('RI_P.10'!O17=1,'RI_P.10'!L21,IF('RI_P.10'!O17=2,'RI_P.10'!L22,IF('RI_P.10'!O17=3,'RI_P.10'!M21,IF('RI_P.10'!O17=4,'RI_P.10'!M22,IF('RI_P.10'!O17=5,VLOOKUP(305,Sprachindex!$A:$Z,Info!$O$7,FALSE),"")))))</f>
        <v/>
      </c>
      <c r="E162" s="22" t="str">
        <f>IF('RI_P.10'!O17=0,"",IF('RI_P.10'!O17=1,"",IF('RI_P.10'!O17=4,"",IF('RI_P.10'!O17=5,"",A162))))</f>
        <v/>
      </c>
    </row>
    <row r="164" spans="1:5">
      <c r="E164" s="22" t="s">
        <v>2364</v>
      </c>
    </row>
    <row r="165" spans="1:5">
      <c r="E165" s="22"/>
    </row>
    <row r="166" spans="1:5">
      <c r="A166" t="str">
        <f>VLOOKUP(121,Sprachindex!$A:$Z,Info!$O$7,FALSE)</f>
        <v>6 m</v>
      </c>
      <c r="B166" t="str">
        <f>IF('RI_P.10'!O17=1,'RI_P.10'!L21,IF('RI_P.10'!O17=2,'RI_P.10'!L22,IF('RI_P.10'!O17=3,'RI_P.10'!M21,IF('RI_P.10'!O17=4,'RI_P.10'!M22,IF('RI_P.10'!O17=5,'RI_P.10'!G36,"")))))</f>
        <v/>
      </c>
      <c r="E166" s="22" t="str">
        <f>IF('RI_P.10'!O17=0,"",B166 &amp; ", " &amp;A166)</f>
        <v/>
      </c>
    </row>
    <row r="167" spans="1:5">
      <c r="A167" t="str">
        <f>VLOOKUP(83,Sprachindex!$A:$Z,Info!$O$7,FALSE)</f>
        <v>3 m</v>
      </c>
      <c r="B167" t="str">
        <f>IF('RI_P.10'!O17=1,'RI_P.10'!L21,IF('RI_P.10'!O17=2,'RI_P.10'!L22,IF('RI_P.10'!O17=3,'RI_P.10'!M21,IF('RI_P.10'!O17=4,'RI_P.10'!M22,IF('RI_P.10'!O17=5,'RI_P.10'!G36,"")))))</f>
        <v/>
      </c>
      <c r="E167" s="22" t="str">
        <f>IF('RI_P.10'!O17=0,"",IF('RI_P.10'!O17=4,"",B167 &amp; ", " &amp;A167))</f>
        <v/>
      </c>
    </row>
    <row r="169" spans="1:5">
      <c r="A169" s="21" t="str">
        <f>VLOOKUP(305,Sprachindex!$A:$Z,Info!$O$7,FALSE)</f>
        <v>Dimension nicht möglich</v>
      </c>
      <c r="E169" s="22" t="s">
        <v>2305</v>
      </c>
    </row>
    <row r="170" spans="1:5">
      <c r="E170" s="22"/>
    </row>
    <row r="171" spans="1:5">
      <c r="A171" t="str">
        <f>VLOOKUP(635,Sprachindex!$A:$Z,Info!$O$7,FALSE)</f>
        <v>normal</v>
      </c>
      <c r="B171" t="str">
        <f>IF('RI_P.10'!O17=1,'RI_P.10'!L21,IF('RI_P.10'!O17=2,'RI_P.10'!L22,IF('RI_P.10'!O17=3,'RI_P.10'!M21,IF('RI_P.10'!O17=4,'RI_P.10'!M22,IF('RI_P.10'!O17=5,VLOOKUP(305,Sprachindex!$A:$Z,Info!$O$7,FALSE),"")))))</f>
        <v/>
      </c>
      <c r="E171" s="22" t="str">
        <f>IF('RI_P.10'!O17=3,A171,IF('RI_P.10'!O17=4, A171,IF('RI_P.10'!O17=2,A171,"")))</f>
        <v/>
      </c>
    </row>
    <row r="172" spans="1:5">
      <c r="A172" t="str">
        <f>VLOOKUP(547,Sprachindex!$A:$Z,Info!$O$7,FALSE)</f>
        <v>kurz</v>
      </c>
      <c r="B172" t="str">
        <f>IF('RI_P.10'!O17=1,'RI_P.10'!L21,IF('RI_P.10'!O17=2,'RI_P.10'!L22,IF('RI_P.10'!O17=3,'RI_P.10'!M21,IF('RI_P.10'!O17=4,'RI_P.10'!M22,IF('RI_P.10'!O17=5,VLOOKUP(305,Sprachindex!$A:$Z,Info!$O$7,FALSE),"")))))</f>
        <v/>
      </c>
      <c r="E172" t="str">
        <f>IF('RI_P.10'!O17=3,A172,"")</f>
        <v/>
      </c>
    </row>
    <row r="174" spans="1:5">
      <c r="A174" s="22" t="s">
        <v>2307</v>
      </c>
      <c r="B174" s="22"/>
    </row>
    <row r="175" spans="1:5">
      <c r="A175" s="22" t="str">
        <f>IF('RI_P.10'!O17=0,"",IF('RI_P.10'!O17=1,'RI_P.10'!L21,IF('RI_P.10'!O17=2,'RI_P.10'!L22,IF('RI_P.10'!O17=3,'RI_P.10'!M21,IF('RI_P.10'!O17=4,'RI_P.10'!M22,IF('RI_P.10'!O17=5,VLOOKUP(305,Sprachindex!$A:$Z,Info!$O$7,FALSE),""))))))</f>
        <v/>
      </c>
      <c r="B175" s="22"/>
    </row>
    <row r="177" spans="1:7">
      <c r="A177" s="22" t="s">
        <v>2308</v>
      </c>
      <c r="B177" s="22"/>
    </row>
    <row r="178" spans="1:7">
      <c r="A178" s="22" t="str">
        <f>IF('RI_P.10'!O17=0,"",IF('RI_P.10'!O17=1,'RI_P.10'!L21,IF('RI_P.10'!O17=5,'RI_P.10'!G36,IF('RI_P.10'!O17=3,'RI_P.10'!M21,IF('RI_P.10'!O17=4,'RI_P.10'!M22,IF('RI_P.10'!O17=2,VLOOKUP(305,Sprachindex!$A:$Z,Info!$O$7,FALSE),A169))))))</f>
        <v/>
      </c>
      <c r="B178" s="22"/>
    </row>
    <row r="180" spans="1:7">
      <c r="A180" s="22" t="s">
        <v>2309</v>
      </c>
      <c r="B180" s="22"/>
    </row>
    <row r="181" spans="1:7">
      <c r="A181" s="22" t="str">
        <f>IF('RI_P.10'!O17=0,"",IF('RI_P.10'!O17=1,'RI_P.10'!L21,IF('RI_P.10'!O17=3,'RI_P.10'!M21,IF('RI_P.10'!O17=4,'RI_P.10'!M22,A169))))</f>
        <v/>
      </c>
      <c r="B181" s="22"/>
    </row>
    <row r="184" spans="1:7">
      <c r="A184" t="str">
        <f>IF(AND('RI_P.10'!O17=1,'RI_P.10'!O18=2),Formeln_RI_P.10!E184 &amp; " x " &amp; Formeln_RI_P.10!F185,IF(AND('RI_P.10'!O17=3,'RI_P.10'!O18=3),E186 &amp; " x " &amp; F186,IF(AND('RI_P.10'!O17=4,'RI_P.10'!O18=4),Formeln_RI_P.10!E187 &amp; " x " &amp; Formeln_RI_P.10!F187,IF(AND('RI_P.10'!O17=5,'RI_P.10'!O18=4),Formeln_RI_P.10!E188 &amp; " x " &amp; Formeln_RI_P.10!F187,A169))))</f>
        <v>Dimension nicht möglich</v>
      </c>
      <c r="E184" s="20">
        <f>VLOOKUP(1,Sprachindex!$A:$Z,Info!O7,FALSE)</f>
        <v>250</v>
      </c>
      <c r="F184" s="19" t="str">
        <f>VLOOKUP(125,Sprachindex!$A:$Z,Info!O7,FALSE)</f>
        <v>⌀ 60</v>
      </c>
    </row>
    <row r="185" spans="1:7">
      <c r="E185" s="20">
        <f>VLOOKUP(2,Sprachindex!$A:$Z,Info!O7,FALSE)</f>
        <v>280</v>
      </c>
      <c r="F185" s="19" t="str">
        <f>VLOOKUP(133,Sprachindex!$A:$Z,Info!O7,FALSE)</f>
        <v>⌀ 80</v>
      </c>
      <c r="G185" s="19" t="str">
        <f>VLOOKUP(133,Sprachindex!$A:$Z,Info!O7,FALSE)</f>
        <v>⌀ 80</v>
      </c>
    </row>
    <row r="186" spans="1:7">
      <c r="A186" s="22" t="s">
        <v>2365</v>
      </c>
      <c r="E186" s="20">
        <f>VLOOKUP(3,Sprachindex!$A:$Z,Info!O7,FALSE)</f>
        <v>333</v>
      </c>
      <c r="F186" s="19" t="str">
        <f>VLOOKUP(45,Sprachindex!$A:$Z,Info!O7,FALSE)</f>
        <v>⌀ 100</v>
      </c>
      <c r="G186" s="19" t="str">
        <f>VLOOKUP(45,Sprachindex!$A:$Z,Info!O7,FALSE)</f>
        <v>⌀ 100</v>
      </c>
    </row>
    <row r="187" spans="1:7">
      <c r="A187" t="str">
        <f>IF('RI_P.10'!O18=1,Formeln_RI_P.10!F184,IF('RI_P.10'!O18=2,Formeln_RI_P.10!F185,IF('RI_P.10'!O18=3,Formeln_RI_P.10!F186,IF('RI_P.10'!O18=4,Formeln_RI_P.10!F187,IF('RI_P.10'!O18=5,Formeln_RI_P.10!F188,"")))))</f>
        <v/>
      </c>
      <c r="E187" s="20">
        <f>VLOOKUP(4,Sprachindex!$A:$Z,Info!O7,FALSE)</f>
        <v>400</v>
      </c>
      <c r="F187" s="19" t="str">
        <f>VLOOKUP(53,Sprachindex!$A:$Z,Info!O7,FALSE)</f>
        <v>⌀ 120</v>
      </c>
      <c r="G187" s="19" t="str">
        <f>VLOOKUP(53,Sprachindex!$A:$Z,Info!O7,FALSE)</f>
        <v>⌀ 120</v>
      </c>
    </row>
    <row r="188" spans="1:7">
      <c r="E188" s="20">
        <f>VLOOKUP(5,Sprachindex!$A:$Z,Info!O7,FALSE)</f>
        <v>500</v>
      </c>
      <c r="F188" s="19" t="str">
        <f>VLOOKUP(58,Sprachindex!$A:$Z,Info!O7,FALSE)</f>
        <v>⌀ 150</v>
      </c>
    </row>
    <row r="190" spans="1:7">
      <c r="A190" s="22" t="s">
        <v>2310</v>
      </c>
      <c r="B190" s="22"/>
    </row>
    <row r="191" spans="1:7">
      <c r="A191" s="22" t="str">
        <f>IF('RI_P.10'!O17=0,"",IF(AND('RI_P.10'!O17=1,'RI_P.10'!O18=2),E184&amp;" x "&amp;F185,IF(AND('RI_P.10'!O17=2,'RI_P.10'!O18=2),E185&amp;" x "&amp;F185,IF(AND('RI_P.10'!O17=3,'RI_P.10'!O18=2),E186&amp;" x "&amp;F185,IF(AND('RI_P.10'!O17=4,'RI_P.10'!O18=4),E187&amp;" x "&amp;F187,IF(AND('RI_P.10'!O17=2,'RI_P.10'!O18=3),E185&amp;" x "&amp;F186,IF(AND('RI_P.10'!O17=3,'RI_P.10'!O18=3),E186&amp;" x "&amp;F186,IF(AND('RI_P.10'!O17=4,'RI_P.10'!O18=5),E187&amp;" x "&amp;F188,IF(AND('RI_P.10'!O17=3,'RI_P.10'!O18=4),E186&amp;" x "&amp;F187,IF(AND('RI_P.10'!O17=1,'RI_P.10'!O18=1),E184&amp;" x "&amp;F184,IF(AND('RI_P.10'!O17=4,'RI_P.10'!O18=5),E187&amp;" x "&amp;F188,IF(AND('RI_P.10'!O17=4,'RI_P.10'!O18=3),E187&amp;" x "&amp;F186,A169))))))))))))</f>
        <v/>
      </c>
      <c r="B191" s="22"/>
    </row>
    <row r="193" spans="1:5">
      <c r="A193" s="22" t="s">
        <v>2311</v>
      </c>
      <c r="B193" s="22"/>
    </row>
    <row r="194" spans="1:5">
      <c r="A194" s="22" t="str">
        <f>IF('RI_P.10'!O17=0,"",IF(AND('RI_P.10'!O17=1,'RI_P.10'!O18=2),Formeln_RI_P.10!E184 &amp; " x " &amp; Formeln_RI_P.10!F185,IF(AND('RI_P.10'!O17=2,'RI_P.10'!O18=2),Formeln_RI_P.10!E185 &amp; " x " &amp; Formeln_RI_P.10!F185,IF(AND('RI_P.10'!O17=3,'RI_P.10'!O18=2),Formeln_RI_P.10!E186 &amp; " x " &amp; Formeln_RI_P.10!F185,IF(AND('RI_P.10'!O17=2,'RI_P.10'!O18=3),Formeln_RI_P.10!E185 &amp; " x " &amp; Formeln_RI_P.10!F186,IF(AND('RI_P.10'!O17=3,'RI_P.10'!O18=3),Formeln_RI_P.10!E186 &amp; " x " &amp; Formeln_RI_P.10!F186,IF(AND('RI_P.10'!O17=3,'RI_P.10'!O18=4),Formeln_RI_P.10!E186 &amp; " x " &amp; Formeln_RI_P.10!F187,IF(AND('RI_P.10'!O17=4,'RI_P.10'!O18=4),Formeln_RI_P.10!E187 &amp; " x " &amp; Formeln_RI_P.10!F187,A169))))))))</f>
        <v/>
      </c>
      <c r="B194" s="22"/>
    </row>
    <row r="196" spans="1:5">
      <c r="A196" s="22" t="s">
        <v>2312</v>
      </c>
      <c r="B196" s="22"/>
      <c r="C196" s="22"/>
      <c r="D196" s="22"/>
      <c r="E196" s="22"/>
    </row>
    <row r="197" spans="1:5">
      <c r="A197" s="22"/>
      <c r="B197" s="22"/>
      <c r="C197" s="22"/>
      <c r="D197" s="22"/>
      <c r="E197" s="22"/>
    </row>
    <row r="198" spans="1:5">
      <c r="A198" s="22" t="str">
        <f>VLOOKUP(121,Sprachindex!$A:$Z,Info!$O$7,FALSE)</f>
        <v>6 m</v>
      </c>
      <c r="B198" s="22" t="str">
        <f>IF('RI_P.10'!O17=1,'RI_P.10'!L21,IF('RI_P.10'!O17=5,'RI_P.10'!G36,IF('RI_P.10'!O17=3,'RI_P.10'!M21,IF('RI_P.10'!O17=4,'RI_P.10'!M22,A169))))</f>
        <v>Dimension nicht möglich</v>
      </c>
      <c r="C198" s="22"/>
      <c r="D198" s="22"/>
      <c r="E198" s="22" t="str">
        <f>IF(B198=A169,"",A198)</f>
        <v/>
      </c>
    </row>
    <row r="199" spans="1:5">
      <c r="A199" s="22" t="str">
        <f>VLOOKUP(83,Sprachindex!$A:$Z,Info!$O$7,FALSE)</f>
        <v>3 m</v>
      </c>
      <c r="B199" s="22" t="str">
        <f>IF('RI_P.10'!O17=1,'RI_P.10'!L21,IF('RI_P.10'!O17=5,'RI_P.10'!G36,IF('RI_P.10'!O17=3,'RI_P.10'!M21,IF('RI_P.10'!O17=4,'RI_P.10'!M22,A169))))</f>
        <v>Dimension nicht möglich</v>
      </c>
      <c r="C199" s="22"/>
      <c r="D199" s="22"/>
      <c r="E199" s="22" t="str">
        <f>IF(B199=A169,"",A199)</f>
        <v/>
      </c>
    </row>
    <row r="201" spans="1:5">
      <c r="A201" s="23" t="s">
        <v>2313</v>
      </c>
      <c r="B201" s="22"/>
      <c r="C201" s="22"/>
      <c r="D201" s="22"/>
      <c r="E201" s="22"/>
    </row>
    <row r="202" spans="1:5">
      <c r="A202" s="23" t="str">
        <f>IF('RI_P.10'!O17=0,"",IF('RI_P.10'!O17=1,D202,IF('RI_P.10'!O17=3,D203,IF('RI_P.10'!O17=4,D204,IF('RI_P.10'!O17=5,D205,A169)))))</f>
        <v/>
      </c>
      <c r="B202" s="22"/>
      <c r="C202" s="22"/>
      <c r="D202" s="22" t="str">
        <f>VLOOKUP(2211,Sprachindex!$A:$Z,Info!$O$7,FALSE)</f>
        <v>250/23 × 7</v>
      </c>
      <c r="E202" s="22"/>
    </row>
    <row r="203" spans="1:5">
      <c r="A203" s="22"/>
      <c r="B203" s="22"/>
      <c r="C203" s="22"/>
      <c r="D203" s="22" t="str">
        <f>VLOOKUP(2212,Sprachindex!$A:$Z,Info!$O$7,FALSE)</f>
        <v>333/28 × 7</v>
      </c>
      <c r="E203" s="22"/>
    </row>
    <row r="204" spans="1:5">
      <c r="A204" s="22"/>
      <c r="B204" s="22"/>
      <c r="C204" s="22"/>
      <c r="D204" s="22" t="str">
        <f>VLOOKUP(2213,Sprachindex!$A:$Z,Info!$O$7,FALSE)</f>
        <v>400/30 × 7</v>
      </c>
      <c r="E204" s="22"/>
    </row>
    <row r="205" spans="1:5">
      <c r="A205" s="22"/>
      <c r="B205" s="22"/>
      <c r="C205" s="22"/>
      <c r="D205" s="22" t="str">
        <f>VLOOKUP(2214,Sprachindex!$A:$Z,Info!$O$7,FALSE)</f>
        <v>500/35 × 7</v>
      </c>
      <c r="E205" s="22"/>
    </row>
    <row r="209" spans="1:5">
      <c r="A209" s="23" t="s">
        <v>2314</v>
      </c>
      <c r="B209" s="23"/>
      <c r="C209" s="22"/>
      <c r="D209" s="22"/>
    </row>
    <row r="210" spans="1:5">
      <c r="A210" s="23" t="str">
        <f>IF('RI_P.10'!O17=0,"",IF('RI_P.10'!O17=1,D210,IF('RI_P.10'!O17=3,D211,A169)))</f>
        <v/>
      </c>
      <c r="B210" s="23"/>
      <c r="C210" s="22"/>
      <c r="D210" s="22" t="str">
        <f>VLOOKUP(2211,Sprachindex!$A:$Z,Info!$O$7,FALSE)</f>
        <v>250/23 × 7</v>
      </c>
    </row>
    <row r="211" spans="1:5">
      <c r="A211" s="22"/>
      <c r="B211" s="22"/>
      <c r="C211" s="22"/>
      <c r="D211" s="22" t="str">
        <f>VLOOKUP(2212,Sprachindex!$A:$Z,Info!$O$7,FALSE)</f>
        <v>333/28 × 7</v>
      </c>
    </row>
    <row r="213" spans="1:5">
      <c r="A213" s="22" t="s">
        <v>2315</v>
      </c>
      <c r="B213" s="22"/>
    </row>
    <row r="214" spans="1:5">
      <c r="A214" s="22" t="str">
        <f>IF('RI_P.10'!O17=0,"",IF('RI_P.10'!O17=1,E184,IF('RI_P.10'!O17=3,E186,IF('RI_P.10'!O17=4,E187,A169))))</f>
        <v/>
      </c>
      <c r="B214" s="22"/>
    </row>
    <row r="216" spans="1:5">
      <c r="A216" s="22" t="s">
        <v>2316</v>
      </c>
      <c r="B216" s="22"/>
    </row>
    <row r="217" spans="1:5">
      <c r="A217" s="22" t="str">
        <f>IF(OR('RI_P.10'!O17=0,'RI_P.10'!O18=0),"",IF(AND('RI_P.10'!O17=1,'RI_P.10'!O18=2),Formeln_RI_P.10!E184&amp;" x "&amp;Formeln_RI_P.10!F185,IF(AND('RI_P.10'!O17=3,'RI_P.10'!O18=3),Formeln_RI_P.10!E186&amp;" x "&amp;Formeln_RI_P.10!F186,IF(AND('RI_P.10'!O17=4,'RI_P.10'!O18=4),Formeln_RI_P.10!E187 &amp; " x " &amp; Formeln_RI_P.10!F187,IF(AND('RI_P.10'!O17=5,'RI_P.10'!O18=4),Formeln_RI_P.10!E188 &amp; " x " &amp; Formeln_RI_P.10!F187,IF(AND('RI_P.10'!O17=5,'RI_P.10'!O18=5),Formeln_RI_P.10!E188 &amp; " x " &amp; Formeln_RI_P.10!F188,A169))))))</f>
        <v/>
      </c>
      <c r="B217" s="22"/>
      <c r="E217" s="22"/>
    </row>
    <row r="218" spans="1:5">
      <c r="E218" s="22" t="str">
        <f>IF(AND('RI_P.10'!$O$30=0,'RI_P.10'!$O$31=0),"",IF(AND('RI_P.10'!O17=1,'RI_P.10'!O18=2),Formeln_RI_P.10!E184 &amp; " x " &amp; Formeln_RI_P.10!F185,IF(AND('RI_P.10'!O17=3,'RI_P.10'!O18=3),Formeln_RI_P.10!E186 &amp; " x " &amp; Formeln_RI_P.10!F186,IF(AND('RI_P.10'!O17=4,'RI_P.10'!O18=4),Formeln_RI_P.10!E187 &amp; " x " &amp; Formeln_RI_P.10!F187,IF(AND('RI_P.10'!O17=5,'RI_P.10'!O18=4),Formeln_RI_P.10!E188 &amp; " x " &amp; Formeln_RI_P.10!F187,A169)))))</f>
        <v>Dimension nicht möglich</v>
      </c>
    </row>
    <row r="219" spans="1:5">
      <c r="E219" s="22" t="str">
        <f>IF(AND('RI_P.10'!O17=5,'RI_P.10'!O18=5),E188 &amp; " x " &amp; F188,"")</f>
        <v/>
      </c>
    </row>
    <row r="221" spans="1:5">
      <c r="A221" s="22" t="s">
        <v>2317</v>
      </c>
      <c r="B221" s="22"/>
    </row>
    <row r="222" spans="1:5">
      <c r="A222" s="22" t="str">
        <f>IF('RI_P.10'!O18=0,"",IF('RI_P.10'!O18=2,F185,IF('RI_P.10'!O18=3,F186,IF('RI_P.10'!O18=4,F187,IF('RI_P.10'!O18=5,F188,A169)))))</f>
        <v/>
      </c>
    </row>
    <row r="224" spans="1:5">
      <c r="A224" s="22" t="s">
        <v>2366</v>
      </c>
      <c r="B224" s="22"/>
      <c r="C224" s="22"/>
      <c r="D224" s="22"/>
    </row>
    <row r="225" spans="1:2">
      <c r="A225" s="22" t="str">
        <f>IF('RI_P.10'!O18=0,"",IF('RI_P.10'!O18=1,F184,IF('RI_P.10'!O18=2,F185,IF('RI_P.10'!O18=3,F186,IF('RI_P.10'!O18=4,F187,IF('RI_P.10'!O18=5,F188,A169))))))</f>
        <v/>
      </c>
    </row>
    <row r="227" spans="1:2">
      <c r="A227" s="22" t="s">
        <v>2319</v>
      </c>
    </row>
    <row r="228" spans="1:2">
      <c r="A228" s="22" t="str">
        <f>IF('RI_P.10'!O18=1,F184,IF('RI_P.10'!O18=2,F185,IF('RI_P.10'!O18=3,F186,IF('RI_P.10'!O18=4,F187,IF('RI_P.10'!O18=5,F188,"")))))</f>
        <v/>
      </c>
    </row>
    <row r="230" spans="1:2">
      <c r="A230" s="22" t="s">
        <v>2320</v>
      </c>
    </row>
    <row r="231" spans="1:2">
      <c r="A231" s="22" t="str">
        <f>IF('RI_P.10'!O18=0,"",IF('RI_P.10'!O18=2,F185,IF('RI_P.10'!O18=3,F186,IF('RI_P.10'!O18=4,F187,A169))))</f>
        <v/>
      </c>
    </row>
    <row r="233" spans="1:2">
      <c r="A233" s="22" t="s">
        <v>2321</v>
      </c>
    </row>
    <row r="234" spans="1:2">
      <c r="A234" s="22"/>
    </row>
    <row r="235" spans="1:2">
      <c r="A235" s="22" t="str">
        <f>IF('RI_P.10'!O18=2,"80 x " &amp; F184,IF('RI_P.10'!O18=3,"100 x " &amp; F184,IF('RI_P.10'!O18=4,"120 x " &amp; F185,"")))</f>
        <v/>
      </c>
      <c r="B235">
        <v>1</v>
      </c>
    </row>
    <row r="236" spans="1:2">
      <c r="A236" s="22" t="str">
        <f>IF('RI_P.10'!O18=2,"80 x " &amp; F185,IF('RI_P.10'!O18=3,"100 x " &amp; F185,IF('RI_P.10'!O18=4,"120 x " &amp; F186,"")))</f>
        <v/>
      </c>
      <c r="B236">
        <v>2</v>
      </c>
    </row>
    <row r="237" spans="1:2">
      <c r="A237" s="22" t="str">
        <f>IF('RI_P.10'!O18=3,"100 x " &amp; F186,IF('RI_P.10'!O18=4,"120 x " &amp; F187,""))</f>
        <v/>
      </c>
      <c r="B237">
        <v>3</v>
      </c>
    </row>
    <row r="239" spans="1:2">
      <c r="A239" s="22" t="s">
        <v>2367</v>
      </c>
    </row>
    <row r="240" spans="1:2">
      <c r="A240" s="22" t="str">
        <f>IF('RI_P.10'!O18=0,VLOOKUP(2215,Sprachindex!$A:$Z,Info!$O$7,FALSE),IF('RI_P.10'!O18=1,VLOOKUP(2215,Sprachindex!$A:$Z,Info!$O$7,FALSE),A169))</f>
        <v>60 ⌀ × 3.000 mm</v>
      </c>
    </row>
    <row r="242" spans="1:3">
      <c r="A242" s="22" t="s">
        <v>2323</v>
      </c>
    </row>
    <row r="243" spans="1:3">
      <c r="A243" s="22" t="str">
        <f>IF('RI_P.10'!O18=0,VLOOKUP(2216,Sprachindex!$A:$Z,Info!$O$7,FALSE),IF('RI_P.10'!O18=3,VLOOKUP(2216,Sprachindex!$A:$Z,Info!$O$7,FALSE),A169))</f>
        <v>100 ⌀ × 2950 mm</v>
      </c>
    </row>
    <row r="245" spans="1:3">
      <c r="A245" s="22" t="s">
        <v>2324</v>
      </c>
    </row>
    <row r="246" spans="1:3">
      <c r="A246" s="22" t="str">
        <f>IF('RI_P.10'!O18=0,VLOOKUP(2217,Sprachindex!$A:$Z,Info!$O$7,FALSE),IF('RI_P.10'!O18=3,VLOOKUP(2217,Sprachindex!$A:$Z,Info!$O$7,FALSE),A169))</f>
        <v>100 ⌀ 700–1.100 mm</v>
      </c>
    </row>
    <row r="247" spans="1:3">
      <c r="C247" t="s">
        <v>1294</v>
      </c>
    </row>
    <row r="248" spans="1:3">
      <c r="A248" s="22" t="s">
        <v>2325</v>
      </c>
      <c r="C248" t="s">
        <v>1302</v>
      </c>
    </row>
    <row r="249" spans="1:3">
      <c r="A249" s="22"/>
      <c r="C249" t="s">
        <v>1310</v>
      </c>
    </row>
    <row r="250" spans="1:3">
      <c r="A250" s="22" t="str">
        <f>IF('RI_P.10'!O18=0,"",IF('RI_P.10'!O18=2,C248,IF('RI_P.10'!O18=3,C249,IF('RI_P.10'!O18=4,C251,IF('RI_P.10'!O18=1,C247,"")))))</f>
        <v/>
      </c>
      <c r="C250" t="s">
        <v>1286</v>
      </c>
    </row>
    <row r="251" spans="1:3">
      <c r="A251" s="22" t="str">
        <f>IF('RI_P.10'!O18=0,"",IF('RI_P.10'!O18=3,C250,""))</f>
        <v/>
      </c>
      <c r="C251" t="s">
        <v>1325</v>
      </c>
    </row>
    <row r="253" spans="1:3">
      <c r="A253" s="22" t="s">
        <v>2326</v>
      </c>
      <c r="C253" t="s">
        <v>2327</v>
      </c>
    </row>
    <row r="254" spans="1:3">
      <c r="A254" s="22" t="str">
        <f>IF('RI_P.10'!O18=0,"",IF('RI_P.10'!O18=2,C253,IF('RI_P.10'!O18=3,C254,IF('RI_P.10'!O18=4,C255,A169))))</f>
        <v/>
      </c>
      <c r="C254" t="s">
        <v>2328</v>
      </c>
    </row>
    <row r="255" spans="1:3">
      <c r="A255" s="22"/>
      <c r="C255" t="s">
        <v>2329</v>
      </c>
    </row>
    <row r="257" spans="1:1">
      <c r="A257" s="22" t="s">
        <v>2330</v>
      </c>
    </row>
    <row r="258" spans="1:1">
      <c r="A258" s="22"/>
    </row>
    <row r="259" spans="1:1">
      <c r="A259" s="26" t="str">
        <f>VLOOKUP(96,Sprachindex!$A:$Z,Info!$O$7,FALSE)</f>
        <v>4 × 9,5 mm</v>
      </c>
    </row>
    <row r="260" spans="1:1">
      <c r="A260" s="26" t="str">
        <f>VLOOKUP(97,Sprachindex!$A:$Z,Info!$O$7,FALSE)</f>
        <v>4,8 × 17 mm</v>
      </c>
    </row>
    <row r="262" spans="1:1">
      <c r="A262" s="22" t="s">
        <v>2331</v>
      </c>
    </row>
    <row r="263" spans="1:1">
      <c r="A263" s="22"/>
    </row>
    <row r="264" spans="1:1">
      <c r="A264" s="22" t="str">
        <f>VLOOKUP(23,Sprachindex!$A:$Z,Info!$O$7,FALSE)</f>
        <v>0,75 l Dose</v>
      </c>
    </row>
    <row r="265" spans="1:1">
      <c r="A265" s="25" t="str">
        <f>VLOOKUP(119,Sprachindex!$A:$Z,Info!$O$7,FALSE)</f>
        <v>Dose mit Pinsel (50 ml)</v>
      </c>
    </row>
    <row r="267" spans="1:1">
      <c r="A267" s="22" t="s">
        <v>2332</v>
      </c>
    </row>
    <row r="268" spans="1:1">
      <c r="A268" s="22" t="str">
        <f>IF('RI_P.10'!O18=0,"",IF('RI_P.10'!O18=2,F185,IF('RI_P.10'!O18=3,F186,IF('RI_P.10'!O18=4,F187,IF('RI_P.10'!O18=1,F184,A169)))))</f>
        <v/>
      </c>
    </row>
    <row r="271" spans="1:1">
      <c r="A271" t="s">
        <v>2333</v>
      </c>
    </row>
    <row r="273" spans="1:1">
      <c r="A273" s="127" t="s">
        <v>2334</v>
      </c>
    </row>
    <row r="274" spans="1:1">
      <c r="A274" s="127" t="s">
        <v>2335</v>
      </c>
    </row>
    <row r="275" spans="1:1">
      <c r="A275" s="127" t="s">
        <v>2336</v>
      </c>
    </row>
    <row r="277" spans="1:1">
      <c r="A277" t="str">
        <f>VLOOKUP(57,Sprachindex!$A:$Z,Info!$O$7,FALSE)</f>
        <v>140 mm</v>
      </c>
    </row>
    <row r="278" spans="1:1">
      <c r="A278" t="str">
        <f>VLOOKUP(90,Sprachindex!$A:$Z,Info!$O$7,FALSE)</f>
        <v>330 mm</v>
      </c>
    </row>
    <row r="280" spans="1:1">
      <c r="A280" s="165" t="str">
        <f>VLOOKUP(24,Sprachindex!$A:$Z,Info!$O$7,FALSE)</f>
        <v>01 Braun</v>
      </c>
    </row>
    <row r="281" spans="1:1">
      <c r="A281" s="165" t="str">
        <f>VLOOKUP(26,Sprachindex!$A:$Z,Info!$O$7,FALSE)</f>
        <v>02 Anthrazit</v>
      </c>
    </row>
    <row r="282" spans="1:1">
      <c r="A282" s="165" t="str">
        <f>VLOOKUP(36,Sprachindex!$A:$Z,Info!$O$7,FALSE)</f>
        <v>07 Hellgrau</v>
      </c>
    </row>
    <row r="283" spans="1:1">
      <c r="A283" s="165" t="str">
        <f>VLOOKUP(29,Sprachindex!$A:$Z,Info!$O$7,FALSE)</f>
        <v>03 Schwarz</v>
      </c>
    </row>
    <row r="284" spans="1:1">
      <c r="A284" s="165" t="str">
        <f>VLOOKUP(43,Sprachindex!$A:$Z,Info!$O$7,FALSE)</f>
        <v>10 Prefaweiß</v>
      </c>
    </row>
    <row r="285" spans="1:1">
      <c r="A285" s="165" t="str">
        <f>VLOOKUP(50,Sprachindex!$A:$Z,Info!$O$7,FALSE)</f>
        <v>11 Nussbraun</v>
      </c>
    </row>
    <row r="286" spans="1:1">
      <c r="A286" s="165" t="str">
        <f>VLOOKUP(1437,Sprachindex!$A:$Z,Info!$O$7,FALSE)</f>
        <v>19 Dunkelgrau</v>
      </c>
    </row>
    <row r="294" spans="1:1">
      <c r="A294" t="str">
        <f>"1.000" &amp; " " &amp; VLOOKUP(878,Sprachindex!$A:$Z,Info!$O$7,FALSE)</f>
        <v>1.000 Stk.</v>
      </c>
    </row>
    <row r="295" spans="1:1">
      <c r="A295" t="str">
        <f>"500" &amp; " " &amp; VLOOKUP(878,Sprachindex!$A:$Z,Info!$O$7,FALSE)</f>
        <v>500 Stk.</v>
      </c>
    </row>
    <row r="297" spans="1:1">
      <c r="A297" t="s">
        <v>2337</v>
      </c>
    </row>
    <row r="299" spans="1:1">
      <c r="A299" t="str">
        <f>VLOOKUP(1440,Sprachindex!$A:$Z,Info!$O$7,FALSE)</f>
        <v>Ø 110/100 mm</v>
      </c>
    </row>
    <row r="300" spans="1:1">
      <c r="A300" t="str">
        <f>VLOOKUP(1441,Sprachindex!$A:$Z,Info!$O$7,FALSE)</f>
        <v>Ø 125/120 mm</v>
      </c>
    </row>
    <row r="434" spans="2:14">
      <c r="B434" s="128"/>
      <c r="C434" s="128"/>
      <c r="D434" s="128"/>
      <c r="E434" s="128"/>
      <c r="F434" s="128"/>
      <c r="G434" s="128"/>
      <c r="H434" s="128"/>
      <c r="I434" s="128"/>
      <c r="J434" s="128"/>
      <c r="K434" s="128"/>
      <c r="L434" s="128"/>
      <c r="M434" s="128"/>
      <c r="N434" s="128"/>
    </row>
    <row r="435" spans="2:14">
      <c r="B435" s="128"/>
      <c r="C435" s="128"/>
      <c r="D435" s="128"/>
      <c r="E435" s="128"/>
      <c r="F435" s="128"/>
      <c r="G435" s="128"/>
      <c r="H435" s="128"/>
      <c r="I435" s="128"/>
      <c r="J435" s="128"/>
      <c r="K435" s="128"/>
      <c r="L435" s="128"/>
      <c r="M435" s="128"/>
      <c r="N435" s="128"/>
    </row>
  </sheetData>
  <conditionalFormatting sqref="G42:J42">
    <cfRule type="expression" priority="1">
      <formula>$G$42=$A$14</formula>
    </cfRule>
  </conditionalFormatting>
  <conditionalFormatting sqref="I37:J37">
    <cfRule type="expression" priority="5">
      <formula>$I$37=$A$159:$A$161</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80A91203-A6A2-4813-81F0-4CF7296565C3}">
            <xm:f>RI!#REF!=$A$20</xm:f>
            <x14:dxf/>
          </x14:cfRule>
          <xm:sqref>H57</xm:sqref>
        </x14:conditionalFormatting>
        <x14:conditionalFormatting xmlns:xm="http://schemas.microsoft.com/office/excel/2006/main">
          <x14:cfRule type="expression" priority="3" id="{CDA08872-B987-4B2A-BEA7-54A39D37C6C4}">
            <xm:f>RI!#REF!=$A$20</xm:f>
            <x14:dxf>
              <fill>
                <patternFill>
                  <bgColor theme="0" tint="-4.9989318521683403E-2"/>
                </patternFill>
              </fill>
            </x14:dxf>
          </x14:cfRule>
          <xm:sqref>H85</xm:sqref>
        </x14:conditionalFormatting>
        <x14:conditionalFormatting xmlns:xm="http://schemas.microsoft.com/office/excel/2006/main">
          <x14:cfRule type="expression" priority="4" id="{F9A9B413-8847-4631-9F8D-3ACF794F9287}">
            <xm:f>RI!#REF!=$A$27</xm:f>
            <x14:dxf/>
          </x14:cfRule>
          <xm:sqref>I47:J47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dimension ref="A1:BE175"/>
  <sheetViews>
    <sheetView showGridLines="0" zoomScale="80" zoomScaleNormal="8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5" customWidth="1"/>
    <col min="16" max="16" width="9.6640625" style="5" customWidth="1"/>
    <col min="17" max="17" width="9.6640625" style="129" hidden="1" customWidth="1"/>
    <col min="18" max="27" width="9.6640625" style="5" hidden="1" customWidth="1"/>
    <col min="28" max="28" width="2.6640625" style="5" hidden="1" customWidth="1"/>
    <col min="29" max="29" width="30.6640625" style="9" hidden="1" customWidth="1"/>
    <col min="30" max="30" width="26" style="9" hidden="1" customWidth="1"/>
    <col min="31" max="31" width="26" style="1" hidden="1" customWidth="1"/>
    <col min="32" max="16384" width="8.6640625" style="1" hidden="1"/>
  </cols>
  <sheetData>
    <row r="1" spans="1:31" ht="28.2">
      <c r="N1" s="2" t="str">
        <f>VLOOKUP(272,Sprachindex!$A:$Z,Info!$O$7,FALSE)</f>
        <v>Dachrinnensysteme</v>
      </c>
    </row>
    <row r="2" spans="1:31" ht="28.2">
      <c r="D2" s="18"/>
      <c r="N2" s="2" t="str">
        <f>VLOOKUP(1418,Sprachindex!$A:$Z,Info!$O$7,FALSE)</f>
        <v>Quadratrohr P.10</v>
      </c>
    </row>
    <row r="3" spans="1:31" ht="15" customHeight="1"/>
    <row r="4" spans="1:31" ht="17.25" customHeight="1">
      <c r="A4" s="67"/>
      <c r="B4" s="67"/>
      <c r="C4" s="67"/>
      <c r="D4" s="67"/>
      <c r="E4" s="67"/>
      <c r="F4" s="67"/>
      <c r="G4" s="67"/>
      <c r="H4" s="67"/>
      <c r="I4" s="67"/>
      <c r="J4" s="67"/>
      <c r="K4" s="67"/>
      <c r="L4" s="67"/>
      <c r="M4" s="67"/>
      <c r="N4" s="186"/>
      <c r="O4" s="68"/>
      <c r="P4" s="68"/>
      <c r="Q4" s="88"/>
      <c r="R4" s="68"/>
      <c r="S4" s="68"/>
      <c r="T4" s="68"/>
      <c r="U4" s="68"/>
      <c r="V4" s="68"/>
      <c r="W4" s="68"/>
      <c r="X4" s="68"/>
      <c r="Y4" s="68"/>
      <c r="Z4" s="68"/>
      <c r="AA4" s="68"/>
      <c r="AB4" s="68"/>
      <c r="AE4" s="3"/>
    </row>
    <row r="5" spans="1:31" ht="17.25" customHeight="1">
      <c r="A5" s="67"/>
      <c r="B5" s="67"/>
      <c r="C5" s="67"/>
      <c r="D5" s="67"/>
      <c r="E5" s="67"/>
      <c r="F5" s="67"/>
      <c r="G5" s="67"/>
      <c r="H5" s="67"/>
      <c r="I5" s="67"/>
      <c r="J5" s="67"/>
      <c r="K5" s="67"/>
      <c r="L5" s="67"/>
      <c r="M5" s="67"/>
      <c r="N5" s="186"/>
      <c r="O5" s="68"/>
      <c r="P5" s="68"/>
      <c r="Q5" s="88"/>
      <c r="R5" s="68"/>
      <c r="S5" s="68"/>
      <c r="T5" s="68"/>
      <c r="U5" s="68"/>
      <c r="V5" s="68"/>
      <c r="W5" s="68"/>
      <c r="X5" s="68"/>
      <c r="Y5" s="68"/>
      <c r="Z5" s="68"/>
      <c r="AA5" s="68"/>
      <c r="AB5" s="68"/>
      <c r="AE5" s="3"/>
    </row>
    <row r="6" spans="1:31" ht="17.25" customHeight="1">
      <c r="A6" s="67"/>
      <c r="B6" s="67"/>
      <c r="C6" s="67"/>
      <c r="D6" s="67"/>
      <c r="E6" s="67"/>
      <c r="F6" s="67"/>
      <c r="G6" s="67"/>
      <c r="H6" s="67"/>
      <c r="I6" s="67"/>
      <c r="J6" s="67"/>
      <c r="K6" s="67"/>
      <c r="L6" s="67"/>
      <c r="M6" s="67"/>
      <c r="N6" s="186"/>
      <c r="O6" s="94">
        <v>0</v>
      </c>
      <c r="P6" s="94"/>
      <c r="Q6" s="70"/>
      <c r="R6" s="94"/>
      <c r="S6" s="94"/>
      <c r="T6" s="94"/>
      <c r="U6" s="94"/>
      <c r="V6" s="94"/>
      <c r="W6" s="94"/>
      <c r="X6" s="94"/>
      <c r="Y6" s="94"/>
      <c r="Z6" s="94"/>
      <c r="AA6" s="94"/>
      <c r="AB6" s="94"/>
      <c r="AE6" s="3"/>
    </row>
    <row r="7" spans="1:31" ht="17.25" customHeight="1">
      <c r="A7" s="67"/>
      <c r="B7" s="67"/>
      <c r="C7" s="67"/>
      <c r="D7" s="67"/>
      <c r="E7" s="67"/>
      <c r="F7" s="67"/>
      <c r="G7" s="67"/>
      <c r="H7" s="67"/>
      <c r="I7" s="67"/>
      <c r="J7" s="67"/>
      <c r="K7" s="67"/>
      <c r="L7" s="67"/>
      <c r="M7" s="67"/>
      <c r="N7" s="186"/>
      <c r="O7" s="94"/>
      <c r="P7" s="94"/>
      <c r="Q7" s="70"/>
      <c r="R7" s="94"/>
      <c r="S7" s="94"/>
      <c r="T7" s="94"/>
      <c r="U7" s="94"/>
      <c r="V7" s="94"/>
      <c r="W7" s="94"/>
      <c r="X7" s="94"/>
      <c r="Y7" s="94"/>
      <c r="Z7" s="94"/>
      <c r="AA7" s="94"/>
      <c r="AB7" s="94"/>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88"/>
      <c r="R8" s="68"/>
      <c r="S8" s="68"/>
      <c r="T8" s="68"/>
      <c r="U8" s="68"/>
      <c r="V8" s="68"/>
      <c r="W8" s="68"/>
      <c r="X8" s="68"/>
      <c r="Y8" s="68"/>
      <c r="Z8" s="68"/>
      <c r="AA8" s="68"/>
      <c r="AB8" s="68"/>
      <c r="AD8" s="10"/>
    </row>
    <row r="9" spans="1:31" ht="15" customHeight="1">
      <c r="A9" s="67"/>
      <c r="B9" s="71" t="str">
        <f>VLOOKUP(622,Sprachindex!$A:$Z,Info!$O$7,FALSE)</f>
        <v>Name:</v>
      </c>
      <c r="C9" s="615"/>
      <c r="D9" s="616"/>
      <c r="E9" s="617"/>
      <c r="F9" s="67"/>
      <c r="G9" s="82" t="str">
        <f>VLOOKUP(638,Sprachindex!$A:$Z,Info!$O$7,FALSE)</f>
        <v>Oberfläche:</v>
      </c>
      <c r="H9" s="67"/>
      <c r="I9" s="68"/>
      <c r="J9" s="66"/>
      <c r="K9" s="67"/>
      <c r="L9" s="66" t="str">
        <f>VLOOKUP(433,Sprachindex!$A:$Z,Info!$O$7,FALSE)</f>
        <v>glatt</v>
      </c>
      <c r="M9" s="67"/>
      <c r="N9" s="67"/>
      <c r="O9" s="94">
        <v>1</v>
      </c>
      <c r="P9" s="94"/>
      <c r="Q9" s="70"/>
      <c r="R9" s="94"/>
      <c r="S9" s="94"/>
      <c r="T9" s="94"/>
      <c r="U9" s="94"/>
      <c r="V9" s="94"/>
      <c r="W9" s="94"/>
      <c r="X9" s="94"/>
      <c r="Y9" s="94"/>
      <c r="Z9" s="94"/>
      <c r="AA9" s="94"/>
      <c r="AB9" s="94"/>
      <c r="AC9" s="11"/>
      <c r="AE9" s="4"/>
    </row>
    <row r="10" spans="1:31" ht="15" customHeight="1">
      <c r="A10" s="67"/>
      <c r="B10" s="71" t="str">
        <f>VLOOKUP(884,Sprachindex!$A:$Z,Info!$O$7,FALSE)</f>
        <v>Straße:</v>
      </c>
      <c r="C10" s="615"/>
      <c r="D10" s="616"/>
      <c r="E10" s="617"/>
      <c r="F10" s="67"/>
      <c r="G10" s="67"/>
      <c r="H10" s="67"/>
      <c r="I10" s="67"/>
      <c r="J10" s="68">
        <v>1</v>
      </c>
      <c r="K10" s="67"/>
      <c r="L10" s="67"/>
      <c r="M10" s="67"/>
      <c r="N10" s="67"/>
      <c r="O10" s="68"/>
      <c r="P10" s="68"/>
      <c r="Q10" s="88"/>
      <c r="R10" s="68"/>
      <c r="S10" s="68"/>
      <c r="T10" s="68"/>
      <c r="U10" s="68"/>
      <c r="V10" s="68"/>
      <c r="W10" s="68"/>
      <c r="X10" s="68"/>
      <c r="Y10" s="68"/>
      <c r="Z10" s="68"/>
      <c r="AA10" s="68"/>
      <c r="AB10" s="68"/>
      <c r="AD10" s="147"/>
      <c r="AE10" s="4"/>
    </row>
    <row r="11" spans="1:31"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70"/>
      <c r="R11" s="94"/>
      <c r="S11" s="94"/>
      <c r="T11" s="94"/>
      <c r="U11" s="94"/>
      <c r="V11" s="94"/>
      <c r="W11" s="94"/>
      <c r="X11" s="94"/>
      <c r="Y11" s="94"/>
      <c r="Z11" s="94"/>
      <c r="AA11" s="94"/>
      <c r="AB11" s="94"/>
      <c r="AC11" s="11"/>
      <c r="AD11" s="147"/>
      <c r="AE11" s="4"/>
    </row>
    <row r="12" spans="1:31" ht="15" customHeight="1">
      <c r="A12" s="67"/>
      <c r="B12" s="67"/>
      <c r="C12" s="67"/>
      <c r="D12" s="67"/>
      <c r="E12" s="67"/>
      <c r="F12" s="67"/>
      <c r="G12" s="67"/>
      <c r="H12" s="67"/>
      <c r="I12" s="71"/>
      <c r="J12" s="68">
        <v>1</v>
      </c>
      <c r="K12" s="67"/>
      <c r="L12" s="67"/>
      <c r="M12" s="67"/>
      <c r="N12" s="67"/>
      <c r="O12" s="68"/>
      <c r="P12" s="68"/>
      <c r="Q12" s="88"/>
      <c r="R12" s="68"/>
      <c r="S12" s="68"/>
      <c r="T12" s="68"/>
      <c r="U12" s="68"/>
      <c r="V12" s="68"/>
      <c r="W12" s="68"/>
      <c r="X12" s="68"/>
      <c r="Y12" s="68"/>
      <c r="Z12" s="68"/>
      <c r="AA12" s="68"/>
      <c r="AB12" s="68"/>
      <c r="AD12" s="147"/>
    </row>
    <row r="13" spans="1:31"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70"/>
      <c r="R13" s="94"/>
      <c r="S13" s="94"/>
      <c r="T13" s="94"/>
      <c r="U13" s="94"/>
      <c r="V13" s="94"/>
      <c r="W13" s="94"/>
      <c r="X13" s="94"/>
      <c r="Y13" s="94"/>
      <c r="Z13" s="94"/>
      <c r="AA13" s="94"/>
      <c r="AB13" s="94"/>
      <c r="AC13" s="12"/>
      <c r="AD13" s="147"/>
      <c r="AE13" s="4"/>
    </row>
    <row r="14" spans="1:31" ht="15" customHeight="1">
      <c r="A14" s="67"/>
      <c r="B14" s="71" t="str">
        <f>VLOOKUP(901,Sprachindex!$A:$Z,Info!$O$7,FALSE)</f>
        <v>Telefon:</v>
      </c>
      <c r="C14" s="615"/>
      <c r="D14" s="616"/>
      <c r="E14" s="617"/>
      <c r="F14" s="67"/>
      <c r="G14" s="67"/>
      <c r="H14" s="67"/>
      <c r="I14" s="67"/>
      <c r="J14" s="67"/>
      <c r="K14" s="67"/>
      <c r="L14" s="67"/>
      <c r="M14" s="67"/>
      <c r="N14" s="67"/>
      <c r="O14" s="88"/>
      <c r="P14" s="68"/>
      <c r="Q14" s="88"/>
      <c r="R14" s="68"/>
      <c r="S14" s="68"/>
      <c r="T14" s="68"/>
      <c r="U14" s="68"/>
      <c r="V14" s="68"/>
      <c r="W14" s="68"/>
      <c r="X14" s="68"/>
      <c r="Y14" s="68"/>
      <c r="Z14" s="68"/>
      <c r="AA14" s="68"/>
      <c r="AB14" s="68"/>
      <c r="AE14" s="4"/>
    </row>
    <row r="15" spans="1:31"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88"/>
      <c r="P15" s="68"/>
      <c r="Q15" s="88"/>
      <c r="R15" s="68"/>
      <c r="S15" s="68"/>
      <c r="T15" s="68"/>
      <c r="U15" s="68"/>
      <c r="V15" s="68"/>
      <c r="W15" s="68"/>
      <c r="X15" s="68"/>
      <c r="Y15" s="68"/>
      <c r="Z15" s="68"/>
      <c r="AA15" s="68"/>
      <c r="AB15" s="68"/>
      <c r="AE15" s="4"/>
    </row>
    <row r="16" spans="1:31" ht="15" customHeight="1">
      <c r="A16" s="67"/>
      <c r="B16" s="67"/>
      <c r="C16" s="67"/>
      <c r="D16" s="67"/>
      <c r="E16" s="67"/>
      <c r="F16" s="67"/>
      <c r="G16" s="67" t="str">
        <f>VLOOKUP(25,Sprachindex!$A:$Z,Info!$O$7,FALSE)</f>
        <v>01 P.10 Braun</v>
      </c>
      <c r="H16" s="67"/>
      <c r="I16" s="67"/>
      <c r="J16" s="67" t="str">
        <f>VLOOKUP(42,Sprachindex!$A:$Z,Info!$O$7,FALSE)</f>
        <v>10 P.10 Prefaweiß</v>
      </c>
      <c r="K16" s="66"/>
      <c r="L16" s="67"/>
      <c r="M16" s="67"/>
      <c r="N16" s="67"/>
      <c r="O16" s="88"/>
      <c r="P16" s="68"/>
      <c r="Q16" s="88"/>
      <c r="R16" s="68"/>
      <c r="S16" s="68"/>
      <c r="T16" s="68"/>
      <c r="U16" s="68"/>
      <c r="V16" s="68"/>
      <c r="W16" s="68"/>
      <c r="X16" s="68"/>
      <c r="Y16" s="68"/>
      <c r="Z16" s="68"/>
      <c r="AA16" s="68"/>
      <c r="AB16" s="68"/>
    </row>
    <row r="17" spans="1:57" ht="15" customHeight="1">
      <c r="A17" s="83" t="str">
        <f>VLOOKUP(580,Sprachindex!$A:$Z,Info!$O$7,FALSE)</f>
        <v>Lieferadresse:</v>
      </c>
      <c r="B17" s="67"/>
      <c r="C17" s="67"/>
      <c r="D17" s="67"/>
      <c r="E17" s="67"/>
      <c r="F17" s="67"/>
      <c r="G17" s="67" t="str">
        <f>VLOOKUP(27,Sprachindex!$A:$Z,Info!$O$7,FALSE)</f>
        <v>02 P.10 Anthrazit</v>
      </c>
      <c r="H17" s="67"/>
      <c r="I17" s="67"/>
      <c r="J17" s="67" t="str">
        <f>VLOOKUP(51,Sprachindex!$A:$Z,Info!$O$7,FALSE)</f>
        <v>11 P.10 Nussbraun</v>
      </c>
      <c r="K17" s="99"/>
      <c r="L17" s="67"/>
      <c r="M17" s="67"/>
      <c r="N17" s="67"/>
      <c r="O17" s="88"/>
      <c r="P17" s="68"/>
      <c r="Q17" s="88"/>
      <c r="R17" s="68"/>
      <c r="S17" s="68"/>
      <c r="T17" s="68"/>
      <c r="U17" s="68"/>
      <c r="V17" s="68"/>
      <c r="W17" s="68"/>
      <c r="X17" s="68"/>
      <c r="Y17" s="68"/>
      <c r="Z17" s="68"/>
      <c r="AA17" s="68"/>
      <c r="AB17" s="68"/>
      <c r="AD17" s="10"/>
    </row>
    <row r="18" spans="1:57" ht="15" customHeight="1">
      <c r="A18" s="67"/>
      <c r="B18" s="71" t="str">
        <f>VLOOKUP(622,Sprachindex!$A:$Z,Info!$O$7,FALSE)</f>
        <v>Name:</v>
      </c>
      <c r="C18" s="615"/>
      <c r="D18" s="616"/>
      <c r="E18" s="617"/>
      <c r="F18" s="67"/>
      <c r="G18" s="67" t="str">
        <f>VLOOKUP(28,Sprachindex!$A:$Z,Info!$O$7,FALSE)</f>
        <v>03 P.10 Schwarz</v>
      </c>
      <c r="H18" s="67"/>
      <c r="I18" s="67"/>
      <c r="J18" s="67" t="str">
        <f>VLOOKUP(63,Sprachindex!$A:$Z,Info!$O$7,FALSE)</f>
        <v>19 P.10 Dunkelgrau</v>
      </c>
      <c r="K18" s="91"/>
      <c r="L18" s="67"/>
      <c r="M18" s="67"/>
      <c r="N18" s="67"/>
      <c r="O18" s="84"/>
      <c r="P18" s="90"/>
      <c r="Q18" s="84"/>
      <c r="R18" s="90"/>
      <c r="S18" s="90"/>
      <c r="T18" s="90"/>
      <c r="U18" s="90"/>
      <c r="V18" s="90"/>
      <c r="W18" s="90"/>
      <c r="X18" s="90"/>
      <c r="Y18" s="90"/>
      <c r="Z18" s="90"/>
      <c r="AA18" s="90"/>
      <c r="AB18" s="90"/>
      <c r="AE18" s="4"/>
    </row>
    <row r="19" spans="1:57" ht="15" customHeight="1">
      <c r="A19" s="67"/>
      <c r="B19" s="71" t="str">
        <f>VLOOKUP(540,Sprachindex!$A:$Z,Info!$O$7,FALSE)</f>
        <v>Kommission:</v>
      </c>
      <c r="C19" s="615"/>
      <c r="D19" s="616"/>
      <c r="E19" s="617"/>
      <c r="F19" s="67"/>
      <c r="G19" s="67" t="str">
        <f>VLOOKUP(37,Sprachindex!$A:$Z,Info!$O$7,FALSE)</f>
        <v>07 P.10 Hellgrau</v>
      </c>
      <c r="H19" s="67"/>
      <c r="I19" s="66"/>
      <c r="J19" s="67"/>
      <c r="K19" s="67"/>
      <c r="L19" s="99"/>
      <c r="M19" s="67"/>
      <c r="N19" s="67"/>
      <c r="O19" s="88"/>
      <c r="P19" s="68"/>
      <c r="Q19" s="88"/>
      <c r="R19" s="68"/>
      <c r="S19" s="68"/>
      <c r="T19" s="68"/>
      <c r="U19" s="68"/>
      <c r="V19" s="68"/>
      <c r="W19" s="68"/>
      <c r="X19" s="68"/>
      <c r="Y19" s="68"/>
      <c r="Z19" s="68"/>
      <c r="AA19" s="68"/>
      <c r="AB19" s="68"/>
      <c r="AE19" s="8"/>
    </row>
    <row r="20" spans="1:57" ht="15" customHeight="1">
      <c r="A20" s="67"/>
      <c r="B20" s="71" t="str">
        <f>VLOOKUP(884,Sprachindex!$A:$Z,Info!$O$7,FALSE)</f>
        <v>Straße:</v>
      </c>
      <c r="C20" s="615"/>
      <c r="D20" s="616"/>
      <c r="E20" s="617"/>
      <c r="H20" s="67"/>
      <c r="I20" s="66"/>
      <c r="J20" s="67"/>
      <c r="K20" s="67"/>
      <c r="L20" s="67"/>
      <c r="M20" s="67"/>
      <c r="N20" s="67"/>
      <c r="O20" s="88"/>
      <c r="P20" s="68"/>
      <c r="Q20" s="88"/>
      <c r="R20" s="68"/>
      <c r="S20" s="68"/>
      <c r="T20" s="68"/>
      <c r="U20" s="68"/>
      <c r="V20" s="68"/>
      <c r="W20" s="68"/>
      <c r="X20" s="68"/>
      <c r="Y20" s="68"/>
      <c r="Z20" s="68"/>
      <c r="AA20" s="68"/>
      <c r="AB20" s="68"/>
      <c r="AE20" s="4"/>
    </row>
    <row r="21" spans="1:57" ht="15" customHeight="1">
      <c r="A21" s="67"/>
      <c r="B21" s="71" t="str">
        <f>VLOOKUP(641,Sprachindex!$A:$Z,Info!$O$7,FALSE)</f>
        <v>Ort:</v>
      </c>
      <c r="C21" s="615"/>
      <c r="D21" s="616"/>
      <c r="E21" s="617"/>
      <c r="F21" s="67"/>
      <c r="G21" s="67"/>
      <c r="H21" s="67"/>
      <c r="I21" s="67"/>
      <c r="J21" s="67"/>
      <c r="K21" s="67"/>
      <c r="L21" s="67"/>
      <c r="M21" s="67"/>
      <c r="N21" s="67"/>
      <c r="O21" s="94">
        <v>0</v>
      </c>
      <c r="P21" s="94"/>
      <c r="Q21" s="70"/>
      <c r="R21" s="94"/>
      <c r="S21" s="94"/>
      <c r="T21" s="94"/>
      <c r="U21" s="94"/>
      <c r="V21" s="94"/>
      <c r="W21" s="94"/>
      <c r="X21" s="94"/>
      <c r="Y21" s="94"/>
      <c r="Z21" s="94"/>
      <c r="AA21" s="94"/>
      <c r="AB21" s="94"/>
      <c r="AE21" s="4"/>
    </row>
    <row r="22" spans="1:57" ht="15" customHeight="1">
      <c r="A22" s="67"/>
      <c r="B22" s="71"/>
      <c r="C22" s="67"/>
      <c r="D22" s="67"/>
      <c r="E22" s="67"/>
      <c r="F22" s="67"/>
      <c r="G22" s="67"/>
      <c r="H22" s="67"/>
      <c r="I22" s="67"/>
      <c r="J22" s="67"/>
      <c r="K22" s="67"/>
      <c r="L22" s="67"/>
      <c r="M22" s="67"/>
      <c r="N22" s="67"/>
      <c r="O22" s="94"/>
      <c r="P22" s="94"/>
      <c r="Q22" s="70"/>
      <c r="R22" s="94"/>
      <c r="S22" s="94"/>
      <c r="T22" s="94"/>
      <c r="U22" s="94"/>
      <c r="V22" s="94"/>
      <c r="W22" s="94"/>
      <c r="X22" s="94"/>
      <c r="Y22" s="94"/>
      <c r="Z22" s="94"/>
      <c r="AA22" s="94"/>
      <c r="AB22" s="94"/>
      <c r="AE22" s="4"/>
    </row>
    <row r="23" spans="1:57"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88"/>
      <c r="R23" s="68"/>
      <c r="S23" s="68"/>
      <c r="T23" s="68"/>
      <c r="U23" s="68"/>
      <c r="V23" s="68"/>
      <c r="W23" s="68"/>
      <c r="X23" s="68"/>
      <c r="Y23" s="68"/>
      <c r="Z23" s="68"/>
      <c r="AA23" s="68"/>
      <c r="AB23" s="68"/>
      <c r="AC23" s="52"/>
      <c r="AD23" s="52"/>
      <c r="AE23" s="14"/>
    </row>
    <row r="24" spans="1:57" s="5" customFormat="1" ht="15" customHeight="1">
      <c r="A24" s="1"/>
      <c r="B24" s="640" t="str">
        <f>VLOOKUP(1430,Sprachindex!$A:$Z,Info!$O$7,FALSE)</f>
        <v>Beschreibung</v>
      </c>
      <c r="C24" s="615"/>
      <c r="D24" s="616"/>
      <c r="E24" s="617"/>
      <c r="F24" s="67"/>
      <c r="G24" s="83"/>
      <c r="H24" s="71" t="str">
        <f>VLOOKUP(1429,Sprachindex!$A:$Z,Info!$O$7,FALSE)</f>
        <v>Bearbeiter:</v>
      </c>
      <c r="I24" s="415"/>
      <c r="J24" s="67"/>
      <c r="K24" s="67"/>
      <c r="L24" s="67"/>
      <c r="M24" s="67"/>
      <c r="N24" s="67"/>
      <c r="O24" s="68"/>
      <c r="P24" s="68"/>
      <c r="Q24" s="88"/>
      <c r="R24" s="68"/>
      <c r="S24" s="68"/>
      <c r="T24" s="68"/>
      <c r="U24" s="68"/>
      <c r="V24" s="68"/>
      <c r="W24" s="68"/>
      <c r="X24" s="68"/>
      <c r="Y24" s="68"/>
      <c r="Z24" s="68"/>
      <c r="AA24" s="68"/>
      <c r="AB24" s="68"/>
      <c r="AC24" s="52"/>
      <c r="AD24" s="52"/>
      <c r="AE24" s="14"/>
    </row>
    <row r="25" spans="1:57" s="5" customFormat="1" ht="15" customHeight="1">
      <c r="A25" s="1"/>
      <c r="B25" s="640"/>
      <c r="C25" s="615"/>
      <c r="D25" s="616"/>
      <c r="E25" s="617"/>
      <c r="F25" s="67"/>
      <c r="G25" s="83"/>
      <c r="H25" s="71" t="str">
        <f>VLOOKUP(2243,Sprachindex!$A:$Z,Info!$O$7,FALSE)</f>
        <v>Projekt-ID:</v>
      </c>
      <c r="I25" s="415"/>
      <c r="J25" s="67"/>
      <c r="K25" s="67"/>
      <c r="L25" s="67"/>
      <c r="M25" s="67"/>
      <c r="N25" s="67"/>
      <c r="O25" s="68"/>
      <c r="P25" s="68"/>
      <c r="Q25" s="88"/>
      <c r="R25" s="68"/>
      <c r="S25" s="68"/>
      <c r="T25" s="68"/>
      <c r="U25" s="68"/>
      <c r="V25" s="68"/>
      <c r="W25" s="68"/>
      <c r="X25" s="68"/>
      <c r="Y25" s="68"/>
      <c r="Z25" s="68"/>
      <c r="AA25" s="68"/>
      <c r="AB25" s="68"/>
      <c r="AC25" s="52"/>
      <c r="AD25" s="52"/>
      <c r="AE25" s="14"/>
    </row>
    <row r="26" spans="1:57" s="5" customFormat="1" ht="15" customHeight="1">
      <c r="A26" s="1"/>
      <c r="B26" s="640"/>
      <c r="C26" s="615"/>
      <c r="D26" s="616"/>
      <c r="E26" s="617"/>
      <c r="F26" s="67"/>
      <c r="G26" s="83"/>
      <c r="H26" s="71" t="str">
        <f>VLOOKUP(286,Sprachindex!$A:$Z,Info!$O$7,FALSE)</f>
        <v>Datum:</v>
      </c>
      <c r="I26" s="483">
        <f ca="1">TODAY()</f>
        <v>45770</v>
      </c>
      <c r="J26" s="67"/>
      <c r="K26" s="67"/>
      <c r="L26" s="67"/>
      <c r="M26" s="67"/>
      <c r="N26" s="67"/>
      <c r="O26" s="68"/>
      <c r="P26" s="68"/>
      <c r="Q26" s="88"/>
      <c r="R26" s="68"/>
      <c r="S26" s="68"/>
      <c r="T26" s="68"/>
      <c r="U26" s="68"/>
      <c r="V26" s="68"/>
      <c r="W26" s="68"/>
      <c r="X26" s="68"/>
      <c r="Y26" s="68"/>
      <c r="Z26" s="68"/>
      <c r="AA26" s="68"/>
      <c r="AB26" s="68"/>
      <c r="AC26" s="52"/>
      <c r="AD26" s="52"/>
      <c r="AE26" s="14"/>
    </row>
    <row r="27" spans="1:57" s="5" customFormat="1" ht="15" customHeight="1">
      <c r="A27" s="1"/>
      <c r="B27" s="640"/>
      <c r="C27" s="615"/>
      <c r="D27" s="616"/>
      <c r="E27" s="617"/>
      <c r="F27" s="67"/>
      <c r="L27" s="67"/>
      <c r="M27" s="67"/>
      <c r="N27" s="67"/>
      <c r="O27" s="68"/>
      <c r="P27" s="68"/>
      <c r="Q27" s="88"/>
      <c r="R27" s="68"/>
      <c r="S27" s="68"/>
      <c r="T27" s="68"/>
      <c r="U27" s="68"/>
      <c r="V27" s="68"/>
      <c r="W27" s="68"/>
      <c r="X27" s="68"/>
      <c r="Y27" s="68"/>
      <c r="Z27" s="68"/>
      <c r="AA27" s="68"/>
      <c r="AB27" s="68"/>
      <c r="AC27" s="52"/>
      <c r="AD27" s="52"/>
      <c r="AE27" s="14"/>
    </row>
    <row r="28" spans="1:57" ht="15" customHeight="1">
      <c r="A28" s="67"/>
      <c r="B28" s="71"/>
      <c r="C28" s="67"/>
      <c r="D28" s="67"/>
      <c r="E28" s="67"/>
      <c r="F28" s="67"/>
      <c r="G28" s="67"/>
      <c r="H28" s="67"/>
      <c r="I28" s="67"/>
      <c r="J28" s="67"/>
      <c r="K28" s="67"/>
      <c r="L28" s="67"/>
      <c r="M28" s="67"/>
      <c r="N28" s="67"/>
      <c r="O28" s="68"/>
      <c r="P28" s="68"/>
      <c r="Q28" s="88"/>
      <c r="R28" s="68"/>
      <c r="S28" s="68"/>
      <c r="T28" s="68"/>
      <c r="U28" s="68"/>
      <c r="V28" s="68"/>
      <c r="W28" s="68"/>
      <c r="X28" s="68"/>
      <c r="Y28" s="68"/>
      <c r="Z28" s="68"/>
      <c r="AA28" s="68"/>
      <c r="AB28" s="68"/>
      <c r="AD28" s="8"/>
      <c r="AE28" s="4"/>
    </row>
    <row r="29" spans="1:57" ht="15" customHeight="1" thickBot="1">
      <c r="A29" s="95" t="str">
        <f>VLOOKUP(392,Sprachindex!$A:$Z,Info!$O$7,FALSE)</f>
        <v>Filter:</v>
      </c>
      <c r="B29" s="633"/>
      <c r="C29" s="633"/>
      <c r="D29" s="633"/>
      <c r="E29" s="633"/>
      <c r="F29" s="67"/>
      <c r="G29" s="67"/>
      <c r="H29" s="67"/>
      <c r="I29" s="67"/>
      <c r="J29" s="67"/>
      <c r="K29" s="67"/>
      <c r="L29" s="67"/>
      <c r="M29" s="67"/>
      <c r="N29" s="67"/>
      <c r="O29" s="68"/>
      <c r="P29" s="68"/>
      <c r="Q29" s="88"/>
      <c r="R29" s="68"/>
      <c r="S29" s="68"/>
      <c r="T29" s="68"/>
      <c r="U29" s="68"/>
      <c r="V29" s="68"/>
      <c r="W29" s="68"/>
      <c r="X29" s="68"/>
      <c r="Y29" s="68"/>
      <c r="Z29" s="68"/>
      <c r="AA29" s="68"/>
      <c r="AB29" s="68"/>
      <c r="AD29" s="627" t="s">
        <v>25</v>
      </c>
      <c r="AE29" s="627"/>
      <c r="AF29" s="627" t="s">
        <v>397</v>
      </c>
      <c r="AG29" s="627"/>
      <c r="AO29" s="54" t="s">
        <v>1523</v>
      </c>
      <c r="AW29" s="54" t="s">
        <v>1524</v>
      </c>
      <c r="BE29" s="54" t="s">
        <v>1525</v>
      </c>
    </row>
    <row r="30" spans="1:57" ht="35.1" customHeight="1" thickBot="1">
      <c r="A30" s="401" t="str">
        <f>VLOOKUP(598,Sprachindex!$A:$Z,Info!$O$7,FALSE)</f>
        <v>Menge</v>
      </c>
      <c r="B30" s="74" t="str">
        <f>VLOOKUP(332,Sprachindex!$A:$Z,Info!$O$7,FALSE)</f>
        <v>Einheit</v>
      </c>
      <c r="C30" s="74" t="str">
        <f>VLOOKUP(136,Sprachindex!$A:$Z,Info!$O$7,FALSE)</f>
        <v>Abbildung</v>
      </c>
      <c r="D30" s="74" t="str">
        <f>VLOOKUP(177,Sprachindex!$A:$Z,Info!$O$7,FALSE)</f>
        <v>Artikel-Nr.</v>
      </c>
      <c r="E30" s="668" t="str">
        <f>VLOOKUP(234,Sprachindex!$A:$Z,Info!$O$7,FALSE)</f>
        <v>Bezeichnung</v>
      </c>
      <c r="F30" s="669"/>
      <c r="G30" s="669"/>
      <c r="H30" s="669"/>
      <c r="I30" s="669"/>
      <c r="J30" s="669"/>
      <c r="K30" s="670"/>
      <c r="L30" s="74" t="str">
        <f>VLOOKUP(903,Sprachindex!$A:$Z,Info!$O$7,FALSE)</f>
        <v>Total</v>
      </c>
      <c r="M30" s="404" t="str">
        <f>VLOOKUP(332,Sprachindex!$A:$Z,Info!$O$7,FALSE)</f>
        <v>Einheit</v>
      </c>
      <c r="N30" s="402" t="str">
        <f>VLOOKUP(377,Sprachindex!$A:$Z,Info!$O$7,FALSE)</f>
        <v>Eventual</v>
      </c>
      <c r="O30" s="183" t="str">
        <f>VLOOKUP(1786,Sprachindex!$A:$Z,Info!$O$7,FALSE)</f>
        <v>Preis</v>
      </c>
      <c r="R30" s="75" t="s">
        <v>29</v>
      </c>
      <c r="S30" s="75" t="s">
        <v>29</v>
      </c>
      <c r="T30" s="179"/>
      <c r="U30" s="179"/>
      <c r="V30" s="179"/>
      <c r="W30" s="179"/>
      <c r="X30" s="179"/>
      <c r="Y30" s="179"/>
      <c r="Z30" s="179"/>
      <c r="AA30" s="179"/>
      <c r="AB30" s="68"/>
      <c r="AC30" s="1"/>
      <c r="AD30" s="150" t="s">
        <v>30</v>
      </c>
      <c r="AE30" s="150" t="s">
        <v>31</v>
      </c>
      <c r="AF30" s="150" t="s">
        <v>30</v>
      </c>
      <c r="AG30" s="150" t="s">
        <v>31</v>
      </c>
      <c r="AH30" s="55" t="s">
        <v>1526</v>
      </c>
      <c r="AI30" s="55" t="s">
        <v>95</v>
      </c>
      <c r="AJ30" s="55" t="s">
        <v>1527</v>
      </c>
      <c r="AK30" s="55" t="s">
        <v>44</v>
      </c>
      <c r="AL30" s="55" t="s">
        <v>1528</v>
      </c>
      <c r="AM30" s="165" t="s">
        <v>1529</v>
      </c>
      <c r="AN30" s="165" t="s">
        <v>1460</v>
      </c>
      <c r="AP30" s="55" t="s">
        <v>1526</v>
      </c>
      <c r="AQ30" s="55" t="s">
        <v>95</v>
      </c>
      <c r="AR30" s="55" t="s">
        <v>1527</v>
      </c>
      <c r="AS30" s="55" t="s">
        <v>44</v>
      </c>
      <c r="AT30" s="55" t="s">
        <v>1528</v>
      </c>
      <c r="AU30" s="165" t="s">
        <v>1529</v>
      </c>
      <c r="AV30" s="165" t="s">
        <v>1460</v>
      </c>
      <c r="AX30" s="55" t="s">
        <v>1526</v>
      </c>
      <c r="AY30" s="55" t="s">
        <v>95</v>
      </c>
      <c r="AZ30" s="55" t="s">
        <v>1527</v>
      </c>
      <c r="BA30" s="55" t="s">
        <v>44</v>
      </c>
      <c r="BB30" s="55" t="s">
        <v>1528</v>
      </c>
      <c r="BC30" s="165" t="s">
        <v>1529</v>
      </c>
      <c r="BD30" s="165" t="s">
        <v>1460</v>
      </c>
    </row>
    <row r="31" spans="1:57" ht="32.1" customHeight="1">
      <c r="A31" s="92"/>
      <c r="B31" s="74" t="str">
        <f>VLOOKUP(1512,Sprachindex!$A:$Z,Info!$O$7,FALSE)</f>
        <v>lfm</v>
      </c>
      <c r="C31" s="97"/>
      <c r="D31" s="73" t="str">
        <f>IF(J31=Formeln_RI_P.10!B135,AO31,IF(J31=Formeln_RI_P.10!B136,AW31,IF(J31=Formeln_RI_P.10!B137,BE31,"")))</f>
        <v/>
      </c>
      <c r="E31" s="665" t="str">
        <f>VLOOKUP(1881,Sprachindex!$A:$Z,Info!$O$7,FALSE)</f>
        <v>Quadratrohr 80 mm</v>
      </c>
      <c r="F31" s="666"/>
      <c r="G31" s="666"/>
      <c r="H31" s="726" t="str">
        <f>VLOOKUP(739,Sprachindex!$A:$Z,Info!$O$7,FALSE)</f>
        <v>Rohrlänge wählen:</v>
      </c>
      <c r="I31" s="727"/>
      <c r="J31" s="728"/>
      <c r="K31" s="729"/>
      <c r="L31" s="74" t="str">
        <f>IF(OR(A31="",AF31="",AG31="")," ",IF($O$11=1,AD31,IF($O$11=2,AE31,0)))</f>
        <v xml:space="preserve"> </v>
      </c>
      <c r="M31" s="398" t="str">
        <f>B31</f>
        <v>lfm</v>
      </c>
      <c r="N31" s="403"/>
      <c r="O31" s="184" t="str">
        <f>IF(ISNUMBER(A31), $L31*Q31, "")</f>
        <v/>
      </c>
      <c r="Q31" s="129" t="str">
        <f>IF(J31=W31,R31,IF(J31=Y31,S31,IF(J31=AA31,T31," ")))</f>
        <v xml:space="preserve"> </v>
      </c>
      <c r="R31" s="182">
        <v>65.459999999999994</v>
      </c>
      <c r="S31" s="182">
        <v>48.76</v>
      </c>
      <c r="T31" s="182">
        <v>43.67</v>
      </c>
      <c r="U31" s="179"/>
      <c r="V31" s="179"/>
      <c r="W31" s="129" t="s">
        <v>1531</v>
      </c>
      <c r="Y31" s="179" t="s">
        <v>1532</v>
      </c>
      <c r="AA31" s="179" t="s">
        <v>1530</v>
      </c>
      <c r="AC31" s="179"/>
      <c r="AD31" s="139" t="e">
        <f t="shared" ref="AD31:AD58" si="0">ROUNDUP($A31/AF31,0)*AF31</f>
        <v>#VALUE!</v>
      </c>
      <c r="AE31" s="139" t="e">
        <f>ROUNDUP($A31/AG$31,0)*AG$31</f>
        <v>#VALUE!</v>
      </c>
      <c r="AF31" s="139" t="str">
        <f>IF($J$31=Formeln!$B$142,"",IF($J$31=Formeln!$B$143,0.6,IF($J$31=Formeln!$B$144,1.5,IF($J$31=Formeln!$B$145,3,""))))</f>
        <v/>
      </c>
      <c r="AG31" s="139" t="str">
        <f>IF($J$31=Formeln!$B$142,"",IF($J$31=Formeln!$B$143,0.6,IF($J$31=Formeln!$B$144,1.5,IF($J$31=Formeln!$B$145,3,""))))</f>
        <v/>
      </c>
      <c r="AH31" s="148" t="s">
        <v>1533</v>
      </c>
      <c r="AI31" s="56" t="s">
        <v>1534</v>
      </c>
      <c r="AJ31" s="56" t="s">
        <v>2349</v>
      </c>
      <c r="AK31" s="56" t="s">
        <v>1535</v>
      </c>
      <c r="AL31" s="56" t="s">
        <v>2349</v>
      </c>
      <c r="AM31" s="56" t="s">
        <v>2349</v>
      </c>
      <c r="AN31" s="56" t="s">
        <v>2349</v>
      </c>
      <c r="AO31" s="58" t="e" vm="2">
        <f>VLOOKUP(AH31,AH31:AN31,$O$21,FALSE)</f>
        <v>#VALUE!</v>
      </c>
      <c r="AP31" s="56" t="s">
        <v>1536</v>
      </c>
      <c r="AQ31" s="56" t="s">
        <v>1537</v>
      </c>
      <c r="AR31" s="56" t="s">
        <v>2349</v>
      </c>
      <c r="AS31" s="56" t="s">
        <v>1538</v>
      </c>
      <c r="AT31" s="56" t="s">
        <v>2349</v>
      </c>
      <c r="AU31" s="56" t="s">
        <v>2349</v>
      </c>
      <c r="AV31" s="56" t="s">
        <v>2349</v>
      </c>
      <c r="AW31" s="58" t="e" vm="2">
        <f t="shared" ref="AW31:AW32" si="1">VLOOKUP(AP31,AP31:AV31,$O$21,FALSE)</f>
        <v>#VALUE!</v>
      </c>
      <c r="AX31" s="56" t="s">
        <v>1539</v>
      </c>
      <c r="AY31" s="56" t="s">
        <v>1540</v>
      </c>
      <c r="AZ31" s="56" t="s">
        <v>2349</v>
      </c>
      <c r="BA31" s="56" t="s">
        <v>1541</v>
      </c>
      <c r="BB31" s="56" t="s">
        <v>2349</v>
      </c>
      <c r="BC31" s="56" t="s">
        <v>2349</v>
      </c>
      <c r="BD31" s="56" t="s">
        <v>2349</v>
      </c>
      <c r="BE31" s="58" t="e" vm="2">
        <f t="shared" ref="BE31:BE32" si="2">VLOOKUP(AX31,AX31:BD31,$O$21,FALSE)</f>
        <v>#VALUE!</v>
      </c>
    </row>
    <row r="32" spans="1:57" ht="32.1" customHeight="1">
      <c r="A32" s="93"/>
      <c r="B32" s="76" t="str">
        <f>VLOOKUP(1512,Sprachindex!$A:$Z,Info!$O$7,FALSE)</f>
        <v>lfm</v>
      </c>
      <c r="C32" s="75"/>
      <c r="D32" s="75" t="str">
        <f>IF(J32=Formeln_RI_P.10!B135,AO32,IF(J32=Formeln_RI_P.10!B136,AW32,IF(J32=Formeln_RI_P.10!B137,BE32,"")))</f>
        <v/>
      </c>
      <c r="E32" s="618" t="str">
        <f>VLOOKUP(1882,Sprachindex!$A:$Z,Info!$O$7,FALSE)</f>
        <v>Quadratrohr 100 mm</v>
      </c>
      <c r="F32" s="619"/>
      <c r="G32" s="619"/>
      <c r="H32" s="721" t="str">
        <f>VLOOKUP(739,Sprachindex!$A:$Z,Info!$O$7,FALSE)</f>
        <v>Rohrlänge wählen:</v>
      </c>
      <c r="I32" s="722"/>
      <c r="J32" s="624"/>
      <c r="K32" s="626"/>
      <c r="L32" s="76" t="str">
        <f>IF(OR(A32="",AF32="",AG32="")," ",IF($O$11=1,AD32,IF($O$11=2,AE32,0)))</f>
        <v xml:space="preserve"> </v>
      </c>
      <c r="M32" s="399" t="str">
        <f>B32</f>
        <v>lfm</v>
      </c>
      <c r="N32" s="77"/>
      <c r="O32" s="184" t="str">
        <f>IF(ISNUMBER(A32), $L32*Q32, "")</f>
        <v/>
      </c>
      <c r="Q32" s="129" t="str">
        <f>IF(J32=W31,R32,IF(J32=Y31,S32,IF(J32=AA31,T32," ")))</f>
        <v xml:space="preserve"> </v>
      </c>
      <c r="R32" s="182">
        <v>77.13</v>
      </c>
      <c r="S32" s="182">
        <v>56.83</v>
      </c>
      <c r="T32" s="182">
        <v>53.57</v>
      </c>
      <c r="U32" s="179"/>
      <c r="V32" s="179"/>
      <c r="W32" s="179"/>
      <c r="X32" s="179"/>
      <c r="Y32" s="179"/>
      <c r="Z32" s="179"/>
      <c r="AA32" s="179"/>
      <c r="AB32" s="68"/>
      <c r="AC32" s="1"/>
      <c r="AD32" s="139" t="e">
        <f t="shared" si="0"/>
        <v>#VALUE!</v>
      </c>
      <c r="AE32" s="139" t="e">
        <f>ROUNDUP($A32/AG$32,0)*AG$32</f>
        <v>#VALUE!</v>
      </c>
      <c r="AF32" s="139" t="str">
        <f>IF($J$32=Formeln_RI_P.10!$B$134,"",IF($J$32=Formeln_RI_P.10!$B$135,0.6,IF($J$32=Formeln_RI_P.10!$B$136,1.5,IF($J$32=Formeln_RI_P.10!$B$137,3,""))))</f>
        <v/>
      </c>
      <c r="AG32" s="139" t="str">
        <f>IF($J$32=Formeln_RI_P.10!$B$134,"",IF($J$32=Formeln_RI_P.10!$B$135,0.6,IF($J$32=Formeln_RI_P.10!$B$136,1.5,IF($J$32=Formeln_RI_P.10!$B$137,3,""))))</f>
        <v/>
      </c>
      <c r="AH32" s="56" t="s">
        <v>1542</v>
      </c>
      <c r="AI32" s="56" t="s">
        <v>1543</v>
      </c>
      <c r="AJ32" s="56" t="s">
        <v>1544</v>
      </c>
      <c r="AK32" s="56" t="s">
        <v>1545</v>
      </c>
      <c r="AL32" s="56" t="s">
        <v>1546</v>
      </c>
      <c r="AM32" s="56" t="s">
        <v>1547</v>
      </c>
      <c r="AN32" s="56" t="s">
        <v>1548</v>
      </c>
      <c r="AO32" s="58" t="e" vm="2">
        <f>VLOOKUP(AH32,AH32:AN32,$O$21,FALSE)</f>
        <v>#VALUE!</v>
      </c>
      <c r="AP32" s="56" t="s">
        <v>1549</v>
      </c>
      <c r="AQ32" s="56" t="s">
        <v>1550</v>
      </c>
      <c r="AR32" s="56" t="s">
        <v>1551</v>
      </c>
      <c r="AS32" s="56" t="s">
        <v>1552</v>
      </c>
      <c r="AT32" s="56" t="s">
        <v>1553</v>
      </c>
      <c r="AU32" s="56" t="s">
        <v>1554</v>
      </c>
      <c r="AV32" s="56" t="s">
        <v>1555</v>
      </c>
      <c r="AW32" s="58" t="e" vm="2">
        <f t="shared" si="1"/>
        <v>#VALUE!</v>
      </c>
      <c r="AX32" s="56" t="s">
        <v>1556</v>
      </c>
      <c r="AY32" s="56" t="s">
        <v>1557</v>
      </c>
      <c r="AZ32" s="56" t="s">
        <v>1558</v>
      </c>
      <c r="BA32" s="56" t="s">
        <v>1559</v>
      </c>
      <c r="BB32" s="56" t="s">
        <v>1560</v>
      </c>
      <c r="BC32" s="56" t="s">
        <v>1561</v>
      </c>
      <c r="BD32" s="56" t="s">
        <v>1562</v>
      </c>
      <c r="BE32" s="58" t="e" vm="2">
        <f t="shared" si="2"/>
        <v>#VALUE!</v>
      </c>
    </row>
    <row r="33" spans="1:53" ht="32.1" customHeight="1">
      <c r="A33" s="93"/>
      <c r="B33" s="76" t="str">
        <f>VLOOKUP(878,Sprachindex!$A:$Z,Info!$O$7,FALSE)</f>
        <v>Stk.</v>
      </c>
      <c r="C33" s="101"/>
      <c r="D33" s="75">
        <v>150050</v>
      </c>
      <c r="E33" s="723" t="str">
        <f>VLOOKUP(453,Sprachindex!$A:$Z,Info!$O$7,FALSE)</f>
        <v>Halteklemme</v>
      </c>
      <c r="F33" s="724"/>
      <c r="G33" s="724"/>
      <c r="H33" s="724"/>
      <c r="I33" s="724"/>
      <c r="J33" s="724"/>
      <c r="K33" s="725"/>
      <c r="L33" s="76" t="str">
        <f>IF(OR(A33="",AF33="",AG33="")," ",IF($O$11=1,AD33,IF($O$11=2,AE33,0)))</f>
        <v xml:space="preserve"> </v>
      </c>
      <c r="M33" s="399" t="str">
        <f t="shared" ref="M33:M65" si="3">B33</f>
        <v>Stk.</v>
      </c>
      <c r="N33" s="77"/>
      <c r="O33" s="184" t="str">
        <f t="shared" ref="O33:O43" si="4">IF(ISNUMBER(A33),$L33*R33, "")</f>
        <v/>
      </c>
      <c r="R33" s="182">
        <v>13.4</v>
      </c>
      <c r="S33" s="179"/>
      <c r="T33" s="179"/>
      <c r="U33" s="179"/>
      <c r="V33" s="179"/>
      <c r="W33" s="179"/>
      <c r="X33" s="179"/>
      <c r="Y33" s="179"/>
      <c r="Z33" s="179"/>
      <c r="AA33" s="179"/>
      <c r="AB33" s="68"/>
      <c r="AC33" s="1"/>
      <c r="AD33" s="139">
        <f t="shared" si="0"/>
        <v>0</v>
      </c>
      <c r="AE33" s="139">
        <f t="shared" ref="AE33:AE58" si="5">ROUNDUP($A33/AG33,0)*AG33</f>
        <v>0</v>
      </c>
      <c r="AF33" s="139">
        <v>1</v>
      </c>
      <c r="AG33" s="139">
        <v>1</v>
      </c>
      <c r="AH33"/>
    </row>
    <row r="34" spans="1:53" ht="32.1" customHeight="1">
      <c r="A34" s="93"/>
      <c r="B34" s="76" t="str">
        <f>VLOOKUP(878,Sprachindex!$A:$Z,Info!$O$7,FALSE)</f>
        <v>Stk.</v>
      </c>
      <c r="C34" s="101"/>
      <c r="D34" s="75">
        <v>150051</v>
      </c>
      <c r="E34" s="723" t="str">
        <f>VLOOKUP(240,Sprachindex!$A:$Z,Info!$O$7,FALSE)</f>
        <v>Blitzschutzklemme</v>
      </c>
      <c r="F34" s="724"/>
      <c r="G34" s="724"/>
      <c r="H34" s="724"/>
      <c r="I34" s="724"/>
      <c r="J34" s="724"/>
      <c r="K34" s="725"/>
      <c r="L34" s="76" t="str">
        <f t="shared" ref="L34:L57" si="6">IF(OR(A34="",AF34="",AG34="")," ",IF($O$11=1,AD34,IF($O$11=2,AE34,0)))</f>
        <v xml:space="preserve"> </v>
      </c>
      <c r="M34" s="399" t="str">
        <f t="shared" si="3"/>
        <v>Stk.</v>
      </c>
      <c r="N34" s="77"/>
      <c r="O34" s="184" t="str">
        <f t="shared" si="4"/>
        <v/>
      </c>
      <c r="R34" s="182">
        <v>28.58</v>
      </c>
      <c r="S34" s="179"/>
      <c r="T34" s="179"/>
      <c r="U34" s="179"/>
      <c r="V34" s="179"/>
      <c r="W34" s="179"/>
      <c r="X34" s="179"/>
      <c r="Y34" s="179"/>
      <c r="Z34" s="179"/>
      <c r="AA34" s="179"/>
      <c r="AB34" s="68"/>
      <c r="AC34" s="1"/>
      <c r="AD34" s="139">
        <f t="shared" si="0"/>
        <v>0</v>
      </c>
      <c r="AE34" s="139">
        <f t="shared" si="5"/>
        <v>0</v>
      </c>
      <c r="AF34" s="139">
        <v>1</v>
      </c>
      <c r="AG34" s="139">
        <v>1</v>
      </c>
      <c r="AH34" s="55" t="s">
        <v>1526</v>
      </c>
      <c r="AI34" s="55" t="s">
        <v>95</v>
      </c>
      <c r="AJ34" s="55" t="s">
        <v>1527</v>
      </c>
      <c r="AK34" s="55" t="s">
        <v>44</v>
      </c>
      <c r="AL34" s="55" t="s">
        <v>1528</v>
      </c>
      <c r="AM34" s="165" t="s">
        <v>1529</v>
      </c>
      <c r="AN34" s="165" t="s">
        <v>1460</v>
      </c>
      <c r="AQ34" s="55" t="s">
        <v>1526</v>
      </c>
      <c r="AR34" s="55" t="s">
        <v>95</v>
      </c>
      <c r="AS34" s="55" t="s">
        <v>1527</v>
      </c>
      <c r="AT34" s="55" t="s">
        <v>44</v>
      </c>
      <c r="AU34" s="55" t="s">
        <v>1528</v>
      </c>
      <c r="AV34" s="55" t="s">
        <v>1529</v>
      </c>
      <c r="AW34" s="55" t="s">
        <v>1460</v>
      </c>
    </row>
    <row r="35" spans="1:53" ht="32.1" customHeight="1">
      <c r="A35" s="93"/>
      <c r="B35" s="76" t="str">
        <f>VLOOKUP(878,Sprachindex!$A:$Z,Info!$O$7,FALSE)</f>
        <v>Stk.</v>
      </c>
      <c r="C35" s="101"/>
      <c r="D35" s="75" t="str">
        <f>IF(ISNUMBER(A35),AO35,"")</f>
        <v/>
      </c>
      <c r="E35" s="618" t="str">
        <f>VLOOKUP(1883,Sprachindex!$A:$Z,Info!$O$7,FALSE)</f>
        <v>Quadratrohrbogen 80 mm, 72°, lang</v>
      </c>
      <c r="F35" s="619"/>
      <c r="G35" s="619"/>
      <c r="H35" s="619"/>
      <c r="I35" s="619"/>
      <c r="J35" s="619"/>
      <c r="K35" s="620"/>
      <c r="L35" s="76" t="str">
        <f t="shared" si="6"/>
        <v xml:space="preserve"> </v>
      </c>
      <c r="M35" s="399" t="str">
        <f t="shared" si="3"/>
        <v>Stk.</v>
      </c>
      <c r="N35" s="77"/>
      <c r="O35" s="184" t="str">
        <f t="shared" si="4"/>
        <v/>
      </c>
      <c r="R35" s="182">
        <v>94.12</v>
      </c>
      <c r="S35" s="179"/>
      <c r="T35" s="179"/>
      <c r="U35" s="179"/>
      <c r="V35" s="179"/>
      <c r="W35" s="179"/>
      <c r="X35" s="179"/>
      <c r="Y35" s="179"/>
      <c r="Z35" s="179"/>
      <c r="AA35" s="179"/>
      <c r="AB35" s="68"/>
      <c r="AC35" s="1"/>
      <c r="AD35" s="139">
        <f t="shared" si="0"/>
        <v>0</v>
      </c>
      <c r="AE35" s="139">
        <f t="shared" si="5"/>
        <v>0</v>
      </c>
      <c r="AF35" s="139">
        <v>1</v>
      </c>
      <c r="AG35" s="139">
        <v>1</v>
      </c>
      <c r="AH35" s="56" t="s">
        <v>1563</v>
      </c>
      <c r="AI35" s="56">
        <v>230900</v>
      </c>
      <c r="AJ35" s="56" t="s">
        <v>2349</v>
      </c>
      <c r="AK35" s="56" t="s">
        <v>1564</v>
      </c>
      <c r="AL35" s="56" t="s">
        <v>2349</v>
      </c>
      <c r="AM35" s="56" t="s">
        <v>2349</v>
      </c>
      <c r="AN35" s="56" t="s">
        <v>2349</v>
      </c>
      <c r="AO35" s="58" t="e" vm="2">
        <f t="shared" ref="AO35:AO51" si="7">VLOOKUP(AH35,AH35:AN35,$O$21,FALSE)</f>
        <v>#VALUE!</v>
      </c>
    </row>
    <row r="36" spans="1:53" ht="32.1" customHeight="1">
      <c r="A36" s="93"/>
      <c r="B36" s="76" t="str">
        <f>VLOOKUP(878,Sprachindex!$A:$Z,Info!$O$7,FALSE)</f>
        <v>Stk.</v>
      </c>
      <c r="C36" s="101"/>
      <c r="D36" s="75" t="str">
        <f t="shared" ref="D36:D40" si="8">IF(ISNUMBER(A36),AO36,"")</f>
        <v/>
      </c>
      <c r="E36" s="618" t="str">
        <f>VLOOKUP(1884,Sprachindex!$A:$Z,Info!$O$7,FALSE)</f>
        <v>Quadratrohrbogen 100 mm, 72°, lang</v>
      </c>
      <c r="F36" s="619"/>
      <c r="G36" s="619"/>
      <c r="H36" s="619"/>
      <c r="I36" s="619"/>
      <c r="J36" s="619"/>
      <c r="K36" s="620"/>
      <c r="L36" s="76" t="str">
        <f t="shared" si="6"/>
        <v xml:space="preserve"> </v>
      </c>
      <c r="M36" s="399" t="str">
        <f t="shared" si="3"/>
        <v>Stk.</v>
      </c>
      <c r="N36" s="77"/>
      <c r="O36" s="184" t="str">
        <f t="shared" si="4"/>
        <v/>
      </c>
      <c r="R36" s="182">
        <v>111.14</v>
      </c>
      <c r="S36" s="179"/>
      <c r="T36" s="179"/>
      <c r="U36" s="179"/>
      <c r="V36" s="179"/>
      <c r="W36" s="179"/>
      <c r="X36" s="179"/>
      <c r="Y36" s="179"/>
      <c r="Z36" s="179"/>
      <c r="AA36" s="179"/>
      <c r="AB36" s="68"/>
      <c r="AC36" s="1"/>
      <c r="AD36" s="139">
        <f t="shared" si="0"/>
        <v>0</v>
      </c>
      <c r="AE36" s="139">
        <f t="shared" si="5"/>
        <v>0</v>
      </c>
      <c r="AF36" s="139">
        <v>1</v>
      </c>
      <c r="AG36" s="139">
        <v>1</v>
      </c>
      <c r="AH36" s="56" t="s">
        <v>1565</v>
      </c>
      <c r="AI36" s="56" t="s">
        <v>1566</v>
      </c>
      <c r="AJ36" s="56" t="s">
        <v>1567</v>
      </c>
      <c r="AK36" s="56">
        <v>230202</v>
      </c>
      <c r="AL36" s="56" t="s">
        <v>1568</v>
      </c>
      <c r="AM36" s="56" t="s">
        <v>1569</v>
      </c>
      <c r="AN36" s="56" t="s">
        <v>1570</v>
      </c>
      <c r="AO36" s="58" t="e" vm="2">
        <f t="shared" si="7"/>
        <v>#VALUE!</v>
      </c>
    </row>
    <row r="37" spans="1:53" ht="32.1" customHeight="1">
      <c r="A37" s="93"/>
      <c r="B37" s="76" t="str">
        <f>VLOOKUP(878,Sprachindex!$A:$Z,Info!$O$7,FALSE)</f>
        <v>Stk.</v>
      </c>
      <c r="C37" s="75"/>
      <c r="D37" s="75" t="str">
        <f t="shared" si="8"/>
        <v/>
      </c>
      <c r="E37" s="618" t="str">
        <f>VLOOKUP(1885,Sprachindex!$A:$Z,Info!$O$7,FALSE)</f>
        <v>Quadratrohrbogen 80 mm, 72°, kurz</v>
      </c>
      <c r="F37" s="619"/>
      <c r="G37" s="619"/>
      <c r="H37" s="619"/>
      <c r="I37" s="619"/>
      <c r="J37" s="619"/>
      <c r="K37" s="620"/>
      <c r="L37" s="76" t="str">
        <f t="shared" si="6"/>
        <v xml:space="preserve"> </v>
      </c>
      <c r="M37" s="399" t="str">
        <f t="shared" si="3"/>
        <v>Stk.</v>
      </c>
      <c r="N37" s="77"/>
      <c r="O37" s="184" t="str">
        <f t="shared" si="4"/>
        <v/>
      </c>
      <c r="R37" s="182">
        <v>71.02</v>
      </c>
      <c r="S37" s="179"/>
      <c r="T37" s="179"/>
      <c r="U37" s="179"/>
      <c r="V37" s="179"/>
      <c r="W37" s="179"/>
      <c r="X37" s="179"/>
      <c r="Y37" s="179"/>
      <c r="Z37" s="179"/>
      <c r="AA37" s="179"/>
      <c r="AB37" s="68"/>
      <c r="AC37" s="1"/>
      <c r="AD37" s="139">
        <f t="shared" si="0"/>
        <v>0</v>
      </c>
      <c r="AE37" s="139">
        <f t="shared" si="5"/>
        <v>0</v>
      </c>
      <c r="AF37" s="139">
        <v>1</v>
      </c>
      <c r="AG37" s="139">
        <v>1</v>
      </c>
      <c r="AH37" s="56" t="s">
        <v>1571</v>
      </c>
      <c r="AI37" s="56" t="s">
        <v>1572</v>
      </c>
      <c r="AJ37" s="56" t="s">
        <v>2349</v>
      </c>
      <c r="AK37" s="56" t="s">
        <v>1573</v>
      </c>
      <c r="AL37" s="56" t="s">
        <v>2349</v>
      </c>
      <c r="AM37" s="56" t="s">
        <v>2349</v>
      </c>
      <c r="AN37" s="56" t="s">
        <v>2349</v>
      </c>
      <c r="AO37" s="58" t="e" vm="2">
        <f t="shared" si="7"/>
        <v>#VALUE!</v>
      </c>
    </row>
    <row r="38" spans="1:53" ht="32.1" customHeight="1">
      <c r="A38" s="93"/>
      <c r="B38" s="76" t="str">
        <f>VLOOKUP(878,Sprachindex!$A:$Z,Info!$O$7,FALSE)</f>
        <v>Stk.</v>
      </c>
      <c r="C38" s="75"/>
      <c r="D38" s="75" t="str">
        <f t="shared" si="8"/>
        <v/>
      </c>
      <c r="E38" s="618" t="str">
        <f>VLOOKUP(1886,Sprachindex!$A:$Z,Info!$O$7,FALSE)</f>
        <v>Quadratrohrbogen 100 mm, 72°, kurz</v>
      </c>
      <c r="F38" s="619"/>
      <c r="G38" s="619"/>
      <c r="H38" s="619"/>
      <c r="I38" s="619"/>
      <c r="J38" s="619"/>
      <c r="K38" s="620"/>
      <c r="L38" s="76" t="str">
        <f t="shared" si="6"/>
        <v xml:space="preserve"> </v>
      </c>
      <c r="M38" s="399" t="str">
        <f t="shared" si="3"/>
        <v>Stk.</v>
      </c>
      <c r="N38" s="77"/>
      <c r="O38" s="184" t="str">
        <f t="shared" si="4"/>
        <v/>
      </c>
      <c r="R38" s="182">
        <v>76.760000000000005</v>
      </c>
      <c r="S38" s="179"/>
      <c r="T38" s="179"/>
      <c r="U38" s="179"/>
      <c r="V38" s="179"/>
      <c r="W38" s="179"/>
      <c r="X38" s="179"/>
      <c r="Y38" s="179"/>
      <c r="Z38" s="179"/>
      <c r="AA38" s="179"/>
      <c r="AB38" s="68"/>
      <c r="AC38" s="1"/>
      <c r="AD38" s="139">
        <f t="shared" si="0"/>
        <v>0</v>
      </c>
      <c r="AE38" s="139">
        <f t="shared" si="5"/>
        <v>0</v>
      </c>
      <c r="AF38" s="139">
        <v>1</v>
      </c>
      <c r="AG38" s="139">
        <v>1</v>
      </c>
      <c r="AH38" s="56" t="s">
        <v>1574</v>
      </c>
      <c r="AI38" s="56" t="s">
        <v>1575</v>
      </c>
      <c r="AJ38" s="56" t="s">
        <v>1576</v>
      </c>
      <c r="AK38" s="56">
        <v>230222</v>
      </c>
      <c r="AL38" s="56" t="s">
        <v>1577</v>
      </c>
      <c r="AM38" s="56" t="s">
        <v>1578</v>
      </c>
      <c r="AN38" s="56" t="s">
        <v>1579</v>
      </c>
      <c r="AO38" s="58" t="e" vm="2">
        <f t="shared" si="7"/>
        <v>#VALUE!</v>
      </c>
    </row>
    <row r="39" spans="1:53" ht="32.1" customHeight="1">
      <c r="A39" s="93"/>
      <c r="B39" s="76" t="str">
        <f>VLOOKUP(878,Sprachindex!$A:$Z,Info!$O$7,FALSE)</f>
        <v>Stk.</v>
      </c>
      <c r="C39" s="75"/>
      <c r="D39" s="75" t="str">
        <f t="shared" si="8"/>
        <v/>
      </c>
      <c r="E39" s="618" t="str">
        <f>VLOOKUP(1887,Sprachindex!$A:$Z,Info!$O$7,FALSE)</f>
        <v>Quadratrohr 80 mm, Wasserfangkasten</v>
      </c>
      <c r="F39" s="619"/>
      <c r="G39" s="619"/>
      <c r="H39" s="619"/>
      <c r="I39" s="619"/>
      <c r="J39" s="619"/>
      <c r="K39" s="620"/>
      <c r="L39" s="76" t="str">
        <f t="shared" si="6"/>
        <v xml:space="preserve"> </v>
      </c>
      <c r="M39" s="399" t="str">
        <f t="shared" si="3"/>
        <v>Stk.</v>
      </c>
      <c r="N39" s="77"/>
      <c r="O39" s="184" t="str">
        <f t="shared" si="4"/>
        <v/>
      </c>
      <c r="R39" s="182">
        <v>236.9</v>
      </c>
      <c r="S39" s="179"/>
      <c r="T39" s="179"/>
      <c r="U39" s="179"/>
      <c r="V39" s="179"/>
      <c r="W39" s="179"/>
      <c r="X39" s="179"/>
      <c r="Y39" s="179"/>
      <c r="Z39" s="179"/>
      <c r="AA39" s="179"/>
      <c r="AB39" s="68"/>
      <c r="AC39" s="1"/>
      <c r="AD39" s="139">
        <f t="shared" si="0"/>
        <v>0</v>
      </c>
      <c r="AE39" s="139">
        <f t="shared" si="5"/>
        <v>0</v>
      </c>
      <c r="AF39" s="139">
        <v>1</v>
      </c>
      <c r="AG39" s="139">
        <v>1</v>
      </c>
      <c r="AH39" s="56" t="s">
        <v>1580</v>
      </c>
      <c r="AI39" s="56" t="s">
        <v>1581</v>
      </c>
      <c r="AJ39" s="56" t="s">
        <v>2349</v>
      </c>
      <c r="AK39" s="56" t="s">
        <v>1582</v>
      </c>
      <c r="AL39" s="56" t="s">
        <v>2349</v>
      </c>
      <c r="AM39" s="56" t="s">
        <v>2349</v>
      </c>
      <c r="AN39" s="56" t="s">
        <v>2349</v>
      </c>
      <c r="AO39" s="58" t="e" vm="2">
        <f t="shared" si="7"/>
        <v>#VALUE!</v>
      </c>
    </row>
    <row r="40" spans="1:53" ht="32.1" customHeight="1">
      <c r="A40" s="93"/>
      <c r="B40" s="76" t="str">
        <f>VLOOKUP(878,Sprachindex!$A:$Z,Info!$O$7,FALSE)</f>
        <v>Stk.</v>
      </c>
      <c r="C40" s="75"/>
      <c r="D40" s="75" t="str">
        <f t="shared" si="8"/>
        <v/>
      </c>
      <c r="E40" s="618" t="str">
        <f>VLOOKUP(1888,Sprachindex!$A:$Z,Info!$O$7,FALSE)</f>
        <v>Quadratrohr 100 mm, Wasserfangkasten</v>
      </c>
      <c r="F40" s="619"/>
      <c r="G40" s="619"/>
      <c r="H40" s="619"/>
      <c r="I40" s="619"/>
      <c r="J40" s="619"/>
      <c r="K40" s="620"/>
      <c r="L40" s="76" t="str">
        <f t="shared" si="6"/>
        <v xml:space="preserve"> </v>
      </c>
      <c r="M40" s="399" t="str">
        <f t="shared" si="3"/>
        <v>Stk.</v>
      </c>
      <c r="N40" s="77"/>
      <c r="O40" s="184" t="str">
        <f t="shared" si="4"/>
        <v/>
      </c>
      <c r="R40" s="182">
        <v>237.31</v>
      </c>
      <c r="T40" s="179"/>
      <c r="U40" s="179"/>
      <c r="V40" s="179"/>
      <c r="W40" s="179"/>
      <c r="X40" s="179"/>
      <c r="Y40" s="179"/>
      <c r="Z40" s="179"/>
      <c r="AA40" s="179"/>
      <c r="AB40" s="68"/>
      <c r="AC40" s="1"/>
      <c r="AD40" s="139">
        <f t="shared" si="0"/>
        <v>0</v>
      </c>
      <c r="AE40" s="139">
        <f t="shared" si="5"/>
        <v>0</v>
      </c>
      <c r="AF40" s="139">
        <v>1</v>
      </c>
      <c r="AG40" s="139">
        <v>1</v>
      </c>
      <c r="AH40" s="56" t="s">
        <v>1583</v>
      </c>
      <c r="AI40" s="56" t="s">
        <v>1584</v>
      </c>
      <c r="AJ40" s="56" t="s">
        <v>1585</v>
      </c>
      <c r="AK40" s="56" t="s">
        <v>1586</v>
      </c>
      <c r="AL40" s="56" t="s">
        <v>1587</v>
      </c>
      <c r="AM40" s="56" t="s">
        <v>1588</v>
      </c>
      <c r="AN40" s="56" t="s">
        <v>1589</v>
      </c>
      <c r="AO40" s="58" t="e" vm="2">
        <f t="shared" si="7"/>
        <v>#VALUE!</v>
      </c>
      <c r="AY40" s="1" t="s">
        <v>1590</v>
      </c>
    </row>
    <row r="41" spans="1:53" ht="32.1" customHeight="1">
      <c r="A41" s="93"/>
      <c r="B41" s="76" t="str">
        <f>VLOOKUP(878,Sprachindex!$A:$Z,Info!$O$7,FALSE)</f>
        <v>Stk.</v>
      </c>
      <c r="C41" s="75"/>
      <c r="D41" s="75" t="str">
        <f>IF(I41=AY40,AO41,IF(I41=AY41,AX41,""))</f>
        <v/>
      </c>
      <c r="E41" s="618" t="str">
        <f>VLOOKUP(1893,Sprachindex!$A:$Z,Info!$O$7,FALSE)</f>
        <v>Quadratrohr 80 mm, Muffe</v>
      </c>
      <c r="F41" s="619"/>
      <c r="G41" s="619"/>
      <c r="H41" s="619"/>
      <c r="I41" s="624"/>
      <c r="J41" s="625"/>
      <c r="K41" s="625"/>
      <c r="L41" s="76" t="str">
        <f t="shared" si="6"/>
        <v xml:space="preserve"> </v>
      </c>
      <c r="M41" s="399" t="str">
        <f t="shared" si="3"/>
        <v>Stk.</v>
      </c>
      <c r="N41" s="77"/>
      <c r="O41" s="184" t="str">
        <f t="shared" si="4"/>
        <v/>
      </c>
      <c r="R41" s="182">
        <v>102.21</v>
      </c>
      <c r="S41" s="179"/>
      <c r="T41" s="179"/>
      <c r="U41" s="179"/>
      <c r="V41" s="179"/>
      <c r="W41" s="179"/>
      <c r="X41" s="179"/>
      <c r="Y41" s="179"/>
      <c r="Z41" s="179"/>
      <c r="AA41" s="179"/>
      <c r="AB41" s="68"/>
      <c r="AC41" s="1"/>
      <c r="AD41" s="139">
        <f t="shared" si="0"/>
        <v>0</v>
      </c>
      <c r="AE41" s="139">
        <f t="shared" si="5"/>
        <v>0</v>
      </c>
      <c r="AF41" s="139">
        <v>1</v>
      </c>
      <c r="AG41" s="139">
        <v>1</v>
      </c>
      <c r="AH41" s="56" t="s">
        <v>1591</v>
      </c>
      <c r="AI41" s="56" t="s">
        <v>1592</v>
      </c>
      <c r="AJ41" s="56" t="s">
        <v>2349</v>
      </c>
      <c r="AK41" s="56" t="s">
        <v>1593</v>
      </c>
      <c r="AL41" s="56" t="s">
        <v>2349</v>
      </c>
      <c r="AM41" s="56" t="s">
        <v>2349</v>
      </c>
      <c r="AN41" s="56" t="s">
        <v>2349</v>
      </c>
      <c r="AO41" s="58" t="e" vm="2">
        <f t="shared" si="7"/>
        <v>#VALUE!</v>
      </c>
      <c r="AP41" s="58" t="s">
        <v>1590</v>
      </c>
      <c r="AQ41" s="56">
        <v>230962</v>
      </c>
      <c r="AR41" s="56">
        <v>230960</v>
      </c>
      <c r="AS41" s="56" t="s">
        <v>2349</v>
      </c>
      <c r="AT41" s="56">
        <v>230961</v>
      </c>
      <c r="AU41" s="56" t="s">
        <v>2349</v>
      </c>
      <c r="AV41" s="56" t="s">
        <v>2349</v>
      </c>
      <c r="AW41" s="56" t="s">
        <v>2349</v>
      </c>
      <c r="AX41" s="58" t="e" vm="2">
        <f t="shared" ref="AX41:AX42" si="9">VLOOKUP(AQ41,AQ41:AW41,$O$21,FALSE)</f>
        <v>#VALUE!</v>
      </c>
      <c r="AY41" s="58" t="s">
        <v>1594</v>
      </c>
    </row>
    <row r="42" spans="1:53" ht="32.1" customHeight="1">
      <c r="A42" s="93"/>
      <c r="B42" s="76" t="str">
        <f>VLOOKUP(878,Sprachindex!$A:$Z,Info!$O$7,FALSE)</f>
        <v>Stk.</v>
      </c>
      <c r="C42" s="75"/>
      <c r="D42" s="75" t="str">
        <f>IF(I42=Formeln_RI_P.10!A139,AO42,IF(I42=Formeln_RI_P.10!A140,AX42,""))</f>
        <v/>
      </c>
      <c r="E42" s="618" t="str">
        <f>VLOOKUP(1894,Sprachindex!$A:$Z,Info!$O$7,FALSE)</f>
        <v>Quadratrohr 100 mm, Muffe</v>
      </c>
      <c r="F42" s="619"/>
      <c r="G42" s="619"/>
      <c r="H42" s="81" t="str">
        <f>VLOOKUP(306,Sprachindex!$A:$Z,Info!$O$7,FALSE)</f>
        <v>Dimension wählen:</v>
      </c>
      <c r="I42" s="624"/>
      <c r="J42" s="625"/>
      <c r="K42" s="625"/>
      <c r="L42" s="76" t="str">
        <f t="shared" si="6"/>
        <v xml:space="preserve"> </v>
      </c>
      <c r="M42" s="399" t="str">
        <f t="shared" si="3"/>
        <v>Stk.</v>
      </c>
      <c r="N42" s="77"/>
      <c r="O42" s="184" t="str">
        <f t="shared" si="4"/>
        <v/>
      </c>
      <c r="R42" s="182">
        <v>48.9</v>
      </c>
      <c r="S42" s="179"/>
      <c r="T42" s="179"/>
      <c r="U42" s="179"/>
      <c r="V42" s="179"/>
      <c r="W42" s="179"/>
      <c r="X42" s="179"/>
      <c r="Y42" s="179"/>
      <c r="Z42" s="179"/>
      <c r="AA42" s="179"/>
      <c r="AB42" s="68"/>
      <c r="AC42" s="1"/>
      <c r="AD42" s="139" t="e">
        <f t="shared" si="0"/>
        <v>#VALUE!</v>
      </c>
      <c r="AE42" s="139">
        <f t="shared" si="5"/>
        <v>0</v>
      </c>
      <c r="AF42" s="139" t="str">
        <f>IF(I42=Formeln_RI_P.10!$A$138,"",1)</f>
        <v/>
      </c>
      <c r="AG42" s="139">
        <v>1</v>
      </c>
      <c r="AH42" s="56" t="s">
        <v>1596</v>
      </c>
      <c r="AI42" s="56" t="s">
        <v>1597</v>
      </c>
      <c r="AJ42" s="56" t="s">
        <v>1598</v>
      </c>
      <c r="AK42" s="56">
        <v>230402</v>
      </c>
      <c r="AL42" s="56" t="s">
        <v>1599</v>
      </c>
      <c r="AM42" s="56" t="s">
        <v>1600</v>
      </c>
      <c r="AN42" s="56" t="s">
        <v>1601</v>
      </c>
      <c r="AO42" s="58" t="e" vm="2">
        <f t="shared" si="7"/>
        <v>#VALUE!</v>
      </c>
      <c r="AQ42" t="s">
        <v>1602</v>
      </c>
      <c r="AR42" t="s">
        <v>1603</v>
      </c>
      <c r="AS42" t="s">
        <v>1604</v>
      </c>
      <c r="AT42" t="s">
        <v>1605</v>
      </c>
      <c r="AU42" t="s">
        <v>1606</v>
      </c>
      <c r="AV42" t="s">
        <v>1607</v>
      </c>
      <c r="AW42" t="s">
        <v>1608</v>
      </c>
      <c r="AX42" s="58" t="e" vm="2">
        <f t="shared" si="9"/>
        <v>#VALUE!</v>
      </c>
      <c r="BA42" s="1" t="s">
        <v>1609</v>
      </c>
    </row>
    <row r="43" spans="1:53" ht="32.1" customHeight="1">
      <c r="A43" s="93"/>
      <c r="B43" s="76" t="str">
        <f>VLOOKUP(878,Sprachindex!$A:$Z,Info!$O$7,FALSE)</f>
        <v>Stk.</v>
      </c>
      <c r="C43" s="75"/>
      <c r="D43" s="75" t="str">
        <f>IF(J43=AP43,AO43,IF(J43=AY43,AX43,""))</f>
        <v/>
      </c>
      <c r="E43" s="618" t="str">
        <f>VLOOKUP(444,Sprachindex!$A:$Z,Info!$O$7,FALSE)</f>
        <v>Gummidichtung passend für HT/KG (NW 110 mm)</v>
      </c>
      <c r="F43" s="619"/>
      <c r="G43" s="619"/>
      <c r="H43" s="619"/>
      <c r="I43" s="484" t="str">
        <f>VLOOKUP(306,Sprachindex!$A:$Z,Info!$O$7,FALSE)</f>
        <v>Dimension wählen:</v>
      </c>
      <c r="J43" s="719"/>
      <c r="K43" s="720"/>
      <c r="L43" s="76" t="str">
        <f t="shared" si="6"/>
        <v xml:space="preserve"> </v>
      </c>
      <c r="M43" s="399" t="str">
        <f t="shared" si="3"/>
        <v>Stk.</v>
      </c>
      <c r="N43" s="77"/>
      <c r="O43" s="184" t="str">
        <f t="shared" si="4"/>
        <v/>
      </c>
      <c r="R43" s="182">
        <v>7.19</v>
      </c>
      <c r="S43" s="179"/>
      <c r="T43" s="179"/>
      <c r="U43" s="179"/>
      <c r="V43" s="179"/>
      <c r="W43" s="179"/>
      <c r="X43" s="179"/>
      <c r="Y43" s="179"/>
      <c r="Z43" s="179"/>
      <c r="AA43" s="179"/>
      <c r="AB43" s="68"/>
      <c r="AC43" s="1"/>
      <c r="AD43" s="139">
        <f t="shared" si="0"/>
        <v>0</v>
      </c>
      <c r="AE43" s="139">
        <f t="shared" si="5"/>
        <v>0</v>
      </c>
      <c r="AF43" s="139">
        <v>1</v>
      </c>
      <c r="AG43" s="139">
        <v>1</v>
      </c>
      <c r="AO43" s="58">
        <v>150052</v>
      </c>
      <c r="AP43" s="58" t="s">
        <v>1609</v>
      </c>
      <c r="AX43" s="58">
        <v>150053</v>
      </c>
      <c r="AY43" s="58" t="s">
        <v>1611</v>
      </c>
      <c r="BA43" s="1" t="s">
        <v>1611</v>
      </c>
    </row>
    <row r="44" spans="1:53" ht="32.1" customHeight="1">
      <c r="A44" s="93"/>
      <c r="B44" s="76" t="str">
        <f>VLOOKUP(878,Sprachindex!$A:$Z,Info!$O$7,FALSE)</f>
        <v>Stk.</v>
      </c>
      <c r="C44" s="75"/>
      <c r="D44" s="75" t="str">
        <f>IF(I44=Formeln_RI_P.10!A141,AO44,IF(I44=Formeln_RI_P.10!A142,AW44,""))</f>
        <v/>
      </c>
      <c r="E44" s="618" t="str">
        <f>VLOOKUP(1889,Sprachindex!$A:$Z,Info!$O$7,FALSE)</f>
        <v>Quadratrohr 80 mm, Kessel</v>
      </c>
      <c r="F44" s="619"/>
      <c r="G44" s="619"/>
      <c r="H44" s="81" t="str">
        <f>VLOOKUP(306,Sprachindex!$A:$Z,Info!$O$7,FALSE)</f>
        <v>Dimension wählen:</v>
      </c>
      <c r="I44" s="624"/>
      <c r="J44" s="625"/>
      <c r="K44" s="625"/>
      <c r="L44" s="76" t="str">
        <f t="shared" si="6"/>
        <v xml:space="preserve"> </v>
      </c>
      <c r="M44" s="399" t="str">
        <f t="shared" si="3"/>
        <v>Stk.</v>
      </c>
      <c r="N44" s="77"/>
      <c r="O44" s="184" t="str">
        <f>IF(ISNUMBER(A44),$L44*Q44, "")</f>
        <v/>
      </c>
      <c r="Q44" s="129" t="str">
        <f>IF(I44=U44,R44,IF(I44=X44,S44," "))</f>
        <v xml:space="preserve"> </v>
      </c>
      <c r="R44" s="182">
        <v>53.71</v>
      </c>
      <c r="S44" s="182">
        <v>70.05</v>
      </c>
      <c r="T44" s="179"/>
      <c r="U44" s="179" t="s">
        <v>1612</v>
      </c>
      <c r="V44" s="179"/>
      <c r="W44" s="179"/>
      <c r="X44" s="179" t="s">
        <v>1613</v>
      </c>
      <c r="Y44" s="179"/>
      <c r="Z44" s="179"/>
      <c r="AA44" s="179"/>
      <c r="AB44" s="68"/>
      <c r="AC44" s="1"/>
      <c r="AD44" s="139">
        <f t="shared" si="0"/>
        <v>0</v>
      </c>
      <c r="AE44" s="139">
        <f t="shared" si="5"/>
        <v>0</v>
      </c>
      <c r="AF44" s="139">
        <v>1</v>
      </c>
      <c r="AG44" s="139">
        <v>1</v>
      </c>
      <c r="AH44" s="56">
        <v>231002</v>
      </c>
      <c r="AI44" s="56">
        <v>231000</v>
      </c>
      <c r="AJ44" s="56" t="s">
        <v>2349</v>
      </c>
      <c r="AK44" s="56">
        <v>231001</v>
      </c>
      <c r="AL44" s="56" t="s">
        <v>2349</v>
      </c>
      <c r="AM44" s="56" t="s">
        <v>2349</v>
      </c>
      <c r="AN44" s="56" t="s">
        <v>2349</v>
      </c>
      <c r="AO44" s="58" t="e" vm="2">
        <f t="shared" si="7"/>
        <v>#VALUE!</v>
      </c>
      <c r="AP44" s="56">
        <v>231022</v>
      </c>
      <c r="AQ44" s="56">
        <v>231020</v>
      </c>
      <c r="AR44" s="56" t="s">
        <v>2349</v>
      </c>
      <c r="AS44" s="56">
        <v>231021</v>
      </c>
      <c r="AT44" s="56" t="s">
        <v>2349</v>
      </c>
      <c r="AU44" s="56" t="s">
        <v>2349</v>
      </c>
      <c r="AV44" s="56" t="s">
        <v>2349</v>
      </c>
      <c r="AW44" s="58" t="e" vm="2">
        <f t="shared" ref="AW44:AW45" si="10">VLOOKUP(AP44,AP44:AV44,$O$21,FALSE)</f>
        <v>#VALUE!</v>
      </c>
    </row>
    <row r="45" spans="1:53" ht="32.1" customHeight="1">
      <c r="A45" s="93"/>
      <c r="B45" s="76" t="str">
        <f>VLOOKUP(878,Sprachindex!$A:$Z,Info!$O$7,FALSE)</f>
        <v>Stk.</v>
      </c>
      <c r="C45" s="75"/>
      <c r="D45" s="75" t="str">
        <f>IF(I45=Formeln_RI_P.10!A143,AO45,IF(I45=Formeln_RI_P.10!A144,AW45,""))</f>
        <v/>
      </c>
      <c r="E45" s="618" t="str">
        <f>VLOOKUP(1890,Sprachindex!$A:$Z,Info!$O$7,FALSE)</f>
        <v>Quadratrohr 100 mm, Kessel</v>
      </c>
      <c r="F45" s="619"/>
      <c r="G45" s="619"/>
      <c r="H45" s="81" t="str">
        <f>VLOOKUP(306,Sprachindex!$A:$Z,Info!$O$7,FALSE)</f>
        <v>Dimension wählen:</v>
      </c>
      <c r="I45" s="624"/>
      <c r="J45" s="625"/>
      <c r="K45" s="625"/>
      <c r="L45" s="76" t="str">
        <f t="shared" si="6"/>
        <v xml:space="preserve"> </v>
      </c>
      <c r="M45" s="399" t="str">
        <f t="shared" si="3"/>
        <v>Stk.</v>
      </c>
      <c r="N45" s="77"/>
      <c r="O45" s="184" t="str">
        <f>IF(ISNUMBER(A45),$L45*Q45, "")</f>
        <v/>
      </c>
      <c r="Q45" s="129" t="str">
        <f>IF(I45=U45,R45,IF(I45=X45,S45," "))</f>
        <v xml:space="preserve"> </v>
      </c>
      <c r="R45" s="182">
        <v>71.64</v>
      </c>
      <c r="S45" s="182">
        <v>73.25</v>
      </c>
      <c r="T45" s="179"/>
      <c r="U45" s="179" t="s">
        <v>1614</v>
      </c>
      <c r="V45" s="179"/>
      <c r="W45" s="179"/>
      <c r="X45" s="179" t="s">
        <v>1615</v>
      </c>
      <c r="Y45" s="179"/>
      <c r="Z45" s="179"/>
      <c r="AA45" s="179"/>
      <c r="AB45" s="68"/>
      <c r="AC45" s="1"/>
      <c r="AD45" s="139" t="e">
        <f t="shared" si="0"/>
        <v>#VALUE!</v>
      </c>
      <c r="AE45" s="139">
        <f t="shared" si="5"/>
        <v>0</v>
      </c>
      <c r="AF45" s="139" t="str">
        <f>IF(I45=Formeln_RI_P.10!$A$138,"",1)</f>
        <v/>
      </c>
      <c r="AG45" s="139">
        <v>1</v>
      </c>
      <c r="AH45" s="56">
        <v>230501</v>
      </c>
      <c r="AI45" s="56">
        <v>230500</v>
      </c>
      <c r="AJ45" s="56">
        <v>230504</v>
      </c>
      <c r="AK45" s="56">
        <v>230502</v>
      </c>
      <c r="AL45" s="56">
        <v>230505</v>
      </c>
      <c r="AM45" s="56">
        <v>230506</v>
      </c>
      <c r="AN45" s="56">
        <v>230503</v>
      </c>
      <c r="AO45" s="58" t="e" vm="2">
        <f t="shared" si="7"/>
        <v>#VALUE!</v>
      </c>
      <c r="AP45" s="56">
        <v>230521</v>
      </c>
      <c r="AQ45" s="56">
        <v>230520</v>
      </c>
      <c r="AR45" s="56">
        <v>230524</v>
      </c>
      <c r="AS45" s="56">
        <v>230522</v>
      </c>
      <c r="AT45" s="56">
        <v>230525</v>
      </c>
      <c r="AU45" s="56">
        <v>230526</v>
      </c>
      <c r="AV45" s="56">
        <v>230523</v>
      </c>
      <c r="AW45" s="58" t="e" vm="2">
        <f t="shared" si="10"/>
        <v>#VALUE!</v>
      </c>
    </row>
    <row r="46" spans="1:53" ht="32.1" customHeight="1">
      <c r="A46" s="93"/>
      <c r="B46" s="76" t="str">
        <f>VLOOKUP(878,Sprachindex!$A:$Z,Info!$O$7,FALSE)</f>
        <v>Stk.</v>
      </c>
      <c r="C46" s="75"/>
      <c r="D46" s="75" t="str">
        <f t="shared" ref="D46:D51" si="11">IF(ISNUMBER(A46),AO46,"")</f>
        <v/>
      </c>
      <c r="E46" s="618" t="str">
        <f>VLOOKUP(1891,Sprachindex!$A:$Z,Info!$O$7,FALSE)</f>
        <v>Quadratrohr 80 mm, Speiereinmündung</v>
      </c>
      <c r="F46" s="619"/>
      <c r="G46" s="619"/>
      <c r="H46" s="619"/>
      <c r="I46" s="619"/>
      <c r="J46" s="619"/>
      <c r="K46" s="620"/>
      <c r="L46" s="76" t="str">
        <f t="shared" si="6"/>
        <v xml:space="preserve"> </v>
      </c>
      <c r="M46" s="399" t="str">
        <f t="shared" si="3"/>
        <v>Stk.</v>
      </c>
      <c r="N46" s="77"/>
      <c r="O46" s="184" t="str">
        <f>IF(ISNUMBER(A46),$L46*R46, "")</f>
        <v/>
      </c>
      <c r="R46" s="182">
        <v>255.65</v>
      </c>
      <c r="S46" s="179"/>
      <c r="T46" s="179"/>
      <c r="U46" s="179"/>
      <c r="V46" s="179"/>
      <c r="W46" s="179"/>
      <c r="X46" s="179"/>
      <c r="Y46" s="179"/>
      <c r="Z46" s="179"/>
      <c r="AA46" s="179"/>
      <c r="AB46" s="68"/>
      <c r="AC46" s="1"/>
      <c r="AD46" s="139">
        <f t="shared" si="0"/>
        <v>0</v>
      </c>
      <c r="AE46" s="139">
        <f t="shared" si="5"/>
        <v>0</v>
      </c>
      <c r="AF46" s="139">
        <v>1</v>
      </c>
      <c r="AG46" s="139">
        <v>1</v>
      </c>
      <c r="AH46" s="176" t="s">
        <v>1616</v>
      </c>
      <c r="AI46" s="176" t="s">
        <v>1617</v>
      </c>
      <c r="AJ46" s="56" t="s">
        <v>2349</v>
      </c>
      <c r="AK46" s="176" t="s">
        <v>1618</v>
      </c>
      <c r="AL46" s="56" t="s">
        <v>2349</v>
      </c>
      <c r="AM46" s="56" t="s">
        <v>2349</v>
      </c>
      <c r="AN46" s="56" t="s">
        <v>2349</v>
      </c>
      <c r="AO46" s="58" t="e" vm="2">
        <f t="shared" si="7"/>
        <v>#VALUE!</v>
      </c>
    </row>
    <row r="47" spans="1:53" ht="32.1" customHeight="1">
      <c r="A47" s="93"/>
      <c r="B47" s="76" t="str">
        <f>VLOOKUP(878,Sprachindex!$A:$Z,Info!$O$7,FALSE)</f>
        <v>Stk.</v>
      </c>
      <c r="C47" s="75"/>
      <c r="D47" s="75" t="str">
        <f t="shared" si="11"/>
        <v/>
      </c>
      <c r="E47" s="618" t="str">
        <f>VLOOKUP(1892,Sprachindex!$A:$Z,Info!$O$7,FALSE)</f>
        <v>Quadratrohr 100 mm, Speiereinmündung</v>
      </c>
      <c r="F47" s="619"/>
      <c r="G47" s="619"/>
      <c r="H47" s="619"/>
      <c r="I47" s="619"/>
      <c r="J47" s="619"/>
      <c r="K47" s="620"/>
      <c r="L47" s="76" t="str">
        <f t="shared" si="6"/>
        <v xml:space="preserve"> </v>
      </c>
      <c r="M47" s="399" t="str">
        <f t="shared" si="3"/>
        <v>Stk.</v>
      </c>
      <c r="N47" s="77"/>
      <c r="O47" s="184" t="str">
        <f>IF(ISNUMBER(A47),$L47*R47, "")</f>
        <v/>
      </c>
      <c r="R47" s="182">
        <v>255.65</v>
      </c>
      <c r="S47" s="179"/>
      <c r="T47" s="179"/>
      <c r="U47" s="179"/>
      <c r="V47" s="179"/>
      <c r="W47" s="179"/>
      <c r="X47" s="179"/>
      <c r="Y47" s="179"/>
      <c r="Z47" s="179"/>
      <c r="AA47" s="179"/>
      <c r="AB47" s="68"/>
      <c r="AC47" s="1"/>
      <c r="AD47" s="139">
        <f t="shared" si="0"/>
        <v>0</v>
      </c>
      <c r="AE47" s="139">
        <f t="shared" si="5"/>
        <v>0</v>
      </c>
      <c r="AF47" s="139">
        <v>1</v>
      </c>
      <c r="AG47" s="139">
        <v>1</v>
      </c>
      <c r="AH47" s="56" t="s">
        <v>1619</v>
      </c>
      <c r="AI47" s="56" t="s">
        <v>1620</v>
      </c>
      <c r="AJ47" s="56" t="s">
        <v>1621</v>
      </c>
      <c r="AK47" s="56" t="s">
        <v>1622</v>
      </c>
      <c r="AL47" s="56" t="s">
        <v>1623</v>
      </c>
      <c r="AM47" s="56" t="s">
        <v>1624</v>
      </c>
      <c r="AN47" s="56" t="s">
        <v>1625</v>
      </c>
      <c r="AO47" s="58" t="e" vm="2">
        <f t="shared" si="7"/>
        <v>#VALUE!</v>
      </c>
    </row>
    <row r="48" spans="1:53" ht="32.1" customHeight="1">
      <c r="A48" s="93"/>
      <c r="B48" s="76" t="str">
        <f>VLOOKUP(878,Sprachindex!$A:$Z,Info!$O$7,FALSE)</f>
        <v>Stk.</v>
      </c>
      <c r="C48" s="75"/>
      <c r="D48" s="75" t="str">
        <f t="shared" si="11"/>
        <v/>
      </c>
      <c r="E48" s="618" t="str">
        <f>VLOOKUP(1895,Sprachindex!$A:$Z,Info!$O$7,FALSE)</f>
        <v>Quadratrohr 80 mm, mit Reinigungsöffnung</v>
      </c>
      <c r="F48" s="619"/>
      <c r="G48" s="619"/>
      <c r="H48" s="619"/>
      <c r="I48" s="619"/>
      <c r="J48" s="619"/>
      <c r="K48" s="620"/>
      <c r="L48" s="76" t="str">
        <f t="shared" si="6"/>
        <v xml:space="preserve"> </v>
      </c>
      <c r="M48" s="399" t="str">
        <f t="shared" si="3"/>
        <v>Stk.</v>
      </c>
      <c r="N48" s="77"/>
      <c r="O48" s="184" t="str">
        <f>IF(ISNUMBER(A48),$L48*R48, "")</f>
        <v/>
      </c>
      <c r="R48" s="182">
        <v>104.75</v>
      </c>
      <c r="S48" s="179"/>
      <c r="T48" s="179"/>
      <c r="U48" s="179"/>
      <c r="V48" s="179"/>
      <c r="W48" s="179"/>
      <c r="X48" s="179"/>
      <c r="Y48" s="179"/>
      <c r="Z48" s="179"/>
      <c r="AA48" s="179"/>
      <c r="AB48" s="68"/>
      <c r="AC48" s="1"/>
      <c r="AD48" s="139">
        <f t="shared" si="0"/>
        <v>0</v>
      </c>
      <c r="AE48" s="139">
        <f t="shared" si="5"/>
        <v>0</v>
      </c>
      <c r="AF48" s="139">
        <v>1</v>
      </c>
      <c r="AG48" s="139">
        <v>1</v>
      </c>
      <c r="AH48" s="56" t="s">
        <v>1626</v>
      </c>
      <c r="AI48" s="56" t="s">
        <v>1627</v>
      </c>
      <c r="AJ48" s="56" t="s">
        <v>2349</v>
      </c>
      <c r="AK48" s="56" t="s">
        <v>1628</v>
      </c>
      <c r="AL48" s="56" t="s">
        <v>2349</v>
      </c>
      <c r="AM48" s="56" t="s">
        <v>2349</v>
      </c>
      <c r="AN48" s="56" t="s">
        <v>2349</v>
      </c>
      <c r="AO48" s="58" t="e" vm="2">
        <f t="shared" si="7"/>
        <v>#VALUE!</v>
      </c>
    </row>
    <row r="49" spans="1:49" ht="32.1" customHeight="1">
      <c r="A49" s="93"/>
      <c r="B49" s="76" t="str">
        <f>VLOOKUP(878,Sprachindex!$A:$Z,Info!$O$7,FALSE)</f>
        <v>Stk.</v>
      </c>
      <c r="C49" s="75"/>
      <c r="D49" s="75" t="str">
        <f t="shared" si="11"/>
        <v/>
      </c>
      <c r="E49" s="618" t="str">
        <f>VLOOKUP(1896,Sprachindex!$A:$Z,Info!$O$7,FALSE)</f>
        <v>Quadratrohr 100 mm, mit Reinigungsöffnung</v>
      </c>
      <c r="F49" s="619"/>
      <c r="G49" s="619"/>
      <c r="H49" s="619"/>
      <c r="I49" s="619"/>
      <c r="J49" s="619"/>
      <c r="K49" s="620"/>
      <c r="L49" s="76" t="str">
        <f t="shared" si="6"/>
        <v xml:space="preserve"> </v>
      </c>
      <c r="M49" s="399" t="str">
        <f t="shared" si="3"/>
        <v>Stk.</v>
      </c>
      <c r="N49" s="77"/>
      <c r="O49" s="184" t="str">
        <f>IF(ISNUMBER(L49),$L49*R49, "")</f>
        <v/>
      </c>
      <c r="R49" s="182">
        <v>120.41</v>
      </c>
      <c r="S49" s="179"/>
      <c r="T49" s="179"/>
      <c r="U49" s="179"/>
      <c r="V49" s="179"/>
      <c r="W49" s="179"/>
      <c r="X49" s="179"/>
      <c r="Y49" s="179"/>
      <c r="Z49" s="179"/>
      <c r="AA49" s="179"/>
      <c r="AB49" s="68"/>
      <c r="AC49" s="1"/>
      <c r="AD49" s="139">
        <f t="shared" si="0"/>
        <v>0</v>
      </c>
      <c r="AE49" s="139">
        <f t="shared" si="5"/>
        <v>0</v>
      </c>
      <c r="AF49" s="139">
        <v>1</v>
      </c>
      <c r="AG49" s="139">
        <v>1</v>
      </c>
      <c r="AH49" s="56" t="s">
        <v>1629</v>
      </c>
      <c r="AI49" s="56" t="s">
        <v>1630</v>
      </c>
      <c r="AJ49" s="56" t="s">
        <v>418</v>
      </c>
      <c r="AK49" s="56" t="s">
        <v>1631</v>
      </c>
      <c r="AL49" s="56" t="s">
        <v>1632</v>
      </c>
      <c r="AM49" s="56" t="s">
        <v>1633</v>
      </c>
      <c r="AN49" s="56" t="s">
        <v>1634</v>
      </c>
      <c r="AO49" s="58" t="e" vm="2">
        <f t="shared" si="7"/>
        <v>#VALUE!</v>
      </c>
    </row>
    <row r="50" spans="1:49" ht="32.1" customHeight="1">
      <c r="A50" s="93"/>
      <c r="B50" s="76" t="str">
        <f>VLOOKUP(878,Sprachindex!$A:$Z,Info!$O$7,FALSE)</f>
        <v>Stk.</v>
      </c>
      <c r="C50" s="75"/>
      <c r="D50" s="75" t="str">
        <f>IF($O$21=1,AJ50,IF($O$21=2,AH50,IF($O$21=3,AQ50,IF($O$21=4,AN50,IF($O$21=5,AO50,IF($O$21=6,AP50,IF($O$21=7,AK50,IF($O$21=8,AR50,IF($O$21=9,AL50,IF($O$21=10,AS50,IF($O$21=11,AM50,IF($O$21=12,AI50,""))))))))))))</f>
        <v/>
      </c>
      <c r="E50" s="618" t="str">
        <f>VLOOKUP(1897,Sprachindex!$A:$Z,Info!$O$7,FALSE)</f>
        <v>Wassersammler für Quadratrohr 100 mm</v>
      </c>
      <c r="F50" s="619"/>
      <c r="G50" s="619"/>
      <c r="H50" s="619"/>
      <c r="I50" s="619"/>
      <c r="J50" s="619"/>
      <c r="K50" s="620"/>
      <c r="L50" s="76" t="str">
        <f t="shared" si="6"/>
        <v xml:space="preserve"> </v>
      </c>
      <c r="M50" s="399" t="str">
        <f t="shared" si="3"/>
        <v>Stk.</v>
      </c>
      <c r="N50" s="77"/>
      <c r="O50" s="184" t="str">
        <f>IF(ISNUMBER(L50),$L50*R50, "")</f>
        <v/>
      </c>
      <c r="R50" s="182">
        <v>168.51</v>
      </c>
      <c r="S50" s="179"/>
      <c r="T50" s="179"/>
      <c r="U50" s="179"/>
      <c r="V50" s="179"/>
      <c r="W50" s="179"/>
      <c r="X50" s="179"/>
      <c r="Y50" s="179"/>
      <c r="Z50" s="179"/>
      <c r="AA50" s="179"/>
      <c r="AB50" s="68"/>
      <c r="AC50" s="1"/>
      <c r="AD50" s="139">
        <f t="shared" si="0"/>
        <v>0</v>
      </c>
      <c r="AE50" s="139">
        <f t="shared" si="5"/>
        <v>0</v>
      </c>
      <c r="AF50" s="139">
        <v>1</v>
      </c>
      <c r="AG50" s="139">
        <v>1</v>
      </c>
      <c r="AH50" s="56" t="s">
        <v>1635</v>
      </c>
      <c r="AI50" s="56" t="s">
        <v>1636</v>
      </c>
      <c r="AJ50" s="56" t="s">
        <v>2349</v>
      </c>
      <c r="AK50" s="56" t="s">
        <v>1637</v>
      </c>
      <c r="AL50" s="56" t="s">
        <v>2349</v>
      </c>
      <c r="AM50" s="56" t="s">
        <v>2349</v>
      </c>
      <c r="AN50" s="56" t="s">
        <v>2349</v>
      </c>
      <c r="AO50" s="58" t="e" vm="2">
        <f t="shared" si="7"/>
        <v>#VALUE!</v>
      </c>
    </row>
    <row r="51" spans="1:49" ht="32.1" customHeight="1">
      <c r="A51" s="93"/>
      <c r="B51" s="76" t="str">
        <f>VLOOKUP(878,Sprachindex!$A:$Z,Info!$O$7,FALSE)</f>
        <v>Stk.</v>
      </c>
      <c r="C51" s="75"/>
      <c r="D51" s="75" t="str">
        <f t="shared" si="11"/>
        <v/>
      </c>
      <c r="E51" s="618" t="str">
        <f>VLOOKUP(654,Sprachindex!$A:$Z,Info!$O$7,FALSE)</f>
        <v>Patentniete</v>
      </c>
      <c r="F51" s="619"/>
      <c r="G51" s="619"/>
      <c r="H51" s="619"/>
      <c r="I51" s="619"/>
      <c r="J51" s="681" t="s">
        <v>1461</v>
      </c>
      <c r="K51" s="682"/>
      <c r="L51" s="76" t="str">
        <f>IF(OR(A51="",AF51="",AG51="")," ",IF($O$11=1,$AD51,IF($O$11=2,AE51,0)))</f>
        <v xml:space="preserve"> </v>
      </c>
      <c r="M51" s="399" t="str">
        <f t="shared" si="3"/>
        <v>Stk.</v>
      </c>
      <c r="N51" s="77"/>
      <c r="O51" s="184" t="str">
        <f>IF(ISNUMBER(A51),$L51*R51, "")</f>
        <v/>
      </c>
      <c r="R51" s="182">
        <v>0.19</v>
      </c>
      <c r="S51" s="179"/>
      <c r="T51" s="179"/>
      <c r="U51" s="179"/>
      <c r="V51" s="179"/>
      <c r="W51" s="179"/>
      <c r="X51" s="179"/>
      <c r="Y51" s="179"/>
      <c r="Z51" s="179"/>
      <c r="AA51" s="179"/>
      <c r="AB51" s="68"/>
      <c r="AC51" s="1"/>
      <c r="AD51" s="139">
        <f t="shared" si="0"/>
        <v>0</v>
      </c>
      <c r="AE51" s="139">
        <f t="shared" si="5"/>
        <v>0</v>
      </c>
      <c r="AF51" s="139">
        <v>1000</v>
      </c>
      <c r="AG51" s="139">
        <v>1</v>
      </c>
      <c r="AH51" s="56" t="s">
        <v>1462</v>
      </c>
      <c r="AI51" s="56" t="s">
        <v>1463</v>
      </c>
      <c r="AJ51" s="56" t="s">
        <v>1464</v>
      </c>
      <c r="AK51" s="56" t="s">
        <v>1465</v>
      </c>
      <c r="AL51" s="56" t="s">
        <v>1466</v>
      </c>
      <c r="AM51" s="56" t="s">
        <v>1467</v>
      </c>
      <c r="AN51" s="56" t="s">
        <v>1468</v>
      </c>
      <c r="AO51" s="58" t="e" vm="2">
        <f t="shared" si="7"/>
        <v>#VALUE!</v>
      </c>
    </row>
    <row r="52" spans="1:49" ht="32.1" customHeight="1">
      <c r="A52" s="93"/>
      <c r="B52" s="76" t="str">
        <f>VLOOKUP(878,Sprachindex!$A:$Z,Info!$O$7,FALSE)</f>
        <v>Stk.</v>
      </c>
      <c r="C52" s="75"/>
      <c r="D52" s="75">
        <f>IF(J52=Formeln_RI_P.10!B146,345030,IF(J52=Formeln_RI_P.10!B147,345031,IF(J52=Formeln_RI_P.10!B148,345032,IF(J52=Formeln_RI_P.10!B145,345033,""))))</f>
        <v>345033</v>
      </c>
      <c r="E52" s="618" t="str">
        <f>VLOOKUP(744,Sprachindex!$A:$Z,Info!$O$7,FALSE)</f>
        <v>Rohrschellendorn für WDVS-Rohrschellendübel ⌀ 10</v>
      </c>
      <c r="F52" s="619"/>
      <c r="G52" s="619"/>
      <c r="H52" s="619"/>
      <c r="I52" s="81" t="str">
        <f>VLOOKUP(556,Sprachindex!$A:$Z,Info!$O$7,FALSE)</f>
        <v>Länge wählen:</v>
      </c>
      <c r="J52" s="631"/>
      <c r="K52" s="706"/>
      <c r="L52" s="76" t="str">
        <f>IF(A52=""," ",IF($O$11=1,AD52,IF($O$11=2,AE52,0)))</f>
        <v xml:space="preserve"> </v>
      </c>
      <c r="M52" s="399" t="str">
        <f t="shared" si="3"/>
        <v>Stk.</v>
      </c>
      <c r="N52" s="77"/>
      <c r="O52" s="184" t="str">
        <f>IF(ISNUMBER(A52),$L52*Q52, "")</f>
        <v/>
      </c>
      <c r="Q52" s="129" t="str">
        <f>IF(J52=W52,R52,IF(J52=X52,S52,IF(J52=Y52,T52," ")))</f>
        <v xml:space="preserve"> </v>
      </c>
      <c r="R52" s="182">
        <v>1.67</v>
      </c>
      <c r="S52" s="182">
        <v>2.04</v>
      </c>
      <c r="T52" s="182">
        <v>4.34</v>
      </c>
      <c r="U52" s="179"/>
      <c r="V52" s="179"/>
      <c r="W52" s="179" t="s">
        <v>1639</v>
      </c>
      <c r="X52" s="179" t="s">
        <v>1640</v>
      </c>
      <c r="Y52" s="179" t="s">
        <v>1638</v>
      </c>
      <c r="Z52" s="179"/>
      <c r="AA52" s="179"/>
      <c r="AB52" s="68"/>
      <c r="AC52" s="1"/>
      <c r="AD52" s="139">
        <f t="shared" si="0"/>
        <v>0</v>
      </c>
      <c r="AE52" s="139">
        <f t="shared" si="5"/>
        <v>0</v>
      </c>
      <c r="AF52" s="139">
        <v>25</v>
      </c>
      <c r="AG52" s="139">
        <v>1</v>
      </c>
      <c r="AH52" s="175" t="s">
        <v>1526</v>
      </c>
      <c r="AI52" s="175" t="s">
        <v>95</v>
      </c>
      <c r="AJ52" s="175" t="s">
        <v>1527</v>
      </c>
      <c r="AK52" s="175" t="s">
        <v>44</v>
      </c>
      <c r="AL52" s="175" t="s">
        <v>1528</v>
      </c>
      <c r="AM52" s="165" t="s">
        <v>1529</v>
      </c>
      <c r="AN52" s="165" t="s">
        <v>1460</v>
      </c>
      <c r="AP52" s="175" t="s">
        <v>1526</v>
      </c>
      <c r="AQ52" s="175" t="s">
        <v>95</v>
      </c>
      <c r="AR52" s="175" t="s">
        <v>1527</v>
      </c>
      <c r="AS52" s="175" t="s">
        <v>44</v>
      </c>
      <c r="AT52" s="175" t="s">
        <v>1528</v>
      </c>
      <c r="AU52" s="165" t="s">
        <v>1529</v>
      </c>
      <c r="AV52" s="165" t="s">
        <v>1460</v>
      </c>
    </row>
    <row r="53" spans="1:49" ht="32.1" customHeight="1">
      <c r="A53" s="103"/>
      <c r="B53" s="76" t="str">
        <f>VLOOKUP(878,Sprachindex!$A:$Z,Info!$O$7,FALSE)</f>
        <v>Stk.</v>
      </c>
      <c r="C53" s="75"/>
      <c r="D53" s="75">
        <v>345033</v>
      </c>
      <c r="E53" s="618" t="str">
        <f>VLOOKUP(743,Sprachindex!$A:$Z,Info!$O$7,FALSE)</f>
        <v>Rohrschellendorn</v>
      </c>
      <c r="F53" s="619"/>
      <c r="G53" s="619"/>
      <c r="H53" s="619"/>
      <c r="I53" s="619"/>
      <c r="J53" s="681" t="s">
        <v>29559</v>
      </c>
      <c r="K53" s="682"/>
      <c r="L53" s="76" t="str">
        <f t="shared" si="6"/>
        <v xml:space="preserve"> </v>
      </c>
      <c r="M53" s="405" t="str">
        <f t="shared" si="3"/>
        <v>Stk.</v>
      </c>
      <c r="N53" s="77"/>
      <c r="O53" s="184" t="str">
        <f>IF(ISNUMBER(A53),R53*L53," ")</f>
        <v xml:space="preserve"> </v>
      </c>
      <c r="R53" s="182">
        <v>1.56</v>
      </c>
      <c r="S53" s="179"/>
      <c r="T53" s="179"/>
      <c r="U53" s="179"/>
      <c r="V53" s="179"/>
      <c r="W53" s="179"/>
      <c r="X53" s="179"/>
      <c r="Y53" s="179"/>
      <c r="Z53" s="179"/>
      <c r="AA53" s="179"/>
      <c r="AB53" s="68"/>
      <c r="AC53" s="1"/>
      <c r="AD53" s="139">
        <f>ROUNDUP($A53/AF53,0)*AF53</f>
        <v>0</v>
      </c>
      <c r="AE53" s="139">
        <f>ROUNDUP($A53/AG53,0)*AG53</f>
        <v>0</v>
      </c>
      <c r="AF53" s="139">
        <f>IF(J53=AC53,"",25)</f>
        <v>25</v>
      </c>
      <c r="AG53" s="139">
        <v>1</v>
      </c>
      <c r="AH53" s="165"/>
      <c r="AI53" s="165"/>
      <c r="AJ53" s="165"/>
      <c r="AK53" s="165"/>
      <c r="AL53" s="165"/>
      <c r="AM53" s="165"/>
      <c r="AN53" s="165"/>
      <c r="AP53" s="165"/>
      <c r="AQ53" s="165"/>
      <c r="AR53" s="165"/>
      <c r="AS53" s="165"/>
      <c r="AT53" s="165"/>
      <c r="AU53" s="165"/>
      <c r="AV53" s="165"/>
    </row>
    <row r="54" spans="1:49" ht="32.1" customHeight="1">
      <c r="A54" s="93"/>
      <c r="B54" s="76" t="str">
        <f>VLOOKUP(878,Sprachindex!$A:$Z,Info!$O$7,FALSE)</f>
        <v>Stk.</v>
      </c>
      <c r="C54" s="75"/>
      <c r="D54" s="75" t="str">
        <f>IF(J54=Formeln_RI_P.10!A273,345040,IF(J54=Formeln_RI_P.10!A274,345041,IF(J54=Formeln_RI_P.10!A275,345042,"")))</f>
        <v/>
      </c>
      <c r="E54" s="618" t="str">
        <f>VLOOKUP(745,Sprachindex!$A:$Z,Info!$O$7,FALSE)</f>
        <v>WDVS-Rohrschellendübel ⌀ 10</v>
      </c>
      <c r="F54" s="619"/>
      <c r="G54" s="619"/>
      <c r="H54" s="619"/>
      <c r="I54" s="81" t="str">
        <f>VLOOKUP(556,Sprachindex!$A:$Z,Info!$O$7,FALSE)</f>
        <v>Länge wählen:</v>
      </c>
      <c r="J54" s="631"/>
      <c r="K54" s="706"/>
      <c r="L54" s="76" t="str">
        <f t="shared" si="6"/>
        <v xml:space="preserve"> </v>
      </c>
      <c r="M54" s="399" t="str">
        <f t="shared" si="3"/>
        <v>Stk.</v>
      </c>
      <c r="N54" s="77"/>
      <c r="O54" s="184" t="str">
        <f>IF(ISNUMBER(A54),$L54*Q54, "")</f>
        <v/>
      </c>
      <c r="Q54" s="129" t="str">
        <f>IF(J54=V54,R54,IF(J54=X54,S54,IF(J54=Z54,T54," ")))</f>
        <v xml:space="preserve"> </v>
      </c>
      <c r="R54" s="182">
        <v>1.19</v>
      </c>
      <c r="S54" s="182">
        <v>1.39</v>
      </c>
      <c r="T54" s="182">
        <v>1.6</v>
      </c>
      <c r="U54" s="179"/>
      <c r="V54" s="300" t="s">
        <v>1033</v>
      </c>
      <c r="W54" s="179"/>
      <c r="X54" s="300" t="s">
        <v>1034</v>
      </c>
      <c r="Z54" s="300" t="s">
        <v>1035</v>
      </c>
      <c r="AA54" s="179"/>
      <c r="AB54" s="68"/>
      <c r="AC54" s="1"/>
      <c r="AD54" s="139" t="e">
        <f t="shared" si="0"/>
        <v>#VALUE!</v>
      </c>
      <c r="AE54" s="139">
        <f t="shared" si="5"/>
        <v>0</v>
      </c>
      <c r="AF54" s="139" t="str">
        <f>IF(J54=Formeln_RI_P.10!$A$272,"",25)</f>
        <v/>
      </c>
      <c r="AG54" s="139">
        <v>1</v>
      </c>
    </row>
    <row r="55" spans="1:49" ht="32.1" customHeight="1">
      <c r="A55" s="93"/>
      <c r="B55" s="76" t="str">
        <f>VLOOKUP(878,Sprachindex!$A:$Z,Info!$O$7,FALSE)</f>
        <v>Stk.</v>
      </c>
      <c r="C55" s="75"/>
      <c r="D55" s="75">
        <v>345015</v>
      </c>
      <c r="E55" s="618" t="str">
        <f>VLOOKUP(587,Sprachindex!$A:$Z,Info!$O$7,FALSE)</f>
        <v>M10-Gewindedorn</v>
      </c>
      <c r="F55" s="619"/>
      <c r="G55" s="619"/>
      <c r="H55" s="619"/>
      <c r="I55" s="619"/>
      <c r="J55" s="681" t="str">
        <f>VLOOKUP(64,Sprachindex!$A:$Z,Info!$O$7,FALSE)</f>
        <v>195 mm lang</v>
      </c>
      <c r="K55" s="682"/>
      <c r="L55" s="76" t="str">
        <f t="shared" si="6"/>
        <v xml:space="preserve"> </v>
      </c>
      <c r="M55" s="399" t="str">
        <f t="shared" si="3"/>
        <v>Stk.</v>
      </c>
      <c r="N55" s="77"/>
      <c r="O55" s="184" t="str">
        <f>IF(ISNUMBER(A55),$L55*R55, "")</f>
        <v/>
      </c>
      <c r="R55" s="182">
        <v>3.3</v>
      </c>
      <c r="S55" s="179"/>
      <c r="T55" s="179"/>
      <c r="U55" s="179"/>
      <c r="V55" s="179"/>
      <c r="W55" s="179"/>
      <c r="X55" s="179"/>
      <c r="Y55" s="179"/>
      <c r="Z55" s="179"/>
      <c r="AA55" s="179"/>
      <c r="AB55" s="68"/>
      <c r="AC55" s="1"/>
      <c r="AD55" s="139">
        <f t="shared" si="0"/>
        <v>0</v>
      </c>
      <c r="AE55" s="139">
        <f t="shared" si="5"/>
        <v>0</v>
      </c>
      <c r="AF55" s="139">
        <v>100</v>
      </c>
      <c r="AG55" s="139">
        <v>1</v>
      </c>
    </row>
    <row r="56" spans="1:49" ht="32.1" customHeight="1">
      <c r="A56" s="93"/>
      <c r="B56" s="76" t="str">
        <f>VLOOKUP(878,Sprachindex!$A:$Z,Info!$O$7,FALSE)</f>
        <v>Stk.</v>
      </c>
      <c r="C56" s="75"/>
      <c r="D56" s="75" t="str">
        <f>IF(J56=Formeln_RI_P.10!A152,420305,IF(J56=Formeln_RI_P.10!A153,420306,""))</f>
        <v/>
      </c>
      <c r="E56" s="618" t="str">
        <f>VLOOKUP(746,Sprachindex!$A:$Z,Info!$O$7,FALSE)</f>
        <v>Rohrschellenhalter für WDVS</v>
      </c>
      <c r="F56" s="619"/>
      <c r="G56" s="619"/>
      <c r="H56" s="619"/>
      <c r="I56" s="81" t="str">
        <f>VLOOKUP(556,Sprachindex!$A:$Z,Info!$O$7,FALSE)</f>
        <v>Länge wählen:</v>
      </c>
      <c r="J56" s="631"/>
      <c r="K56" s="706"/>
      <c r="L56" s="76" t="str">
        <f t="shared" si="6"/>
        <v xml:space="preserve"> </v>
      </c>
      <c r="M56" s="399" t="str">
        <f t="shared" si="3"/>
        <v>Stk.</v>
      </c>
      <c r="N56" s="77"/>
      <c r="O56" s="184" t="str">
        <f>IF(ISNUMBER(A56),$L56*Q56, "")</f>
        <v/>
      </c>
      <c r="Q56" s="129" t="str">
        <f>IF(J56=V56,R56,IF(J56=X56,S56," "))</f>
        <v xml:space="preserve"> </v>
      </c>
      <c r="R56" s="182">
        <v>20.11</v>
      </c>
      <c r="S56" s="182">
        <v>21.49</v>
      </c>
      <c r="T56" s="179"/>
      <c r="U56" s="179"/>
      <c r="V56" s="300" t="s">
        <v>1036</v>
      </c>
      <c r="W56" s="179"/>
      <c r="X56" s="300" t="s">
        <v>1038</v>
      </c>
      <c r="Y56" s="179"/>
      <c r="Z56" s="179"/>
      <c r="AA56" s="179"/>
      <c r="AB56" s="68"/>
      <c r="AC56" s="1"/>
      <c r="AD56" s="139" t="e">
        <f t="shared" si="0"/>
        <v>#VALUE!</v>
      </c>
      <c r="AE56" s="139">
        <f t="shared" si="5"/>
        <v>0</v>
      </c>
      <c r="AF56" s="139" t="str">
        <f>IF(J56=Formeln_RI_P.10!$A$151,"",4)</f>
        <v/>
      </c>
      <c r="AG56" s="139">
        <v>1</v>
      </c>
      <c r="AH56" s="55" t="s">
        <v>1526</v>
      </c>
      <c r="AI56" s="55" t="s">
        <v>95</v>
      </c>
      <c r="AJ56" s="55" t="s">
        <v>1527</v>
      </c>
      <c r="AK56" s="55" t="s">
        <v>44</v>
      </c>
      <c r="AL56" s="55" t="s">
        <v>1528</v>
      </c>
      <c r="AM56" s="165" t="s">
        <v>1529</v>
      </c>
      <c r="AN56" s="165" t="s">
        <v>1460</v>
      </c>
      <c r="AO56" s="58" t="str">
        <f>IF($O$21=1,AH56,IF($O$21=2,AI56,IF($O$21=3,AJ56,"")))</f>
        <v/>
      </c>
      <c r="AP56" s="55" t="s">
        <v>1526</v>
      </c>
      <c r="AQ56" s="55" t="s">
        <v>95</v>
      </c>
      <c r="AR56" s="55" t="s">
        <v>1527</v>
      </c>
      <c r="AS56" s="55" t="s">
        <v>44</v>
      </c>
      <c r="AT56" s="55" t="s">
        <v>1528</v>
      </c>
      <c r="AU56" s="165" t="s">
        <v>1529</v>
      </c>
      <c r="AV56" s="165" t="s">
        <v>1460</v>
      </c>
    </row>
    <row r="57" spans="1:49" ht="32.1" customHeight="1">
      <c r="A57" s="93"/>
      <c r="B57" s="76" t="str">
        <f>VLOOKUP(878,Sprachindex!$A:$Z,Info!$O$7,FALSE)</f>
        <v>Stk.</v>
      </c>
      <c r="C57" s="75"/>
      <c r="D57" s="75" t="str">
        <f t="shared" ref="D57" si="12">IF(ISNUMBER(A57),AO57,"")</f>
        <v/>
      </c>
      <c r="E57" s="618" t="str">
        <f>VLOOKUP(1001,Sprachindex!$A:$Z,Info!$O$7,FALSE)</f>
        <v>Wandmontageplatte</v>
      </c>
      <c r="F57" s="619"/>
      <c r="G57" s="619"/>
      <c r="H57" s="619"/>
      <c r="I57" s="619"/>
      <c r="J57" s="681"/>
      <c r="K57" s="682"/>
      <c r="L57" s="76" t="str">
        <f t="shared" si="6"/>
        <v xml:space="preserve"> </v>
      </c>
      <c r="M57" s="399" t="str">
        <f t="shared" si="3"/>
        <v>Stk.</v>
      </c>
      <c r="N57" s="77"/>
      <c r="O57" s="184" t="str">
        <f>IF(ISNUMBER(A57),$L57*R57, "")</f>
        <v/>
      </c>
      <c r="R57" s="182">
        <v>9.99</v>
      </c>
      <c r="S57" s="179"/>
      <c r="T57" s="179"/>
      <c r="U57" s="179"/>
      <c r="V57" s="179"/>
      <c r="W57" s="179"/>
      <c r="X57" s="179"/>
      <c r="Y57" s="179"/>
      <c r="Z57" s="179"/>
      <c r="AA57" s="179"/>
      <c r="AB57" s="68"/>
      <c r="AC57" s="1"/>
      <c r="AD57" s="139">
        <f t="shared" si="0"/>
        <v>0</v>
      </c>
      <c r="AE57" s="139">
        <f t="shared" si="5"/>
        <v>0</v>
      </c>
      <c r="AF57" s="139">
        <v>10</v>
      </c>
      <c r="AG57" s="139">
        <v>1</v>
      </c>
      <c r="AH57" t="s">
        <v>1039</v>
      </c>
      <c r="AI57" t="s">
        <v>1040</v>
      </c>
      <c r="AJ57" t="s">
        <v>1641</v>
      </c>
      <c r="AK57" t="s">
        <v>1041</v>
      </c>
      <c r="AL57" t="s">
        <v>1042</v>
      </c>
      <c r="AM57" t="s">
        <v>1043</v>
      </c>
      <c r="AN57" t="s">
        <v>1044</v>
      </c>
      <c r="AO57" s="58" t="e" vm="2">
        <f t="shared" ref="AO57" si="13">VLOOKUP(AH57,AH57:AN57,$O$21,FALSE)</f>
        <v>#VALUE!</v>
      </c>
      <c r="AW57" s="58"/>
    </row>
    <row r="58" spans="1:49" ht="32.1" customHeight="1">
      <c r="A58" s="93"/>
      <c r="B58" s="76" t="str">
        <f>VLOOKUP(878,Sprachindex!$A:$Z,Info!$O$7,FALSE)</f>
        <v>Stk.</v>
      </c>
      <c r="C58" s="75"/>
      <c r="D58" s="75">
        <v>529502</v>
      </c>
      <c r="E58" s="618" t="str">
        <f>VLOOKUP(138,Sprachindex!$A:$Z,Info!$O$7,FALSE)</f>
        <v>Abdeckkappe für Rohrschellendorn</v>
      </c>
      <c r="F58" s="619"/>
      <c r="G58" s="619"/>
      <c r="H58" s="619"/>
      <c r="I58" s="619"/>
      <c r="J58" s="681"/>
      <c r="K58" s="682"/>
      <c r="L58" s="76" t="str">
        <f>IF(OR(A58="",AF58="",AG58="")," ",IF($O$11=1,AD58,IF($O$11=2,AE58,0)))</f>
        <v xml:space="preserve"> </v>
      </c>
      <c r="M58" s="399" t="str">
        <f t="shared" si="3"/>
        <v>Stk.</v>
      </c>
      <c r="N58" s="77"/>
      <c r="O58" s="184" t="str">
        <f>IF(ISNUMBER(A58),$L58*R58, "")</f>
        <v/>
      </c>
      <c r="R58" s="182">
        <v>0.63</v>
      </c>
      <c r="S58" s="179"/>
      <c r="T58" s="179"/>
      <c r="U58" s="179"/>
      <c r="V58" s="179"/>
      <c r="W58" s="179"/>
      <c r="X58" s="179"/>
      <c r="Y58" s="179"/>
      <c r="Z58" s="179"/>
      <c r="AA58" s="179"/>
      <c r="AB58" s="68"/>
      <c r="AC58" s="1"/>
      <c r="AD58" s="139">
        <f t="shared" si="0"/>
        <v>0</v>
      </c>
      <c r="AE58" s="139">
        <f t="shared" si="5"/>
        <v>0</v>
      </c>
      <c r="AF58" s="151">
        <v>25</v>
      </c>
      <c r="AG58" s="151">
        <v>1</v>
      </c>
    </row>
    <row r="59" spans="1:49" ht="32.1" customHeight="1">
      <c r="A59" s="93"/>
      <c r="B59" s="76" t="str">
        <f>VLOOKUP(878,Sprachindex!$A:$Z,Info!$O$7,FALSE)</f>
        <v>Stk.</v>
      </c>
      <c r="C59" s="75"/>
      <c r="D59" s="75" t="str">
        <f t="shared" ref="D59:D60" si="14">IF(ISNUMBER(A59),AO59,"")</f>
        <v/>
      </c>
      <c r="E59" s="618" t="str">
        <f>VLOOKUP(1877,Sprachindex!$A:$Z,Info!$O$7,FALSE)</f>
        <v>Ausbesserungslack</v>
      </c>
      <c r="F59" s="619"/>
      <c r="G59" s="619"/>
      <c r="H59" s="619"/>
      <c r="I59" s="619"/>
      <c r="J59" s="681" t="str">
        <f>VLOOKUP(1878,Sprachindex!$A:$Z,Info!$O$7,FALSE)</f>
        <v>12 ml</v>
      </c>
      <c r="K59" s="682"/>
      <c r="L59" s="76" t="str">
        <f t="shared" ref="L59:L65" si="15">IF(OR(A59="",AF59="",AG59="")," ",IF($O$11=1,$AD59,IF($O$11=2,AE59,0)))</f>
        <v xml:space="preserve"> </v>
      </c>
      <c r="M59" s="399" t="str">
        <f t="shared" si="3"/>
        <v>Stk.</v>
      </c>
      <c r="N59" s="77"/>
      <c r="O59" s="184" t="str">
        <f t="shared" ref="O59:O64" si="16">IF(ISNUMBER(A59),$L59*R59, "")</f>
        <v/>
      </c>
      <c r="R59" s="182">
        <v>6.19</v>
      </c>
      <c r="S59" s="179"/>
      <c r="T59" s="179"/>
      <c r="U59" s="179"/>
      <c r="V59" s="179"/>
      <c r="W59" s="179"/>
      <c r="X59" s="179"/>
      <c r="Y59" s="179"/>
      <c r="Z59" s="179"/>
      <c r="AA59" s="179"/>
      <c r="AB59" s="68"/>
      <c r="AC59" s="1"/>
      <c r="AD59" s="139">
        <f t="shared" ref="AD59:AE62" si="17">ROUNDUP($A59/AF59,0)*AF59</f>
        <v>0</v>
      </c>
      <c r="AE59" s="139">
        <f t="shared" si="17"/>
        <v>0</v>
      </c>
      <c r="AF59" s="139">
        <v>1</v>
      </c>
      <c r="AG59" s="139">
        <v>1</v>
      </c>
      <c r="AH59" s="1">
        <v>430151</v>
      </c>
      <c r="AI59" s="1">
        <v>430150</v>
      </c>
      <c r="AJ59" s="1">
        <v>430153</v>
      </c>
      <c r="AK59" s="1">
        <v>430152</v>
      </c>
      <c r="AL59" s="56" t="s">
        <v>2349</v>
      </c>
      <c r="AM59" s="1">
        <v>430154</v>
      </c>
      <c r="AN59" s="1">
        <v>430155</v>
      </c>
      <c r="AO59" s="58" t="e" vm="2">
        <f t="shared" ref="AO59:AO60" si="18">VLOOKUP(AH59,AH59:AN59,$O$21,FALSE)</f>
        <v>#VALUE!</v>
      </c>
    </row>
    <row r="60" spans="1:49" ht="32.1" customHeight="1">
      <c r="A60" s="93"/>
      <c r="B60" s="76" t="str">
        <f>VLOOKUP(878,Sprachindex!$A:$Z,Info!$O$7,FALSE)</f>
        <v>Stk.</v>
      </c>
      <c r="C60" s="75"/>
      <c r="D60" s="75" t="str">
        <f t="shared" si="14"/>
        <v/>
      </c>
      <c r="E60" s="618" t="str">
        <f>VLOOKUP(1879,Sprachindex!$A:$Z,Info!$O$7,FALSE)</f>
        <v>Ausbesserungsstift</v>
      </c>
      <c r="F60" s="619"/>
      <c r="G60" s="619"/>
      <c r="H60" s="619"/>
      <c r="I60" s="619"/>
      <c r="J60" s="681" t="str">
        <f>VLOOKUP(1880,Sprachindex!$A:$Z,Info!$O$7,FALSE)</f>
        <v>11 ml</v>
      </c>
      <c r="K60" s="682"/>
      <c r="L60" s="76" t="str">
        <f t="shared" si="15"/>
        <v xml:space="preserve"> </v>
      </c>
      <c r="M60" s="399" t="str">
        <f t="shared" si="3"/>
        <v>Stk.</v>
      </c>
      <c r="N60" s="77"/>
      <c r="O60" s="184" t="str">
        <f t="shared" si="16"/>
        <v/>
      </c>
      <c r="R60" s="182">
        <v>14.75</v>
      </c>
      <c r="S60" s="179"/>
      <c r="T60" s="179"/>
      <c r="U60" s="179"/>
      <c r="V60" s="179"/>
      <c r="W60" s="179"/>
      <c r="X60" s="179"/>
      <c r="Y60" s="179"/>
      <c r="Z60" s="179"/>
      <c r="AA60" s="179"/>
      <c r="AB60" s="68"/>
      <c r="AC60" s="1"/>
      <c r="AD60" s="139">
        <f t="shared" si="17"/>
        <v>0</v>
      </c>
      <c r="AE60" s="139">
        <f t="shared" si="17"/>
        <v>0</v>
      </c>
      <c r="AF60" s="139">
        <v>1</v>
      </c>
      <c r="AG60" s="139">
        <v>1</v>
      </c>
      <c r="AH60" s="1">
        <v>430201</v>
      </c>
      <c r="AI60" s="1">
        <v>430200</v>
      </c>
      <c r="AJ60" s="1">
        <v>430203</v>
      </c>
      <c r="AK60" s="1">
        <v>430202</v>
      </c>
      <c r="AL60" s="1">
        <v>430206</v>
      </c>
      <c r="AM60" s="1">
        <v>430204</v>
      </c>
      <c r="AN60" s="1">
        <v>430205</v>
      </c>
      <c r="AO60" s="58" t="e" vm="2">
        <f t="shared" si="18"/>
        <v>#VALUE!</v>
      </c>
    </row>
    <row r="61" spans="1:49" ht="32.1" customHeight="1">
      <c r="A61" s="93"/>
      <c r="B61" s="76" t="str">
        <f>VLOOKUP(878,Sprachindex!$A:$Z,Info!$O$7,FALSE)</f>
        <v>Stk.</v>
      </c>
      <c r="C61" s="75"/>
      <c r="D61" s="75">
        <v>425002</v>
      </c>
      <c r="E61" s="618" t="str">
        <f>VLOOKUP(167,Sprachindex!$A:$Z,Info!$O$7,FALSE)</f>
        <v>Aluminiumlötstäbe</v>
      </c>
      <c r="F61" s="619"/>
      <c r="G61" s="619"/>
      <c r="H61" s="619"/>
      <c r="I61" s="619"/>
      <c r="J61" s="681" t="str">
        <f>VLOOKUP(75,Sprachindex!$A:$Z,Info!$O$7,FALSE)</f>
        <v>250 g</v>
      </c>
      <c r="K61" s="682"/>
      <c r="L61" s="76" t="str">
        <f t="shared" si="15"/>
        <v xml:space="preserve"> </v>
      </c>
      <c r="M61" s="399" t="str">
        <f t="shared" si="3"/>
        <v>Stk.</v>
      </c>
      <c r="N61" s="77"/>
      <c r="O61" s="184" t="str">
        <f t="shared" si="16"/>
        <v/>
      </c>
      <c r="R61" s="182">
        <v>149.97</v>
      </c>
      <c r="S61" s="179"/>
      <c r="T61" s="179"/>
      <c r="U61" s="179"/>
      <c r="V61" s="179"/>
      <c r="W61" s="179"/>
      <c r="X61" s="179"/>
      <c r="Y61" s="179"/>
      <c r="Z61" s="179"/>
      <c r="AA61" s="179"/>
      <c r="AB61" s="68"/>
      <c r="AC61" s="1"/>
      <c r="AD61" s="139">
        <f t="shared" si="17"/>
        <v>0</v>
      </c>
      <c r="AE61" s="139">
        <f t="shared" si="17"/>
        <v>0</v>
      </c>
      <c r="AF61" s="139">
        <v>1</v>
      </c>
      <c r="AG61" s="139">
        <v>1</v>
      </c>
    </row>
    <row r="62" spans="1:49" ht="32.1" customHeight="1">
      <c r="A62" s="93"/>
      <c r="B62" s="76" t="str">
        <f>VLOOKUP(878,Sprachindex!$A:$Z,Info!$O$7,FALSE)</f>
        <v>Stk.</v>
      </c>
      <c r="C62" s="75"/>
      <c r="D62" s="75">
        <v>420006</v>
      </c>
      <c r="E62" s="618" t="str">
        <f>VLOOKUP(838,Sprachindex!$A:$Z,Info!$O$7,FALSE)</f>
        <v>Spezialsilikon</v>
      </c>
      <c r="F62" s="619"/>
      <c r="G62" s="619"/>
      <c r="H62" s="619"/>
      <c r="I62" s="619"/>
      <c r="J62" s="681" t="str">
        <f>VLOOKUP(86,Sprachindex!$A:$Z,Info!$O$7,FALSE)</f>
        <v>300 ml</v>
      </c>
      <c r="K62" s="682"/>
      <c r="L62" s="76" t="str">
        <f t="shared" si="15"/>
        <v xml:space="preserve"> </v>
      </c>
      <c r="M62" s="399" t="str">
        <f t="shared" si="3"/>
        <v>Stk.</v>
      </c>
      <c r="N62" s="77"/>
      <c r="O62" s="184" t="str">
        <f t="shared" si="16"/>
        <v/>
      </c>
      <c r="R62" s="182">
        <v>10.41</v>
      </c>
      <c r="S62" s="179"/>
      <c r="T62" s="179"/>
      <c r="U62" s="179"/>
      <c r="V62" s="179"/>
      <c r="W62" s="179"/>
      <c r="X62" s="179"/>
      <c r="Y62" s="179"/>
      <c r="Z62" s="179"/>
      <c r="AA62" s="179"/>
      <c r="AB62" s="68"/>
      <c r="AC62" s="1"/>
      <c r="AD62" s="139">
        <f t="shared" si="17"/>
        <v>0</v>
      </c>
      <c r="AE62" s="139">
        <f t="shared" si="17"/>
        <v>0</v>
      </c>
      <c r="AF62" s="139">
        <v>1</v>
      </c>
      <c r="AG62" s="139">
        <v>1</v>
      </c>
    </row>
    <row r="63" spans="1:49" ht="32.1" customHeight="1">
      <c r="A63" s="93"/>
      <c r="B63" s="76" t="str">
        <f>VLOOKUP(878,Sprachindex!$A:$Z,Info!$O$7,FALSE)</f>
        <v>Stk.</v>
      </c>
      <c r="C63" s="75"/>
      <c r="D63" s="75">
        <v>420501</v>
      </c>
      <c r="E63" s="618" t="str">
        <f>VLOOKUP(851,Sprachindex!$A:$Z,Info!$O$7,FALSE)</f>
        <v>Spezialkleber</v>
      </c>
      <c r="F63" s="619"/>
      <c r="G63" s="619"/>
      <c r="H63" s="619"/>
      <c r="I63" s="619"/>
      <c r="J63" s="681"/>
      <c r="K63" s="682"/>
      <c r="L63" s="76" t="str">
        <f t="shared" ref="L63:L64" si="19">IF(A63=0,"",IF($O$11=1,AD63,AE63))</f>
        <v/>
      </c>
      <c r="M63" s="399" t="str">
        <f t="shared" si="3"/>
        <v>Stk.</v>
      </c>
      <c r="N63" s="77"/>
      <c r="O63" s="184" t="str">
        <f t="shared" si="16"/>
        <v/>
      </c>
      <c r="R63" s="182">
        <v>40.299999999999997</v>
      </c>
      <c r="S63" s="179"/>
      <c r="T63" s="179"/>
      <c r="U63" s="179"/>
      <c r="V63" s="179"/>
      <c r="W63" s="179"/>
      <c r="X63" s="179"/>
      <c r="Y63" s="179"/>
      <c r="Z63" s="179"/>
      <c r="AA63" s="179"/>
      <c r="AB63" s="68"/>
      <c r="AC63" s="1"/>
      <c r="AD63" s="139">
        <f>ROUNDUP($A63/24,0)*24</f>
        <v>0</v>
      </c>
      <c r="AE63" s="139">
        <f>ROUNDUP($A63,0)</f>
        <v>0</v>
      </c>
      <c r="AF63" s="140"/>
    </row>
    <row r="64" spans="1:49" ht="32.1" customHeight="1">
      <c r="A64" s="93"/>
      <c r="B64" s="76" t="str">
        <f>VLOOKUP(821,Sprachindex!$A:$Z,Info!$O$7,FALSE)</f>
        <v>Set</v>
      </c>
      <c r="C64" s="78"/>
      <c r="D64" s="75">
        <v>420500</v>
      </c>
      <c r="E64" s="618" t="str">
        <f>VLOOKUP(852,Sprachindex!$A:$Z,Info!$O$7,FALSE)</f>
        <v>Spezialkleberset</v>
      </c>
      <c r="F64" s="619"/>
      <c r="G64" s="619"/>
      <c r="H64" s="619"/>
      <c r="I64" s="619"/>
      <c r="J64" s="681"/>
      <c r="K64" s="682"/>
      <c r="L64" s="76" t="str">
        <f t="shared" si="19"/>
        <v/>
      </c>
      <c r="M64" s="399" t="str">
        <f t="shared" si="3"/>
        <v>Set</v>
      </c>
      <c r="N64" s="77"/>
      <c r="O64" s="184" t="str">
        <f t="shared" si="16"/>
        <v/>
      </c>
      <c r="R64" s="182">
        <v>55.18</v>
      </c>
      <c r="S64" s="179"/>
      <c r="T64" s="179"/>
      <c r="U64" s="179"/>
      <c r="V64" s="179"/>
      <c r="W64" s="179"/>
      <c r="X64" s="179"/>
      <c r="Y64" s="179"/>
      <c r="Z64" s="179"/>
      <c r="AA64" s="179"/>
      <c r="AB64" s="68"/>
      <c r="AC64" s="1"/>
      <c r="AD64" s="139">
        <f>ROUNDUP($A64,0)</f>
        <v>0</v>
      </c>
      <c r="AE64" s="139">
        <f>ROUNDUP($A64,0)</f>
        <v>0</v>
      </c>
      <c r="AF64" s="135"/>
    </row>
    <row r="65" spans="1:35" ht="32.1" customHeight="1">
      <c r="A65" s="103"/>
      <c r="B65" s="76" t="str">
        <f>VLOOKUP(878,Sprachindex!$A:$Z,Info!$O$7,FALSE)</f>
        <v>Stk.</v>
      </c>
      <c r="C65" s="75"/>
      <c r="D65" s="75">
        <v>420028</v>
      </c>
      <c r="E65" s="618" t="str">
        <f>VLOOKUP(723,Sprachindex!$A:$Z,Info!$O$7,FALSE)</f>
        <v>Rinnenwulstöffner</v>
      </c>
      <c r="F65" s="619"/>
      <c r="G65" s="619"/>
      <c r="H65" s="619"/>
      <c r="I65" s="619"/>
      <c r="J65" s="681"/>
      <c r="K65" s="682"/>
      <c r="L65" s="76" t="str">
        <f t="shared" si="15"/>
        <v xml:space="preserve"> </v>
      </c>
      <c r="M65" s="399" t="str">
        <f t="shared" si="3"/>
        <v>Stk.</v>
      </c>
      <c r="N65" s="77"/>
      <c r="O65" s="184" t="str">
        <f>IF(ISNUMBER(A65),$L65*R65, "")</f>
        <v/>
      </c>
      <c r="R65" s="182">
        <v>74.45</v>
      </c>
      <c r="S65" s="179"/>
      <c r="T65" s="179"/>
      <c r="U65" s="179"/>
      <c r="V65" s="179"/>
      <c r="W65" s="179"/>
      <c r="X65" s="179"/>
      <c r="Y65" s="179"/>
      <c r="Z65" s="179"/>
      <c r="AA65" s="179"/>
      <c r="AB65" s="68"/>
      <c r="AC65" s="1"/>
      <c r="AD65" s="139">
        <f>ROUNDUP($A65/AF65,0)*AF65</f>
        <v>0</v>
      </c>
      <c r="AE65" s="139">
        <f>ROUNDUP($A65/AG65,0)*AG65</f>
        <v>0</v>
      </c>
      <c r="AF65" s="139">
        <v>1</v>
      </c>
      <c r="AG65" s="139">
        <v>1</v>
      </c>
    </row>
    <row r="66" spans="1:35" ht="32.1" customHeight="1">
      <c r="A66" s="103"/>
      <c r="B66" s="98"/>
      <c r="C66" s="98"/>
      <c r="D66" s="98"/>
      <c r="E66" s="648"/>
      <c r="F66" s="649"/>
      <c r="G66" s="649"/>
      <c r="H66" s="649"/>
      <c r="I66" s="649"/>
      <c r="J66" s="649"/>
      <c r="K66" s="650"/>
      <c r="L66" s="98"/>
      <c r="M66" s="399"/>
      <c r="N66" s="77"/>
      <c r="O66" s="184" t="str">
        <f>IF(ISNUMBER(A66),$L66*#REF!, "")</f>
        <v/>
      </c>
      <c r="S66" s="179"/>
      <c r="T66" s="179"/>
      <c r="U66" s="179"/>
      <c r="V66" s="179"/>
      <c r="W66" s="179"/>
      <c r="X66" s="179"/>
      <c r="Y66" s="179"/>
      <c r="Z66" s="179"/>
      <c r="AA66" s="179"/>
      <c r="AB66" s="68"/>
      <c r="AC66" s="1"/>
      <c r="AD66" s="8"/>
      <c r="AE66" s="8"/>
      <c r="AF66" s="8"/>
      <c r="AG66" s="8"/>
      <c r="AI66"/>
    </row>
    <row r="67" spans="1:35" ht="32.1" customHeight="1">
      <c r="A67" s="103"/>
      <c r="B67" s="98"/>
      <c r="C67" s="98"/>
      <c r="D67" s="98"/>
      <c r="E67" s="648"/>
      <c r="F67" s="649"/>
      <c r="G67" s="649"/>
      <c r="H67" s="649"/>
      <c r="I67" s="649"/>
      <c r="J67" s="649"/>
      <c r="K67" s="650"/>
      <c r="L67" s="98"/>
      <c r="M67" s="399"/>
      <c r="N67" s="77"/>
      <c r="O67" s="184" t="str">
        <f>IF(ISNUMBER(A67),$L67*#REF!, "")</f>
        <v/>
      </c>
      <c r="S67" s="179"/>
      <c r="T67" s="179"/>
      <c r="U67" s="179"/>
      <c r="V67" s="179"/>
      <c r="W67" s="179"/>
      <c r="X67" s="179"/>
      <c r="Y67" s="179"/>
      <c r="Z67" s="179"/>
      <c r="AA67" s="179"/>
      <c r="AB67" s="68"/>
      <c r="AC67" s="1"/>
      <c r="AD67" s="8"/>
      <c r="AE67" s="8"/>
      <c r="AF67" s="8"/>
      <c r="AG67" s="8"/>
    </row>
    <row r="68" spans="1:35" ht="32.1" customHeight="1" thickBot="1">
      <c r="A68" s="143"/>
      <c r="B68" s="144"/>
      <c r="C68" s="144"/>
      <c r="D68" s="144"/>
      <c r="E68" s="651"/>
      <c r="F68" s="652"/>
      <c r="G68" s="652"/>
      <c r="H68" s="652"/>
      <c r="I68" s="652"/>
      <c r="J68" s="652"/>
      <c r="K68" s="653"/>
      <c r="L68" s="144"/>
      <c r="M68" s="400"/>
      <c r="N68" s="145"/>
      <c r="O68" s="184" t="str">
        <f>IF(ISNUMBER(A68),$L68*#REF!, "")</f>
        <v/>
      </c>
      <c r="S68" s="179"/>
      <c r="T68" s="179"/>
      <c r="U68" s="179"/>
      <c r="V68" s="179"/>
      <c r="W68" s="179"/>
      <c r="X68" s="179"/>
      <c r="Y68" s="179"/>
      <c r="Z68" s="179"/>
      <c r="AA68" s="179"/>
      <c r="AB68" s="68"/>
      <c r="AC68" s="1"/>
      <c r="AD68" s="8"/>
      <c r="AE68" s="8"/>
      <c r="AF68" s="8"/>
      <c r="AG68" s="8"/>
    </row>
    <row r="69" spans="1:35" ht="15" customHeight="1">
      <c r="A69" s="67"/>
      <c r="B69" s="67"/>
      <c r="C69" s="67"/>
      <c r="D69" s="641"/>
      <c r="E69" s="641"/>
      <c r="F69" s="641"/>
      <c r="G69" s="641"/>
      <c r="H69" s="641"/>
      <c r="I69" s="641"/>
      <c r="J69" s="641"/>
      <c r="K69" s="641"/>
      <c r="L69" s="641"/>
      <c r="M69" s="641"/>
      <c r="N69" s="641"/>
      <c r="S69" s="179"/>
      <c r="T69" s="179"/>
      <c r="U69" s="179"/>
      <c r="V69" s="179"/>
      <c r="W69" s="179"/>
      <c r="X69" s="179"/>
      <c r="Y69" s="179"/>
      <c r="Z69" s="179"/>
      <c r="AA69" s="179"/>
      <c r="AB69" s="68"/>
      <c r="AF69" s="8"/>
      <c r="AG69" s="8"/>
    </row>
    <row r="70" spans="1:35" ht="17.399999999999999">
      <c r="A70" s="67"/>
      <c r="B70" s="67"/>
      <c r="C70" s="84" t="str">
        <f>VLOOKUP(1035,Sprachindex!$A:$Z,Info!$O$7,FALSE)</f>
        <v>Zusatzvermerk:</v>
      </c>
      <c r="D70" s="642"/>
      <c r="E70" s="642"/>
      <c r="F70" s="642"/>
      <c r="G70" s="642"/>
      <c r="H70" s="642"/>
      <c r="I70" s="642"/>
      <c r="J70" s="642"/>
      <c r="K70" s="642"/>
      <c r="L70" s="642"/>
      <c r="M70" s="642"/>
      <c r="N70" s="642"/>
      <c r="O70" s="180">
        <f>SUM(O31:O68)</f>
        <v>0</v>
      </c>
      <c r="S70" s="179"/>
      <c r="T70" s="179"/>
      <c r="U70" s="179"/>
      <c r="V70" s="179"/>
      <c r="W70" s="179"/>
      <c r="X70" s="179"/>
      <c r="Y70" s="179"/>
      <c r="Z70" s="179"/>
      <c r="AA70" s="179"/>
      <c r="AB70" s="68"/>
    </row>
    <row r="71" spans="1:35" ht="17.399999999999999">
      <c r="A71" s="67"/>
      <c r="B71" s="67"/>
      <c r="C71" s="67"/>
      <c r="D71" s="643"/>
      <c r="E71" s="643"/>
      <c r="F71" s="643"/>
      <c r="G71" s="643"/>
      <c r="H71" s="643"/>
      <c r="I71" s="643"/>
      <c r="J71" s="643"/>
      <c r="K71" s="643"/>
      <c r="L71" s="643"/>
      <c r="M71" s="643"/>
      <c r="N71" s="643"/>
      <c r="S71" s="179"/>
      <c r="T71" s="179"/>
      <c r="U71" s="179"/>
      <c r="V71" s="179"/>
      <c r="W71" s="179"/>
      <c r="X71" s="179"/>
      <c r="Y71" s="179"/>
      <c r="Z71" s="179"/>
      <c r="AA71" s="179"/>
      <c r="AB71" s="68"/>
    </row>
    <row r="72" spans="1:35" ht="17.399999999999999">
      <c r="A72" s="67"/>
      <c r="B72" s="67"/>
      <c r="C72" s="67"/>
      <c r="D72" s="642"/>
      <c r="E72" s="642"/>
      <c r="F72" s="642"/>
      <c r="G72" s="642"/>
      <c r="H72" s="642"/>
      <c r="I72" s="642"/>
      <c r="J72" s="642"/>
      <c r="K72" s="642"/>
      <c r="L72" s="642"/>
      <c r="M72" s="642"/>
      <c r="N72" s="642"/>
      <c r="S72" s="179"/>
      <c r="T72" s="179"/>
      <c r="U72" s="179"/>
      <c r="V72" s="179"/>
      <c r="W72" s="179"/>
      <c r="X72" s="179"/>
      <c r="Y72" s="179"/>
      <c r="Z72" s="179"/>
      <c r="AA72" s="179"/>
      <c r="AB72" s="68"/>
    </row>
    <row r="73" spans="1:35" ht="17.399999999999999">
      <c r="A73" s="67"/>
      <c r="B73" s="67"/>
      <c r="C73" s="67"/>
      <c r="D73" s="643"/>
      <c r="E73" s="643"/>
      <c r="F73" s="643"/>
      <c r="G73" s="643"/>
      <c r="H73" s="643"/>
      <c r="I73" s="643"/>
      <c r="J73" s="643"/>
      <c r="K73" s="643"/>
      <c r="L73" s="643"/>
      <c r="M73" s="643"/>
      <c r="N73" s="643"/>
      <c r="S73" s="179"/>
      <c r="T73" s="179"/>
      <c r="U73" s="179"/>
      <c r="V73" s="179"/>
      <c r="W73" s="179"/>
      <c r="X73" s="179"/>
      <c r="Y73" s="179"/>
      <c r="Z73" s="179"/>
      <c r="AA73" s="179"/>
      <c r="AB73" s="68"/>
    </row>
    <row r="74" spans="1:35" ht="17.399999999999999">
      <c r="A74" s="67"/>
      <c r="B74" s="67"/>
      <c r="C74" s="67"/>
      <c r="D74" s="642"/>
      <c r="E74" s="642"/>
      <c r="F74" s="642"/>
      <c r="G74" s="642"/>
      <c r="H74" s="642"/>
      <c r="I74" s="642"/>
      <c r="J74" s="642"/>
      <c r="K74" s="642"/>
      <c r="L74" s="642"/>
      <c r="M74" s="642"/>
      <c r="N74" s="642"/>
      <c r="S74" s="179"/>
      <c r="T74" s="179"/>
      <c r="U74" s="179"/>
      <c r="V74" s="179"/>
      <c r="W74" s="179"/>
      <c r="X74" s="179"/>
      <c r="Y74" s="179"/>
      <c r="Z74" s="179"/>
      <c r="AA74" s="179"/>
      <c r="AB74" s="68"/>
    </row>
    <row r="75" spans="1:35" ht="17.399999999999999">
      <c r="A75" s="67"/>
      <c r="B75" s="67"/>
      <c r="C75" s="67"/>
      <c r="D75" s="67"/>
      <c r="E75" s="67"/>
      <c r="F75" s="67"/>
      <c r="G75" s="67"/>
      <c r="H75" s="67"/>
      <c r="I75" s="67"/>
      <c r="J75" s="67"/>
      <c r="K75" s="67"/>
      <c r="L75" s="67"/>
      <c r="M75" s="67"/>
      <c r="N75" s="67"/>
      <c r="S75" s="179"/>
      <c r="T75" s="179"/>
      <c r="U75" s="179"/>
      <c r="V75" s="179"/>
      <c r="W75" s="179"/>
      <c r="X75" s="179"/>
      <c r="Y75" s="179"/>
      <c r="Z75" s="179"/>
      <c r="AA75" s="179"/>
      <c r="AB75" s="68"/>
    </row>
    <row r="76" spans="1:35" ht="17.399999999999999">
      <c r="A76" s="67"/>
      <c r="B76" s="67"/>
      <c r="C76" s="67"/>
      <c r="D76" s="67"/>
      <c r="E76" s="67"/>
      <c r="F76" s="67"/>
      <c r="G76" s="67"/>
      <c r="H76" s="67"/>
      <c r="I76" s="67"/>
      <c r="J76" s="67"/>
      <c r="K76" s="67"/>
      <c r="L76" s="67"/>
      <c r="M76" s="67"/>
      <c r="N76" s="67"/>
      <c r="S76" s="179"/>
      <c r="T76" s="179"/>
      <c r="U76" s="179"/>
      <c r="V76" s="179"/>
      <c r="W76" s="179"/>
      <c r="X76" s="179"/>
      <c r="Y76" s="179"/>
      <c r="Z76" s="179"/>
      <c r="AA76" s="179"/>
      <c r="AB76" s="68"/>
    </row>
    <row r="77" spans="1:35" ht="17.399999999999999">
      <c r="A77" s="85" t="str">
        <f>VLOOKUP(2097,Sprachindex!$A:$Z,Info!$O$7,FALSE)</f>
        <v>Produkttechnik</v>
      </c>
      <c r="B77" s="86"/>
      <c r="C77" s="86"/>
      <c r="D77" s="646"/>
      <c r="E77" s="646"/>
      <c r="F77" s="646"/>
      <c r="G77" s="646"/>
      <c r="H77" s="646"/>
      <c r="I77" s="646"/>
      <c r="J77" s="646"/>
      <c r="K77" s="87" t="str">
        <f>VLOOKUP(856,Sprachindex!$A:$Z,Info!$O$7,FALSE)</f>
        <v>Stand:</v>
      </c>
      <c r="L77" s="644">
        <f>Info!M59</f>
        <v>45728</v>
      </c>
      <c r="M77" s="644"/>
      <c r="N77" s="645"/>
      <c r="S77" s="179"/>
      <c r="T77" s="179"/>
      <c r="U77" s="179"/>
      <c r="V77" s="179"/>
      <c r="W77" s="179"/>
      <c r="X77" s="179"/>
      <c r="Y77" s="179"/>
      <c r="Z77" s="179"/>
      <c r="AA77" s="179"/>
      <c r="AB77" s="68"/>
    </row>
    <row r="78" spans="1:35" ht="17.399999999999999">
      <c r="S78" s="179"/>
      <c r="T78" s="179"/>
      <c r="U78" s="179"/>
      <c r="V78" s="179"/>
      <c r="W78" s="179"/>
      <c r="X78" s="179"/>
      <c r="Y78" s="179"/>
      <c r="Z78" s="179"/>
      <c r="AA78" s="179"/>
    </row>
    <row r="79" spans="1:35" ht="17.399999999999999" hidden="1">
      <c r="S79" s="179"/>
      <c r="T79" s="179"/>
      <c r="U79" s="179"/>
      <c r="V79" s="179"/>
      <c r="W79" s="179"/>
      <c r="X79" s="179"/>
      <c r="Y79" s="179"/>
      <c r="Z79" s="179"/>
      <c r="AA79" s="179"/>
    </row>
    <row r="80" spans="1:35" ht="17.399999999999999" hidden="1">
      <c r="S80" s="179"/>
      <c r="T80" s="179"/>
      <c r="U80" s="179"/>
      <c r="V80" s="179"/>
      <c r="W80" s="179"/>
      <c r="X80" s="179"/>
      <c r="Y80" s="179"/>
      <c r="Z80" s="179"/>
      <c r="AA80" s="179"/>
    </row>
    <row r="81" spans="19:27" ht="17.399999999999999" hidden="1">
      <c r="S81" s="179"/>
      <c r="T81" s="179"/>
      <c r="U81" s="179"/>
      <c r="V81" s="179"/>
      <c r="W81" s="179"/>
      <c r="X81" s="179"/>
      <c r="Y81" s="179"/>
      <c r="Z81" s="179"/>
      <c r="AA81" s="179"/>
    </row>
    <row r="82" spans="19:27" ht="17.399999999999999" hidden="1">
      <c r="S82" s="179"/>
      <c r="T82" s="179"/>
      <c r="U82" s="179"/>
      <c r="V82" s="179"/>
      <c r="W82" s="179"/>
      <c r="X82" s="179"/>
      <c r="Y82" s="179"/>
      <c r="Z82" s="179"/>
      <c r="AA82" s="179"/>
    </row>
    <row r="83" spans="19:27" ht="17.399999999999999" hidden="1">
      <c r="S83" s="179"/>
      <c r="T83" s="179"/>
      <c r="U83" s="179"/>
      <c r="V83" s="179"/>
      <c r="W83" s="179"/>
      <c r="X83" s="179"/>
      <c r="Y83" s="179"/>
      <c r="Z83" s="179"/>
      <c r="AA83" s="179"/>
    </row>
    <row r="84" spans="19:27" ht="17.399999999999999" hidden="1">
      <c r="S84" s="179"/>
      <c r="T84" s="179"/>
      <c r="U84" s="179"/>
      <c r="V84" s="179"/>
      <c r="W84" s="179"/>
      <c r="X84" s="179"/>
      <c r="Y84" s="179"/>
      <c r="Z84" s="179"/>
      <c r="AA84" s="179"/>
    </row>
    <row r="85" spans="19:27" ht="17.399999999999999" hidden="1">
      <c r="S85" s="179"/>
      <c r="T85" s="179"/>
      <c r="U85" s="179"/>
      <c r="V85" s="179"/>
      <c r="W85" s="179"/>
      <c r="X85" s="179"/>
      <c r="Y85" s="179"/>
      <c r="Z85" s="179"/>
      <c r="AA85" s="179"/>
    </row>
    <row r="86" spans="19:27" ht="17.399999999999999" hidden="1">
      <c r="S86" s="179"/>
      <c r="T86" s="179"/>
      <c r="U86" s="179"/>
      <c r="V86" s="179"/>
      <c r="W86" s="179"/>
      <c r="X86" s="179"/>
      <c r="Y86" s="179"/>
      <c r="Z86" s="179"/>
      <c r="AA86" s="179"/>
    </row>
    <row r="87" spans="19:27" ht="17.399999999999999" hidden="1">
      <c r="S87" s="179"/>
      <c r="T87" s="179"/>
      <c r="U87" s="179"/>
      <c r="V87" s="179"/>
      <c r="W87" s="179"/>
      <c r="X87" s="179"/>
      <c r="Y87" s="179"/>
      <c r="Z87" s="179"/>
      <c r="AA87" s="179"/>
    </row>
    <row r="88" spans="19:27" ht="17.399999999999999" hidden="1">
      <c r="S88" s="179"/>
      <c r="T88" s="179"/>
      <c r="U88" s="179"/>
      <c r="V88" s="179"/>
      <c r="W88" s="179"/>
      <c r="X88" s="179"/>
      <c r="Y88" s="179"/>
      <c r="Z88" s="179"/>
      <c r="AA88" s="179"/>
    </row>
    <row r="89" spans="19:27" ht="17.399999999999999" hidden="1">
      <c r="S89" s="179"/>
      <c r="T89" s="179"/>
      <c r="U89" s="179"/>
      <c r="V89" s="179"/>
      <c r="W89" s="179"/>
      <c r="X89" s="179"/>
      <c r="Y89" s="179"/>
      <c r="Z89" s="179"/>
      <c r="AA89" s="179"/>
    </row>
    <row r="90" spans="19:27" ht="17.399999999999999" hidden="1">
      <c r="S90" s="179"/>
      <c r="T90" s="179"/>
      <c r="U90" s="179"/>
      <c r="V90" s="179"/>
      <c r="W90" s="179"/>
      <c r="X90" s="179"/>
      <c r="Y90" s="179"/>
      <c r="Z90" s="179"/>
      <c r="AA90" s="179"/>
    </row>
    <row r="91" spans="19:27" ht="17.399999999999999" hidden="1">
      <c r="S91" s="179"/>
      <c r="T91" s="179"/>
      <c r="U91" s="179"/>
      <c r="V91" s="179"/>
      <c r="W91" s="179"/>
      <c r="X91" s="179"/>
      <c r="Y91" s="179"/>
      <c r="Z91" s="179"/>
      <c r="AA91" s="179"/>
    </row>
    <row r="92" spans="19:27" ht="17.399999999999999" hidden="1">
      <c r="S92" s="179"/>
      <c r="T92" s="179"/>
      <c r="U92" s="179"/>
      <c r="V92" s="179"/>
      <c r="W92" s="179"/>
      <c r="X92" s="179"/>
      <c r="Y92" s="179"/>
      <c r="Z92" s="179"/>
      <c r="AA92" s="179"/>
    </row>
    <row r="93" spans="19:27" ht="17.399999999999999" hidden="1">
      <c r="S93" s="179"/>
      <c r="T93" s="179"/>
      <c r="U93" s="179"/>
      <c r="V93" s="179"/>
      <c r="W93" s="179"/>
      <c r="X93" s="179"/>
      <c r="Y93" s="179"/>
      <c r="Z93" s="179"/>
      <c r="AA93" s="179"/>
    </row>
    <row r="94" spans="19:27" ht="17.399999999999999" hidden="1">
      <c r="S94" s="179"/>
      <c r="T94" s="179"/>
      <c r="U94" s="179"/>
      <c r="V94" s="179"/>
      <c r="W94" s="179"/>
      <c r="X94" s="179"/>
      <c r="Y94" s="179"/>
      <c r="Z94" s="179"/>
      <c r="AA94" s="179"/>
    </row>
    <row r="95" spans="19:27" ht="17.399999999999999" hidden="1">
      <c r="S95" s="179"/>
      <c r="T95" s="179"/>
      <c r="U95" s="179"/>
      <c r="V95" s="179"/>
      <c r="W95" s="179"/>
      <c r="X95" s="179"/>
      <c r="Y95" s="179"/>
      <c r="Z95" s="179"/>
      <c r="AA95" s="179"/>
    </row>
    <row r="96" spans="19:27" ht="17.399999999999999" hidden="1">
      <c r="S96" s="179"/>
      <c r="T96" s="179"/>
      <c r="U96" s="179"/>
      <c r="V96" s="179"/>
      <c r="W96" s="179"/>
      <c r="X96" s="179"/>
      <c r="Y96" s="179"/>
      <c r="Z96" s="179"/>
      <c r="AA96" s="179"/>
    </row>
    <row r="97" spans="19:27" ht="17.399999999999999" hidden="1">
      <c r="S97" s="179"/>
      <c r="T97" s="179"/>
      <c r="U97" s="179"/>
      <c r="V97" s="179"/>
      <c r="W97" s="179"/>
      <c r="X97" s="179"/>
      <c r="Y97" s="179"/>
      <c r="Z97" s="179"/>
      <c r="AA97" s="179"/>
    </row>
    <row r="98" spans="19:27" ht="17.399999999999999" hidden="1">
      <c r="S98" s="179"/>
      <c r="T98" s="179"/>
      <c r="U98" s="179"/>
      <c r="V98" s="179"/>
      <c r="W98" s="179"/>
      <c r="X98" s="179"/>
      <c r="Y98" s="179"/>
      <c r="Z98" s="179"/>
      <c r="AA98" s="179"/>
    </row>
    <row r="99" spans="19:27" ht="17.399999999999999" hidden="1">
      <c r="S99" s="179"/>
      <c r="T99" s="179"/>
      <c r="U99" s="179"/>
      <c r="V99" s="179"/>
      <c r="W99" s="179"/>
      <c r="X99" s="179"/>
      <c r="Y99" s="179"/>
      <c r="Z99" s="179"/>
      <c r="AA99" s="179"/>
    </row>
    <row r="100" spans="19:27" ht="17.399999999999999" hidden="1">
      <c r="S100" s="179"/>
      <c r="T100" s="179"/>
      <c r="U100" s="179"/>
      <c r="V100" s="179"/>
      <c r="W100" s="179"/>
      <c r="X100" s="179"/>
      <c r="Y100" s="179"/>
      <c r="Z100" s="179"/>
      <c r="AA100" s="179"/>
    </row>
    <row r="101" spans="19:27" ht="17.399999999999999" hidden="1">
      <c r="S101" s="179"/>
      <c r="T101" s="179"/>
      <c r="U101" s="179"/>
      <c r="V101" s="179"/>
      <c r="W101" s="179"/>
      <c r="X101" s="179"/>
      <c r="Y101" s="179"/>
      <c r="Z101" s="179"/>
      <c r="AA101" s="179"/>
    </row>
    <row r="102" spans="19:27" ht="17.399999999999999" hidden="1">
      <c r="S102" s="179"/>
      <c r="T102" s="179"/>
      <c r="U102" s="179"/>
      <c r="V102" s="179"/>
      <c r="W102" s="179"/>
      <c r="X102" s="179"/>
      <c r="Y102" s="179"/>
      <c r="Z102" s="179"/>
      <c r="AA102" s="179"/>
    </row>
    <row r="103" spans="19:27" ht="17.399999999999999" hidden="1">
      <c r="S103" s="179"/>
      <c r="T103" s="179"/>
      <c r="U103" s="179"/>
      <c r="V103" s="179"/>
      <c r="W103" s="179"/>
      <c r="X103" s="179"/>
      <c r="Y103" s="179"/>
      <c r="Z103" s="179"/>
      <c r="AA103" s="179"/>
    </row>
    <row r="104" spans="19:27" ht="17.399999999999999" hidden="1">
      <c r="S104" s="179"/>
      <c r="T104" s="179"/>
      <c r="U104" s="179"/>
      <c r="V104" s="179"/>
      <c r="W104" s="179"/>
      <c r="X104" s="179"/>
      <c r="Y104" s="179"/>
      <c r="Z104" s="179"/>
      <c r="AA104" s="179"/>
    </row>
    <row r="105" spans="19:27" ht="17.399999999999999" hidden="1">
      <c r="S105" s="179"/>
      <c r="T105" s="179"/>
      <c r="U105" s="179"/>
      <c r="V105" s="179"/>
      <c r="W105" s="179"/>
      <c r="X105" s="179"/>
      <c r="Y105" s="179"/>
      <c r="Z105" s="179"/>
      <c r="AA105" s="179"/>
    </row>
    <row r="106" spans="19:27" ht="17.399999999999999" hidden="1">
      <c r="S106" s="179"/>
      <c r="T106" s="179"/>
      <c r="U106" s="179"/>
      <c r="V106" s="179"/>
      <c r="W106" s="179"/>
      <c r="X106" s="179"/>
      <c r="Y106" s="179"/>
      <c r="Z106" s="179"/>
      <c r="AA106" s="179"/>
    </row>
    <row r="107" spans="19:27" ht="17.399999999999999" hidden="1">
      <c r="S107" s="179"/>
      <c r="T107" s="179"/>
      <c r="U107" s="179"/>
      <c r="V107" s="179"/>
      <c r="W107" s="179"/>
      <c r="X107" s="179"/>
      <c r="Y107" s="179"/>
      <c r="Z107" s="179"/>
      <c r="AA107" s="179"/>
    </row>
    <row r="108" spans="19:27" ht="17.399999999999999" hidden="1">
      <c r="S108" s="179"/>
      <c r="T108" s="179"/>
      <c r="U108" s="179"/>
      <c r="V108" s="179"/>
      <c r="W108" s="179"/>
      <c r="X108" s="179"/>
      <c r="Y108" s="179"/>
      <c r="Z108" s="179"/>
      <c r="AA108" s="179"/>
    </row>
    <row r="109" spans="19:27" ht="17.399999999999999" hidden="1">
      <c r="S109" s="179"/>
      <c r="T109" s="179"/>
      <c r="U109" s="179"/>
      <c r="V109" s="179"/>
      <c r="W109" s="179"/>
      <c r="X109" s="179"/>
      <c r="Y109" s="179"/>
      <c r="Z109" s="179"/>
      <c r="AA109" s="179"/>
    </row>
    <row r="110" spans="19:27" ht="17.399999999999999" hidden="1">
      <c r="S110" s="179"/>
      <c r="T110" s="179"/>
      <c r="U110" s="179"/>
      <c r="V110" s="179"/>
      <c r="W110" s="179"/>
      <c r="X110" s="179"/>
      <c r="Y110" s="179"/>
      <c r="Z110" s="179"/>
      <c r="AA110" s="179"/>
    </row>
    <row r="111" spans="19:27" ht="13.8" hidden="1"/>
    <row r="112" spans="19:27"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sheetData>
  <sheetProtection algorithmName="SHA-512" hashValue="geMRiFkfALVxYaADRuAgL8EF0kfVrrVUWwMFqc1KKnAeC8vrR/iOAa0zB/GKrjmPf9afsZ0NAJq21vDhAEdo/g==" saltValue="txj4/tDcuQAmW5z3bHgYRg==" spinCount="100000" sheet="1" objects="1" scenarios="1" selectLockedCells="1" autoFilter="0"/>
  <protectedRanges>
    <protectedRange password="DEBF" sqref="AD32:AE34 AD36:AE36 AD38:AE38 AD40:AE40 AD45:AE45 AD47:AE47 AD49:AE49 AD42:AE43 AD52:AE58" name="darf vom Benutzer nicht verändert werden_1_2"/>
    <protectedRange password="DEBF" sqref="AD66:AE68" name="darf vom Benutzer nicht verändert werden_1_5"/>
    <protectedRange password="DEBF" sqref="AF32:AF34 AG32 AF45:AG45 AF36 AF38 AF40 AF42:AG42" name="darf vom Benutzer nicht verändert werden_1_12"/>
    <protectedRange password="DEBF" sqref="AF43" name="darf vom Benutzer nicht verändert werden_1_12_1"/>
    <protectedRange password="DEBF" sqref="AD31:AE31" name="darf vom Benutzer nicht verändert werden_1_2_1"/>
    <protectedRange password="DEBF" sqref="AF31:AG31" name="darf vom Benutzer nicht verändert werden_1_12_2"/>
    <protectedRange password="DEBF" sqref="AD35:AE35" name="darf vom Benutzer nicht verändert werden_1_2_2"/>
    <protectedRange password="DEBF" sqref="AF35" name="darf vom Benutzer nicht verändert werden_1_12_3"/>
    <protectedRange password="DEBF" sqref="AD37:AE37" name="darf vom Benutzer nicht verändert werden_1_2_3"/>
    <protectedRange password="DEBF" sqref="AF37" name="darf vom Benutzer nicht verändert werden_1_12_4"/>
    <protectedRange password="DEBF" sqref="AD39:AE39" name="darf vom Benutzer nicht verändert werden_1_2_4"/>
    <protectedRange password="DEBF" sqref="AF39" name="darf vom Benutzer nicht verändert werden_1_12_5"/>
    <protectedRange password="DEBF" sqref="AD44:AE44" name="darf vom Benutzer nicht verändert werden_1_2_5"/>
    <protectedRange password="DEBF" sqref="AF44" name="darf vom Benutzer nicht verändert werden_1_12_6"/>
    <protectedRange password="DEBF" sqref="AD46:AE46" name="darf vom Benutzer nicht verändert werden_1_2_6"/>
    <protectedRange password="DEBF" sqref="AD48:AE48" name="darf vom Benutzer nicht verändert werden_1_2_7"/>
    <protectedRange password="DEBF" sqref="AD41:AE41" name="darf vom Benutzer nicht verändert werden_1_2_8"/>
    <protectedRange password="DEBF" sqref="AF41" name="darf vom Benutzer nicht verändert werden_1_12_7"/>
    <protectedRange password="DEBF" sqref="AD50:AE50" name="darf vom Benutzer nicht verändert werden_1_2_9"/>
    <protectedRange password="DEBF" sqref="AD51:AE51" name="darf vom Benutzer nicht verändert werden_1_2_1_1"/>
    <protectedRange password="DEBF" sqref="AD65:AE65 AD61:AE61" name="darf vom Benutzer nicht verändert werden_1_2_1_3"/>
    <protectedRange password="DEBF" sqref="AD62:AE62" name="darf vom Benutzer nicht verändert werden_1_2_1_1_1"/>
    <protectedRange password="DEBF" sqref="AD63:AE64" name="darf vom Benutzer nicht verändert werden_1_5_4"/>
    <protectedRange password="DEBF" sqref="AD59:AE60" name="darf vom Benutzer nicht verändert werden_1_2_1_1_1_1"/>
  </protectedRanges>
  <autoFilter ref="A29:A68" xr:uid="{00000000-0009-0000-0000-00000A000000}"/>
  <mergeCells count="86">
    <mergeCell ref="J64:K64"/>
    <mergeCell ref="E65:I65"/>
    <mergeCell ref="J56:K56"/>
    <mergeCell ref="E57:I57"/>
    <mergeCell ref="J57:K57"/>
    <mergeCell ref="E58:I58"/>
    <mergeCell ref="J58:K58"/>
    <mergeCell ref="E61:I61"/>
    <mergeCell ref="J61:K61"/>
    <mergeCell ref="J65:K65"/>
    <mergeCell ref="E62:I62"/>
    <mergeCell ref="J62:K62"/>
    <mergeCell ref="E63:I63"/>
    <mergeCell ref="J63:K63"/>
    <mergeCell ref="E64:I64"/>
    <mergeCell ref="E60:I60"/>
    <mergeCell ref="C20:E20"/>
    <mergeCell ref="C9:E9"/>
    <mergeCell ref="C10:E10"/>
    <mergeCell ref="C11:E11"/>
    <mergeCell ref="C13:E13"/>
    <mergeCell ref="C14:E14"/>
    <mergeCell ref="C15:E15"/>
    <mergeCell ref="C18:E18"/>
    <mergeCell ref="C19:E19"/>
    <mergeCell ref="H31:I31"/>
    <mergeCell ref="E59:I59"/>
    <mergeCell ref="C21:E21"/>
    <mergeCell ref="J31:K31"/>
    <mergeCell ref="E35:K35"/>
    <mergeCell ref="E37:K37"/>
    <mergeCell ref="I42:K42"/>
    <mergeCell ref="E45:G45"/>
    <mergeCell ref="I45:K45"/>
    <mergeCell ref="E47:K47"/>
    <mergeCell ref="E44:G44"/>
    <mergeCell ref="I44:K44"/>
    <mergeCell ref="E46:K46"/>
    <mergeCell ref="J59:K59"/>
    <mergeCell ref="E41:H41"/>
    <mergeCell ref="I41:K41"/>
    <mergeCell ref="AD29:AE29"/>
    <mergeCell ref="AF29:AG29"/>
    <mergeCell ref="E48:K48"/>
    <mergeCell ref="E42:G42"/>
    <mergeCell ref="B29:E29"/>
    <mergeCell ref="E30:K30"/>
    <mergeCell ref="E32:G32"/>
    <mergeCell ref="H32:I32"/>
    <mergeCell ref="J32:K32"/>
    <mergeCell ref="E33:K33"/>
    <mergeCell ref="E34:K34"/>
    <mergeCell ref="E36:K36"/>
    <mergeCell ref="E38:K38"/>
    <mergeCell ref="E40:K40"/>
    <mergeCell ref="E39:K39"/>
    <mergeCell ref="E31:G31"/>
    <mergeCell ref="B24:B27"/>
    <mergeCell ref="C24:E24"/>
    <mergeCell ref="C25:E25"/>
    <mergeCell ref="C26:E26"/>
    <mergeCell ref="C27:E27"/>
    <mergeCell ref="D77:J77"/>
    <mergeCell ref="E66:K66"/>
    <mergeCell ref="E67:K67"/>
    <mergeCell ref="E68:K68"/>
    <mergeCell ref="D69:N70"/>
    <mergeCell ref="D71:N72"/>
    <mergeCell ref="D73:N74"/>
    <mergeCell ref="L77:N77"/>
    <mergeCell ref="J43:K43"/>
    <mergeCell ref="J60:K60"/>
    <mergeCell ref="E49:K49"/>
    <mergeCell ref="E54:H54"/>
    <mergeCell ref="J54:K54"/>
    <mergeCell ref="E55:I55"/>
    <mergeCell ref="J55:K55"/>
    <mergeCell ref="E56:H56"/>
    <mergeCell ref="E52:H52"/>
    <mergeCell ref="J52:K52"/>
    <mergeCell ref="E50:K50"/>
    <mergeCell ref="E51:I51"/>
    <mergeCell ref="J51:K51"/>
    <mergeCell ref="E43:H43"/>
    <mergeCell ref="E53:I53"/>
    <mergeCell ref="J53:K53"/>
  </mergeCells>
  <phoneticPr fontId="43" type="noConversion"/>
  <conditionalFormatting sqref="A31:A68">
    <cfRule type="cellIs" dxfId="320" priority="3" operator="equal">
      <formula>0</formula>
    </cfRule>
  </conditionalFormatting>
  <conditionalFormatting sqref="B66:E68">
    <cfRule type="cellIs" dxfId="318" priority="67" operator="equal">
      <formula>0</formula>
    </cfRule>
  </conditionalFormatting>
  <conditionalFormatting sqref="C9:E11">
    <cfRule type="cellIs" dxfId="317" priority="112" operator="equal">
      <formula>""</formula>
    </cfRule>
  </conditionalFormatting>
  <conditionalFormatting sqref="C13:E15">
    <cfRule type="cellIs" dxfId="316" priority="109" operator="equal">
      <formula>""</formula>
    </cfRule>
  </conditionalFormatting>
  <conditionalFormatting sqref="C18:E21">
    <cfRule type="cellIs" dxfId="315" priority="105" operator="equal">
      <formula>""</formula>
    </cfRule>
  </conditionalFormatting>
  <conditionalFormatting sqref="C24:E27">
    <cfRule type="cellIs" dxfId="314" priority="52" operator="equal">
      <formula>""</formula>
    </cfRule>
  </conditionalFormatting>
  <conditionalFormatting sqref="I13">
    <cfRule type="expression" dxfId="311" priority="63">
      <formula>$O$13=2</formula>
    </cfRule>
    <cfRule type="expression" dxfId="310" priority="66">
      <formula>$O$13=1</formula>
    </cfRule>
  </conditionalFormatting>
  <conditionalFormatting sqref="I24:I26">
    <cfRule type="cellIs" dxfId="309" priority="9" operator="equal">
      <formula>""</formula>
    </cfRule>
  </conditionalFormatting>
  <conditionalFormatting sqref="K17">
    <cfRule type="expression" dxfId="300" priority="117">
      <formula>$O$21=13</formula>
    </cfRule>
  </conditionalFormatting>
  <conditionalFormatting sqref="K18">
    <cfRule type="expression" dxfId="299" priority="116">
      <formula>$O$21=13</formula>
    </cfRule>
  </conditionalFormatting>
  <conditionalFormatting sqref="L13">
    <cfRule type="expression" dxfId="298" priority="64">
      <formula>$O$13=1</formula>
    </cfRule>
    <cfRule type="expression" dxfId="297" priority="65">
      <formula>$O$13=2</formula>
    </cfRule>
  </conditionalFormatting>
  <conditionalFormatting sqref="L19">
    <cfRule type="expression" dxfId="296" priority="115">
      <formula>$O$21=14</formula>
    </cfRule>
  </conditionalFormatting>
  <conditionalFormatting sqref="L66:N68">
    <cfRule type="cellIs" dxfId="295" priority="73" operator="equal">
      <formula>0</formula>
    </cfRule>
  </conditionalFormatting>
  <dataValidations count="2">
    <dataValidation type="list" allowBlank="1" showInputMessage="1" showErrorMessage="1" sqref="I41:K41" xr:uid="{1C0DB1F7-423D-42A0-951F-C86432F8153B}">
      <formula1>$AY$39:$AY$41</formula1>
    </dataValidation>
    <dataValidation type="list" allowBlank="1" showInputMessage="1" showErrorMessage="1" sqref="J43:K43" xr:uid="{3B0631DC-DF9A-48E1-B94B-D7B81C915ADE}">
      <formula1>$BA$41:$BA$43</formula1>
    </dataValidation>
  </dataValidations>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7825"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77826" r:id="rId6" name="Group Box 2">
              <controlPr defaultSize="0" print="0" autoFill="0" autoPict="0" altText="">
                <anchor moveWithCells="1">
                  <from>
                    <xdr:col>5</xdr:col>
                    <xdr:colOff>563880</xdr:colOff>
                    <xdr:row>14</xdr:row>
                    <xdr:rowOff>0</xdr:rowOff>
                  </from>
                  <to>
                    <xdr:col>14</xdr:col>
                    <xdr:colOff>0</xdr:colOff>
                    <xdr:row>20</xdr:row>
                    <xdr:rowOff>0</xdr:rowOff>
                  </to>
                </anchor>
              </controlPr>
            </control>
          </mc:Choice>
        </mc:AlternateContent>
        <mc:AlternateContent xmlns:mc="http://schemas.openxmlformats.org/markup-compatibility/2006">
          <mc:Choice Requires="x14">
            <control shapeId="77827" r:id="rId7" name="Group Box 3">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77828" r:id="rId8" name="Option Button 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77829" r:id="rId9" name="Option Button 5">
              <controlPr defaultSize="0" autoFill="0" autoLine="0" autoPict="0" altText="">
                <anchor moveWithCells="1">
                  <from>
                    <xdr:col>5</xdr:col>
                    <xdr:colOff>563880</xdr:colOff>
                    <xdr:row>15</xdr:row>
                    <xdr:rowOff>22860</xdr:rowOff>
                  </from>
                  <to>
                    <xdr:col>7</xdr:col>
                    <xdr:colOff>731520</xdr:colOff>
                    <xdr:row>16</xdr:row>
                    <xdr:rowOff>0</xdr:rowOff>
                  </to>
                </anchor>
              </controlPr>
            </control>
          </mc:Choice>
        </mc:AlternateContent>
        <mc:AlternateContent xmlns:mc="http://schemas.openxmlformats.org/markup-compatibility/2006">
          <mc:Choice Requires="x14">
            <control shapeId="77830" r:id="rId10" name="Option Button 6">
              <controlPr defaultSize="0" autoFill="0" autoLine="0" autoPict="0" altText="">
                <anchor moveWithCells="1">
                  <from>
                    <xdr:col>5</xdr:col>
                    <xdr:colOff>563880</xdr:colOff>
                    <xdr:row>16</xdr:row>
                    <xdr:rowOff>22860</xdr:rowOff>
                  </from>
                  <to>
                    <xdr:col>7</xdr:col>
                    <xdr:colOff>731520</xdr:colOff>
                    <xdr:row>17</xdr:row>
                    <xdr:rowOff>0</xdr:rowOff>
                  </to>
                </anchor>
              </controlPr>
            </control>
          </mc:Choice>
        </mc:AlternateContent>
        <mc:AlternateContent xmlns:mc="http://schemas.openxmlformats.org/markup-compatibility/2006">
          <mc:Choice Requires="x14">
            <control shapeId="77831" r:id="rId11" name="Option Button 7">
              <controlPr defaultSize="0" autoFill="0" autoLine="0" autoPict="0" altText="">
                <anchor moveWithCells="1">
                  <from>
                    <xdr:col>5</xdr:col>
                    <xdr:colOff>563880</xdr:colOff>
                    <xdr:row>17</xdr:row>
                    <xdr:rowOff>22860</xdr:rowOff>
                  </from>
                  <to>
                    <xdr:col>7</xdr:col>
                    <xdr:colOff>731520</xdr:colOff>
                    <xdr:row>18</xdr:row>
                    <xdr:rowOff>0</xdr:rowOff>
                  </to>
                </anchor>
              </controlPr>
            </control>
          </mc:Choice>
        </mc:AlternateContent>
        <mc:AlternateContent xmlns:mc="http://schemas.openxmlformats.org/markup-compatibility/2006">
          <mc:Choice Requires="x14">
            <control shapeId="77841" r:id="rId12" name="Option Button 17">
              <controlPr defaultSize="0" autoFill="0" autoLine="0" autoPict="0">
                <anchor moveWithCells="1">
                  <from>
                    <xdr:col>7</xdr:col>
                    <xdr:colOff>678180</xdr:colOff>
                    <xdr:row>12</xdr:row>
                    <xdr:rowOff>30480</xdr:rowOff>
                  </from>
                  <to>
                    <xdr:col>9</xdr:col>
                    <xdr:colOff>137160</xdr:colOff>
                    <xdr:row>12</xdr:row>
                    <xdr:rowOff>182880</xdr:rowOff>
                  </to>
                </anchor>
              </controlPr>
            </control>
          </mc:Choice>
        </mc:AlternateContent>
        <mc:AlternateContent xmlns:mc="http://schemas.openxmlformats.org/markup-compatibility/2006">
          <mc:Choice Requires="x14">
            <control shapeId="77842" r:id="rId13" name="Option Button 18">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77846" r:id="rId14" name="Group Box 22">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77847" r:id="rId15" name="Option Button 2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7848" r:id="rId16" name="Option Button 2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77850" r:id="rId17" name="Option Button 26">
              <controlPr defaultSize="0" autoFill="0" autoLine="0" autoPict="0" altText="">
                <anchor moveWithCells="1">
                  <from>
                    <xdr:col>5</xdr:col>
                    <xdr:colOff>563880</xdr:colOff>
                    <xdr:row>18</xdr:row>
                    <xdr:rowOff>22860</xdr:rowOff>
                  </from>
                  <to>
                    <xdr:col>7</xdr:col>
                    <xdr:colOff>731520</xdr:colOff>
                    <xdr:row>19</xdr:row>
                    <xdr:rowOff>0</xdr:rowOff>
                  </to>
                </anchor>
              </controlPr>
            </control>
          </mc:Choice>
        </mc:AlternateContent>
        <mc:AlternateContent xmlns:mc="http://schemas.openxmlformats.org/markup-compatibility/2006">
          <mc:Choice Requires="x14">
            <control shapeId="77851" r:id="rId18" name="Option Button 27">
              <controlPr defaultSize="0" autoFill="0" autoLine="0" autoPict="0" altText="">
                <anchor moveWithCells="1">
                  <from>
                    <xdr:col>8</xdr:col>
                    <xdr:colOff>762000</xdr:colOff>
                    <xdr:row>15</xdr:row>
                    <xdr:rowOff>22860</xdr:rowOff>
                  </from>
                  <to>
                    <xdr:col>11</xdr:col>
                    <xdr:colOff>0</xdr:colOff>
                    <xdr:row>16</xdr:row>
                    <xdr:rowOff>0</xdr:rowOff>
                  </to>
                </anchor>
              </controlPr>
            </control>
          </mc:Choice>
        </mc:AlternateContent>
        <mc:AlternateContent xmlns:mc="http://schemas.openxmlformats.org/markup-compatibility/2006">
          <mc:Choice Requires="x14">
            <control shapeId="77852" r:id="rId19" name="Option Button 28">
              <controlPr defaultSize="0" autoFill="0" autoLine="0" autoPict="0" altText="">
                <anchor moveWithCells="1">
                  <from>
                    <xdr:col>8</xdr:col>
                    <xdr:colOff>762000</xdr:colOff>
                    <xdr:row>16</xdr:row>
                    <xdr:rowOff>22860</xdr:rowOff>
                  </from>
                  <to>
                    <xdr:col>11</xdr:col>
                    <xdr:colOff>0</xdr:colOff>
                    <xdr:row>17</xdr:row>
                    <xdr:rowOff>0</xdr:rowOff>
                  </to>
                </anchor>
              </controlPr>
            </control>
          </mc:Choice>
        </mc:AlternateContent>
        <mc:AlternateContent xmlns:mc="http://schemas.openxmlformats.org/markup-compatibility/2006">
          <mc:Choice Requires="x14">
            <control shapeId="77853" r:id="rId20" name="Option Button 29">
              <controlPr defaultSize="0" autoFill="0" autoLine="0" autoPict="0" altText="">
                <anchor moveWithCells="1">
                  <from>
                    <xdr:col>8</xdr:col>
                    <xdr:colOff>762000</xdr:colOff>
                    <xdr:row>17</xdr:row>
                    <xdr:rowOff>22860</xdr:rowOff>
                  </from>
                  <to>
                    <xdr:col>11</xdr:col>
                    <xdr:colOff>0</xdr:colOff>
                    <xdr:row>18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B1BBA4E5-AEED-467E-9427-350793CF5CE3}">
            <xm:f>$J$107=Formeln!$A$177</xm:f>
            <x14:dxf>
              <font>
                <color theme="0" tint="-0.34998626667073579"/>
              </font>
            </x14:dxf>
          </x14:cfRule>
          <xm:sqref>B59:B60</xm:sqref>
        </x14:conditionalFormatting>
        <x14:conditionalFormatting xmlns:xm="http://schemas.microsoft.com/office/excel/2006/main">
          <x14:cfRule type="expression" priority="1" id="{D484777B-6745-406B-AAD8-8D5A155FA64D}">
            <xm:f>$J$61=Formeln!$A$177</xm:f>
            <x14:dxf>
              <font>
                <color theme="0" tint="-0.34998626667073579"/>
              </font>
            </x14:dxf>
          </x14:cfRule>
          <xm:sqref>E53:I53</xm:sqref>
        </x14:conditionalFormatting>
        <x14:conditionalFormatting xmlns:xm="http://schemas.microsoft.com/office/excel/2006/main">
          <x14:cfRule type="expression" priority="15" id="{DC8860DE-6526-42B3-93AE-F260BB783662}">
            <xm:f>$J$107=Formeln!$A$177</xm:f>
            <x14:dxf>
              <font>
                <color theme="0" tint="-0.34998626667073579"/>
              </font>
            </x14:dxf>
          </x14:cfRule>
          <xm:sqref>E59:I60</xm:sqref>
        </x14:conditionalFormatting>
        <x14:conditionalFormatting xmlns:xm="http://schemas.microsoft.com/office/excel/2006/main">
          <x14:cfRule type="expression" priority="6" id="{556AA002-A228-4038-BB7B-DB9DA163A0A9}">
            <xm:f>$I41=Formeln!$A$1</xm:f>
            <x14:dxf>
              <fill>
                <patternFill>
                  <bgColor theme="0" tint="-0.14996795556505021"/>
                </patternFill>
              </fill>
            </x14:dxf>
          </x14:cfRule>
          <xm:sqref>I41:K42</xm:sqref>
        </x14:conditionalFormatting>
        <x14:conditionalFormatting xmlns:xm="http://schemas.microsoft.com/office/excel/2006/main">
          <x14:cfRule type="expression" priority="5" id="{6FC1E110-7C15-44A9-B63A-E62DEDBB9B5E}">
            <xm:f>$I44=Formeln!$A$1</xm:f>
            <x14:dxf>
              <fill>
                <patternFill>
                  <bgColor theme="0" tint="-0.14996795556505021"/>
                </patternFill>
              </fill>
            </x14:dxf>
          </x14:cfRule>
          <xm:sqref>I44:K45</xm:sqref>
        </x14:conditionalFormatting>
        <x14:conditionalFormatting xmlns:xm="http://schemas.microsoft.com/office/excel/2006/main">
          <x14:cfRule type="expression" priority="44" id="{0DC7D4EE-1494-4C44-820C-BDDB045E0783}">
            <xm:f>$J$31=Formeln!$A$1</xm:f>
            <x14:dxf>
              <fill>
                <patternFill>
                  <bgColor theme="0" tint="-0.14996795556505021"/>
                </patternFill>
              </fill>
            </x14:dxf>
          </x14:cfRule>
          <xm:sqref>J31:K31</xm:sqref>
        </x14:conditionalFormatting>
        <x14:conditionalFormatting xmlns:xm="http://schemas.microsoft.com/office/excel/2006/main">
          <x14:cfRule type="expression" priority="87" id="{E4E1DC0C-5AE3-47CC-A52A-88BA358B9F23}">
            <xm:f>$J$32=Formeln!$A$1</xm:f>
            <x14:dxf>
              <fill>
                <patternFill>
                  <bgColor theme="0" tint="-0.14996795556505021"/>
                </patternFill>
              </fill>
            </x14:dxf>
          </x14:cfRule>
          <xm:sqref>J32:K32</xm:sqref>
        </x14:conditionalFormatting>
        <x14:conditionalFormatting xmlns:xm="http://schemas.microsoft.com/office/excel/2006/main">
          <x14:cfRule type="expression" priority="4" id="{71C0F6F2-71C9-4F75-A1D4-9AC70E88F7D4}">
            <xm:f>$J$43=Formeln!$A$1</xm:f>
            <x14:dxf>
              <fill>
                <patternFill>
                  <bgColor theme="0" tint="-0.14996795556505021"/>
                </patternFill>
              </fill>
            </x14:dxf>
          </x14:cfRule>
          <xm:sqref>J43:K43</xm:sqref>
        </x14:conditionalFormatting>
        <x14:conditionalFormatting xmlns:xm="http://schemas.microsoft.com/office/excel/2006/main">
          <x14:cfRule type="expression" priority="57" id="{91CA3FB4-2E5A-4A6E-9AD4-499297B1932B}">
            <xm:f>$J$52=Formeln!$A$1</xm:f>
            <x14:dxf>
              <fill>
                <patternFill>
                  <bgColor theme="0" tint="-0.14996795556505021"/>
                </patternFill>
              </fill>
            </x14:dxf>
          </x14:cfRule>
          <xm:sqref>J52:K52</xm:sqref>
        </x14:conditionalFormatting>
        <x14:conditionalFormatting xmlns:xm="http://schemas.microsoft.com/office/excel/2006/main">
          <x14:cfRule type="expression" priority="56" id="{68439795-8F69-4A87-8BD1-1767595C867B}">
            <xm:f>$J$54=Formeln!$A$1</xm:f>
            <x14:dxf>
              <fill>
                <patternFill>
                  <bgColor theme="0" tint="-0.14996795556505021"/>
                </patternFill>
              </fill>
            </x14:dxf>
          </x14:cfRule>
          <xm:sqref>J54:K54</xm:sqref>
        </x14:conditionalFormatting>
        <x14:conditionalFormatting xmlns:xm="http://schemas.microsoft.com/office/excel/2006/main">
          <x14:cfRule type="expression" priority="60" id="{BCCC50D2-6F22-4BD9-BB9C-DB596D6EFFFC}">
            <xm:f>$J$56=Formeln!$A$1</xm:f>
            <x14:dxf>
              <fill>
                <patternFill>
                  <bgColor theme="0" tint="-0.14996795556505021"/>
                </patternFill>
              </fill>
            </x14:dxf>
          </x14:cfRule>
          <xm:sqref>J56:K56</xm:sqref>
        </x14:conditionalFormatting>
        <x14:conditionalFormatting xmlns:xm="http://schemas.microsoft.com/office/excel/2006/main">
          <x14:cfRule type="expression" priority="2" id="{7A6E8DAC-95C3-426E-93AA-C2B3D66C5132}">
            <xm:f>Info!$V$7=8</xm:f>
            <x14:dxf>
              <font>
                <color theme="1"/>
              </font>
              <border>
                <left style="thin">
                  <color auto="1"/>
                </left>
                <right style="thin">
                  <color auto="1"/>
                </right>
                <top style="thin">
                  <color auto="1"/>
                </top>
                <bottom style="thin">
                  <color auto="1"/>
                </bottom>
                <vertical/>
                <horizontal/>
              </border>
            </x14:dxf>
          </x14:cfRule>
          <xm:sqref>O30:O68</xm:sqref>
        </x14:conditionalFormatting>
        <x14:conditionalFormatting xmlns:xm="http://schemas.microsoft.com/office/excel/2006/main">
          <x14:cfRule type="expression" priority="11" id="{5E21CB43-18D8-4861-8B9A-999221CB8D3C}">
            <xm:f>Info!$V$7=8</xm:f>
            <x14:dxf>
              <font>
                <color theme="1"/>
              </font>
              <border>
                <bottom style="thin">
                  <color auto="1"/>
                </bottom>
              </border>
            </x14:dxf>
          </x14:cfRule>
          <xm:sqref>O70</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Formeln_RI_P.10!$A$151:$A$153</xm:f>
          </x14:formula1>
          <xm:sqref>J56:K56</xm:sqref>
        </x14:dataValidation>
        <x14:dataValidation type="list" allowBlank="1" showInputMessage="1" showErrorMessage="1" xr:uid="{00000000-0002-0000-0A00-000001000000}">
          <x14:formula1>
            <xm:f>Formeln_RI_P.10!$A$272:$A$275</xm:f>
          </x14:formula1>
          <xm:sqref>J54:K54</xm:sqref>
        </x14:dataValidation>
        <x14:dataValidation type="list" allowBlank="1" showInputMessage="1" showErrorMessage="1" xr:uid="{00000000-0002-0000-0A00-000002000000}">
          <x14:formula1>
            <xm:f>Formeln_RI_P.10!$B$134:$B$137</xm:f>
          </x14:formula1>
          <xm:sqref>J32:K32</xm:sqref>
        </x14:dataValidation>
        <x14:dataValidation type="list" allowBlank="1" showInputMessage="1" showErrorMessage="1" xr:uid="{00000000-0002-0000-0A00-000003000000}">
          <x14:formula1>
            <xm:f>Formeln_RI_P.10!$A$138:$A$140</xm:f>
          </x14:formula1>
          <xm:sqref>I42:K42</xm:sqref>
        </x14:dataValidation>
        <x14:dataValidation type="list" allowBlank="1" showInputMessage="1" showErrorMessage="1" xr:uid="{00000000-0002-0000-0A00-000005000000}">
          <x14:formula1>
            <xm:f>Formeln!$B$142:$B$145</xm:f>
          </x14:formula1>
          <xm:sqref>J31:K31</xm:sqref>
        </x14:dataValidation>
        <x14:dataValidation type="list" allowBlank="1" showInputMessage="1" showErrorMessage="1" xr:uid="{00000000-0002-0000-0A00-000007000000}">
          <x14:formula1>
            <xm:f>Formeln_RI_P.10!$A$143:$A$144</xm:f>
          </x14:formula1>
          <xm:sqref>I45:K45</xm:sqref>
        </x14:dataValidation>
        <x14:dataValidation type="list" allowBlank="1" showInputMessage="1" showErrorMessage="1" xr:uid="{00000000-0002-0000-0A00-000008000000}">
          <x14:formula1>
            <xm:f>Formeln_RI_P.10!$A$141:$A$142</xm:f>
          </x14:formula1>
          <xm:sqref>I44:K44</xm:sqref>
        </x14:dataValidation>
        <x14:dataValidation type="list" allowBlank="1" showInputMessage="1" showErrorMessage="1" xr:uid="{00000000-0002-0000-0A00-000006000000}">
          <x14:formula1>
            <xm:f>Formeln_RI_P.10!$B$144:$B$148</xm:f>
          </x14:formula1>
          <xm:sqref>J52:K52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XFC129"/>
  <sheetViews>
    <sheetView showGridLines="0" zoomScale="90" zoomScaleNormal="90" workbookViewId="0">
      <selection activeCell="C9" sqref="C9:E9"/>
    </sheetView>
  </sheetViews>
  <sheetFormatPr baseColWidth="10" defaultColWidth="0" defaultRowHeight="13.8"/>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5546875" style="1" customWidth="1"/>
    <col min="15" max="15" width="14.6640625" style="5" customWidth="1"/>
    <col min="16" max="16" width="9.77734375" style="5" customWidth="1"/>
    <col min="17" max="20" width="15.33203125" style="5" hidden="1"/>
    <col min="21" max="22" width="15.33203125" style="9" hidden="1"/>
    <col min="23" max="152" width="15.33203125" style="1" hidden="1"/>
    <col min="153" max="175" width="15.33203125" style="129" hidden="1"/>
    <col min="176" max="16383" width="15.33203125" style="1" hidden="1"/>
    <col min="16384" max="16384" width="11.5546875" style="1" hidden="1"/>
  </cols>
  <sheetData>
    <row r="1" spans="1:177" ht="28.2">
      <c r="N1" s="2" t="str">
        <f>VLOOKUP(272,Sprachindex!$A:$Z,Info!$O$7,FALSE)</f>
        <v>Dachrinnensysteme</v>
      </c>
      <c r="EW1" s="1"/>
      <c r="EX1" s="1"/>
      <c r="FT1" s="129"/>
      <c r="FU1" s="129"/>
    </row>
    <row r="2" spans="1:177" ht="28.2">
      <c r="D2" s="18"/>
      <c r="N2" s="2" t="str">
        <f>VLOOKUP(248,Sprachindex!$A:$Z,Info!$O$7,FALSE)</f>
        <v>Dachentwässerung</v>
      </c>
      <c r="EW2" s="1"/>
      <c r="EX2" s="1"/>
      <c r="FT2" s="129"/>
      <c r="FU2" s="129"/>
    </row>
    <row r="3" spans="1:177" ht="15" customHeight="1">
      <c r="EW3" s="1"/>
      <c r="EX3" s="1"/>
      <c r="FT3" s="129"/>
      <c r="FU3" s="129"/>
    </row>
    <row r="4" spans="1:177" ht="17.25" customHeight="1">
      <c r="A4" s="67"/>
      <c r="B4" s="67"/>
      <c r="C4" s="67"/>
      <c r="D4" s="67"/>
      <c r="E4" s="67"/>
      <c r="F4" s="67"/>
      <c r="G4" s="67"/>
      <c r="H4" s="67"/>
      <c r="I4" s="67"/>
      <c r="J4" s="67"/>
      <c r="K4" s="67"/>
      <c r="L4" s="67"/>
      <c r="M4" s="67"/>
      <c r="N4" s="186"/>
      <c r="O4" s="68"/>
      <c r="P4" s="68"/>
      <c r="Q4" s="68"/>
      <c r="R4" s="68"/>
      <c r="S4" s="68"/>
      <c r="T4" s="68"/>
      <c r="W4" s="3"/>
      <c r="EW4" s="1"/>
      <c r="EX4" s="1"/>
      <c r="FT4" s="129"/>
      <c r="FU4" s="129"/>
    </row>
    <row r="5" spans="1:177" ht="17.25" customHeight="1">
      <c r="A5" s="67"/>
      <c r="B5" s="67"/>
      <c r="C5" s="67"/>
      <c r="D5" s="67"/>
      <c r="E5" s="67"/>
      <c r="F5" s="67"/>
      <c r="G5" s="67"/>
      <c r="H5" s="67"/>
      <c r="I5" s="67"/>
      <c r="J5" s="67"/>
      <c r="K5" s="67"/>
      <c r="L5" s="67"/>
      <c r="M5" s="67"/>
      <c r="N5" s="186"/>
      <c r="O5" s="68"/>
      <c r="P5" s="68"/>
      <c r="Q5" s="68"/>
      <c r="R5" s="68"/>
      <c r="S5" s="68"/>
      <c r="T5" s="68"/>
      <c r="W5" s="3"/>
      <c r="EW5" s="1"/>
      <c r="EX5" s="1"/>
      <c r="FT5" s="129"/>
      <c r="FU5" s="129"/>
    </row>
    <row r="6" spans="1:177" ht="17.25" customHeight="1">
      <c r="A6" s="67"/>
      <c r="B6" s="67"/>
      <c r="C6" s="67"/>
      <c r="D6" s="67"/>
      <c r="E6" s="67"/>
      <c r="F6" s="67"/>
      <c r="G6" s="67"/>
      <c r="H6" s="67"/>
      <c r="I6" s="67"/>
      <c r="J6" s="67"/>
      <c r="K6" s="67"/>
      <c r="L6" s="67"/>
      <c r="M6" s="67"/>
      <c r="N6" s="186"/>
      <c r="O6" s="94"/>
      <c r="P6" s="94"/>
      <c r="Q6" s="94"/>
      <c r="R6" s="94"/>
      <c r="S6" s="94"/>
      <c r="T6" s="94"/>
      <c r="W6" s="3"/>
      <c r="EW6" s="1"/>
      <c r="EX6" s="1"/>
      <c r="FT6" s="129"/>
      <c r="FU6" s="129"/>
    </row>
    <row r="7" spans="1:177" ht="17.25" customHeight="1">
      <c r="A7" s="67"/>
      <c r="B7" s="67"/>
      <c r="C7" s="67"/>
      <c r="D7" s="67"/>
      <c r="E7" s="67"/>
      <c r="F7" s="67"/>
      <c r="G7" s="67"/>
      <c r="H7" s="67"/>
      <c r="I7" s="67"/>
      <c r="J7" s="67"/>
      <c r="K7" s="67"/>
      <c r="L7" s="67"/>
      <c r="M7" s="67"/>
      <c r="N7" s="186"/>
      <c r="O7" s="94"/>
      <c r="P7" s="94"/>
      <c r="Q7" s="94"/>
      <c r="R7" s="94"/>
      <c r="S7" s="94"/>
      <c r="T7" s="94"/>
      <c r="W7" s="3"/>
      <c r="EW7" s="1"/>
      <c r="EX7" s="1"/>
      <c r="FT7" s="129"/>
      <c r="FU7" s="129"/>
    </row>
    <row r="8" spans="1:177" ht="17.25" customHeight="1">
      <c r="A8" s="83" t="str">
        <f>VLOOKUP(393,Sprachindex!$A:$Z,Info!$O$7,FALSE)</f>
        <v>Firma / Besteller:</v>
      </c>
      <c r="B8" s="67"/>
      <c r="C8" s="67"/>
      <c r="D8" s="67"/>
      <c r="E8" s="67"/>
      <c r="F8" s="67"/>
      <c r="G8" s="67"/>
      <c r="H8" s="67"/>
      <c r="I8" s="67"/>
      <c r="J8" s="67"/>
      <c r="K8" s="67"/>
      <c r="L8" s="67"/>
      <c r="M8" s="67"/>
      <c r="N8" s="67"/>
      <c r="O8" s="68"/>
      <c r="P8" s="68"/>
      <c r="Q8" s="68"/>
      <c r="R8" s="68"/>
      <c r="S8" s="68"/>
      <c r="T8" s="68"/>
      <c r="V8" s="10"/>
      <c r="EW8" s="1"/>
      <c r="EX8" s="1"/>
      <c r="FT8" s="129"/>
      <c r="FU8" s="129"/>
    </row>
    <row r="9" spans="1:177" ht="15" customHeight="1">
      <c r="A9" s="67"/>
      <c r="B9" s="71" t="str">
        <f>VLOOKUP(622,Sprachindex!$A:$Z,Info!$O$7,FALSE)</f>
        <v>Name:</v>
      </c>
      <c r="C9" s="615"/>
      <c r="D9" s="616"/>
      <c r="E9" s="617"/>
      <c r="F9" s="67"/>
      <c r="G9" s="82" t="str">
        <f>VLOOKUP(638,Sprachindex!$A:$Z,Info!$O$7,FALSE)</f>
        <v>Oberfläche:</v>
      </c>
      <c r="H9" s="67"/>
      <c r="I9" s="68"/>
      <c r="J9" s="66"/>
      <c r="K9" s="67"/>
      <c r="L9" s="66" t="str">
        <f>VLOOKUP(433,Sprachindex!$A:$Z,Info!$O$7,FALSE)</f>
        <v>glatt</v>
      </c>
      <c r="M9" s="67"/>
      <c r="N9" s="67"/>
      <c r="O9" s="94">
        <v>1</v>
      </c>
      <c r="P9" s="94"/>
      <c r="Q9" s="94"/>
      <c r="R9" s="94"/>
      <c r="S9" s="94"/>
      <c r="T9" s="94"/>
      <c r="U9" s="11"/>
      <c r="W9" s="4"/>
      <c r="EW9" s="1"/>
      <c r="EX9" s="1"/>
      <c r="FT9" s="129"/>
      <c r="FU9" s="129"/>
    </row>
    <row r="10" spans="1:177" ht="15" customHeight="1">
      <c r="A10" s="67"/>
      <c r="B10" s="71" t="str">
        <f>VLOOKUP(884,Sprachindex!$A:$Z,Info!$O$7,FALSE)</f>
        <v>Straße:</v>
      </c>
      <c r="C10" s="615"/>
      <c r="D10" s="616"/>
      <c r="E10" s="617"/>
      <c r="F10" s="67"/>
      <c r="G10" s="67"/>
      <c r="H10" s="67"/>
      <c r="I10" s="67"/>
      <c r="J10" s="68">
        <v>1</v>
      </c>
      <c r="K10" s="67"/>
      <c r="L10" s="67"/>
      <c r="M10" s="67"/>
      <c r="N10" s="67"/>
      <c r="O10" s="68"/>
      <c r="P10" s="68"/>
      <c r="Q10" s="68"/>
      <c r="R10" s="68"/>
      <c r="S10" s="68"/>
      <c r="T10" s="68"/>
      <c r="W10" s="4"/>
      <c r="Z10" s="129"/>
      <c r="AA10" s="129"/>
      <c r="AB10" s="129"/>
      <c r="AC10" s="129"/>
      <c r="AD10" s="129"/>
      <c r="AE10" s="129"/>
      <c r="AF10" s="129"/>
      <c r="AG10" s="129"/>
      <c r="AH10" s="129"/>
      <c r="AI10" s="129"/>
      <c r="AJ10" s="129"/>
      <c r="EW10" s="1"/>
      <c r="EX10" s="1"/>
      <c r="FT10" s="129"/>
      <c r="FU10" s="129"/>
    </row>
    <row r="11" spans="1:177"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94"/>
      <c r="R11" s="94"/>
      <c r="S11" s="94"/>
      <c r="T11" s="94"/>
      <c r="U11" s="11"/>
      <c r="W11" s="4"/>
      <c r="Z11" s="129"/>
      <c r="AA11" s="129"/>
      <c r="AB11" s="129"/>
      <c r="AC11" s="129"/>
      <c r="AD11" s="129"/>
      <c r="AE11" s="129"/>
      <c r="AF11" s="129"/>
      <c r="AG11" s="129"/>
      <c r="AH11" s="129"/>
      <c r="AI11" s="129"/>
      <c r="AJ11" s="129"/>
      <c r="EW11" s="1"/>
      <c r="EX11" s="1"/>
      <c r="FT11" s="129"/>
      <c r="FU11" s="129"/>
    </row>
    <row r="12" spans="1:177" ht="15" customHeight="1">
      <c r="A12" s="67"/>
      <c r="B12" s="67"/>
      <c r="C12" s="67"/>
      <c r="D12" s="67"/>
      <c r="E12" s="67"/>
      <c r="F12" s="67"/>
      <c r="G12" s="67"/>
      <c r="H12" s="67"/>
      <c r="I12" s="71"/>
      <c r="J12" s="68">
        <v>1</v>
      </c>
      <c r="K12" s="67"/>
      <c r="L12" s="67"/>
      <c r="M12" s="67"/>
      <c r="N12" s="67"/>
      <c r="O12" s="68"/>
      <c r="P12" s="68"/>
      <c r="Q12" s="68"/>
      <c r="R12" s="68"/>
      <c r="S12" s="68"/>
      <c r="T12" s="68"/>
      <c r="Z12" s="129"/>
      <c r="AA12" s="129"/>
      <c r="AB12" s="129"/>
      <c r="AC12" s="129"/>
      <c r="AD12" s="129"/>
      <c r="AE12" s="129"/>
      <c r="AF12" s="129"/>
      <c r="AG12" s="129"/>
      <c r="AH12" s="129"/>
      <c r="AI12" s="129"/>
      <c r="AJ12" s="129"/>
      <c r="EW12" s="1"/>
      <c r="EX12" s="1"/>
      <c r="FT12" s="129"/>
      <c r="FU12" s="129"/>
    </row>
    <row r="13" spans="1:177"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94"/>
      <c r="R13" s="94"/>
      <c r="S13" s="94"/>
      <c r="T13" s="94"/>
      <c r="U13" s="12"/>
      <c r="W13" s="4"/>
      <c r="Z13" s="129"/>
      <c r="AA13" s="129"/>
      <c r="AB13" s="129"/>
      <c r="AC13" s="129"/>
      <c r="AD13" s="129"/>
      <c r="AE13" s="129"/>
      <c r="AF13" s="129"/>
      <c r="AG13" s="129"/>
      <c r="AH13" s="129"/>
      <c r="AI13" s="129"/>
      <c r="AJ13" s="129"/>
      <c r="EW13" s="1"/>
      <c r="EX13" s="1"/>
      <c r="FT13" s="129"/>
      <c r="FU13" s="129"/>
    </row>
    <row r="14" spans="1:177" ht="15" customHeight="1">
      <c r="A14" s="67"/>
      <c r="B14" s="71" t="str">
        <f>VLOOKUP(901,Sprachindex!$A:$Z,Info!$O$7,FALSE)</f>
        <v>Telefon:</v>
      </c>
      <c r="C14" s="615"/>
      <c r="D14" s="616"/>
      <c r="E14" s="617"/>
      <c r="F14" s="67"/>
      <c r="G14" s="67"/>
      <c r="H14" s="67"/>
      <c r="I14" s="67"/>
      <c r="J14" s="67"/>
      <c r="K14" s="67"/>
      <c r="L14" s="67"/>
      <c r="M14" s="67"/>
      <c r="N14" s="67"/>
      <c r="O14" s="68"/>
      <c r="P14" s="68"/>
      <c r="Q14" s="68"/>
      <c r="R14" s="68"/>
      <c r="S14" s="68"/>
      <c r="T14" s="68"/>
      <c r="W14" s="4"/>
      <c r="Z14" s="129"/>
      <c r="AA14" s="129"/>
      <c r="AB14" s="129"/>
      <c r="AC14" s="129"/>
      <c r="AD14" s="129"/>
      <c r="AE14" s="129"/>
      <c r="AF14" s="129"/>
      <c r="AG14" s="129"/>
      <c r="AH14" s="129"/>
      <c r="AI14" s="129"/>
      <c r="AJ14" s="129"/>
      <c r="EW14" s="1"/>
      <c r="EX14" s="1"/>
      <c r="FT14" s="129"/>
      <c r="FU14" s="129"/>
    </row>
    <row r="15" spans="1:177"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499"/>
      <c r="P15" s="68"/>
      <c r="Q15" s="68"/>
      <c r="R15" s="68"/>
      <c r="S15" s="68"/>
      <c r="T15" s="68"/>
      <c r="W15" s="4"/>
      <c r="Z15" s="129"/>
      <c r="AA15" s="129"/>
      <c r="AB15" s="129"/>
      <c r="AC15" s="129"/>
      <c r="AD15" s="129"/>
      <c r="AE15" s="129"/>
      <c r="AF15" s="129"/>
      <c r="AG15" s="129"/>
      <c r="AH15" s="129"/>
      <c r="AI15" s="129"/>
      <c r="AJ15" s="129"/>
      <c r="EW15" s="1"/>
      <c r="EX15" s="1"/>
      <c r="FT15" s="129"/>
      <c r="FU15" s="129"/>
    </row>
    <row r="16" spans="1:177" ht="15" customHeight="1">
      <c r="A16" s="67"/>
      <c r="B16" s="67"/>
      <c r="C16" s="67"/>
      <c r="D16" s="67"/>
      <c r="E16" s="67"/>
      <c r="F16" s="67"/>
      <c r="G16" s="67" t="str">
        <f>VLOOKUP(24,Sprachindex!$A:$Z,Info!$O$7,FALSE)</f>
        <v>01 Braun</v>
      </c>
      <c r="H16" s="67"/>
      <c r="I16" s="66" t="str">
        <f>VLOOKUP(36,Sprachindex!$A:$Z,Info!$O$7,FALSE)</f>
        <v>07 Hellgrau</v>
      </c>
      <c r="J16" s="67"/>
      <c r="K16" s="66"/>
      <c r="L16" s="67"/>
      <c r="M16" s="67"/>
      <c r="N16" s="67"/>
      <c r="O16" s="499"/>
      <c r="P16" s="68"/>
      <c r="Q16" s="68"/>
      <c r="R16" s="68"/>
      <c r="S16" s="68"/>
      <c r="T16" s="68"/>
      <c r="Z16" s="129"/>
      <c r="AA16" s="129"/>
      <c r="AB16" s="129"/>
      <c r="AC16" s="129"/>
      <c r="AD16" s="129"/>
      <c r="AE16" s="129"/>
      <c r="AF16" s="129"/>
      <c r="AG16" s="129"/>
      <c r="AH16" s="129"/>
      <c r="AI16" s="129"/>
      <c r="AJ16" s="129"/>
      <c r="EW16" s="1"/>
      <c r="EX16" s="1"/>
      <c r="FT16" s="129"/>
      <c r="FU16" s="129"/>
    </row>
    <row r="17" spans="1:198" ht="15" customHeight="1">
      <c r="A17" s="83" t="str">
        <f>VLOOKUP(580,Sprachindex!$A:$Z,Info!$O$7,FALSE)</f>
        <v>Lieferadresse:</v>
      </c>
      <c r="B17" s="67"/>
      <c r="C17" s="67"/>
      <c r="D17" s="67"/>
      <c r="E17" s="67"/>
      <c r="F17" s="67"/>
      <c r="G17" s="67" t="str">
        <f>VLOOKUP(26,Sprachindex!$A:$Z,Info!$O$7,FALSE)</f>
        <v>02 Anthrazit</v>
      </c>
      <c r="H17" s="67"/>
      <c r="I17" s="66" t="str">
        <f>VLOOKUP(39,Sprachindex!$A:$Z,Info!$O$7,FALSE)</f>
        <v>08 Zinkgrau</v>
      </c>
      <c r="J17" s="67"/>
      <c r="K17" s="99"/>
      <c r="L17" s="67"/>
      <c r="M17" s="67"/>
      <c r="N17" s="67"/>
      <c r="O17" s="499"/>
      <c r="P17" s="68"/>
      <c r="Q17" s="68"/>
      <c r="R17" s="68"/>
      <c r="S17" s="68"/>
      <c r="T17" s="68"/>
      <c r="V17" s="10"/>
      <c r="Z17" s="129"/>
      <c r="AA17" s="129"/>
      <c r="AB17" s="129"/>
      <c r="AC17" s="129"/>
      <c r="AD17" s="129"/>
      <c r="AE17" s="129"/>
      <c r="AF17" s="129"/>
      <c r="AG17" s="129"/>
      <c r="AH17" s="129"/>
      <c r="AI17" s="129"/>
      <c r="AJ17" s="129"/>
      <c r="EW17" s="1"/>
      <c r="EX17" s="1"/>
      <c r="FT17" s="129"/>
      <c r="FU17" s="129"/>
    </row>
    <row r="18" spans="1:198" ht="15" customHeight="1">
      <c r="A18" s="67"/>
      <c r="B18" s="71" t="str">
        <f>VLOOKUP(622,Sprachindex!$A:$Z,Info!$O$7,FALSE)</f>
        <v>Name:</v>
      </c>
      <c r="C18" s="615"/>
      <c r="D18" s="616"/>
      <c r="E18" s="617"/>
      <c r="F18" s="67"/>
      <c r="G18" s="67" t="str">
        <f>VLOOKUP(31,Sprachindex!$A:$Z,Info!$O$7,FALSE)</f>
        <v>04 Ziegelrot</v>
      </c>
      <c r="H18" s="67"/>
      <c r="I18" s="66" t="str">
        <f>VLOOKUP(52,Sprachindex!$A:$Z,Info!$O$7,FALSE)</f>
        <v>12 Silbermetallic</v>
      </c>
      <c r="J18" s="67"/>
      <c r="K18" s="91"/>
      <c r="L18" s="67"/>
      <c r="M18" s="67"/>
      <c r="N18" s="67"/>
      <c r="O18" s="502"/>
      <c r="P18" s="90"/>
      <c r="Q18" s="90"/>
      <c r="R18" s="90"/>
      <c r="S18" s="90"/>
      <c r="T18" s="90"/>
      <c r="V18" s="8"/>
      <c r="W18" s="4"/>
      <c r="Z18" s="129"/>
      <c r="AA18" s="129"/>
      <c r="AB18" s="129"/>
      <c r="AC18" s="129"/>
      <c r="AD18" s="129"/>
      <c r="AE18" s="129"/>
      <c r="AF18" s="129"/>
      <c r="AG18" s="129"/>
      <c r="AH18" s="129"/>
      <c r="AI18" s="129"/>
      <c r="AJ18" s="129"/>
      <c r="EW18" s="1"/>
      <c r="EX18" s="1"/>
      <c r="FT18" s="129"/>
      <c r="FU18" s="129"/>
    </row>
    <row r="19" spans="1:198" ht="15" customHeight="1">
      <c r="A19" s="67"/>
      <c r="B19" s="71" t="str">
        <f>VLOOKUP(540,Sprachindex!$A:$Z,Info!$O$7,FALSE)</f>
        <v>Kommission:</v>
      </c>
      <c r="C19" s="615"/>
      <c r="D19" s="616"/>
      <c r="E19" s="617"/>
      <c r="F19" s="67"/>
      <c r="G19" s="67" t="str">
        <f>VLOOKUP(32,Sprachindex!$A:$Z,Info!$O$7,FALSE)</f>
        <v>05 Oxydrot</v>
      </c>
      <c r="H19" s="67"/>
      <c r="I19" s="67" t="str">
        <f>VLOOKUP(54,Sprachindex!$A:$Z,Info!$O$7,FALSE)</f>
        <v>13 Naturblank</v>
      </c>
      <c r="J19" s="67"/>
      <c r="K19" s="67"/>
      <c r="L19" s="99"/>
      <c r="M19" s="67"/>
      <c r="N19" s="67"/>
      <c r="O19" s="88"/>
      <c r="P19" s="68"/>
      <c r="Q19" s="68"/>
      <c r="R19" s="68"/>
      <c r="S19" s="68"/>
      <c r="T19" s="68"/>
      <c r="W19" s="4"/>
      <c r="Z19" s="129"/>
      <c r="AA19" s="129"/>
      <c r="AB19" s="129"/>
      <c r="AC19" s="129"/>
      <c r="AD19" s="129"/>
      <c r="AE19" s="129"/>
      <c r="AF19" s="129"/>
      <c r="AG19" s="129"/>
      <c r="AH19" s="129"/>
      <c r="AI19" s="129"/>
      <c r="AJ19" s="129"/>
      <c r="EW19" s="1"/>
      <c r="EX19" s="1"/>
      <c r="FT19" s="129"/>
      <c r="FU19" s="129"/>
    </row>
    <row r="20" spans="1:198" ht="15" customHeight="1">
      <c r="A20" s="67"/>
      <c r="B20" s="71" t="str">
        <f>VLOOKUP(884,Sprachindex!$A:$Z,Info!$O$7,FALSE)</f>
        <v>Straße:</v>
      </c>
      <c r="C20" s="615"/>
      <c r="D20" s="616"/>
      <c r="E20" s="617"/>
      <c r="F20" s="67"/>
      <c r="G20" s="67" t="str">
        <f>VLOOKUP(34,Sprachindex!$A:$Z,Info!$O$7,FALSE)</f>
        <v>06 Moosgrün</v>
      </c>
      <c r="H20" s="67"/>
      <c r="I20" s="67" t="str">
        <f>VLOOKUP(113,Sprachindex!$A:$Z,Info!$O$7,FALSE)</f>
        <v>47 Patinagrau</v>
      </c>
      <c r="J20" s="67"/>
      <c r="K20" s="67"/>
      <c r="L20" s="67"/>
      <c r="M20" s="67"/>
      <c r="N20" s="67"/>
      <c r="O20" s="88"/>
      <c r="P20" s="68"/>
      <c r="Q20" s="68"/>
      <c r="R20" s="68"/>
      <c r="S20" s="68"/>
      <c r="T20" s="68"/>
      <c r="W20" s="4"/>
      <c r="Z20" s="129"/>
      <c r="AA20" s="129"/>
      <c r="AB20" s="129"/>
      <c r="AC20" s="129"/>
      <c r="AD20" s="129"/>
      <c r="AE20" s="129"/>
      <c r="AF20" s="129"/>
      <c r="AG20" s="129"/>
      <c r="AH20" s="129"/>
      <c r="AI20" s="129"/>
      <c r="AJ20" s="129"/>
      <c r="EW20" s="1"/>
      <c r="EX20" s="1"/>
      <c r="FT20" s="129"/>
      <c r="FU20" s="129"/>
    </row>
    <row r="21" spans="1:198" ht="15" customHeight="1">
      <c r="A21" s="67"/>
      <c r="B21" s="71" t="str">
        <f>VLOOKUP(641,Sprachindex!$A:$Z,Info!$O$7,FALSE)</f>
        <v>Ort:</v>
      </c>
      <c r="C21" s="615"/>
      <c r="D21" s="616"/>
      <c r="E21" s="617"/>
      <c r="F21" s="67"/>
      <c r="G21" s="67"/>
      <c r="H21" s="67"/>
      <c r="J21" s="67"/>
      <c r="K21" s="67"/>
      <c r="L21" s="67"/>
      <c r="M21" s="67"/>
      <c r="N21" s="67"/>
      <c r="O21" s="94">
        <v>0</v>
      </c>
      <c r="P21" s="94"/>
      <c r="Q21" s="94"/>
      <c r="R21" s="94"/>
      <c r="S21" s="94"/>
      <c r="T21" s="94"/>
      <c r="W21" s="4"/>
      <c r="Z21" s="129"/>
      <c r="AA21" s="129"/>
      <c r="AB21" s="129"/>
      <c r="AC21" s="129"/>
      <c r="AD21" s="129"/>
      <c r="AE21" s="129"/>
      <c r="AF21" s="129"/>
      <c r="AG21" s="129"/>
      <c r="AH21" s="129"/>
      <c r="AI21" s="129"/>
      <c r="AJ21" s="129"/>
      <c r="EW21" s="1"/>
      <c r="EX21" s="1"/>
      <c r="FT21" s="129"/>
      <c r="FU21" s="129"/>
    </row>
    <row r="22" spans="1:198" ht="15" customHeight="1">
      <c r="A22" s="67"/>
      <c r="B22" s="71"/>
      <c r="C22" s="67"/>
      <c r="D22" s="67"/>
      <c r="E22" s="67"/>
      <c r="F22" s="67"/>
      <c r="G22" s="67"/>
      <c r="H22" s="67"/>
      <c r="I22" s="90"/>
      <c r="J22" s="67"/>
      <c r="K22" s="67"/>
      <c r="L22" s="67"/>
      <c r="M22" s="67"/>
      <c r="N22" s="67"/>
      <c r="O22" s="68"/>
      <c r="P22" s="68"/>
      <c r="Q22" s="68"/>
      <c r="R22" s="68"/>
      <c r="S22" s="68"/>
      <c r="T22" s="68"/>
      <c r="W22" s="4"/>
      <c r="Z22" s="129"/>
      <c r="AA22" s="129"/>
      <c r="AB22" s="129"/>
      <c r="AC22" s="129"/>
      <c r="AD22" s="129"/>
      <c r="AE22" s="129"/>
      <c r="AF22" s="129"/>
      <c r="AG22" s="129"/>
      <c r="AH22" s="129"/>
      <c r="AI22" s="129"/>
      <c r="AJ22" s="129"/>
      <c r="EW22" s="1"/>
      <c r="EX22" s="1"/>
      <c r="FT22" s="129"/>
      <c r="FU22" s="129"/>
    </row>
    <row r="23" spans="1:198" ht="15" customHeight="1">
      <c r="A23" s="83" t="str">
        <f>VLOOKUP(1427,Sprachindex!$A:$Z,Info!$O$7,FALSE)</f>
        <v>Projektdaten:</v>
      </c>
      <c r="B23" s="71"/>
      <c r="C23" s="67"/>
      <c r="D23" s="67"/>
      <c r="E23" s="67"/>
      <c r="F23" s="67"/>
      <c r="G23" s="67"/>
      <c r="H23" s="67"/>
      <c r="I23" s="90"/>
      <c r="J23" s="67"/>
      <c r="K23" s="67"/>
      <c r="L23" s="67"/>
      <c r="M23" s="67"/>
      <c r="N23" s="67"/>
      <c r="O23" s="68"/>
      <c r="P23" s="68"/>
      <c r="Q23" s="68"/>
      <c r="R23" s="68"/>
      <c r="S23" s="68"/>
      <c r="T23" s="68"/>
      <c r="W23" s="4"/>
      <c r="Z23" s="129"/>
      <c r="AA23" s="129"/>
      <c r="AB23" s="129"/>
      <c r="AC23" s="129"/>
      <c r="AD23" s="129"/>
      <c r="AE23" s="129"/>
      <c r="AF23" s="129"/>
      <c r="AG23" s="129"/>
      <c r="AH23" s="129"/>
      <c r="AI23" s="129"/>
      <c r="AJ23" s="129"/>
      <c r="EW23" s="1"/>
      <c r="EX23" s="1"/>
      <c r="FT23" s="129"/>
      <c r="FU23" s="129"/>
    </row>
    <row r="24" spans="1:198" ht="15" customHeight="1">
      <c r="B24" s="640" t="str">
        <f>VLOOKUP(1430,Sprachindex!$A:$Z,Info!$O$7,FALSE)</f>
        <v>Beschreibung</v>
      </c>
      <c r="C24" s="615"/>
      <c r="D24" s="616"/>
      <c r="E24" s="617"/>
      <c r="F24" s="67"/>
      <c r="G24" s="89" t="str">
        <f>VLOOKUP(709,Sprachindex!$A:$Z,Info!$O$7,FALSE)</f>
        <v>Rinnendimension:</v>
      </c>
      <c r="H24" s="67"/>
      <c r="I24" s="90"/>
      <c r="J24" s="89" t="str">
        <f>VLOOKUP(146,Sprachindex!$A:$Z,Info!$O$7,FALSE)</f>
        <v>Ablaufdimension:</v>
      </c>
      <c r="K24" s="67"/>
      <c r="L24" s="67"/>
      <c r="M24" s="67"/>
      <c r="N24" s="67"/>
      <c r="O24" s="94">
        <v>0</v>
      </c>
      <c r="P24" s="94"/>
      <c r="Q24" s="94"/>
      <c r="R24" s="94"/>
      <c r="S24" s="94"/>
      <c r="T24" s="94"/>
      <c r="W24" s="4"/>
      <c r="Z24" s="129"/>
      <c r="AA24" s="129"/>
      <c r="AB24" s="129"/>
      <c r="AC24" s="129"/>
      <c r="AD24" s="129"/>
      <c r="AE24" s="129"/>
      <c r="AF24" s="129"/>
      <c r="AG24" s="129"/>
      <c r="AH24" s="129"/>
      <c r="AI24" s="129"/>
      <c r="AJ24" s="129"/>
      <c r="EW24" s="1"/>
      <c r="EX24" s="1"/>
      <c r="FT24" s="129"/>
      <c r="FU24" s="129"/>
    </row>
    <row r="25" spans="1:198" ht="15" customHeight="1">
      <c r="B25" s="640"/>
      <c r="C25" s="615"/>
      <c r="D25" s="616"/>
      <c r="E25" s="617"/>
      <c r="F25" s="67"/>
      <c r="G25" s="66">
        <f>VLOOKUP(1,Sprachindex!$A:$Z,Info!$O$7,FALSE)</f>
        <v>250</v>
      </c>
      <c r="H25" s="67"/>
      <c r="I25" s="67"/>
      <c r="J25" s="67" t="str">
        <f>VLOOKUP(125,Sprachindex!$A:$Z,Info!$O$7,FALSE)</f>
        <v>⌀ 60</v>
      </c>
      <c r="K25" s="67"/>
      <c r="L25" s="67"/>
      <c r="M25" s="67"/>
      <c r="N25" s="67"/>
      <c r="O25" s="94">
        <v>0</v>
      </c>
      <c r="P25" s="94"/>
      <c r="Q25" s="94"/>
      <c r="R25" s="94"/>
      <c r="S25" s="94"/>
      <c r="T25" s="94"/>
      <c r="W25" s="4"/>
      <c r="Z25" s="129"/>
      <c r="AA25" s="129"/>
      <c r="AB25" s="129"/>
      <c r="AC25" s="129"/>
      <c r="AD25" s="129"/>
      <c r="AE25" s="129"/>
      <c r="AF25" s="129"/>
      <c r="AG25" s="129"/>
      <c r="AH25" s="129"/>
      <c r="AI25" s="129"/>
      <c r="AJ25" s="129"/>
      <c r="EU25" s="266"/>
      <c r="EW25" s="1"/>
      <c r="EX25" s="1"/>
      <c r="FT25" s="129"/>
      <c r="FU25" s="129"/>
    </row>
    <row r="26" spans="1:198" ht="15" customHeight="1">
      <c r="B26" s="640"/>
      <c r="C26" s="615"/>
      <c r="D26" s="616"/>
      <c r="E26" s="617"/>
      <c r="F26" s="67"/>
      <c r="G26" s="66">
        <f>VLOOKUP(2,Sprachindex!$A:$Z,Info!$O$7,FALSE)</f>
        <v>280</v>
      </c>
      <c r="H26" s="67"/>
      <c r="J26" s="67" t="str">
        <f>VLOOKUP(133,Sprachindex!$A:$Z,Info!$O$7,FALSE)</f>
        <v>⌀ 80</v>
      </c>
      <c r="K26" s="67"/>
      <c r="L26" s="67"/>
      <c r="M26" s="67"/>
      <c r="N26" s="67"/>
      <c r="O26" s="68"/>
      <c r="P26" s="68"/>
      <c r="Q26" s="68"/>
      <c r="R26" s="68"/>
      <c r="S26" s="68"/>
      <c r="T26" s="68"/>
      <c r="W26" s="4"/>
      <c r="Z26" s="129"/>
      <c r="AA26" s="129"/>
      <c r="AB26" s="129"/>
      <c r="AC26" s="129"/>
      <c r="AD26" s="129"/>
      <c r="AE26" s="129"/>
      <c r="AF26" s="129"/>
      <c r="AG26" s="129"/>
      <c r="AH26" s="129"/>
      <c r="AI26" s="129"/>
      <c r="AJ26" s="129"/>
      <c r="EW26" s="1"/>
      <c r="EX26" s="1"/>
      <c r="FT26" s="129"/>
      <c r="FU26" s="129"/>
    </row>
    <row r="27" spans="1:198" ht="15" customHeight="1">
      <c r="B27" s="640"/>
      <c r="C27" s="615"/>
      <c r="D27" s="616"/>
      <c r="E27" s="617"/>
      <c r="F27" s="67"/>
      <c r="G27" s="66">
        <f>VLOOKUP(3,Sprachindex!$A:$Z,Info!$O$7,FALSE)</f>
        <v>333</v>
      </c>
      <c r="H27" s="67"/>
      <c r="I27" s="67"/>
      <c r="J27" s="67" t="str">
        <f>VLOOKUP(45,Sprachindex!$A:$Z,Info!$O$7,FALSE)</f>
        <v>⌀ 100</v>
      </c>
      <c r="K27" s="67"/>
      <c r="L27" s="67"/>
      <c r="M27" s="67"/>
      <c r="N27" s="67"/>
      <c r="O27" s="88"/>
      <c r="P27" s="68"/>
      <c r="Q27" s="68"/>
      <c r="R27" s="68"/>
      <c r="S27" s="68"/>
      <c r="T27" s="68"/>
      <c r="W27" s="4"/>
      <c r="Z27" s="129"/>
      <c r="AA27" s="129"/>
      <c r="AB27" s="129"/>
      <c r="AC27" s="129"/>
      <c r="AD27" s="129"/>
      <c r="AE27" s="129"/>
      <c r="AF27" s="129"/>
      <c r="AG27" s="129"/>
      <c r="AH27" s="129"/>
      <c r="AI27" s="129"/>
      <c r="AJ27" s="129"/>
      <c r="EW27" s="1"/>
      <c r="EX27" s="1"/>
      <c r="FT27" s="129"/>
      <c r="FU27" s="129"/>
    </row>
    <row r="28" spans="1:198" ht="15" customHeight="1">
      <c r="A28" s="67"/>
      <c r="B28" s="71"/>
      <c r="C28" s="67"/>
      <c r="D28" s="67"/>
      <c r="E28" s="67"/>
      <c r="F28" s="67"/>
      <c r="G28" s="66">
        <f>VLOOKUP(4,Sprachindex!$A:$Z,Info!$O$7,FALSE)</f>
        <v>400</v>
      </c>
      <c r="H28" s="67"/>
      <c r="I28" s="67"/>
      <c r="J28" s="67" t="str">
        <f>VLOOKUP(53,Sprachindex!$A:$Z,Info!$O$7,FALSE)</f>
        <v>⌀ 120</v>
      </c>
      <c r="K28" s="67"/>
      <c r="L28" s="67"/>
      <c r="M28" s="67"/>
      <c r="N28" s="67"/>
      <c r="O28" s="88"/>
      <c r="P28" s="68"/>
      <c r="Q28" s="68"/>
      <c r="R28" s="68"/>
      <c r="S28" s="68"/>
      <c r="T28" s="68"/>
      <c r="W28" s="4"/>
      <c r="Z28" s="129"/>
      <c r="AA28" s="129"/>
      <c r="AB28" s="129"/>
      <c r="AC28" s="129"/>
      <c r="AD28" s="129"/>
      <c r="AE28" s="129"/>
      <c r="AF28" s="129"/>
      <c r="AG28" s="129"/>
      <c r="AH28" s="129"/>
      <c r="AI28" s="129"/>
      <c r="AJ28" s="129"/>
      <c r="EW28" s="1"/>
      <c r="EX28" s="1"/>
      <c r="FT28" s="129"/>
      <c r="FU28" s="129"/>
    </row>
    <row r="29" spans="1:198" ht="15" customHeight="1">
      <c r="A29" s="83" t="str">
        <f>VLOOKUP(1428,Sprachindex!$A:$Z,Info!$O$7,FALSE)</f>
        <v>techn. Ausarbeitung PREFA:</v>
      </c>
      <c r="B29" s="71"/>
      <c r="C29" s="67"/>
      <c r="D29" s="67"/>
      <c r="E29" s="67"/>
      <c r="F29" s="67"/>
      <c r="G29" s="66">
        <f>VLOOKUP(5,Sprachindex!$A:$Z,Info!$O$7,FALSE)</f>
        <v>500</v>
      </c>
      <c r="H29" s="67"/>
      <c r="I29" s="67"/>
      <c r="J29" s="67" t="str">
        <f>VLOOKUP(58,Sprachindex!$A:$Z,Info!$O$7,FALSE)</f>
        <v>⌀ 150</v>
      </c>
      <c r="K29" s="67"/>
      <c r="L29" s="67"/>
      <c r="M29" s="67"/>
      <c r="N29" s="67"/>
      <c r="O29" s="88"/>
      <c r="P29" s="68"/>
      <c r="Q29" s="68"/>
      <c r="R29" s="68"/>
      <c r="S29" s="68"/>
      <c r="T29" s="68"/>
      <c r="W29" s="4"/>
      <c r="Z29" s="129"/>
      <c r="AA29" s="129"/>
      <c r="AB29" s="129"/>
      <c r="AC29" s="129"/>
      <c r="AD29" s="129"/>
      <c r="AE29" s="129"/>
      <c r="AF29" s="129"/>
      <c r="AG29" s="129"/>
      <c r="AH29" s="129"/>
      <c r="AI29" s="129"/>
      <c r="AJ29" s="129"/>
      <c r="EW29" s="1"/>
      <c r="EX29" s="1"/>
      <c r="FT29" s="129"/>
      <c r="FU29" s="129"/>
    </row>
    <row r="30" spans="1:198" ht="15" customHeight="1" thickBot="1">
      <c r="A30" s="83"/>
      <c r="B30" s="71" t="str">
        <f>VLOOKUP(1429,Sprachindex!$A:$Z,Info!$O$7,FALSE)</f>
        <v>Bearbeiter:</v>
      </c>
      <c r="C30" s="615"/>
      <c r="D30" s="616"/>
      <c r="E30" s="617"/>
      <c r="F30" s="67"/>
      <c r="G30" s="66"/>
      <c r="H30" s="67"/>
      <c r="I30" s="67"/>
      <c r="J30" s="67"/>
      <c r="K30" s="67"/>
      <c r="L30" s="67"/>
      <c r="M30" s="67"/>
      <c r="N30" s="67"/>
      <c r="O30" s="68"/>
      <c r="P30" s="68"/>
      <c r="Q30" s="68"/>
      <c r="R30" s="68"/>
      <c r="S30" s="68"/>
      <c r="T30" s="68"/>
      <c r="W30" s="4"/>
      <c r="Z30" s="129"/>
      <c r="AA30" s="129"/>
      <c r="AB30" s="129"/>
      <c r="AC30" s="129"/>
      <c r="AD30" s="129"/>
      <c r="AE30" s="129"/>
      <c r="AF30" s="129"/>
      <c r="AG30" s="129"/>
      <c r="AH30" s="129"/>
      <c r="AI30" s="129"/>
      <c r="AJ30" s="129"/>
      <c r="EW30" s="1"/>
      <c r="EX30" s="1"/>
      <c r="FT30" s="129"/>
      <c r="FU30" s="129"/>
    </row>
    <row r="31" spans="1:198" s="5" customFormat="1" ht="15" customHeight="1" thickTop="1">
      <c r="A31" s="83"/>
      <c r="B31" s="71" t="str">
        <f>VLOOKUP(2243,Sprachindex!$A:$Z,Info!$O$7,FALSE)</f>
        <v>Projekt-ID:</v>
      </c>
      <c r="C31" s="615"/>
      <c r="D31" s="616"/>
      <c r="E31" s="617"/>
      <c r="F31" s="67"/>
      <c r="L31" s="67"/>
      <c r="M31" s="67"/>
      <c r="N31" s="67"/>
      <c r="O31" s="68"/>
      <c r="P31" s="68"/>
      <c r="Q31" s="68"/>
      <c r="R31" s="68"/>
      <c r="S31" s="68"/>
      <c r="T31" s="68"/>
      <c r="U31" s="52"/>
      <c r="V31" s="52"/>
      <c r="W31" s="14"/>
      <c r="Z31" s="129"/>
      <c r="AA31" s="129"/>
      <c r="AB31" s="129"/>
      <c r="AC31" s="129"/>
      <c r="AD31" s="129"/>
      <c r="AE31" s="129"/>
      <c r="AF31" s="129"/>
      <c r="AG31" s="129"/>
      <c r="AH31" s="129"/>
      <c r="AI31" s="129"/>
      <c r="AJ31" s="129"/>
      <c r="EX31" s="746">
        <v>250</v>
      </c>
      <c r="EY31" s="747"/>
      <c r="EZ31" s="747"/>
      <c r="FA31" s="747"/>
      <c r="FB31" s="747"/>
      <c r="FC31" s="747"/>
      <c r="FD31" s="747"/>
      <c r="FE31" s="747"/>
      <c r="FF31" s="747"/>
      <c r="FG31" s="750">
        <v>280</v>
      </c>
      <c r="FH31" s="750"/>
      <c r="FI31" s="750"/>
      <c r="FJ31" s="750"/>
      <c r="FK31" s="750"/>
      <c r="FL31" s="750"/>
      <c r="FM31" s="750"/>
      <c r="FN31" s="750"/>
      <c r="FO31" s="750"/>
      <c r="FP31" s="742">
        <v>333</v>
      </c>
      <c r="FQ31" s="742"/>
      <c r="FR31" s="742"/>
      <c r="FS31" s="742"/>
      <c r="FT31" s="742"/>
      <c r="FU31" s="742"/>
      <c r="FV31" s="742"/>
      <c r="FW31" s="742"/>
      <c r="FX31" s="742"/>
      <c r="FY31" s="744">
        <v>400</v>
      </c>
      <c r="FZ31" s="744"/>
      <c r="GA31" s="744"/>
      <c r="GB31" s="744"/>
      <c r="GC31" s="744"/>
      <c r="GD31" s="744"/>
      <c r="GE31" s="744"/>
      <c r="GF31" s="744"/>
      <c r="GG31" s="744"/>
      <c r="GH31" s="754">
        <v>500</v>
      </c>
      <c r="GI31" s="754"/>
      <c r="GJ31" s="754"/>
      <c r="GK31" s="754"/>
      <c r="GL31" s="754"/>
      <c r="GM31" s="754"/>
      <c r="GN31" s="754"/>
      <c r="GO31" s="754"/>
      <c r="GP31" s="755"/>
    </row>
    <row r="32" spans="1:198" s="5" customFormat="1" ht="15" customHeight="1" thickBot="1">
      <c r="A32" s="83"/>
      <c r="B32" s="71" t="str">
        <f>VLOOKUP(286,Sprachindex!$A:$Z,Info!$O$7,FALSE)</f>
        <v>Datum:</v>
      </c>
      <c r="C32" s="759">
        <f ca="1">TODAY()</f>
        <v>45770</v>
      </c>
      <c r="D32" s="616"/>
      <c r="E32" s="617"/>
      <c r="F32" s="67"/>
      <c r="L32" s="67"/>
      <c r="M32" s="67"/>
      <c r="N32" s="67"/>
      <c r="O32" s="68"/>
      <c r="P32" s="68"/>
      <c r="Q32" s="68"/>
      <c r="R32" s="68"/>
      <c r="S32" s="68"/>
      <c r="T32" s="68"/>
      <c r="U32" s="52"/>
      <c r="V32" s="52"/>
      <c r="W32" s="14"/>
      <c r="Z32" s="129" t="s">
        <v>1526</v>
      </c>
      <c r="AA32" s="129" t="s">
        <v>95</v>
      </c>
      <c r="AB32" s="129" t="s">
        <v>44</v>
      </c>
      <c r="AC32" s="129" t="s">
        <v>39254</v>
      </c>
      <c r="AD32" s="129" t="s">
        <v>39255</v>
      </c>
      <c r="AE32" s="129" t="s">
        <v>49</v>
      </c>
      <c r="AF32" s="129" t="s">
        <v>39256</v>
      </c>
      <c r="AG32" s="129" t="s">
        <v>39257</v>
      </c>
      <c r="AH32" s="129" t="s">
        <v>39258</v>
      </c>
      <c r="AI32" s="129" t="s">
        <v>1644</v>
      </c>
      <c r="AJ32" s="129"/>
      <c r="EX32" s="748"/>
      <c r="EY32" s="749"/>
      <c r="EZ32" s="749"/>
      <c r="FA32" s="749"/>
      <c r="FB32" s="749"/>
      <c r="FC32" s="749"/>
      <c r="FD32" s="749"/>
      <c r="FE32" s="749"/>
      <c r="FF32" s="749"/>
      <c r="FG32" s="751"/>
      <c r="FH32" s="751"/>
      <c r="FI32" s="751"/>
      <c r="FJ32" s="751"/>
      <c r="FK32" s="751"/>
      <c r="FL32" s="751"/>
      <c r="FM32" s="751"/>
      <c r="FN32" s="751"/>
      <c r="FO32" s="751"/>
      <c r="FP32" s="743"/>
      <c r="FQ32" s="743"/>
      <c r="FR32" s="743"/>
      <c r="FS32" s="743"/>
      <c r="FT32" s="743"/>
      <c r="FU32" s="743"/>
      <c r="FV32" s="743"/>
      <c r="FW32" s="743"/>
      <c r="FX32" s="743"/>
      <c r="FY32" s="745"/>
      <c r="FZ32" s="745"/>
      <c r="GA32" s="745"/>
      <c r="GB32" s="745"/>
      <c r="GC32" s="745"/>
      <c r="GD32" s="745"/>
      <c r="GE32" s="745"/>
      <c r="GF32" s="745"/>
      <c r="GG32" s="745"/>
      <c r="GH32" s="756"/>
      <c r="GI32" s="756"/>
      <c r="GJ32" s="756"/>
      <c r="GK32" s="756"/>
      <c r="GL32" s="756"/>
      <c r="GM32" s="756"/>
      <c r="GN32" s="756"/>
      <c r="GO32" s="756"/>
      <c r="GP32" s="757"/>
    </row>
    <row r="33" spans="1:205" ht="15" customHeight="1">
      <c r="A33" s="67"/>
      <c r="B33" s="71"/>
      <c r="C33" s="67"/>
      <c r="D33" s="67"/>
      <c r="E33" s="67"/>
      <c r="F33" s="67"/>
      <c r="G33" s="66"/>
      <c r="H33" s="67"/>
      <c r="I33" s="67"/>
      <c r="J33" s="67"/>
      <c r="K33" s="67"/>
      <c r="L33" s="67"/>
      <c r="M33" s="67"/>
      <c r="N33" s="67"/>
      <c r="O33" s="68"/>
      <c r="P33" s="68"/>
      <c r="Q33" s="68"/>
      <c r="R33" s="68"/>
      <c r="S33" s="68"/>
      <c r="T33" s="68"/>
      <c r="W33" s="4"/>
      <c r="Z33" s="129"/>
      <c r="AA33" s="129"/>
      <c r="AB33" s="129"/>
      <c r="AC33" s="129"/>
      <c r="AD33" s="129"/>
      <c r="AE33" s="129"/>
      <c r="AF33" s="129"/>
      <c r="AG33" s="129"/>
      <c r="AH33" s="129"/>
      <c r="AI33" s="129"/>
      <c r="AJ33" s="129"/>
      <c r="EW33" s="1"/>
      <c r="EX33" s="752" t="s">
        <v>1642</v>
      </c>
      <c r="EY33" s="731"/>
      <c r="EZ33" s="736"/>
      <c r="FA33" s="730" t="s">
        <v>465</v>
      </c>
      <c r="FB33" s="731"/>
      <c r="FC33" s="736"/>
      <c r="FD33" s="730" t="s">
        <v>1643</v>
      </c>
      <c r="FE33" s="731"/>
      <c r="FF33" s="736"/>
      <c r="FG33" s="730" t="s">
        <v>1642</v>
      </c>
      <c r="FH33" s="731"/>
      <c r="FI33" s="736"/>
      <c r="FJ33" s="730" t="s">
        <v>465</v>
      </c>
      <c r="FK33" s="731"/>
      <c r="FL33" s="736"/>
      <c r="FM33" s="730" t="s">
        <v>1643</v>
      </c>
      <c r="FN33" s="731"/>
      <c r="FO33" s="736"/>
      <c r="FP33" s="730" t="s">
        <v>1642</v>
      </c>
      <c r="FQ33" s="731"/>
      <c r="FR33" s="736"/>
      <c r="FS33" s="730" t="s">
        <v>465</v>
      </c>
      <c r="FT33" s="731"/>
      <c r="FU33" s="736"/>
      <c r="FV33" s="730" t="s">
        <v>1643</v>
      </c>
      <c r="FW33" s="731"/>
      <c r="FX33" s="736"/>
      <c r="FY33" s="730" t="s">
        <v>1642</v>
      </c>
      <c r="FZ33" s="731"/>
      <c r="GA33" s="736"/>
      <c r="GB33" s="730" t="s">
        <v>465</v>
      </c>
      <c r="GC33" s="731"/>
      <c r="GD33" s="736"/>
      <c r="GE33" s="730" t="s">
        <v>1643</v>
      </c>
      <c r="GF33" s="731"/>
      <c r="GG33" s="736"/>
      <c r="GH33" s="730" t="s">
        <v>1642</v>
      </c>
      <c r="GI33" s="731"/>
      <c r="GJ33" s="736"/>
      <c r="GK33" s="730" t="s">
        <v>465</v>
      </c>
      <c r="GL33" s="731"/>
      <c r="GM33" s="736"/>
      <c r="GN33" s="730" t="s">
        <v>1643</v>
      </c>
      <c r="GO33" s="731"/>
      <c r="GP33" s="732"/>
    </row>
    <row r="34" spans="1:205" ht="15" customHeight="1" thickBot="1">
      <c r="A34" s="95" t="str">
        <f>VLOOKUP(392,Sprachindex!$A:$Z,Info!$O$7,FALSE)</f>
        <v>Filter:</v>
      </c>
      <c r="B34" s="633"/>
      <c r="C34" s="633"/>
      <c r="D34" s="633"/>
      <c r="E34" s="633"/>
      <c r="F34" s="67"/>
      <c r="G34" s="67"/>
      <c r="H34" s="67"/>
      <c r="I34" s="67"/>
      <c r="J34" s="67"/>
      <c r="K34" s="67"/>
      <c r="L34" s="67"/>
      <c r="M34" s="67"/>
      <c r="N34" s="67"/>
      <c r="O34" s="68"/>
      <c r="P34" s="68"/>
      <c r="Q34" s="68"/>
      <c r="R34" s="68"/>
      <c r="S34" s="68"/>
      <c r="T34" s="68"/>
      <c r="V34" s="627" t="s">
        <v>25</v>
      </c>
      <c r="W34" s="627"/>
      <c r="X34" s="627" t="s">
        <v>397</v>
      </c>
      <c r="Y34" s="627"/>
      <c r="Z34" s="129"/>
      <c r="AA34" s="129"/>
      <c r="AB34" s="129"/>
      <c r="AC34" s="129"/>
      <c r="AD34" s="129"/>
      <c r="AE34" s="129"/>
      <c r="AF34" s="129"/>
      <c r="AG34" s="129"/>
      <c r="AH34" s="129"/>
      <c r="AI34" s="129"/>
      <c r="AJ34" s="129"/>
      <c r="EW34" s="1"/>
      <c r="EX34" s="753"/>
      <c r="EY34" s="734"/>
      <c r="EZ34" s="737"/>
      <c r="FA34" s="733"/>
      <c r="FB34" s="734"/>
      <c r="FC34" s="737"/>
      <c r="FD34" s="733"/>
      <c r="FE34" s="734"/>
      <c r="FF34" s="737"/>
      <c r="FG34" s="733"/>
      <c r="FH34" s="734"/>
      <c r="FI34" s="737"/>
      <c r="FJ34" s="733"/>
      <c r="FK34" s="734"/>
      <c r="FL34" s="737"/>
      <c r="FM34" s="733"/>
      <c r="FN34" s="734"/>
      <c r="FO34" s="737"/>
      <c r="FP34" s="733"/>
      <c r="FQ34" s="734"/>
      <c r="FR34" s="737"/>
      <c r="FS34" s="733"/>
      <c r="FT34" s="734"/>
      <c r="FU34" s="737"/>
      <c r="FV34" s="733"/>
      <c r="FW34" s="734"/>
      <c r="FX34" s="737"/>
      <c r="FY34" s="733"/>
      <c r="FZ34" s="734"/>
      <c r="GA34" s="737"/>
      <c r="GB34" s="733"/>
      <c r="GC34" s="734"/>
      <c r="GD34" s="737"/>
      <c r="GE34" s="733"/>
      <c r="GF34" s="734"/>
      <c r="GG34" s="737"/>
      <c r="GH34" s="733"/>
      <c r="GI34" s="734"/>
      <c r="GJ34" s="737"/>
      <c r="GK34" s="733"/>
      <c r="GL34" s="734"/>
      <c r="GM34" s="737"/>
      <c r="GN34" s="733"/>
      <c r="GO34" s="734"/>
      <c r="GP34" s="735"/>
    </row>
    <row r="35" spans="1:205" ht="35.1" customHeight="1" thickBot="1">
      <c r="A35" s="401" t="str">
        <f>VLOOKUP(598,Sprachindex!$A:$Z,Info!$O$7,FALSE)</f>
        <v>Menge</v>
      </c>
      <c r="B35" s="74" t="str">
        <f>VLOOKUP(332,Sprachindex!$A:$Z,Info!$O$7,FALSE)</f>
        <v>Einheit</v>
      </c>
      <c r="C35" s="74" t="str">
        <f>VLOOKUP(136,Sprachindex!$A:$Z,Info!$O$7,FALSE)</f>
        <v>Abbildung</v>
      </c>
      <c r="D35" s="74" t="str">
        <f>VLOOKUP(177,Sprachindex!$A:$Z,Info!$O$7,FALSE)</f>
        <v>Artikel-Nr.</v>
      </c>
      <c r="E35" s="668" t="str">
        <f>VLOOKUP(234,Sprachindex!$A:$Z,Info!$O$7,FALSE)</f>
        <v>Bezeichnung</v>
      </c>
      <c r="F35" s="669"/>
      <c r="G35" s="669"/>
      <c r="H35" s="669"/>
      <c r="I35" s="669"/>
      <c r="J35" s="669"/>
      <c r="K35" s="670"/>
      <c r="L35" s="74" t="str">
        <f>VLOOKUP(903,Sprachindex!$A:$Z,Info!$O$7,FALSE)</f>
        <v>Total</v>
      </c>
      <c r="M35" s="404" t="str">
        <f>VLOOKUP(332,Sprachindex!$A:$Z,Info!$O$7,FALSE)</f>
        <v>Einheit</v>
      </c>
      <c r="N35" s="72" t="str">
        <f>VLOOKUP(377,Sprachindex!$A:$Z,Info!$O$7,FALSE)</f>
        <v>Eventual</v>
      </c>
      <c r="O35" s="183" t="str">
        <f>VLOOKUP(1786,Sprachindex!$A:$Z,Info!$O$7,FALSE)</f>
        <v>Preis</v>
      </c>
      <c r="R35" s="179"/>
      <c r="S35" s="179"/>
      <c r="T35" s="179"/>
      <c r="U35" s="1"/>
      <c r="V35" s="152" t="s">
        <v>30</v>
      </c>
      <c r="W35" s="152" t="s">
        <v>31</v>
      </c>
      <c r="X35" s="152" t="s">
        <v>30</v>
      </c>
      <c r="Y35" s="152" t="s">
        <v>31</v>
      </c>
      <c r="Z35" s="590" t="s">
        <v>84</v>
      </c>
      <c r="AA35" s="590" t="s">
        <v>99</v>
      </c>
      <c r="AB35" s="590" t="s">
        <v>94</v>
      </c>
      <c r="AC35" s="590" t="s">
        <v>97</v>
      </c>
      <c r="AD35" s="590" t="s">
        <v>95</v>
      </c>
      <c r="AE35" s="590" t="s">
        <v>98</v>
      </c>
      <c r="AF35" s="590" t="s">
        <v>102</v>
      </c>
      <c r="AG35" s="590" t="s">
        <v>103</v>
      </c>
      <c r="AH35" s="590" t="s">
        <v>1459</v>
      </c>
      <c r="AI35" s="590"/>
      <c r="AJ35" s="590"/>
      <c r="AK35" s="59"/>
      <c r="AL35" s="47" t="s">
        <v>84</v>
      </c>
      <c r="AM35" s="47" t="s">
        <v>99</v>
      </c>
      <c r="AN35" s="47" t="s">
        <v>94</v>
      </c>
      <c r="AO35" s="47" t="s">
        <v>97</v>
      </c>
      <c r="AP35" s="47" t="s">
        <v>95</v>
      </c>
      <c r="AQ35" s="47" t="s">
        <v>98</v>
      </c>
      <c r="AR35" s="47" t="s">
        <v>102</v>
      </c>
      <c r="AS35" s="47" t="s">
        <v>103</v>
      </c>
      <c r="AT35" s="47" t="s">
        <v>1459</v>
      </c>
      <c r="AU35" s="47"/>
      <c r="AV35" s="47"/>
      <c r="AW35" s="59"/>
      <c r="AX35" s="47" t="s">
        <v>84</v>
      </c>
      <c r="AY35" s="47" t="s">
        <v>99</v>
      </c>
      <c r="AZ35" s="47" t="s">
        <v>94</v>
      </c>
      <c r="BA35" s="47" t="s">
        <v>97</v>
      </c>
      <c r="BB35" s="47" t="s">
        <v>95</v>
      </c>
      <c r="BC35" s="47" t="s">
        <v>98</v>
      </c>
      <c r="BD35" s="47" t="s">
        <v>102</v>
      </c>
      <c r="BE35" s="47" t="s">
        <v>103</v>
      </c>
      <c r="BF35" s="47" t="s">
        <v>1459</v>
      </c>
      <c r="BG35" s="47" t="s">
        <v>1644</v>
      </c>
      <c r="BH35" s="47"/>
      <c r="BI35" s="59"/>
      <c r="BJ35" s="47" t="s">
        <v>84</v>
      </c>
      <c r="BK35" s="47" t="s">
        <v>99</v>
      </c>
      <c r="BL35" s="47" t="s">
        <v>94</v>
      </c>
      <c r="BM35" s="47" t="s">
        <v>97</v>
      </c>
      <c r="BN35" s="47" t="s">
        <v>95</v>
      </c>
      <c r="BO35" s="47" t="s">
        <v>98</v>
      </c>
      <c r="BP35" s="47" t="s">
        <v>102</v>
      </c>
      <c r="BQ35" s="47" t="s">
        <v>103</v>
      </c>
      <c r="BR35" s="47" t="s">
        <v>1459</v>
      </c>
      <c r="BS35" s="47"/>
      <c r="BT35" s="47"/>
      <c r="BU35" s="59"/>
      <c r="BV35" s="20"/>
      <c r="BW35" s="20"/>
      <c r="BX35" s="20"/>
      <c r="BY35" s="20"/>
      <c r="BZ35" s="20"/>
      <c r="CA35" s="20"/>
      <c r="CB35" s="20"/>
      <c r="CC35" s="20"/>
      <c r="CD35" s="20"/>
      <c r="CE35" s="20"/>
      <c r="CF35" s="20"/>
      <c r="CG35" s="132"/>
      <c r="CH35" s="20"/>
      <c r="CI35" s="20"/>
      <c r="CJ35" s="20"/>
      <c r="CK35" s="20"/>
      <c r="CL35" s="20"/>
      <c r="CM35" s="20"/>
      <c r="CN35" s="20"/>
      <c r="CO35" s="20"/>
      <c r="CP35" s="20"/>
      <c r="CQ35" s="20"/>
      <c r="CR35" s="20"/>
      <c r="CS35" s="20"/>
      <c r="CT35" s="20"/>
      <c r="CU35" s="132"/>
      <c r="CV35" s="20"/>
      <c r="CW35" s="20"/>
      <c r="CX35" s="20"/>
      <c r="CY35" s="20"/>
      <c r="CZ35" s="20"/>
      <c r="DA35" s="20"/>
      <c r="DB35" s="20"/>
      <c r="DC35" s="20"/>
      <c r="DD35" s="20"/>
      <c r="DE35" s="20"/>
      <c r="DF35" s="20"/>
      <c r="DG35" s="20"/>
      <c r="DH35" s="20"/>
      <c r="DI35" s="132"/>
      <c r="DJ35" s="20"/>
      <c r="DK35" s="20"/>
      <c r="DL35" s="20"/>
      <c r="DM35" s="20"/>
      <c r="DN35" s="20"/>
      <c r="DO35" s="20"/>
      <c r="DP35" s="20"/>
      <c r="DQ35" s="20"/>
      <c r="DR35" s="20"/>
      <c r="DS35" s="20"/>
      <c r="DT35" s="20"/>
      <c r="DU35" s="20"/>
      <c r="DV35" s="20"/>
      <c r="DW35" s="132"/>
      <c r="DX35" s="20"/>
      <c r="DY35" s="20"/>
      <c r="DZ35" s="20"/>
      <c r="EA35" s="20"/>
      <c r="EB35" s="20"/>
      <c r="EC35" s="20"/>
      <c r="ED35" s="20"/>
      <c r="EE35" s="20"/>
      <c r="EF35" s="20"/>
      <c r="EG35" s="20"/>
      <c r="EH35" s="20"/>
      <c r="EI35" s="20"/>
      <c r="EJ35" s="132"/>
      <c r="EK35" s="132"/>
      <c r="EW35" s="1"/>
      <c r="EX35" s="307" t="s">
        <v>465</v>
      </c>
      <c r="EY35" s="307" t="s">
        <v>1644</v>
      </c>
      <c r="EZ35" s="307" t="s">
        <v>84</v>
      </c>
      <c r="FA35" s="307" t="s">
        <v>465</v>
      </c>
      <c r="FB35" s="307" t="s">
        <v>1644</v>
      </c>
      <c r="FC35" s="307" t="s">
        <v>84</v>
      </c>
      <c r="FD35" s="307" t="s">
        <v>465</v>
      </c>
      <c r="FE35" s="307" t="s">
        <v>1644</v>
      </c>
      <c r="FF35" s="307" t="s">
        <v>84</v>
      </c>
      <c r="FG35" s="307" t="s">
        <v>465</v>
      </c>
      <c r="FH35" s="307" t="s">
        <v>1644</v>
      </c>
      <c r="FI35" s="307" t="s">
        <v>84</v>
      </c>
      <c r="FJ35" s="307" t="s">
        <v>465</v>
      </c>
      <c r="FK35" s="307" t="s">
        <v>1644</v>
      </c>
      <c r="FL35" s="307" t="s">
        <v>84</v>
      </c>
      <c r="FM35" s="307" t="s">
        <v>465</v>
      </c>
      <c r="FN35" s="307" t="s">
        <v>1644</v>
      </c>
      <c r="FO35" s="307" t="s">
        <v>84</v>
      </c>
      <c r="FP35" s="307" t="s">
        <v>465</v>
      </c>
      <c r="FQ35" s="307" t="s">
        <v>1644</v>
      </c>
      <c r="FR35" s="307" t="s">
        <v>84</v>
      </c>
      <c r="FS35" s="307" t="s">
        <v>465</v>
      </c>
      <c r="FT35" s="307" t="s">
        <v>1644</v>
      </c>
      <c r="FU35" s="307" t="s">
        <v>84</v>
      </c>
      <c r="FV35" s="307" t="s">
        <v>465</v>
      </c>
      <c r="FW35" s="307" t="s">
        <v>1644</v>
      </c>
      <c r="FX35" s="307" t="s">
        <v>84</v>
      </c>
      <c r="FY35" s="307" t="s">
        <v>465</v>
      </c>
      <c r="FZ35" s="307" t="s">
        <v>1644</v>
      </c>
      <c r="GA35" s="307" t="s">
        <v>84</v>
      </c>
      <c r="GB35" s="307" t="s">
        <v>465</v>
      </c>
      <c r="GC35" s="307" t="s">
        <v>1644</v>
      </c>
      <c r="GD35" s="307" t="s">
        <v>84</v>
      </c>
      <c r="GE35" s="307" t="s">
        <v>465</v>
      </c>
      <c r="GF35" s="307" t="s">
        <v>1644</v>
      </c>
      <c r="GG35" s="318" t="s">
        <v>84</v>
      </c>
      <c r="GH35" s="307" t="s">
        <v>465</v>
      </c>
      <c r="GI35" s="307" t="s">
        <v>1644</v>
      </c>
      <c r="GJ35" s="307" t="s">
        <v>84</v>
      </c>
      <c r="GK35" s="307" t="s">
        <v>465</v>
      </c>
      <c r="GL35" s="307" t="s">
        <v>1644</v>
      </c>
      <c r="GM35" s="307" t="s">
        <v>84</v>
      </c>
      <c r="GN35" s="307" t="s">
        <v>465</v>
      </c>
      <c r="GO35" s="307" t="s">
        <v>1644</v>
      </c>
      <c r="GP35" s="317" t="s">
        <v>84</v>
      </c>
    </row>
    <row r="36" spans="1:205" ht="31.5" customHeight="1">
      <c r="A36" s="92"/>
      <c r="B36" s="113" t="str">
        <f>VLOOKUP(1512,Sprachindex!$A:$Z,Info!$O$7,FALSE)</f>
        <v>lfm</v>
      </c>
      <c r="C36" s="73"/>
      <c r="D36" s="73" t="str">
        <f>IF($O$24=1,AJ36,IF($O$24=2,AV36,IF($O$24=3,BH36,IF($O$24=4,BT36,IF($O$24=5,"","")))))</f>
        <v/>
      </c>
      <c r="E36" s="637" t="str">
        <f>VLOOKUP(2227,Sprachindex!$A:$Z,Info!$O$7,FALSE)</f>
        <v>Dachrinne 3 m</v>
      </c>
      <c r="F36" s="638"/>
      <c r="G36" s="638"/>
      <c r="H36" s="638"/>
      <c r="I36" s="762"/>
      <c r="J36" s="760" t="str">
        <f>Formeln!B163</f>
        <v/>
      </c>
      <c r="K36" s="761"/>
      <c r="L36" s="113" t="str">
        <f t="shared" ref="L36:L49" si="0">IF(OR(A36="",X36="",Y36="")," ",IF($O$11=1,$V36,IF($O$11=2,W36,0)))</f>
        <v xml:space="preserve"> </v>
      </c>
      <c r="M36" s="406" t="str">
        <f>B36</f>
        <v>lfm</v>
      </c>
      <c r="N36" s="403"/>
      <c r="O36" s="184" t="str">
        <f t="shared" ref="O36:O41" si="1">IF(ISNUMBER(L36),L36*GV36," ")</f>
        <v xml:space="preserve"> </v>
      </c>
      <c r="R36" s="179"/>
      <c r="S36" s="179"/>
      <c r="T36" s="179"/>
      <c r="U36" s="1"/>
      <c r="V36" s="150">
        <f>ROUNDUP($A36/$X36,0)*$X36</f>
        <v>0</v>
      </c>
      <c r="W36" s="150">
        <f>ROUNDUP($A36/$Y36,0)*$Y36</f>
        <v>0</v>
      </c>
      <c r="X36" s="150">
        <f>IF($O$24="","",IF($O$24=5,"",15))</f>
        <v>15</v>
      </c>
      <c r="Y36" s="150">
        <v>3</v>
      </c>
      <c r="Z36" s="56">
        <v>572213</v>
      </c>
      <c r="AA36" s="56">
        <v>572219</v>
      </c>
      <c r="AB36" s="56">
        <v>572212</v>
      </c>
      <c r="AC36" s="56">
        <v>572241</v>
      </c>
      <c r="AD36" s="56">
        <v>572216</v>
      </c>
      <c r="AE36" s="56">
        <v>572223</v>
      </c>
      <c r="AF36" s="56">
        <v>572240</v>
      </c>
      <c r="AG36" s="56">
        <v>572249</v>
      </c>
      <c r="AH36" s="56">
        <v>572254</v>
      </c>
      <c r="AI36" s="56"/>
      <c r="AJ36" s="59" t="str">
        <f>IF($O$21=1,AB36,IF($O$21=2,AD36,IF($O$21=3,AC36,IF($O$21=4,AE36,IF($O$21=5,AF36,IF($O$21=6,AA36,IF($O$21=7,AG36,IF($O$21=8,AH36,IF($O$21=9,Z36,"")))))))))</f>
        <v/>
      </c>
      <c r="AK36" s="59" t="s">
        <v>408</v>
      </c>
      <c r="AL36">
        <v>572206</v>
      </c>
      <c r="AM36">
        <v>572203</v>
      </c>
      <c r="AN36">
        <v>572208</v>
      </c>
      <c r="AO36">
        <v>572215</v>
      </c>
      <c r="AP36">
        <v>572220</v>
      </c>
      <c r="AQ36">
        <v>572224</v>
      </c>
      <c r="AR36">
        <v>572227</v>
      </c>
      <c r="AS36">
        <v>572229</v>
      </c>
      <c r="AT36">
        <v>572255</v>
      </c>
      <c r="AU36"/>
      <c r="AV36" s="59" t="str">
        <f>IF($O$21=1,AN36,IF($O$21=2,AP36,IF($O$21=3,AO36,IF($O$21=4,AQ36,IF($O$21=5,AR36,IF($O$21=6,AM36,IF($O$21=7,AS36,IF($O$21=8,AT36,IF($O$21=9,AL36,"")))))))))</f>
        <v/>
      </c>
      <c r="AW36" s="59" t="s">
        <v>416</v>
      </c>
      <c r="AX36">
        <v>572201</v>
      </c>
      <c r="AY36">
        <v>572202</v>
      </c>
      <c r="AZ36">
        <v>572207</v>
      </c>
      <c r="BA36">
        <v>572211</v>
      </c>
      <c r="BB36">
        <v>572218</v>
      </c>
      <c r="BC36">
        <v>572225</v>
      </c>
      <c r="BD36">
        <v>572228</v>
      </c>
      <c r="BE36">
        <v>572230</v>
      </c>
      <c r="BF36">
        <v>572250</v>
      </c>
      <c r="BG36">
        <v>572231</v>
      </c>
      <c r="BH36" s="59" t="str">
        <f>IF($O$21=1,AZ36,IF($O$21=2,BB36,IF($O$21=3,BA36,IF($O$21=4,BC36,IF($O$21=5,BD36,IF($O$21=6,AY36,IF($O$21=7,BE36,IF($O$21=8,BF36,IF($O$21=9,AX36,IF($O$21=10,BG36,""))))))))))</f>
        <v/>
      </c>
      <c r="BI36" s="59" t="s">
        <v>423</v>
      </c>
      <c r="BJ36">
        <v>572205</v>
      </c>
      <c r="BK36">
        <v>572204</v>
      </c>
      <c r="BL36">
        <v>572209</v>
      </c>
      <c r="BM36" s="57"/>
      <c r="BN36">
        <v>572210</v>
      </c>
      <c r="BO36" s="57"/>
      <c r="BP36">
        <v>572260</v>
      </c>
      <c r="BQ36" s="57"/>
      <c r="BR36">
        <v>572263</v>
      </c>
      <c r="BS36"/>
      <c r="BT36" s="59" t="str">
        <f>IF($O$21=1,BL36,IF($O$21=2,BN36,IF($O$21=3,BM36,IF($O$21=4,BO36,IF($O$21=5,BP36,IF($O$21=6,BK36,IF($O$21=7,BQ36,IF($O$21=8,BR36,IF($O$21=9,BJ36,"")))))))))</f>
        <v/>
      </c>
      <c r="BU36" s="59" t="s">
        <v>431</v>
      </c>
      <c r="BV36"/>
      <c r="BW36"/>
      <c r="BX36"/>
      <c r="BY36"/>
      <c r="BZ36"/>
      <c r="CA36"/>
      <c r="CB36"/>
      <c r="CC36"/>
      <c r="CD36"/>
      <c r="CE36"/>
      <c r="CF36" s="132"/>
      <c r="CG36" s="132"/>
      <c r="CH36"/>
      <c r="CI36"/>
      <c r="CJ36"/>
      <c r="CK36"/>
      <c r="CL36"/>
      <c r="CM36"/>
      <c r="CN36"/>
      <c r="CO36"/>
      <c r="CP36"/>
      <c r="CQ36"/>
      <c r="CR36"/>
      <c r="CT36" s="132"/>
      <c r="CU36" s="132"/>
      <c r="CV36"/>
      <c r="CW36"/>
      <c r="CX36"/>
      <c r="CY36"/>
      <c r="CZ36"/>
      <c r="DA36"/>
      <c r="DB36"/>
      <c r="DC36"/>
      <c r="DD36"/>
      <c r="DE36"/>
      <c r="DF36"/>
      <c r="DH36" s="132"/>
      <c r="DI36" s="132"/>
      <c r="DJ36"/>
      <c r="DK36"/>
      <c r="DL36"/>
      <c r="DN36"/>
      <c r="DV36" s="132"/>
      <c r="DW36" s="132"/>
      <c r="EJ36" s="132"/>
      <c r="EK36" s="132"/>
      <c r="ES36" s="637" t="str">
        <f>VLOOKUP(2227,Sprachindex!$A:$Z,Info!$O$7,FALSE)</f>
        <v>Dachrinne 3 m</v>
      </c>
      <c r="ET36" s="638"/>
      <c r="EU36" s="638"/>
      <c r="EV36" s="638"/>
      <c r="EW36" s="638"/>
      <c r="EX36" s="327">
        <v>14.17</v>
      </c>
      <c r="EY36" s="299"/>
      <c r="EZ36" s="328">
        <v>12.7</v>
      </c>
      <c r="FA36" s="332">
        <v>14.52</v>
      </c>
      <c r="FB36" s="299"/>
      <c r="FC36" s="333">
        <v>12.88</v>
      </c>
      <c r="FD36" s="337">
        <v>14.62</v>
      </c>
      <c r="FE36" s="338">
        <v>16.079999999999998</v>
      </c>
      <c r="FF36" s="339">
        <v>13.05</v>
      </c>
      <c r="FG36" s="343">
        <v>21.56</v>
      </c>
      <c r="FH36" s="299"/>
      <c r="FI36" s="344">
        <v>17.8</v>
      </c>
      <c r="FJ36" s="308"/>
      <c r="FK36" s="309"/>
      <c r="FL36" s="310"/>
      <c r="FM36" s="308"/>
      <c r="FN36" s="309"/>
      <c r="FO36" s="310"/>
      <c r="FP36" s="308"/>
      <c r="FQ36" s="309"/>
      <c r="FR36" s="310"/>
      <c r="FS36" s="308"/>
      <c r="FT36" s="309"/>
      <c r="FU36" s="310"/>
      <c r="FV36" s="308"/>
      <c r="FW36" s="309"/>
      <c r="FX36" s="310"/>
      <c r="FY36" s="308"/>
      <c r="FZ36" s="309"/>
      <c r="GA36" s="310"/>
      <c r="GB36" s="308"/>
      <c r="GC36" s="309"/>
      <c r="GD36" s="310"/>
      <c r="GE36" s="308"/>
      <c r="GF36" s="309"/>
      <c r="GG36" s="310"/>
      <c r="GH36" s="308"/>
      <c r="GI36" s="309"/>
      <c r="GJ36" s="310"/>
      <c r="GK36" s="308"/>
      <c r="GL36" s="309"/>
      <c r="GM36" s="310"/>
      <c r="GN36" s="308"/>
      <c r="GO36" s="309"/>
      <c r="GP36" s="322"/>
      <c r="GQ36" s="206" cm="1">
        <f t="array" ref="GQ36">_xlfn.IFS($O$21=10,EY36,$O$21=9,EZ36,TRUE,EX36)</f>
        <v>14.17</v>
      </c>
      <c r="GR36" s="207" cm="1">
        <f t="array" ref="GR36">_xlfn.IFS($O$21=10,FB36,$O$21=9,FC36,TRUE,FA36)</f>
        <v>14.52</v>
      </c>
      <c r="GS36" s="311" cm="1">
        <f t="array" ref="GS36">_xlfn.IFS($O$21=10,FE36,$O$21=9,FF36,TRUE,FD36)</f>
        <v>14.62</v>
      </c>
      <c r="GT36" s="312" cm="1">
        <f t="array" ref="GT36">_xlfn.IFS($O$21=10,FH36,$O$21=9,FI36,TRUE,FG36)</f>
        <v>21.56</v>
      </c>
      <c r="GU36" s="313"/>
      <c r="GV36" s="314" t="str">
        <f>IF($O$24=1,GQ36,IF($O$24=2,GR36,IF($O$24=3,GS36,IF($O$24=4,GT36," "))))</f>
        <v xml:space="preserve"> </v>
      </c>
      <c r="GW36" s="1" t="s">
        <v>39259</v>
      </c>
    </row>
    <row r="37" spans="1:205" ht="31.5" customHeight="1">
      <c r="A37" s="103"/>
      <c r="B37" s="76" t="str">
        <f>VLOOKUP(1512,Sprachindex!$A:$Z,Info!$O$7,FALSE)</f>
        <v>lfm</v>
      </c>
      <c r="C37" s="101"/>
      <c r="D37" s="75" t="str">
        <f>IF($O$24=1,AJ37,IF($O$24=2,AV37,IF($O$24=3,BH37,IF($O$24=4,BT37,IF($O$24=5,"","")))))</f>
        <v/>
      </c>
      <c r="E37" s="701" t="str">
        <f>IF(Info!V7=2,VLOOKUP(2228,Sprachindex!$A:$Z,Info!$O$7,FALSE),VLOOKUP(2229,Sprachindex!$A:$Z,Info!$O$7,FALSE))</f>
        <v>Dachrinne 6 m</v>
      </c>
      <c r="F37" s="702"/>
      <c r="G37" s="702"/>
      <c r="H37" s="702"/>
      <c r="I37" s="763"/>
      <c r="J37" s="681" t="str">
        <f>Formeln!B164</f>
        <v/>
      </c>
      <c r="K37" s="682"/>
      <c r="L37" s="76" t="str">
        <f t="shared" si="0"/>
        <v xml:space="preserve"> </v>
      </c>
      <c r="M37" s="405" t="str">
        <f>B37</f>
        <v>lfm</v>
      </c>
      <c r="N37" s="77"/>
      <c r="O37" s="184" t="str">
        <f t="shared" si="1"/>
        <v xml:space="preserve"> </v>
      </c>
      <c r="R37" s="179"/>
      <c r="S37" s="179"/>
      <c r="T37" s="179"/>
      <c r="U37" s="1"/>
      <c r="V37" s="139">
        <f>ROUNDUP($A37/$X37,0)*$X37</f>
        <v>0</v>
      </c>
      <c r="W37" s="139">
        <f>ROUNDUP($A37/$Y37,0)*$Y37</f>
        <v>0</v>
      </c>
      <c r="X37" s="139">
        <f>IF($O$24="","",IF($O$24=5,"",30))</f>
        <v>30</v>
      </c>
      <c r="Y37" s="139">
        <f>IF(Info!V7=2,5,6)</f>
        <v>6</v>
      </c>
      <c r="Z37" s="56">
        <v>572013</v>
      </c>
      <c r="AA37" s="56">
        <v>572019</v>
      </c>
      <c r="AB37" s="56">
        <v>572012</v>
      </c>
      <c r="AC37" s="56">
        <v>572041</v>
      </c>
      <c r="AD37" s="56">
        <v>572016</v>
      </c>
      <c r="AE37" s="56">
        <v>572023</v>
      </c>
      <c r="AF37" s="56">
        <v>572040</v>
      </c>
      <c r="AG37" s="56">
        <v>572049</v>
      </c>
      <c r="AH37" s="56">
        <v>572055</v>
      </c>
      <c r="AI37" s="56"/>
      <c r="AJ37" s="59" t="str">
        <f>IF($O$21=1,AB37,IF($O$21=2,AD37,IF($O$21=3,AC37,IF($O$21=4,AE37,IF($O$21=5,AF37,IF($O$21=6,AA37,IF($O$21=7,AG37,IF($O$21=8,AH37,IF($O$21=9,Z37,"")))))))))</f>
        <v/>
      </c>
      <c r="AK37" s="59" t="s">
        <v>440</v>
      </c>
      <c r="AL37">
        <v>572006</v>
      </c>
      <c r="AM37">
        <v>572003</v>
      </c>
      <c r="AN37">
        <v>572008</v>
      </c>
      <c r="AO37">
        <v>572015</v>
      </c>
      <c r="AP37">
        <v>572020</v>
      </c>
      <c r="AQ37">
        <v>572024</v>
      </c>
      <c r="AR37">
        <v>572027</v>
      </c>
      <c r="AS37">
        <v>572050</v>
      </c>
      <c r="AT37">
        <v>572056</v>
      </c>
      <c r="AU37"/>
      <c r="AV37" s="59" t="str">
        <f>IF($O$21=1,AN37,IF($O$21=2,AP37,IF($O$21=3,AO37,IF($O$21=4,AQ37,IF($O$21=5,AR37,IF($O$21=6,AM37,IF($O$21=7,AS37,IF($O$21=8,AT37,IF($O$21=9,AL37,"")))))))))</f>
        <v/>
      </c>
      <c r="AW37" s="59" t="s">
        <v>448</v>
      </c>
      <c r="AX37">
        <v>572001</v>
      </c>
      <c r="AY37">
        <v>572002</v>
      </c>
      <c r="AZ37">
        <v>572007</v>
      </c>
      <c r="BA37">
        <v>572011</v>
      </c>
      <c r="BB37">
        <v>572018</v>
      </c>
      <c r="BC37">
        <v>572025</v>
      </c>
      <c r="BD37">
        <v>572028</v>
      </c>
      <c r="BE37">
        <v>572030</v>
      </c>
      <c r="BF37">
        <v>572051</v>
      </c>
      <c r="BG37">
        <v>572031</v>
      </c>
      <c r="BH37" s="59" t="str">
        <f>IF($O$21=1,AZ37,IF($O$21=2,BB37,IF($O$21=3,BA37,IF($O$21=4,BC37,IF($O$21=5,BD37,IF($O$21=6,AY37,IF($O$21=7,BE37,IF($O$21=8,BF37,IF($O$21=9,AX37,IF($O$21=10,BG37,""))))))))))</f>
        <v/>
      </c>
      <c r="BI37" s="59" t="s">
        <v>456</v>
      </c>
      <c r="BJ37">
        <v>572005</v>
      </c>
      <c r="BK37">
        <v>572004</v>
      </c>
      <c r="BL37">
        <v>572009</v>
      </c>
      <c r="BM37" s="57"/>
      <c r="BN37">
        <v>572010</v>
      </c>
      <c r="BO37" s="57"/>
      <c r="BP37">
        <v>572060</v>
      </c>
      <c r="BQ37" s="57"/>
      <c r="BR37">
        <v>572063</v>
      </c>
      <c r="BS37"/>
      <c r="BT37" s="59" t="str">
        <f>IF($O$21=1,BL37,IF($O$21=2,BN37,IF($O$21=3,BM37,IF($O$21=4,BO37,IF($O$21=5,BP37,IF($O$21=6,BK37,IF($O$21=7,BQ37,IF($O$21=8,BR37,IF($O$21=9,BJ37,"")))))))))</f>
        <v/>
      </c>
      <c r="BU37" s="59" t="s">
        <v>464</v>
      </c>
      <c r="BV37" s="47" t="s">
        <v>84</v>
      </c>
      <c r="BW37" s="47" t="s">
        <v>99</v>
      </c>
      <c r="BX37" s="47" t="s">
        <v>94</v>
      </c>
      <c r="BY37" s="47" t="s">
        <v>97</v>
      </c>
      <c r="BZ37" s="47" t="s">
        <v>95</v>
      </c>
      <c r="CA37" s="47" t="s">
        <v>98</v>
      </c>
      <c r="CB37" s="47" t="s">
        <v>102</v>
      </c>
      <c r="CC37" s="47" t="s">
        <v>103</v>
      </c>
      <c r="CD37" s="47" t="s">
        <v>1459</v>
      </c>
      <c r="CE37" s="20"/>
      <c r="CF37" s="132"/>
      <c r="CG37" s="132"/>
      <c r="CH37"/>
      <c r="CI37"/>
      <c r="CJ37"/>
      <c r="CK37"/>
      <c r="CL37"/>
      <c r="CM37"/>
      <c r="CN37"/>
      <c r="CO37"/>
      <c r="CP37"/>
      <c r="CQ37"/>
      <c r="CR37"/>
      <c r="CT37" s="132"/>
      <c r="CU37" s="132"/>
      <c r="CV37"/>
      <c r="CW37"/>
      <c r="CX37"/>
      <c r="CY37"/>
      <c r="CZ37"/>
      <c r="DA37"/>
      <c r="DB37"/>
      <c r="DC37"/>
      <c r="DD37"/>
      <c r="DE37"/>
      <c r="DF37"/>
      <c r="DH37" s="132"/>
      <c r="DI37" s="132"/>
      <c r="DJ37"/>
      <c r="DK37"/>
      <c r="DL37"/>
      <c r="DN37"/>
      <c r="DV37" s="132"/>
      <c r="DW37" s="132"/>
      <c r="EJ37" s="132"/>
      <c r="EK37" s="132"/>
      <c r="ES37" s="701" t="str">
        <f>IF(Info!FX7=1,VLOOKUP(2228,Sprachindex!$A:$Z,Info!$O$7,FALSE),VLOOKUP(2229,Sprachindex!$A:$Z,Info!$O$7,FALSE))</f>
        <v>Dachrinne 6 m</v>
      </c>
      <c r="ET37" s="702"/>
      <c r="EU37" s="702"/>
      <c r="EV37" s="702"/>
      <c r="EW37" s="702"/>
      <c r="EX37" s="329">
        <v>14.17</v>
      </c>
      <c r="EY37" s="299"/>
      <c r="EZ37" s="331">
        <v>12.7</v>
      </c>
      <c r="FA37" s="334">
        <v>14.52</v>
      </c>
      <c r="FB37" s="299"/>
      <c r="FC37" s="336">
        <v>12.88</v>
      </c>
      <c r="FD37" s="340">
        <v>14.62</v>
      </c>
      <c r="FE37" s="341">
        <v>16.079999999999998</v>
      </c>
      <c r="FF37" s="342">
        <v>13.05</v>
      </c>
      <c r="FG37" s="345">
        <v>21.56</v>
      </c>
      <c r="FH37" s="299"/>
      <c r="FI37" s="346">
        <v>17.8</v>
      </c>
      <c r="FJ37" s="315"/>
      <c r="FK37" s="299"/>
      <c r="FL37" s="316"/>
      <c r="FM37" s="315"/>
      <c r="FN37" s="299"/>
      <c r="FO37" s="316"/>
      <c r="FP37" s="315"/>
      <c r="FQ37" s="299"/>
      <c r="FR37" s="316"/>
      <c r="FS37" s="315"/>
      <c r="FT37" s="299"/>
      <c r="FU37" s="316"/>
      <c r="FV37" s="315"/>
      <c r="FW37" s="299"/>
      <c r="FX37" s="316"/>
      <c r="FY37" s="315"/>
      <c r="FZ37" s="299"/>
      <c r="GA37" s="316"/>
      <c r="GB37" s="315"/>
      <c r="GC37" s="299"/>
      <c r="GD37" s="316"/>
      <c r="GE37" s="315"/>
      <c r="GF37" s="299"/>
      <c r="GG37" s="316"/>
      <c r="GH37" s="315"/>
      <c r="GI37" s="299"/>
      <c r="GJ37" s="316"/>
      <c r="GK37" s="315"/>
      <c r="GL37" s="299"/>
      <c r="GM37" s="316"/>
      <c r="GN37" s="315"/>
      <c r="GO37" s="299"/>
      <c r="GP37" s="324"/>
      <c r="GQ37" s="206" cm="1">
        <f t="array" ref="GQ37">_xlfn.IFS($O$21=10,EY37,$O$21=9,EZ37,TRUE,EX37)</f>
        <v>14.17</v>
      </c>
      <c r="GR37" s="207" cm="1">
        <f t="array" ref="GR37">_xlfn.IFS($O$21=10,FB37,$O$21=9,FC37,TRUE,FA37)</f>
        <v>14.52</v>
      </c>
      <c r="GS37" s="311" cm="1">
        <f t="array" ref="GS37">_xlfn.IFS($O$21=10,FE37,$O$21=9,FF37,TRUE,FD37)</f>
        <v>14.62</v>
      </c>
      <c r="GT37" s="312" cm="1">
        <f t="array" ref="GT37">_xlfn.IFS($O$21=10,FH37,$O$21=9,FI37,TRUE,FG37)</f>
        <v>21.56</v>
      </c>
      <c r="GU37" s="313"/>
      <c r="GV37" s="314" t="str">
        <f>IF($O$24=1,GQ37,IF($O$24=2,GR37,IF($O$24=3,GS37,IF($O$24=4,GT37," "))))</f>
        <v xml:space="preserve"> </v>
      </c>
      <c r="GW37" s="1" t="s">
        <v>39259</v>
      </c>
    </row>
    <row r="38" spans="1:205" ht="32.1" customHeight="1">
      <c r="A38" s="103"/>
      <c r="B38" s="76" t="str">
        <f>VLOOKUP(878,Sprachindex!$A:$Z,Info!$O$7,FALSE)</f>
        <v>Stk.</v>
      </c>
      <c r="C38" s="101"/>
      <c r="D38" s="75" t="str">
        <f>IF(AND($O$24=1,J38=Formeln!E168),AJ38,IF(AND($O$24=2,J38=Formeln!E168),BH38,IF(AND($O$24=3,J38=Formeln!E168),CR38,IF(AND($O$24=4,J38=Formeln!E168),EH38,IF(AND($O$24=1,J38=Formeln!E169),AV38,IF(AND($O$24=2,J38=Formeln!E169),BT38,IF(AND($O$24=3,J38=Formeln!E169),DF38,IF(AND($O$24=2,J38=Formeln!E170),CF38,IF(AND($O$24=3,J38=Formeln!E170),DT38,"")))))))))</f>
        <v/>
      </c>
      <c r="E38" s="618" t="str">
        <f>VLOOKUP(711,Sprachindex!$A:$Z,Info!$O$7,FALSE)</f>
        <v>Rinnenhaken</v>
      </c>
      <c r="F38" s="619"/>
      <c r="G38" s="619"/>
      <c r="H38" s="619"/>
      <c r="I38" s="81" t="str">
        <f>VLOOKUP(556,Sprachindex!$A:$Z,Info!$O$7,FALSE)</f>
        <v>Länge wählen:</v>
      </c>
      <c r="J38" s="631"/>
      <c r="K38" s="706"/>
      <c r="L38" s="76" t="str">
        <f t="shared" si="0"/>
        <v xml:space="preserve"> </v>
      </c>
      <c r="M38" s="405" t="str">
        <f t="shared" ref="M38:M101" si="2">B38</f>
        <v>Stk.</v>
      </c>
      <c r="N38" s="77"/>
      <c r="O38" s="184" t="str">
        <f t="shared" si="1"/>
        <v xml:space="preserve"> </v>
      </c>
      <c r="R38" s="179"/>
      <c r="S38" s="179"/>
      <c r="T38" s="179"/>
      <c r="U38" s="1"/>
      <c r="V38" s="139">
        <f>ROUNDUP($A38/X38,0)*X38</f>
        <v>0</v>
      </c>
      <c r="W38" s="139">
        <f>ROUNDUP($A38/Y38,0)*Y38</f>
        <v>0</v>
      </c>
      <c r="X38" s="139">
        <f>IF($O$24=4,20,IF($O$24=5," ",30))</f>
        <v>30</v>
      </c>
      <c r="Y38" s="139">
        <v>1</v>
      </c>
      <c r="Z38" s="56">
        <v>521019</v>
      </c>
      <c r="AA38" s="56">
        <v>521040</v>
      </c>
      <c r="AB38" s="56">
        <v>521020</v>
      </c>
      <c r="AC38" s="56">
        <v>521042</v>
      </c>
      <c r="AD38" s="56">
        <v>521030</v>
      </c>
      <c r="AE38" s="56">
        <v>521045</v>
      </c>
      <c r="AF38" s="56">
        <v>521041</v>
      </c>
      <c r="AG38" s="56">
        <v>521062</v>
      </c>
      <c r="AH38" s="56">
        <v>521068</v>
      </c>
      <c r="AI38" s="56"/>
      <c r="AJ38" s="59" t="str">
        <f>IF($O$21=1,AB38,IF($O$21=2,AD38,IF($O$21=3,AC38,IF($O$21=4,AE38,IF($O$21=5,AF38,IF($O$21=6,AA38,IF($O$21=7,AG38,IF($O$21=8,AH38,IF($O$21=9,Z38,"")))))))))</f>
        <v/>
      </c>
      <c r="AK38" s="60" t="s">
        <v>473</v>
      </c>
      <c r="AL38">
        <v>521092</v>
      </c>
      <c r="AM38">
        <v>521242</v>
      </c>
      <c r="AN38">
        <v>521240</v>
      </c>
      <c r="AO38">
        <v>521245</v>
      </c>
      <c r="AP38">
        <v>521241</v>
      </c>
      <c r="AQ38">
        <v>521246</v>
      </c>
      <c r="AR38">
        <v>521244</v>
      </c>
      <c r="AS38">
        <v>521247</v>
      </c>
      <c r="AT38">
        <v>521250</v>
      </c>
      <c r="AU38"/>
      <c r="AV38" s="59" t="str">
        <f>IF($O$21=1,AN38,IF($O$21=2,AP38,IF($O$21=3,AO38,IF($O$21=4,AQ38,IF($O$21=5,AR38,IF($O$21=6,AM38,IF($O$21=7,AS38,IF($O$21=8,AT38,IF($O$21=9,AL38,"")))))))))</f>
        <v/>
      </c>
      <c r="AW38" s="60" t="s">
        <v>481</v>
      </c>
      <c r="AX38">
        <v>521005</v>
      </c>
      <c r="AY38">
        <v>521006</v>
      </c>
      <c r="AZ38">
        <v>521010</v>
      </c>
      <c r="BA38">
        <v>521022</v>
      </c>
      <c r="BB38">
        <v>521014</v>
      </c>
      <c r="BC38">
        <v>521044</v>
      </c>
      <c r="BD38">
        <v>521023</v>
      </c>
      <c r="BE38">
        <v>521061</v>
      </c>
      <c r="BF38">
        <v>521069</v>
      </c>
      <c r="BG38"/>
      <c r="BH38" s="59" t="str">
        <f>IF($O$21=1,AZ38,IF($O$21=2,BB38,IF($O$21=3,BA38,IF($O$21=4,BC38,IF($O$21=5,BD38,IF($O$21=6,AY38,IF($O$21=7,BE38,IF($O$21=8,BF38,IF($O$21=9,AX38,"")))))))))</f>
        <v/>
      </c>
      <c r="BI38" s="60" t="s">
        <v>489</v>
      </c>
      <c r="BJ38">
        <v>521091</v>
      </c>
      <c r="BK38">
        <v>521222</v>
      </c>
      <c r="BL38">
        <v>521220</v>
      </c>
      <c r="BM38">
        <v>521225</v>
      </c>
      <c r="BN38">
        <v>521221</v>
      </c>
      <c r="BO38">
        <v>521226</v>
      </c>
      <c r="BP38">
        <v>521224</v>
      </c>
      <c r="BQ38">
        <v>521227</v>
      </c>
      <c r="BR38">
        <v>521230</v>
      </c>
      <c r="BS38"/>
      <c r="BT38" s="59" t="str">
        <f>IF($O$21=1,BL38,IF($O$21=2,BN38,IF($O$21=3,BM38,IF($O$21=4,BO38,IF($O$21=5,BP38,IF($O$21=6,BK38,IF($O$21=7,BQ38,IF($O$21=8,BR38,IF($O$21=9,BJ38,"")))))))))</f>
        <v/>
      </c>
      <c r="BU38" s="60" t="s">
        <v>497</v>
      </c>
      <c r="BV38">
        <v>521050</v>
      </c>
      <c r="BW38">
        <v>521053</v>
      </c>
      <c r="BX38">
        <v>521052</v>
      </c>
      <c r="BY38">
        <v>521056</v>
      </c>
      <c r="BZ38">
        <v>521051</v>
      </c>
      <c r="CA38">
        <v>521047</v>
      </c>
      <c r="CB38">
        <v>521055</v>
      </c>
      <c r="CC38">
        <v>521048</v>
      </c>
      <c r="CD38">
        <v>521070</v>
      </c>
      <c r="CE38"/>
      <c r="CF38" s="467" t="str">
        <f>IF($O$21=1,BX38,IF($O$21=2,BZ38,IF($O$21=3,BY38,IF($O$21=4,CA38,IF($O$21=5,CB38,IF($O$21=6,BW38,IF($O$21=7,CC38,IF($O$21=8,CD38,IF($O$21=9,BV38,"")))))))))</f>
        <v/>
      </c>
      <c r="CG38" s="469" t="s">
        <v>505</v>
      </c>
      <c r="CH38">
        <v>521001</v>
      </c>
      <c r="CI38">
        <v>521002</v>
      </c>
      <c r="CJ38">
        <v>521009</v>
      </c>
      <c r="CK38">
        <v>521018</v>
      </c>
      <c r="CL38">
        <v>521012</v>
      </c>
      <c r="CM38">
        <v>521043</v>
      </c>
      <c r="CN38">
        <v>521024</v>
      </c>
      <c r="CO38">
        <v>521032</v>
      </c>
      <c r="CP38">
        <v>521211</v>
      </c>
      <c r="CQ38">
        <v>521034</v>
      </c>
      <c r="CR38" s="467" t="str">
        <f>IF($O$21=1,CJ38,IF($O$21=2,CL38,IF($O$21=3,CK38,IF($O$21=4,CM38,IF($O$21=5,CN38,IF($O$21=6,CI38,IF($O$21=7,CO38,IF($O$21=8,CP38,IF($O$21=9,CH38,IF($O$21=10,CQ38,""))))))))))</f>
        <v/>
      </c>
      <c r="CS38" s="469" t="s">
        <v>513</v>
      </c>
      <c r="CT38">
        <v>521090</v>
      </c>
      <c r="CU38">
        <v>521202</v>
      </c>
      <c r="CV38">
        <v>521200</v>
      </c>
      <c r="CW38">
        <v>521205</v>
      </c>
      <c r="CX38">
        <v>521201</v>
      </c>
      <c r="CY38"/>
      <c r="CZ38">
        <v>521206</v>
      </c>
      <c r="DA38">
        <v>521204</v>
      </c>
      <c r="DB38">
        <v>521208</v>
      </c>
      <c r="DC38">
        <v>521213</v>
      </c>
      <c r="DD38">
        <v>521234</v>
      </c>
      <c r="DE38" s="471"/>
      <c r="DF38" s="470" t="e" cm="1">
        <f t="array" ref="DF38">IF($O$21=1,CV38,IF($O$21=2,CX38,IF($O$21=3,CW38,IF($O$21=4,CZ38,IF($O$21=5,DA38,IF($O$21=6,CU38,IF($O$21=7,DB38,IF($O$21=8,DC38,IF($O$21=9,CT38,IF($O$21=10,DD38,ß))))))))))</f>
        <v>#NAME?</v>
      </c>
      <c r="DG38" s="469" t="s">
        <v>514</v>
      </c>
      <c r="DH38">
        <v>521007</v>
      </c>
      <c r="DI38">
        <v>521008</v>
      </c>
      <c r="DJ38">
        <v>521011</v>
      </c>
      <c r="DK38">
        <v>521026</v>
      </c>
      <c r="DL38">
        <v>521013</v>
      </c>
      <c r="DM38"/>
      <c r="DN38">
        <v>521046</v>
      </c>
      <c r="DO38">
        <v>521025</v>
      </c>
      <c r="DP38">
        <v>521033</v>
      </c>
      <c r="DQ38">
        <v>521212</v>
      </c>
      <c r="DR38">
        <v>521134</v>
      </c>
      <c r="DS38" s="468"/>
      <c r="DT38" s="467" t="str">
        <f>IF($O$21=1,DJ38,IF($O$21=2,DL38,IF($O$21=3,DK38,IF($O$21=4,DN38,IF($O$21=5,DO38,IF($O$21=6,DI38,IF($O$21=7,DP38,IF($O$21=8,DQ38,IF($O$21=9,DH38,IF($O$21=10,DR38,""))))))))))</f>
        <v/>
      </c>
      <c r="DU38" s="469" t="s">
        <v>522</v>
      </c>
      <c r="DV38">
        <v>521003</v>
      </c>
      <c r="DW38">
        <v>521004</v>
      </c>
      <c r="DX38">
        <v>521015</v>
      </c>
      <c r="DY38" s="468"/>
      <c r="DZ38">
        <v>521016</v>
      </c>
      <c r="EA38" s="468"/>
      <c r="EB38" s="468"/>
      <c r="EC38" s="468">
        <v>521080</v>
      </c>
      <c r="ED38" s="468"/>
      <c r="EE38" s="468">
        <v>521083</v>
      </c>
      <c r="EF38" s="468"/>
      <c r="EG38" s="468"/>
      <c r="EH38" s="467" t="str">
        <f>IF($O$21=1,DX38,IF($O$21=2,DZ38,IF($O$21=3,DY38,IF($O$21=4,EB38,IF($O$21=5,EC38,IF($O$21=6,DW38,IF($O$21=7,ED38,IF($O$21=8,EE38,IF($O$21=9,DV38,"")))))))))</f>
        <v/>
      </c>
      <c r="EI38" s="469" t="s">
        <v>530</v>
      </c>
      <c r="ES38" s="618" t="str">
        <f>VLOOKUP(711,Sprachindex!$A:$Z,Info!$O$7,FALSE)</f>
        <v>Rinnenhaken</v>
      </c>
      <c r="ET38" s="619"/>
      <c r="EU38" s="619"/>
      <c r="EV38" s="619"/>
      <c r="EW38" s="286" t="str">
        <f>VLOOKUP(556,Sprachindex!$A:$Z,Info!$O$7,FALSE)</f>
        <v>Länge wählen:</v>
      </c>
      <c r="EX38" s="329">
        <v>7.31</v>
      </c>
      <c r="EY38" s="299"/>
      <c r="EZ38" s="331">
        <v>6.45</v>
      </c>
      <c r="FA38" s="347">
        <v>8.83</v>
      </c>
      <c r="FB38" s="299"/>
      <c r="FC38" s="331">
        <v>7.49</v>
      </c>
      <c r="FD38" s="315"/>
      <c r="FE38" s="299"/>
      <c r="FF38" s="316"/>
      <c r="FG38" s="334">
        <v>7.44</v>
      </c>
      <c r="FH38" s="299"/>
      <c r="FI38" s="336">
        <v>6.59</v>
      </c>
      <c r="FJ38" s="334">
        <v>8.9600000000000009</v>
      </c>
      <c r="FK38" s="299"/>
      <c r="FL38" s="336">
        <v>7.65</v>
      </c>
      <c r="FM38" s="334">
        <v>10.26</v>
      </c>
      <c r="FN38" s="299"/>
      <c r="FO38" s="336">
        <v>8.83</v>
      </c>
      <c r="FP38" s="340">
        <v>7.56</v>
      </c>
      <c r="FQ38" s="341">
        <v>7.56</v>
      </c>
      <c r="FR38" s="342">
        <v>6.66</v>
      </c>
      <c r="FS38" s="340">
        <v>9.0500000000000007</v>
      </c>
      <c r="FT38" s="341">
        <v>9.0500000000000007</v>
      </c>
      <c r="FU38" s="342">
        <v>7.82</v>
      </c>
      <c r="FV38" s="340">
        <v>10.41</v>
      </c>
      <c r="FW38" s="341">
        <v>10.41</v>
      </c>
      <c r="FX38" s="342">
        <v>8.9600000000000009</v>
      </c>
      <c r="FY38" s="315"/>
      <c r="FZ38" s="299"/>
      <c r="GA38" s="316"/>
      <c r="GB38" s="345">
        <v>11.56</v>
      </c>
      <c r="GC38" s="299"/>
      <c r="GD38" s="346">
        <v>9.93</v>
      </c>
      <c r="GE38" s="315"/>
      <c r="GF38" s="299"/>
      <c r="GG38" s="316"/>
      <c r="GH38" s="347" cm="1">
        <f t="array" ref="GH38">_xlfn.IFS($O$21=10,EY38,$O$21=9,EZ38,TRUE,EX38)</f>
        <v>7.31</v>
      </c>
      <c r="GI38" s="330" cm="1">
        <f t="array" ref="GI38">_xlfn.IFS($O$21=10,FB38,$O$21=9,FC38,TRUE,FA38)</f>
        <v>8.83</v>
      </c>
      <c r="GJ38" s="336" cm="1">
        <f t="array" ref="GJ38">_xlfn.IFS($O$21=10,FH38,$O$21=9,FI38,TRUE,FG38)</f>
        <v>7.44</v>
      </c>
      <c r="GK38" s="334" cm="1">
        <f t="array" ref="GK38">_xlfn.IFS($O$21=10,FK38,$O$21=9,FL38,TRUE,FJ38)</f>
        <v>8.9600000000000009</v>
      </c>
      <c r="GL38" s="335" cm="1">
        <f t="array" ref="GL38">_xlfn.IFS($O$21=10,FN38,$O$21=9,FO38,TRUE,FM38)</f>
        <v>10.26</v>
      </c>
      <c r="GM38" s="342" cm="1">
        <f t="array" ref="GM38">_xlfn.IFS($O$21=10,FQ38,$O$21=9,FR38,TRUE,FP38)</f>
        <v>7.56</v>
      </c>
      <c r="GN38" s="340" cm="1">
        <f t="array" ref="GN38">_xlfn.IFS($O$21=10,FT38,$O$21=9,FU38,TRUE,FS38)</f>
        <v>9.0500000000000007</v>
      </c>
      <c r="GO38" s="341" cm="1">
        <f t="array" ref="GO38">_xlfn.IFS($O$21=10,FW38,$O$21=9,FX38,TRUE,FV38)</f>
        <v>10.41</v>
      </c>
      <c r="GP38" s="351" cm="1">
        <f t="array" ref="GP38">_xlfn.IFS($O$21=10,GC38,$O$21=9,GD38,TRUE,GB38)</f>
        <v>11.56</v>
      </c>
      <c r="GQ38" s="206" t="str">
        <f>IF(J38=EX33,GH38,IF(J38=FA33,GI38," "))</f>
        <v xml:space="preserve"> </v>
      </c>
      <c r="GR38" s="207" t="str">
        <f>IF(J38=EX33,GJ38,IF(J38=FA33,GK38,IF(J38=FD33,GL38," ")))</f>
        <v xml:space="preserve"> </v>
      </c>
      <c r="GS38" s="311" t="str">
        <f>IF(J38=EX33,GM38,IF(J38=FA33,GN38,IF(J38=FD33,GO38," ")))</f>
        <v xml:space="preserve"> </v>
      </c>
      <c r="GT38" s="312">
        <f>GP38</f>
        <v>11.56</v>
      </c>
      <c r="GU38" s="313"/>
      <c r="GV38" s="314" t="str">
        <f>IF($O$24=1,GQ38,IF($O$24=2,GR38,IF($O$24=3,GS38,IF($O$24=4,GT38," "))))</f>
        <v xml:space="preserve"> </v>
      </c>
      <c r="GW38" s="1" t="s">
        <v>39259</v>
      </c>
    </row>
    <row r="39" spans="1:205" ht="32.1" customHeight="1">
      <c r="A39" s="103"/>
      <c r="B39" s="115" t="str">
        <f>VLOOKUP(878,Sprachindex!$A:$Z,Info!$O$7,FALSE)</f>
        <v>Stk.</v>
      </c>
      <c r="C39" s="106"/>
      <c r="D39" s="106" t="str">
        <f>IF(O24=2,AV39,IF(O24=3,BH39,IF(O24=1,AJ39,"")))</f>
        <v/>
      </c>
      <c r="E39" s="703" t="str">
        <f>VLOOKUP(876,Sprachindex!$A:$Z,Info!$O$7,FALSE)</f>
        <v>Stirnbretthaken für Dachrinnen</v>
      </c>
      <c r="F39" s="704"/>
      <c r="G39" s="704"/>
      <c r="H39" s="704"/>
      <c r="I39" s="704"/>
      <c r="J39" s="709" t="str">
        <f>IF(O24=0,"",IF(O24=1,G25,IF(O24=2,G26,IF(O24=3,G27,Formeln!A177))))</f>
        <v/>
      </c>
      <c r="K39" s="710"/>
      <c r="L39" s="76" t="str">
        <f t="shared" si="0"/>
        <v xml:space="preserve"> </v>
      </c>
      <c r="M39" s="405" t="str">
        <f t="shared" si="2"/>
        <v>Stk.</v>
      </c>
      <c r="N39" s="77"/>
      <c r="O39" s="184" t="str">
        <f t="shared" si="1"/>
        <v xml:space="preserve"> </v>
      </c>
      <c r="R39" s="179"/>
      <c r="S39" s="179"/>
      <c r="T39" s="179"/>
      <c r="U39" s="1"/>
      <c r="V39" s="139">
        <f>ROUNDUP($A39/20,0)*20</f>
        <v>0</v>
      </c>
      <c r="W39" s="139">
        <f>ROUNDUP($A39/Y39,0)*Y39</f>
        <v>0</v>
      </c>
      <c r="X39" s="139" t="str">
        <f>IF($O$24=1,20,IF($O$24=2,20,IF($O$24=3,20,"")))</f>
        <v/>
      </c>
      <c r="Y39" s="139">
        <v>1</v>
      </c>
      <c r="Z39" s="111" t="s">
        <v>1645</v>
      </c>
      <c r="AA39" s="111" t="s">
        <v>1646</v>
      </c>
      <c r="AB39" s="111" t="s">
        <v>1647</v>
      </c>
      <c r="AC39" s="111"/>
      <c r="AD39" s="111" t="s">
        <v>1648</v>
      </c>
      <c r="AE39" s="56"/>
      <c r="AF39" s="56"/>
      <c r="AG39" s="56"/>
      <c r="AH39" s="56"/>
      <c r="AI39" s="56"/>
      <c r="AJ39" s="59" t="str">
        <f>IF($O$21=1,AB39,IF($O$21=2,AD39,IF($O$21=3,AC39,IF($O$21=4,AE39,IF($O$21=5,AF39,IF($O$21=6,AA39,IF($O$21=7,AG39,IF($O$21=8,AH39,IF($O$21=9,Z39,"")))))))))</f>
        <v/>
      </c>
      <c r="AK39" s="60" t="s">
        <v>538</v>
      </c>
      <c r="AL39">
        <v>521501</v>
      </c>
      <c r="AM39">
        <v>521522</v>
      </c>
      <c r="AN39">
        <v>521520</v>
      </c>
      <c r="AO39">
        <v>521525</v>
      </c>
      <c r="AP39">
        <v>521521</v>
      </c>
      <c r="AQ39">
        <v>521526</v>
      </c>
      <c r="AR39">
        <v>521524</v>
      </c>
      <c r="AS39">
        <v>521528</v>
      </c>
      <c r="AT39">
        <v>521530</v>
      </c>
      <c r="AU39"/>
      <c r="AV39" s="59" t="str">
        <f>IF($O$21=1,AN39,IF($O$21=2,AP39,IF($O$21=3,AO39,IF($O$21=4,AQ39,IF($O$21=5,AR39,IF($O$21=6,AM39,IF($O$21=7,AS39,IF($O$21=8,AT39,IF($O$21=9,AL39,"")))))))))</f>
        <v/>
      </c>
      <c r="AW39" s="60" t="s">
        <v>546</v>
      </c>
      <c r="AX39">
        <v>521502</v>
      </c>
      <c r="AY39">
        <v>521537</v>
      </c>
      <c r="AZ39">
        <v>521535</v>
      </c>
      <c r="BA39">
        <v>521540</v>
      </c>
      <c r="BB39">
        <v>521536</v>
      </c>
      <c r="BC39">
        <v>521541</v>
      </c>
      <c r="BD39">
        <v>521539</v>
      </c>
      <c r="BE39">
        <v>521544</v>
      </c>
      <c r="BF39">
        <v>521546</v>
      </c>
      <c r="BG39">
        <v>521542</v>
      </c>
      <c r="BH39" s="59" t="str">
        <f>IF($O$21=1,AZ39,IF($O$21=2,BB39,IF($O$21=3,BA39,IF($O$21=4,BC39,IF($O$21=5,BD39,IF($O$21=6,AY39,IF($O$21=7,BE39,IF($O$21=8,BF39,IF($O$21=9,AX39,IF($O$21=10,BG39,""))))))))))</f>
        <v/>
      </c>
      <c r="BI39" s="60" t="s">
        <v>553</v>
      </c>
      <c r="ES39" s="703" t="str">
        <f>VLOOKUP(876,Sprachindex!$A:$Z,Info!$O$7,FALSE)</f>
        <v>Stirnbretthaken für Dachrinnen</v>
      </c>
      <c r="ET39" s="704"/>
      <c r="EU39" s="704"/>
      <c r="EV39" s="704"/>
      <c r="EW39" s="704"/>
      <c r="EX39" s="323"/>
      <c r="EY39" s="299"/>
      <c r="EZ39" s="316"/>
      <c r="FA39" s="347">
        <v>8.9600000000000009</v>
      </c>
      <c r="FB39" s="299"/>
      <c r="FC39" s="331">
        <v>7.97</v>
      </c>
      <c r="FD39" s="315"/>
      <c r="FE39" s="299"/>
      <c r="FF39" s="316"/>
      <c r="FG39" s="315"/>
      <c r="FH39" s="299"/>
      <c r="FI39" s="316"/>
      <c r="FJ39" s="334">
        <v>6.77</v>
      </c>
      <c r="FK39" s="299"/>
      <c r="FL39" s="336">
        <v>5.83</v>
      </c>
      <c r="FM39" s="315"/>
      <c r="FN39" s="299"/>
      <c r="FO39" s="316"/>
      <c r="FP39" s="315"/>
      <c r="FQ39" s="299"/>
      <c r="FR39" s="316"/>
      <c r="FS39" s="340">
        <v>8.51</v>
      </c>
      <c r="FT39" s="341"/>
      <c r="FU39" s="342">
        <v>6.39</v>
      </c>
      <c r="FV39" s="315"/>
      <c r="FW39" s="299"/>
      <c r="FX39" s="316"/>
      <c r="FY39" s="315"/>
      <c r="FZ39" s="299"/>
      <c r="GA39" s="316"/>
      <c r="GB39" s="315"/>
      <c r="GC39" s="299"/>
      <c r="GD39" s="316"/>
      <c r="GE39" s="315"/>
      <c r="GF39" s="299"/>
      <c r="GG39" s="316"/>
      <c r="GH39" s="315"/>
      <c r="GI39" s="299"/>
      <c r="GJ39" s="316"/>
      <c r="GK39" s="315"/>
      <c r="GL39" s="299"/>
      <c r="GM39" s="316"/>
      <c r="GN39" s="315"/>
      <c r="GO39" s="299"/>
      <c r="GP39" s="324"/>
      <c r="GQ39" s="206" t="str">
        <f>IF(OR($O$21=1,$O$21=2,$O$21=6),FA39,IF($O$21=9,FC39," "))</f>
        <v xml:space="preserve"> </v>
      </c>
      <c r="GR39" s="304" cm="1">
        <f t="array" ref="GR39">_xlfn.IFS($O$21=9,FL39,$O$21=10,FK39,TRUE,FJ39)</f>
        <v>6.77</v>
      </c>
      <c r="GS39" s="303" cm="1">
        <f t="array" ref="GS39">_xlfn.IFS($O$21=9,FU39,$O$21=10,FS39,TRUE,FS39)</f>
        <v>8.51</v>
      </c>
      <c r="GV39" s="314" t="str">
        <f>IF($O$24=1,GQ39,IF($O$24=2,GR39,IF($O$24=3,GS39," ")))</f>
        <v xml:space="preserve"> </v>
      </c>
      <c r="GW39" s="1" t="s">
        <v>39259</v>
      </c>
    </row>
    <row r="40" spans="1:205" ht="32.1" customHeight="1">
      <c r="A40" s="103"/>
      <c r="B40" s="115" t="str">
        <f>VLOOKUP(878,Sprachindex!$A:$Z,Info!$O$7,FALSE)</f>
        <v>Stk.</v>
      </c>
      <c r="C40" s="105"/>
      <c r="D40" s="105" t="str">
        <f>IF(AND(O24=3,J40=Formeln!E179),AJ40,IF(AND(O24=3,J40=Formeln!E180),AV40,IF(AND(O24=4,J40=Formeln!E179),BH40,IF(AND(O24=2,J40=Formeln!E179),BT40,""))))</f>
        <v/>
      </c>
      <c r="E40" s="703" t="str">
        <f>VLOOKUP(714,Sprachindex!$A:$Z,Info!$O$7,FALSE)</f>
        <v>Rinnenhaken hochkant</v>
      </c>
      <c r="F40" s="704"/>
      <c r="G40" s="704"/>
      <c r="H40" s="704"/>
      <c r="I40" s="107" t="str">
        <f>VLOOKUP(556,Sprachindex!$A:$Z,Info!$O$7,FALSE)</f>
        <v>Länge wählen:</v>
      </c>
      <c r="J40" s="631"/>
      <c r="K40" s="706"/>
      <c r="L40" s="76" t="str">
        <f t="shared" si="0"/>
        <v xml:space="preserve"> </v>
      </c>
      <c r="M40" s="405" t="str">
        <f t="shared" si="2"/>
        <v>Stk.</v>
      </c>
      <c r="N40" s="77"/>
      <c r="O40" s="184" t="str">
        <f t="shared" si="1"/>
        <v xml:space="preserve"> </v>
      </c>
      <c r="R40" s="179"/>
      <c r="S40" s="179"/>
      <c r="T40" s="179"/>
      <c r="U40" s="1"/>
      <c r="V40" s="139" t="str">
        <f>IF(ISNUMBER(X40),ROUNDUP($A40/X40,0)*X40," ")</f>
        <v xml:space="preserve"> </v>
      </c>
      <c r="W40" s="139">
        <f>ROUNDUP($A40/Y40,0)*Y40</f>
        <v>0</v>
      </c>
      <c r="X40" s="139" t="str">
        <f>IF($O$24=2,10,IF(OR($O$24=3,$O$24=4),20," "))</f>
        <v xml:space="preserve"> </v>
      </c>
      <c r="Y40" s="139">
        <v>1</v>
      </c>
      <c r="Z40" s="56">
        <v>522001</v>
      </c>
      <c r="AA40" s="56">
        <v>522002</v>
      </c>
      <c r="AB40" s="56">
        <v>522003</v>
      </c>
      <c r="AC40" s="56">
        <v>522008</v>
      </c>
      <c r="AD40" s="56">
        <v>522004</v>
      </c>
      <c r="AE40" s="56">
        <v>522005</v>
      </c>
      <c r="AF40" s="56">
        <v>522009</v>
      </c>
      <c r="AG40" s="56">
        <v>522010</v>
      </c>
      <c r="AH40" s="56">
        <v>522014</v>
      </c>
      <c r="AI40" s="56">
        <v>522015</v>
      </c>
      <c r="AJ40" s="59" t="str">
        <f>IF($O$21=1,AB40,IF($O$21=2,AD40,IF($O$21=3,AC40,IF($O$21=4,AE40,IF($O$21=5,AF40,IF($O$21=6,AA40,IF($O$21=7,AG40,IF($O$21=8,AH40,IF($O$21=9,Z40,IF($O$21=10,AI40,""))))))))))</f>
        <v/>
      </c>
      <c r="AK40" s="60" t="s">
        <v>561</v>
      </c>
      <c r="AL40">
        <v>522020</v>
      </c>
      <c r="AM40" s="57" t="s">
        <v>2349</v>
      </c>
      <c r="AN40">
        <v>522022</v>
      </c>
      <c r="AO40" s="57" t="s">
        <v>2349</v>
      </c>
      <c r="AP40">
        <v>522021</v>
      </c>
      <c r="AQ40" s="57" t="s">
        <v>2349</v>
      </c>
      <c r="AR40" s="57" t="s">
        <v>2349</v>
      </c>
      <c r="AS40" s="57" t="s">
        <v>2349</v>
      </c>
      <c r="AT40" s="57" t="s">
        <v>2349</v>
      </c>
      <c r="AU40" s="57">
        <v>522025</v>
      </c>
      <c r="AV40" s="59" t="str">
        <f>IF($O$21=1,AN40,IF($O$21=2,AP40,IF($O$21=3,AO40,IF($O$21=4,AQ40,IF($O$21=5,AR40,IF($O$21=6,AM40,IF($O$21=7,AS40,IF($O$21=8,AT40,IF($O$21=9,AL40,IF($O$21=10,AU40,""))))))))))</f>
        <v/>
      </c>
      <c r="AW40" s="60" t="s">
        <v>569</v>
      </c>
      <c r="AX40" s="42" t="s">
        <v>1649</v>
      </c>
      <c r="AY40" s="42" t="s">
        <v>1650</v>
      </c>
      <c r="AZ40" s="42" t="s">
        <v>1651</v>
      </c>
      <c r="BA40" s="42"/>
      <c r="BB40" s="42" t="s">
        <v>1652</v>
      </c>
      <c r="BC40" s="42"/>
      <c r="BD40" s="42" t="s">
        <v>1653</v>
      </c>
      <c r="BE40" s="42"/>
      <c r="BF40" s="42" t="s">
        <v>1654</v>
      </c>
      <c r="BG40" s="42"/>
      <c r="BH40" s="59" t="str">
        <f>IF($O$21=1,AZ40,IF($O$21=2,BB40,IF($O$21=3,BA40,IF($O$21=4,BC40,IF($O$21=5,BD40,IF($O$21=6,AY40,IF($O$21=7,BE40,IF($O$21=8,BF40,IF($O$21=9,AX40,"")))))))))</f>
        <v/>
      </c>
      <c r="BI40" s="60" t="s">
        <v>577</v>
      </c>
      <c r="BJ40" t="s">
        <v>1655</v>
      </c>
      <c r="BK40"/>
      <c r="BL40"/>
      <c r="BM40"/>
      <c r="BN40"/>
      <c r="BO40"/>
      <c r="BP40"/>
      <c r="BQ40"/>
      <c r="BR40"/>
      <c r="BS40"/>
      <c r="BT40" s="59" t="str">
        <f>IF($O$21=1,BL40,IF($O$21=2,BN40,IF($O$21=3,BM40,IF($O$21=4,BO40,IF($O$21=5,BP40,IF($O$21=6,BK40,IF($O$21=7,BQ40,IF($O$21=8,BR40,IF($O$21=9,BJ40,"")))))))))</f>
        <v/>
      </c>
      <c r="BU40" s="60" t="s">
        <v>578</v>
      </c>
      <c r="ES40" s="703" t="str">
        <f>VLOOKUP(714,Sprachindex!$A:$Z,Info!$O$7,FALSE)</f>
        <v>Rinnenhaken hochkant</v>
      </c>
      <c r="ET40" s="704"/>
      <c r="EU40" s="704"/>
      <c r="EV40" s="704"/>
      <c r="EW40" s="301" t="str">
        <f>VLOOKUP(556,Sprachindex!$A:$Z,Info!$O$7,FALSE)</f>
        <v>Länge wählen:</v>
      </c>
      <c r="EX40" s="323"/>
      <c r="EY40" s="299"/>
      <c r="EZ40" s="316"/>
      <c r="FA40" s="315"/>
      <c r="FB40" s="299"/>
      <c r="FC40" s="316"/>
      <c r="FD40" s="315"/>
      <c r="FE40" s="299"/>
      <c r="FF40" s="316"/>
      <c r="FG40" s="315"/>
      <c r="FH40" s="299"/>
      <c r="FI40" s="316"/>
      <c r="FJ40" s="334">
        <v>16.55</v>
      </c>
      <c r="FK40" s="299"/>
      <c r="FL40" s="336">
        <v>15.63</v>
      </c>
      <c r="FM40" s="315"/>
      <c r="FN40" s="299"/>
      <c r="FO40" s="316"/>
      <c r="FP40" s="340">
        <v>11.24</v>
      </c>
      <c r="FQ40" s="299"/>
      <c r="FR40" s="342">
        <v>9.43</v>
      </c>
      <c r="FS40" s="340">
        <v>12.51</v>
      </c>
      <c r="FT40" s="299"/>
      <c r="FU40" s="342">
        <v>10.72</v>
      </c>
      <c r="FV40" s="315"/>
      <c r="FW40" s="299"/>
      <c r="FX40" s="316"/>
      <c r="FY40" s="315"/>
      <c r="FZ40" s="299"/>
      <c r="GA40" s="316"/>
      <c r="GB40" s="345">
        <v>13.16</v>
      </c>
      <c r="GC40" s="299"/>
      <c r="GD40" s="346">
        <v>12.41</v>
      </c>
      <c r="GE40" s="315"/>
      <c r="GF40" s="299"/>
      <c r="GG40" s="316"/>
      <c r="GH40" s="315"/>
      <c r="GI40" s="299"/>
      <c r="GJ40" s="316"/>
      <c r="GK40" s="315"/>
      <c r="GL40" s="299"/>
      <c r="GM40" s="316"/>
      <c r="GN40" s="315"/>
      <c r="GO40" s="299"/>
      <c r="GP40" s="324"/>
      <c r="GR40" s="304" cm="1">
        <f t="array" ref="GR40">_xlfn.IFS($O$21=9,FL40,$O$21=10,FK40,TRUE,FJ40)</f>
        <v>16.55</v>
      </c>
      <c r="GS40" s="303" t="str" cm="1">
        <f t="array" ref="GS40">IF(J40=FP33,_xlfn.IFS($O$21=9,FR40,$O$21=10,FQ40,TRUE,FP40),IF(J40=FS33,_xlfn.IFS($O$21=9,FU40,$O$21=10,FT40,TRUE,FS40)," "))</f>
        <v xml:space="preserve"> </v>
      </c>
      <c r="GT40" s="302" cm="1">
        <f t="array" ref="GT40">_xlfn.IFS($O$21=9,GD40,$O$21=10,GC40,TRUE,GB40)</f>
        <v>13.16</v>
      </c>
      <c r="GV40" s="314" t="str">
        <f>IF($O$24=2,GR40,IF($O$24=3,GS40,IF($O$24=4,GT40," ")))</f>
        <v xml:space="preserve"> </v>
      </c>
      <c r="GW40" s="1" t="s">
        <v>39259</v>
      </c>
    </row>
    <row r="41" spans="1:205" ht="32.1" customHeight="1">
      <c r="A41" s="103"/>
      <c r="B41" s="115" t="str">
        <f>VLOOKUP(878,Sprachindex!$A:$Z,Info!$O$7,FALSE)</f>
        <v>Stk.</v>
      </c>
      <c r="C41" s="105"/>
      <c r="D41" s="105" t="str">
        <f>IF(O24=3,AJ41,"")</f>
        <v/>
      </c>
      <c r="E41" s="703" t="str">
        <f>VLOOKUP(715,Sprachindex!$A:$Z,Info!$O$7,FALSE)</f>
        <v>Rinnenhaken Schweiz</v>
      </c>
      <c r="F41" s="704"/>
      <c r="G41" s="704"/>
      <c r="H41" s="704"/>
      <c r="I41" s="107"/>
      <c r="J41" s="709" t="str">
        <f>IF(O24=0,"",IF(O24=3,G27,Formeln!A177))</f>
        <v/>
      </c>
      <c r="K41" s="710"/>
      <c r="L41" s="76" t="str">
        <f t="shared" si="0"/>
        <v xml:space="preserve"> </v>
      </c>
      <c r="M41" s="405" t="str">
        <f t="shared" si="2"/>
        <v>Stk.</v>
      </c>
      <c r="N41" s="77"/>
      <c r="O41" s="184" t="str">
        <f t="shared" si="1"/>
        <v xml:space="preserve"> </v>
      </c>
      <c r="R41" s="179"/>
      <c r="S41" s="179"/>
      <c r="T41" s="179"/>
      <c r="U41" s="1"/>
      <c r="V41" s="139">
        <f>ROUNDUP($A41/20,0)*20</f>
        <v>0</v>
      </c>
      <c r="W41" s="139">
        <f>ROUNDUP($A41/Y41,0)*Y41</f>
        <v>0</v>
      </c>
      <c r="X41" s="139" t="str">
        <f>IF($O$24=3,"20","")</f>
        <v/>
      </c>
      <c r="Y41" s="139">
        <v>1</v>
      </c>
      <c r="Z41" s="56">
        <v>522050</v>
      </c>
      <c r="AA41" s="56">
        <v>522053</v>
      </c>
      <c r="AB41" s="56">
        <v>522051</v>
      </c>
      <c r="AC41" s="57"/>
      <c r="AD41" s="56">
        <v>522052</v>
      </c>
      <c r="AE41" s="57"/>
      <c r="AF41" s="57"/>
      <c r="AG41" s="57"/>
      <c r="AH41" s="57"/>
      <c r="AI41" s="57">
        <v>522055</v>
      </c>
      <c r="AJ41" s="59" t="str">
        <f>IF($O$21=1,AB41,IF($O$21=2,AD41,IF($O$21=3,AC41,IF($O$21=4,AE41,IF($O$21=5,AF41,IF($O$21=6,AA41,IF($O$21=7,AG41,IF($O$21=8,AH41,IF($O$21=9,Z41,IF($O$21=10,AI41,""))))))))))</f>
        <v/>
      </c>
      <c r="AK41" s="60" t="s">
        <v>561</v>
      </c>
      <c r="ES41" s="703" t="str">
        <f>VLOOKUP(715,Sprachindex!$A:$Z,Info!$O$7,FALSE)</f>
        <v>Rinnenhaken Schweiz</v>
      </c>
      <c r="ET41" s="704"/>
      <c r="EU41" s="704"/>
      <c r="EV41" s="704"/>
      <c r="EW41" s="301"/>
      <c r="EX41" s="323"/>
      <c r="EY41" s="299"/>
      <c r="EZ41" s="316"/>
      <c r="FA41" s="315"/>
      <c r="FB41" s="299"/>
      <c r="FC41" s="316"/>
      <c r="FD41" s="315"/>
      <c r="FE41" s="299"/>
      <c r="FF41" s="316"/>
      <c r="FG41" s="315"/>
      <c r="FH41" s="299"/>
      <c r="FI41" s="316"/>
      <c r="FJ41" s="315"/>
      <c r="FK41" s="299"/>
      <c r="FL41" s="316"/>
      <c r="FM41" s="315"/>
      <c r="FN41" s="299"/>
      <c r="FO41" s="316"/>
      <c r="FP41" s="315"/>
      <c r="FQ41" s="299"/>
      <c r="FR41" s="316"/>
      <c r="FS41" s="340">
        <v>12.89</v>
      </c>
      <c r="FT41" s="299"/>
      <c r="FU41" s="342">
        <v>11.04</v>
      </c>
      <c r="FV41" s="315"/>
      <c r="FW41" s="299"/>
      <c r="FX41" s="316"/>
      <c r="FY41" s="315"/>
      <c r="FZ41" s="299"/>
      <c r="GA41" s="316"/>
      <c r="GB41" s="315"/>
      <c r="GC41" s="299"/>
      <c r="GD41" s="316"/>
      <c r="GE41" s="315"/>
      <c r="GF41" s="299"/>
      <c r="GG41" s="316"/>
      <c r="GH41" s="315"/>
      <c r="GI41" s="299"/>
      <c r="GJ41" s="316"/>
      <c r="GK41" s="315"/>
      <c r="GL41" s="299"/>
      <c r="GM41" s="316"/>
      <c r="GN41" s="315"/>
      <c r="GO41" s="299"/>
      <c r="GP41" s="324"/>
      <c r="GS41" s="303" t="str">
        <f>IF(O21=9,FU41,IF(OR(O21=1,O21=2,O21=6),FS41," "))</f>
        <v xml:space="preserve"> </v>
      </c>
      <c r="GV41" s="306" t="str">
        <f>GS41</f>
        <v xml:space="preserve"> </v>
      </c>
      <c r="GW41" s="1" t="s">
        <v>39259</v>
      </c>
    </row>
    <row r="42" spans="1:205" ht="32.1" customHeight="1">
      <c r="A42" s="103"/>
      <c r="B42" s="76" t="str">
        <f>VLOOKUP(531,Sprachindex!$A:$Z,Info!$O$7,FALSE)</f>
        <v>kg</v>
      </c>
      <c r="C42" s="75"/>
      <c r="D42" s="75">
        <v>350670</v>
      </c>
      <c r="E42" s="618" t="str">
        <f>VLOOKUP(716,Sprachindex!$A:$Z,Info!$O$7,FALSE)</f>
        <v>Rinnenhakennagel (5,0 × 80)</v>
      </c>
      <c r="F42" s="619"/>
      <c r="G42" s="619"/>
      <c r="H42" s="619"/>
      <c r="I42" s="619"/>
      <c r="J42" s="681"/>
      <c r="K42" s="682"/>
      <c r="L42" s="76" t="str">
        <f t="shared" si="0"/>
        <v xml:space="preserve"> </v>
      </c>
      <c r="M42" s="405" t="str">
        <f t="shared" si="2"/>
        <v>kg</v>
      </c>
      <c r="N42" s="77"/>
      <c r="O42" s="184" t="str">
        <f>IF(ISNUMBER(A42),L42*GV42," ")</f>
        <v xml:space="preserve"> </v>
      </c>
      <c r="R42" s="179"/>
      <c r="S42" s="179"/>
      <c r="T42" s="179"/>
      <c r="U42" s="1"/>
      <c r="V42" s="139">
        <f>ROUNDUP($A42/$X42,0)*$X42</f>
        <v>0</v>
      </c>
      <c r="W42" s="139">
        <f>ROUNDUP($A42/$Y42,0)*$Y42</f>
        <v>0</v>
      </c>
      <c r="X42" s="139">
        <v>5</v>
      </c>
      <c r="Y42" s="139">
        <v>1</v>
      </c>
      <c r="Z42" s="149" t="s">
        <v>84</v>
      </c>
      <c r="AA42" s="47" t="s">
        <v>99</v>
      </c>
      <c r="AB42" s="47" t="s">
        <v>94</v>
      </c>
      <c r="AC42" s="47" t="s">
        <v>97</v>
      </c>
      <c r="AD42" s="47" t="s">
        <v>95</v>
      </c>
      <c r="AE42" s="47" t="s">
        <v>98</v>
      </c>
      <c r="AF42" s="47" t="s">
        <v>102</v>
      </c>
      <c r="AG42" s="47" t="s">
        <v>103</v>
      </c>
      <c r="AH42" s="47" t="s">
        <v>1459</v>
      </c>
      <c r="AI42" s="47"/>
      <c r="AJ42" s="47"/>
      <c r="AK42" s="59"/>
      <c r="AL42" s="47" t="s">
        <v>84</v>
      </c>
      <c r="AM42" s="47" t="s">
        <v>99</v>
      </c>
      <c r="AN42" s="47" t="s">
        <v>94</v>
      </c>
      <c r="AO42" s="47" t="s">
        <v>97</v>
      </c>
      <c r="AP42" s="47" t="s">
        <v>95</v>
      </c>
      <c r="AQ42" s="47" t="s">
        <v>98</v>
      </c>
      <c r="AR42" s="47" t="s">
        <v>102</v>
      </c>
      <c r="AS42" s="47" t="s">
        <v>103</v>
      </c>
      <c r="AT42" s="47" t="s">
        <v>1459</v>
      </c>
      <c r="AU42" s="47"/>
      <c r="AV42" s="47"/>
      <c r="AW42" s="59"/>
      <c r="AX42" s="47" t="s">
        <v>84</v>
      </c>
      <c r="AY42" s="47" t="s">
        <v>99</v>
      </c>
      <c r="AZ42" s="47" t="s">
        <v>94</v>
      </c>
      <c r="BA42" s="47" t="s">
        <v>97</v>
      </c>
      <c r="BB42" s="47" t="s">
        <v>95</v>
      </c>
      <c r="BC42" s="47" t="s">
        <v>98</v>
      </c>
      <c r="BD42" s="47" t="s">
        <v>102</v>
      </c>
      <c r="BE42" s="47" t="s">
        <v>103</v>
      </c>
      <c r="BF42" s="47" t="s">
        <v>1459</v>
      </c>
      <c r="BG42" s="47"/>
      <c r="BH42" s="47"/>
      <c r="BI42" s="59"/>
      <c r="BJ42" s="47" t="s">
        <v>84</v>
      </c>
      <c r="BK42" s="47" t="s">
        <v>99</v>
      </c>
      <c r="BL42" s="47" t="s">
        <v>94</v>
      </c>
      <c r="BM42" s="47" t="s">
        <v>97</v>
      </c>
      <c r="BN42" s="47" t="s">
        <v>95</v>
      </c>
      <c r="BO42" s="47" t="s">
        <v>98</v>
      </c>
      <c r="BP42" s="47" t="s">
        <v>102</v>
      </c>
      <c r="BQ42" s="47" t="s">
        <v>103</v>
      </c>
      <c r="BR42" s="47" t="s">
        <v>1459</v>
      </c>
      <c r="BS42" s="47"/>
      <c r="BT42" s="47"/>
      <c r="BU42" s="59"/>
      <c r="BV42" s="47" t="s">
        <v>84</v>
      </c>
      <c r="BW42" s="47" t="s">
        <v>99</v>
      </c>
      <c r="BX42" s="47" t="s">
        <v>94</v>
      </c>
      <c r="BY42" s="47" t="s">
        <v>97</v>
      </c>
      <c r="BZ42" s="47" t="s">
        <v>95</v>
      </c>
      <c r="CA42" s="47" t="s">
        <v>98</v>
      </c>
      <c r="CB42" s="47" t="s">
        <v>102</v>
      </c>
      <c r="CC42" s="47" t="s">
        <v>103</v>
      </c>
      <c r="CD42" s="47" t="s">
        <v>1459</v>
      </c>
      <c r="CE42" s="47"/>
      <c r="CF42" s="47"/>
      <c r="CG42" s="59"/>
      <c r="CH42" s="47" t="s">
        <v>84</v>
      </c>
      <c r="CI42" s="47" t="s">
        <v>99</v>
      </c>
      <c r="CJ42" s="47" t="s">
        <v>94</v>
      </c>
      <c r="CK42" s="47" t="s">
        <v>97</v>
      </c>
      <c r="CL42" s="47" t="s">
        <v>95</v>
      </c>
      <c r="CM42" s="47" t="s">
        <v>98</v>
      </c>
      <c r="CN42" s="47" t="s">
        <v>102</v>
      </c>
      <c r="CO42" s="47" t="s">
        <v>103</v>
      </c>
      <c r="CP42" s="47" t="s">
        <v>1459</v>
      </c>
      <c r="CQ42" s="59"/>
      <c r="CR42" s="47" t="s">
        <v>84</v>
      </c>
      <c r="CS42" s="47" t="s">
        <v>99</v>
      </c>
      <c r="CT42" s="47" t="s">
        <v>94</v>
      </c>
      <c r="CU42" s="47" t="s">
        <v>97</v>
      </c>
      <c r="CV42" s="47" t="s">
        <v>95</v>
      </c>
      <c r="CW42" s="47" t="s">
        <v>104</v>
      </c>
      <c r="CX42" s="47" t="s">
        <v>98</v>
      </c>
      <c r="CY42" s="47" t="s">
        <v>102</v>
      </c>
      <c r="CZ42" s="47" t="s">
        <v>103</v>
      </c>
      <c r="DA42" s="47" t="s">
        <v>1459</v>
      </c>
      <c r="DB42" s="47"/>
      <c r="DC42" s="59"/>
      <c r="DD42" s="47" t="s">
        <v>84</v>
      </c>
      <c r="DE42" s="47" t="s">
        <v>99</v>
      </c>
      <c r="DF42" s="47" t="s">
        <v>94</v>
      </c>
      <c r="DG42" s="47" t="s">
        <v>97</v>
      </c>
      <c r="DH42" s="47" t="s">
        <v>95</v>
      </c>
      <c r="DI42" s="47" t="s">
        <v>98</v>
      </c>
      <c r="DJ42" s="47" t="s">
        <v>102</v>
      </c>
      <c r="DK42" s="47" t="s">
        <v>103</v>
      </c>
      <c r="DL42" s="47" t="s">
        <v>1459</v>
      </c>
      <c r="DM42" s="47"/>
      <c r="DN42" s="47"/>
      <c r="DO42" s="47"/>
      <c r="DP42" s="59"/>
      <c r="DQ42" s="47" t="s">
        <v>84</v>
      </c>
      <c r="DR42" s="47" t="s">
        <v>99</v>
      </c>
      <c r="DS42" s="47" t="s">
        <v>94</v>
      </c>
      <c r="DT42" s="47" t="s">
        <v>97</v>
      </c>
      <c r="DU42" s="47" t="s">
        <v>95</v>
      </c>
      <c r="DV42" s="47"/>
      <c r="DW42" s="47" t="s">
        <v>98</v>
      </c>
      <c r="DX42" s="47" t="s">
        <v>102</v>
      </c>
      <c r="DY42" s="47" t="s">
        <v>103</v>
      </c>
      <c r="DZ42" s="47" t="s">
        <v>1459</v>
      </c>
      <c r="ES42" s="618" t="str">
        <f>VLOOKUP(716,Sprachindex!$A:$Z,Info!$O$7,FALSE)</f>
        <v>Rinnenhakennagel (5,0 × 80)</v>
      </c>
      <c r="ET42" s="619"/>
      <c r="EU42" s="619"/>
      <c r="EV42" s="619"/>
      <c r="EW42" s="619"/>
      <c r="EX42" s="348">
        <v>8.0299999999999994</v>
      </c>
      <c r="EY42" s="299"/>
      <c r="EZ42" s="316"/>
      <c r="FA42" s="315"/>
      <c r="FB42" s="299"/>
      <c r="FC42" s="316"/>
      <c r="FD42" s="315"/>
      <c r="FE42" s="299"/>
      <c r="FF42" s="316"/>
      <c r="FG42" s="315"/>
      <c r="FH42" s="299"/>
      <c r="FI42" s="316"/>
      <c r="FJ42" s="315"/>
      <c r="FK42" s="299"/>
      <c r="FL42" s="316"/>
      <c r="FM42" s="315"/>
      <c r="FN42" s="299"/>
      <c r="FO42" s="316"/>
      <c r="FP42" s="315"/>
      <c r="FQ42" s="299"/>
      <c r="FR42" s="316"/>
      <c r="FS42" s="315"/>
      <c r="FT42" s="299"/>
      <c r="FU42" s="316"/>
      <c r="FV42" s="315"/>
      <c r="FW42" s="299"/>
      <c r="FX42" s="316"/>
      <c r="FY42" s="315"/>
      <c r="FZ42" s="299"/>
      <c r="GA42" s="316"/>
      <c r="GB42" s="315"/>
      <c r="GC42" s="299"/>
      <c r="GD42" s="316"/>
      <c r="GE42" s="315"/>
      <c r="GF42" s="299"/>
      <c r="GG42" s="316"/>
      <c r="GH42" s="315"/>
      <c r="GI42" s="299"/>
      <c r="GJ42" s="316"/>
      <c r="GK42" s="315"/>
      <c r="GL42" s="299"/>
      <c r="GM42" s="316"/>
      <c r="GN42" s="315"/>
      <c r="GO42" s="299"/>
      <c r="GP42" s="324"/>
      <c r="GV42" s="306">
        <f>EX42</f>
        <v>8.0299999999999994</v>
      </c>
      <c r="GW42" s="1" t="s">
        <v>39259</v>
      </c>
    </row>
    <row r="43" spans="1:205" ht="32.1" customHeight="1">
      <c r="A43" s="103"/>
      <c r="B43" s="76" t="str">
        <f>VLOOKUP(878,Sprachindex!$A:$Z,Info!$O$7,FALSE)</f>
        <v>Stk.</v>
      </c>
      <c r="C43" s="75"/>
      <c r="D43" s="75" t="str">
        <f>IF($O$24=1,AJ43,IF($O$24=2,AV43,IF($O$24=3,BH43,IF($O$24=4,BT43,""))))</f>
        <v/>
      </c>
      <c r="E43" s="618" t="str">
        <f>VLOOKUP(710,Sprachindex!$A:$Z,Info!$O$7,FALSE)</f>
        <v>Rinnenendboden</v>
      </c>
      <c r="F43" s="619"/>
      <c r="G43" s="619"/>
      <c r="H43" s="619"/>
      <c r="I43" s="619"/>
      <c r="J43" s="681" t="str">
        <f>IF(O24=5,Formeln!A177,Formeln!A183)</f>
        <v/>
      </c>
      <c r="K43" s="682"/>
      <c r="L43" s="76" t="str">
        <f t="shared" si="0"/>
        <v xml:space="preserve"> </v>
      </c>
      <c r="M43" s="405" t="str">
        <f t="shared" si="2"/>
        <v>Stk.</v>
      </c>
      <c r="N43" s="77"/>
      <c r="O43" s="184" t="str">
        <f t="shared" ref="O43:O49" si="3">IF(ISNUMBER(L43),L43*GV43," ")</f>
        <v xml:space="preserve"> </v>
      </c>
      <c r="R43" s="179"/>
      <c r="S43" s="179"/>
      <c r="T43" s="179"/>
      <c r="U43" s="1"/>
      <c r="V43" s="139">
        <f t="shared" ref="V43:W49" si="4">ROUNDUP($A43/X43,0)*X43</f>
        <v>0</v>
      </c>
      <c r="W43" s="139">
        <f t="shared" si="4"/>
        <v>0</v>
      </c>
      <c r="X43" s="139">
        <f>IF($O$24="","",IF($O$24=5,"",50))</f>
        <v>50</v>
      </c>
      <c r="Y43" s="139">
        <v>1</v>
      </c>
      <c r="Z43" s="56">
        <v>517022</v>
      </c>
      <c r="AA43" s="56">
        <v>517025</v>
      </c>
      <c r="AB43" s="56">
        <v>517015</v>
      </c>
      <c r="AC43" s="56">
        <v>517026</v>
      </c>
      <c r="AD43" s="56">
        <v>517020</v>
      </c>
      <c r="AE43" s="56">
        <v>517027</v>
      </c>
      <c r="AF43" s="56">
        <v>517024</v>
      </c>
      <c r="AG43" s="56">
        <v>517037</v>
      </c>
      <c r="AH43" s="56">
        <v>517043</v>
      </c>
      <c r="AI43" s="56"/>
      <c r="AJ43" s="59" t="str">
        <f t="shared" ref="AJ43:AJ49" si="5">IF($O$21=1,AB43,IF($O$21=2,AD43,IF($O$21=3,AC43,IF($O$21=4,AE43,IF($O$21=5,AF43,IF($O$21=6,AA43,IF($O$21=7,AG43,IF($O$21=8,AH43,IF($O$21=9,Z43,"")))))))))</f>
        <v/>
      </c>
      <c r="AK43" s="59" t="s">
        <v>595</v>
      </c>
      <c r="AL43">
        <v>517001</v>
      </c>
      <c r="AM43">
        <v>517004</v>
      </c>
      <c r="AN43">
        <v>517003</v>
      </c>
      <c r="AO43">
        <v>517017</v>
      </c>
      <c r="AP43">
        <v>517005</v>
      </c>
      <c r="AQ43">
        <v>517028</v>
      </c>
      <c r="AR43">
        <v>517018</v>
      </c>
      <c r="AS43">
        <v>517038</v>
      </c>
      <c r="AT43">
        <v>517044</v>
      </c>
      <c r="AU43"/>
      <c r="AV43" s="59" t="str">
        <f>IF($O$21=1,AN43,IF($O$21=2,AP43,IF($O$21=3,AO43,IF($O$21=4,AQ43,IF($O$21=5,AR43,IF($O$21=6,AM43,IF($O$21=7,AS43,IF($O$21=8,AT43,IF($O$21=9,AL43,"")))))))))</f>
        <v/>
      </c>
      <c r="AW43" s="59" t="s">
        <v>602</v>
      </c>
      <c r="AX43">
        <v>517006</v>
      </c>
      <c r="AY43">
        <v>517007</v>
      </c>
      <c r="AZ43">
        <v>517002</v>
      </c>
      <c r="BA43">
        <v>517014</v>
      </c>
      <c r="BB43">
        <v>517008</v>
      </c>
      <c r="BC43">
        <v>517029</v>
      </c>
      <c r="BD43">
        <v>517019</v>
      </c>
      <c r="BE43">
        <v>517030</v>
      </c>
      <c r="BF43">
        <v>517039</v>
      </c>
      <c r="BG43">
        <v>517031</v>
      </c>
      <c r="BH43" s="59" t="str">
        <f>IF($O$21=1,AZ43,IF($O$21=2,BB43,IF($O$21=3,BA43,IF($O$21=4,BC43,IF($O$21=5,BD43,IF($O$21=6,AY43,IF($O$21=7,BE43,IF($O$21=8,BF43,IF($O$21=9,AX43,IF($O$21=10,BG43,""))))))))))</f>
        <v/>
      </c>
      <c r="BI43" s="59" t="s">
        <v>610</v>
      </c>
      <c r="BJ43">
        <v>517009</v>
      </c>
      <c r="BK43">
        <v>517010</v>
      </c>
      <c r="BL43">
        <v>517011</v>
      </c>
      <c r="BM43" s="57"/>
      <c r="BN43">
        <v>517012</v>
      </c>
      <c r="BO43" s="57"/>
      <c r="BP43">
        <v>517050</v>
      </c>
      <c r="BQ43" s="57"/>
      <c r="BR43">
        <v>517053</v>
      </c>
      <c r="BS43"/>
      <c r="BT43" s="59" t="str">
        <f>IF($O$21=1,BL43,IF($O$21=2,BN43,IF($O$21=3,BM43,IF($O$21=4,BO43,IF($O$21=5,BP43,IF($O$21=6,BK43,IF($O$21=7,BQ43,IF($O$21=8,BR43,IF($O$21=9,BJ43,"")))))))))</f>
        <v/>
      </c>
      <c r="BU43" s="59" t="s">
        <v>618</v>
      </c>
      <c r="ES43" s="618" t="str">
        <f>VLOOKUP(710,Sprachindex!$A:$Z,Info!$O$7,FALSE)</f>
        <v>Rinnenendboden</v>
      </c>
      <c r="ET43" s="619"/>
      <c r="EU43" s="619"/>
      <c r="EV43" s="619"/>
      <c r="EW43" s="619"/>
      <c r="EX43" s="329">
        <v>2.59</v>
      </c>
      <c r="EY43" s="299"/>
      <c r="EZ43" s="331">
        <v>2.4700000000000002</v>
      </c>
      <c r="FA43" s="334">
        <v>2.75</v>
      </c>
      <c r="FB43" s="299"/>
      <c r="FC43" s="336">
        <v>2.6</v>
      </c>
      <c r="FD43" s="340">
        <v>2.94</v>
      </c>
      <c r="FE43" s="341">
        <v>3.23</v>
      </c>
      <c r="FF43" s="342">
        <v>2.75</v>
      </c>
      <c r="FG43" s="345">
        <v>4.0999999999999996</v>
      </c>
      <c r="FH43" s="299"/>
      <c r="FI43" s="346">
        <v>3.97</v>
      </c>
      <c r="FJ43" s="315"/>
      <c r="FK43" s="299"/>
      <c r="FL43" s="316"/>
      <c r="FM43" s="315"/>
      <c r="FN43" s="299"/>
      <c r="FO43" s="316"/>
      <c r="FP43" s="315"/>
      <c r="FQ43" s="299"/>
      <c r="FR43" s="316"/>
      <c r="FS43" s="315"/>
      <c r="FT43" s="299"/>
      <c r="FU43" s="316"/>
      <c r="FV43" s="315"/>
      <c r="FW43" s="299"/>
      <c r="FX43" s="316"/>
      <c r="FY43" s="315"/>
      <c r="FZ43" s="299"/>
      <c r="GA43" s="316"/>
      <c r="GB43" s="315"/>
      <c r="GC43" s="299"/>
      <c r="GD43" s="316"/>
      <c r="GE43" s="315"/>
      <c r="GF43" s="299"/>
      <c r="GG43" s="316"/>
      <c r="GH43" s="315"/>
      <c r="GI43" s="299"/>
      <c r="GJ43" s="316"/>
      <c r="GK43" s="315"/>
      <c r="GL43" s="299"/>
      <c r="GM43" s="316"/>
      <c r="GN43" s="315"/>
      <c r="GO43" s="299"/>
      <c r="GP43" s="324"/>
      <c r="GQ43" s="305" cm="1">
        <f t="array" ref="GQ43">_xlfn.IFS($O$21=10,EY43,$O$21=9,EZ43,TRUE,EX43)</f>
        <v>2.59</v>
      </c>
      <c r="GR43" s="304" cm="1">
        <f t="array" ref="GR43">_xlfn.IFS($O$21=10,FB43,$O$21=9,FC43,TRUE,FA43)</f>
        <v>2.75</v>
      </c>
      <c r="GS43" s="303" cm="1">
        <f t="array" ref="GS43">_xlfn.IFS($O$21=10,FE43,$O$21=9,FF43,TRUE,FD43)</f>
        <v>2.94</v>
      </c>
      <c r="GT43" s="302" t="str">
        <f>IF(OR($O$21=1,$O$21=2,$O$21=6,$O$21=5,$O$21=8),FG43,IF($O$21=9,FI43," "))</f>
        <v xml:space="preserve"> </v>
      </c>
      <c r="GV43" s="314" t="str">
        <f>IF($O$24=1,GQ43,IF($O$24=2,GR43,IF($O$24=3,GS43,IF($O$24=4,GT43," "))))</f>
        <v xml:space="preserve"> </v>
      </c>
      <c r="GW43" s="1" t="s">
        <v>39259</v>
      </c>
    </row>
    <row r="44" spans="1:205" ht="32.1" customHeight="1">
      <c r="A44" s="103"/>
      <c r="B44" s="76" t="str">
        <f>VLOOKUP(878,Sprachindex!$A:$Z,Info!$O$7,FALSE)</f>
        <v>Stk.</v>
      </c>
      <c r="C44" s="75"/>
      <c r="D44" s="75" t="str">
        <f>IF($O$24=3,AJ44,"")</f>
        <v/>
      </c>
      <c r="E44" s="618" t="str">
        <f>VLOOKUP(546,Sprachindex!$A:$Z,Info!$O$7,FALSE)</f>
        <v>Kugelendboden</v>
      </c>
      <c r="F44" s="619"/>
      <c r="G44" s="619"/>
      <c r="H44" s="619"/>
      <c r="I44" s="619"/>
      <c r="J44" s="681" t="str">
        <f>IF(O24=0,"",IF(O24=3,G27,Formeln!A177))</f>
        <v/>
      </c>
      <c r="K44" s="682"/>
      <c r="L44" s="76" t="str">
        <f t="shared" si="0"/>
        <v xml:space="preserve"> </v>
      </c>
      <c r="M44" s="405" t="str">
        <f t="shared" si="2"/>
        <v>Stk.</v>
      </c>
      <c r="N44" s="77"/>
      <c r="O44" s="184" t="str">
        <f t="shared" si="3"/>
        <v xml:space="preserve"> </v>
      </c>
      <c r="R44" s="179"/>
      <c r="S44" s="179"/>
      <c r="T44" s="179"/>
      <c r="U44" s="1"/>
      <c r="V44" s="139" t="e">
        <f t="shared" si="4"/>
        <v>#VALUE!</v>
      </c>
      <c r="W44" s="139">
        <f t="shared" si="4"/>
        <v>0</v>
      </c>
      <c r="X44" s="139" t="str">
        <f>IF($O$24=3,4,"")</f>
        <v/>
      </c>
      <c r="Y44" s="139">
        <v>1</v>
      </c>
      <c r="Z44" s="56">
        <v>617004</v>
      </c>
      <c r="AA44" s="56">
        <v>617006</v>
      </c>
      <c r="AB44" s="56">
        <v>617007</v>
      </c>
      <c r="AC44" s="57"/>
      <c r="AD44" s="56">
        <v>617005</v>
      </c>
      <c r="AE44" s="57"/>
      <c r="AF44" s="57"/>
      <c r="AG44" s="57"/>
      <c r="AH44" s="57"/>
      <c r="AI44" s="57"/>
      <c r="AJ44" s="59" t="str">
        <f t="shared" si="5"/>
        <v/>
      </c>
      <c r="AK44" s="59" t="s">
        <v>610</v>
      </c>
      <c r="BR44"/>
      <c r="BS44"/>
      <c r="ES44" s="618" t="str">
        <f>VLOOKUP(546,Sprachindex!$A:$Z,Info!$O$7,FALSE)</f>
        <v>Kugelendboden</v>
      </c>
      <c r="ET44" s="619"/>
      <c r="EU44" s="619"/>
      <c r="EV44" s="619"/>
      <c r="EW44" s="619"/>
      <c r="EX44" s="349">
        <v>17.53</v>
      </c>
      <c r="EY44" s="299"/>
      <c r="EZ44" s="316"/>
      <c r="FA44" s="315"/>
      <c r="FB44" s="299"/>
      <c r="FC44" s="316"/>
      <c r="FD44" s="315"/>
      <c r="FE44" s="299"/>
      <c r="FF44" s="316"/>
      <c r="FG44" s="315"/>
      <c r="FH44" s="299"/>
      <c r="FI44" s="316"/>
      <c r="FJ44" s="315"/>
      <c r="FK44" s="299"/>
      <c r="FL44" s="316"/>
      <c r="FM44" s="315"/>
      <c r="FN44" s="299"/>
      <c r="FO44" s="316"/>
      <c r="FP44" s="315"/>
      <c r="FQ44" s="299"/>
      <c r="FR44" s="316"/>
      <c r="FT44" s="299"/>
      <c r="FV44" s="315"/>
      <c r="FW44" s="299"/>
      <c r="FX44" s="316"/>
      <c r="FY44" s="315"/>
      <c r="FZ44" s="299"/>
      <c r="GA44" s="316"/>
      <c r="GB44" s="315"/>
      <c r="GC44" s="299"/>
      <c r="GD44" s="316"/>
      <c r="GE44" s="315"/>
      <c r="GF44" s="299"/>
      <c r="GG44" s="316"/>
      <c r="GH44" s="315"/>
      <c r="GI44" s="299"/>
      <c r="GJ44" s="316"/>
      <c r="GK44" s="315"/>
      <c r="GL44" s="299"/>
      <c r="GM44" s="316"/>
      <c r="GN44" s="315"/>
      <c r="GO44" s="299"/>
      <c r="GP44" s="324"/>
      <c r="GV44" s="306" t="str">
        <f>IF(O24=3,EX44," ")</f>
        <v xml:space="preserve"> </v>
      </c>
      <c r="GW44" s="1" t="s">
        <v>39259</v>
      </c>
    </row>
    <row r="45" spans="1:205" ht="32.1" customHeight="1">
      <c r="A45" s="103"/>
      <c r="B45" s="76" t="str">
        <f>VLOOKUP(878,Sprachindex!$A:$Z,Info!$O$7,FALSE)</f>
        <v>Stk.</v>
      </c>
      <c r="C45" s="75"/>
      <c r="D45" s="75" t="str">
        <f>IF($O$24=1,AJ45,IF($O$24=2,AV45,IF($O$24=3,BH45,IF($O$24=4,BT45,""))))</f>
        <v/>
      </c>
      <c r="E45" s="618" t="str">
        <f>VLOOKUP(1426,Sprachindex!$A:$Z,Info!$O$7,FALSE)</f>
        <v>Klebeendboden</v>
      </c>
      <c r="F45" s="619"/>
      <c r="G45" s="619"/>
      <c r="H45" s="619"/>
      <c r="I45" s="619"/>
      <c r="J45" s="681" t="str">
        <f>IF(O24=0,"",IF(O24=3,G27,Formeln!A177))</f>
        <v/>
      </c>
      <c r="K45" s="682"/>
      <c r="L45" s="76" t="str">
        <f t="shared" si="0"/>
        <v xml:space="preserve"> </v>
      </c>
      <c r="M45" s="405" t="str">
        <f t="shared" si="2"/>
        <v>Stk.</v>
      </c>
      <c r="N45" s="77"/>
      <c r="O45" s="184" t="str">
        <f t="shared" si="3"/>
        <v xml:space="preserve"> </v>
      </c>
      <c r="R45" s="179"/>
      <c r="S45" s="179"/>
      <c r="T45" s="179"/>
      <c r="U45" s="1"/>
      <c r="V45" s="139" t="e">
        <f t="shared" si="4"/>
        <v>#VALUE!</v>
      </c>
      <c r="W45" s="139">
        <f t="shared" si="4"/>
        <v>0</v>
      </c>
      <c r="X45" s="139" t="str">
        <f>IF($O$24=3,2,"")</f>
        <v/>
      </c>
      <c r="Y45" s="139">
        <v>1</v>
      </c>
      <c r="Z45" s="56">
        <v>517500</v>
      </c>
      <c r="AA45" s="464"/>
      <c r="AB45" s="464"/>
      <c r="AC45" s="464"/>
      <c r="AD45" s="464"/>
      <c r="AE45" s="464"/>
      <c r="AF45" s="464"/>
      <c r="AG45" s="464"/>
      <c r="AH45" s="464"/>
      <c r="AI45" s="464"/>
      <c r="AJ45" s="59" t="str">
        <f t="shared" si="5"/>
        <v/>
      </c>
      <c r="AK45" s="59"/>
      <c r="BR45"/>
      <c r="BS45"/>
      <c r="ES45" s="618" t="str">
        <f>VLOOKUP(1426,Sprachindex!$A:$Z,Info!$O$7,FALSE)</f>
        <v>Klebeendboden</v>
      </c>
      <c r="ET45" s="619"/>
      <c r="EU45" s="619"/>
      <c r="EV45" s="619"/>
      <c r="EW45" s="619"/>
      <c r="EX45" s="323"/>
      <c r="EY45" s="299"/>
      <c r="EZ45" s="316"/>
      <c r="FA45" s="315"/>
      <c r="FB45" s="299"/>
      <c r="FC45" s="316"/>
      <c r="FD45" s="315"/>
      <c r="FE45" s="299"/>
      <c r="FF45" s="316"/>
      <c r="FG45" s="315"/>
      <c r="FH45" s="299"/>
      <c r="FI45" s="316"/>
      <c r="FJ45" s="315"/>
      <c r="FK45" s="299"/>
      <c r="FL45" s="316"/>
      <c r="FM45" s="315"/>
      <c r="FN45" s="299"/>
      <c r="FO45" s="316"/>
      <c r="FP45" s="315"/>
      <c r="FQ45" s="299"/>
      <c r="FR45" s="316"/>
      <c r="FS45" s="340">
        <v>26.17</v>
      </c>
      <c r="FT45" s="299"/>
      <c r="FU45" s="342">
        <v>24.67</v>
      </c>
      <c r="FV45" s="315"/>
      <c r="FW45" s="299"/>
      <c r="FX45" s="316"/>
      <c r="FY45" s="315"/>
      <c r="FZ45" s="299"/>
      <c r="GA45" s="316"/>
      <c r="GB45" s="315"/>
      <c r="GC45" s="299"/>
      <c r="GD45" s="316"/>
      <c r="GE45" s="315"/>
      <c r="GF45" s="299"/>
      <c r="GG45" s="316"/>
      <c r="GH45" s="315"/>
      <c r="GI45" s="299"/>
      <c r="GJ45" s="316"/>
      <c r="GK45" s="315"/>
      <c r="GL45" s="299"/>
      <c r="GM45" s="316"/>
      <c r="GN45" s="315"/>
      <c r="GO45" s="299"/>
      <c r="GP45" s="324"/>
      <c r="GS45" s="303" t="str">
        <f>IF(OR($O$21=1,$O$21=2,$O$21=6),FS45,IF($O$21=9,FU45," "))</f>
        <v xml:space="preserve"> </v>
      </c>
      <c r="GV45" s="306" t="str">
        <f>GS45</f>
        <v xml:space="preserve"> </v>
      </c>
      <c r="GW45" s="1" t="s">
        <v>39259</v>
      </c>
    </row>
    <row r="46" spans="1:205" ht="32.1" customHeight="1">
      <c r="A46" s="103"/>
      <c r="B46" s="76" t="str">
        <f>VLOOKUP(878,Sprachindex!$A:$Z,Info!$O$7,FALSE)</f>
        <v>Stk.</v>
      </c>
      <c r="C46" s="75"/>
      <c r="D46" s="75" t="str">
        <f>IF($O$24=1,AJ46,IF($O$24=2,AV46,IF($O$24=3,BH46,IF($O$24=4,BT46,""))))</f>
        <v/>
      </c>
      <c r="E46" s="618" t="str">
        <f>VLOOKUP(721,Sprachindex!$A:$Z,Info!$O$7,FALSE)</f>
        <v>Rinnenwinkel 90° (außen)</v>
      </c>
      <c r="F46" s="619"/>
      <c r="G46" s="619"/>
      <c r="H46" s="619"/>
      <c r="I46" s="619"/>
      <c r="J46" s="681" t="str">
        <f>Formeln!A183</f>
        <v/>
      </c>
      <c r="K46" s="682"/>
      <c r="L46" s="76" t="str">
        <f t="shared" si="0"/>
        <v xml:space="preserve"> </v>
      </c>
      <c r="M46" s="405" t="str">
        <f t="shared" si="2"/>
        <v>Stk.</v>
      </c>
      <c r="N46" s="77"/>
      <c r="O46" s="184" t="str">
        <f t="shared" si="3"/>
        <v xml:space="preserve"> </v>
      </c>
      <c r="R46" s="179"/>
      <c r="S46" s="179"/>
      <c r="T46" s="179"/>
      <c r="U46" s="1"/>
      <c r="V46" s="139" t="e">
        <f t="shared" si="4"/>
        <v>#VALUE!</v>
      </c>
      <c r="W46" s="139">
        <f t="shared" si="4"/>
        <v>0</v>
      </c>
      <c r="X46" s="139" t="str">
        <f>IF($O$24=1,4,IF($O$24=2,4,IF($O$24=3,4,IF($O$24=4,2,""))))</f>
        <v/>
      </c>
      <c r="Y46" s="139">
        <v>1</v>
      </c>
      <c r="Z46" s="56">
        <v>518033</v>
      </c>
      <c r="AA46" s="56">
        <v>518070</v>
      </c>
      <c r="AB46" s="56">
        <v>518035</v>
      </c>
      <c r="AC46" s="56">
        <v>518072</v>
      </c>
      <c r="AD46" s="56">
        <v>518047</v>
      </c>
      <c r="AE46" s="56">
        <v>518064</v>
      </c>
      <c r="AF46" s="56">
        <v>518071</v>
      </c>
      <c r="AG46" s="56">
        <v>518067</v>
      </c>
      <c r="AH46" s="56">
        <v>518088</v>
      </c>
      <c r="AI46" s="56"/>
      <c r="AJ46" s="59" t="str">
        <f t="shared" si="5"/>
        <v/>
      </c>
      <c r="AK46" s="59" t="s">
        <v>595</v>
      </c>
      <c r="AL46">
        <v>518010</v>
      </c>
      <c r="AM46">
        <v>518011</v>
      </c>
      <c r="AN46">
        <v>518012</v>
      </c>
      <c r="AO46">
        <v>518039</v>
      </c>
      <c r="AP46">
        <v>518025</v>
      </c>
      <c r="AQ46">
        <v>518059</v>
      </c>
      <c r="AR46">
        <v>518041</v>
      </c>
      <c r="AS46">
        <v>518065</v>
      </c>
      <c r="AT46">
        <v>518090</v>
      </c>
      <c r="AU46"/>
      <c r="AV46" s="59" t="str">
        <f>IF($O$21=1,AN46,IF($O$21=2,AP46,IF($O$21=3,AO46,IF($O$21=4,AQ46,IF($O$21=5,AR46,IF($O$21=6,AM46,IF($O$21=7,AS46,IF($O$21=8,AT46,IF($O$21=9,AL46,"")))))))))</f>
        <v/>
      </c>
      <c r="AW46" s="59" t="s">
        <v>602</v>
      </c>
      <c r="AX46">
        <v>518013</v>
      </c>
      <c r="AY46">
        <v>518014</v>
      </c>
      <c r="AZ46">
        <v>518015</v>
      </c>
      <c r="BA46">
        <v>518031</v>
      </c>
      <c r="BB46">
        <v>518016</v>
      </c>
      <c r="BC46">
        <v>518045</v>
      </c>
      <c r="BD46">
        <v>518043</v>
      </c>
      <c r="BE46">
        <v>518050</v>
      </c>
      <c r="BF46">
        <v>518079</v>
      </c>
      <c r="BG46">
        <v>518029</v>
      </c>
      <c r="BH46" s="59" t="str">
        <f>IF($O$21=1,AZ46,IF($O$21=2,BB46,IF($O$21=3,BA46,IF($O$21=4,BC46,IF($O$21=5,BD46,IF($O$21=6,AY46,IF($O$21=7,BE46,IF($O$21=8,BF46,IF($O$21=9,AX46,IF($O$21=10,BG46,""))))))))))</f>
        <v/>
      </c>
      <c r="BI46" s="59" t="s">
        <v>610</v>
      </c>
      <c r="BJ46" s="56">
        <v>518017</v>
      </c>
      <c r="BK46" s="56">
        <v>518018</v>
      </c>
      <c r="BL46" s="56">
        <v>518022</v>
      </c>
      <c r="BM46" s="57"/>
      <c r="BN46" s="56">
        <v>518027</v>
      </c>
      <c r="BO46" s="57"/>
      <c r="BP46" s="56">
        <v>518200</v>
      </c>
      <c r="BQ46" s="57"/>
      <c r="BR46" s="56">
        <v>518203</v>
      </c>
      <c r="BS46" s="56"/>
      <c r="BT46" s="59" t="str">
        <f>IF($O$21=1,BL46,IF($O$21=2,BN46,IF($O$21=3,BM46,IF($O$21=4,BO46,IF($O$21=5,BP46,IF($O$21=6,BK46,IF($O$21=7,BQ46,IF($O$21=8,BR46,IF($O$21=9,BJ46,"")))))))))</f>
        <v/>
      </c>
      <c r="BU46" s="59" t="s">
        <v>618</v>
      </c>
      <c r="ES46" s="618" t="str">
        <f>VLOOKUP(721,Sprachindex!$A:$Z,Info!$O$7,FALSE)</f>
        <v>Rinnenwinkel 90° (außen)</v>
      </c>
      <c r="ET46" s="619"/>
      <c r="EU46" s="619"/>
      <c r="EV46" s="619"/>
      <c r="EW46" s="619"/>
      <c r="EX46" s="323"/>
      <c r="EY46" s="299"/>
      <c r="EZ46" s="316"/>
      <c r="FA46" s="347">
        <v>34.39</v>
      </c>
      <c r="FB46" s="299"/>
      <c r="FC46" s="331">
        <v>27.91</v>
      </c>
      <c r="FD46" s="315"/>
      <c r="FE46" s="299"/>
      <c r="FF46" s="316"/>
      <c r="FG46" s="315"/>
      <c r="FH46" s="299"/>
      <c r="FI46" s="316"/>
      <c r="FJ46" s="334">
        <v>34.81</v>
      </c>
      <c r="FK46" s="299"/>
      <c r="FL46" s="336">
        <v>27.69</v>
      </c>
      <c r="FM46" s="315"/>
      <c r="FN46" s="299"/>
      <c r="FO46" s="316"/>
      <c r="FP46" s="315"/>
      <c r="FQ46" s="299"/>
      <c r="FR46" s="316"/>
      <c r="FS46" s="340">
        <v>35.28</v>
      </c>
      <c r="FT46" s="341">
        <v>38.81</v>
      </c>
      <c r="FU46" s="342">
        <v>28.81</v>
      </c>
      <c r="FV46" s="315"/>
      <c r="FW46" s="299"/>
      <c r="FX46" s="316"/>
      <c r="FY46" s="315"/>
      <c r="FZ46" s="299"/>
      <c r="GA46" s="316"/>
      <c r="GB46" s="345">
        <v>53.43</v>
      </c>
      <c r="GC46" s="299"/>
      <c r="GD46" s="346">
        <v>45.81</v>
      </c>
      <c r="GE46" s="315"/>
      <c r="GF46" s="299"/>
      <c r="GG46" s="316"/>
      <c r="GH46" s="315"/>
      <c r="GI46" s="299"/>
      <c r="GJ46" s="316"/>
      <c r="GK46" s="315"/>
      <c r="GL46" s="299"/>
      <c r="GM46" s="316"/>
      <c r="GN46" s="315"/>
      <c r="GO46" s="299"/>
      <c r="GP46" s="324"/>
      <c r="GQ46" s="305" cm="1">
        <f t="array" ref="GQ46">_xlfn.IFS($O$21=9,FC46,$O$21=10,FB46,TRUE,FA46)</f>
        <v>34.39</v>
      </c>
      <c r="GR46" s="304" cm="1">
        <f t="array" ref="GR46">_xlfn.IFS($O$21=9,$O$21=10,FK46,FL46,TRUE,FJ46)</f>
        <v>34.81</v>
      </c>
      <c r="GS46" s="303" cm="1">
        <f t="array" ref="GS46">_xlfn.IFS($O$21=9,$O$21=10,FT46,FU46,TRUE,FS46)</f>
        <v>28.81</v>
      </c>
      <c r="GT46" s="302" t="str">
        <f>IF($O$21=9,GD46,IF(OR($O$21=1,$O$21=2,$O$21=6,$O$21=5,$O$21=8),GB46," "))</f>
        <v xml:space="preserve"> </v>
      </c>
      <c r="GV46" s="314" t="str">
        <f>IF($O$24=1,GQ46,IF($O$24=2,GR46,IF($O$24=3,GS46,IF($O$24=4,GT46," "))))</f>
        <v xml:space="preserve"> </v>
      </c>
      <c r="GW46" s="1" t="s">
        <v>39259</v>
      </c>
    </row>
    <row r="47" spans="1:205" ht="32.1" customHeight="1">
      <c r="A47" s="103"/>
      <c r="B47" s="76" t="str">
        <f>VLOOKUP(878,Sprachindex!$A:$Z,Info!$O$7,FALSE)</f>
        <v>Stk.</v>
      </c>
      <c r="C47" s="75"/>
      <c r="D47" s="75" t="str">
        <f>IF($O$24=1,AJ47,IF($O$24=2,AV47,IF($O$24=3,BH47,IF($O$24=4,BT47,""))))</f>
        <v/>
      </c>
      <c r="E47" s="618" t="str">
        <f>VLOOKUP(722,Sprachindex!$A:$Z,Info!$O$7,FALSE)</f>
        <v>Rinnenwinkel 90° (innen)</v>
      </c>
      <c r="F47" s="619"/>
      <c r="G47" s="619"/>
      <c r="H47" s="619"/>
      <c r="I47" s="619"/>
      <c r="J47" s="681" t="str">
        <f>Formeln!A183</f>
        <v/>
      </c>
      <c r="K47" s="682"/>
      <c r="L47" s="76" t="str">
        <f t="shared" si="0"/>
        <v xml:space="preserve"> </v>
      </c>
      <c r="M47" s="405" t="str">
        <f t="shared" si="2"/>
        <v>Stk.</v>
      </c>
      <c r="N47" s="77"/>
      <c r="O47" s="184" t="str">
        <f t="shared" si="3"/>
        <v xml:space="preserve"> </v>
      </c>
      <c r="R47" s="179"/>
      <c r="S47" s="179"/>
      <c r="T47" s="179"/>
      <c r="U47" s="1"/>
      <c r="V47" s="139" t="e">
        <f t="shared" si="4"/>
        <v>#VALUE!</v>
      </c>
      <c r="W47" s="139">
        <f t="shared" si="4"/>
        <v>0</v>
      </c>
      <c r="X47" s="139" t="str">
        <f>IF($O$24=1,4,IF($O$24=2,4,IF($O$24=3,4,IF($O$24=4,2,""))))</f>
        <v/>
      </c>
      <c r="Y47" s="139">
        <v>1</v>
      </c>
      <c r="Z47" s="56">
        <v>518032</v>
      </c>
      <c r="AA47" s="56">
        <v>518060</v>
      </c>
      <c r="AB47" s="56">
        <v>518034</v>
      </c>
      <c r="AC47" s="56">
        <v>518062</v>
      </c>
      <c r="AD47" s="56">
        <v>518046</v>
      </c>
      <c r="AE47" s="56">
        <v>518063</v>
      </c>
      <c r="AF47" s="56">
        <v>518061</v>
      </c>
      <c r="AG47" s="56">
        <v>518068</v>
      </c>
      <c r="AH47" s="56">
        <v>518087</v>
      </c>
      <c r="AI47" s="56"/>
      <c r="AJ47" s="59" t="str">
        <f t="shared" si="5"/>
        <v/>
      </c>
      <c r="AK47" s="59" t="s">
        <v>595</v>
      </c>
      <c r="AL47">
        <v>518007</v>
      </c>
      <c r="AM47">
        <v>518006</v>
      </c>
      <c r="AN47">
        <v>518002</v>
      </c>
      <c r="AO47">
        <v>518038</v>
      </c>
      <c r="AP47">
        <v>518024</v>
      </c>
      <c r="AQ47">
        <v>518058</v>
      </c>
      <c r="AR47">
        <v>518040</v>
      </c>
      <c r="AS47">
        <v>518066</v>
      </c>
      <c r="AT47">
        <v>518089</v>
      </c>
      <c r="AU47"/>
      <c r="AV47" s="59" t="str">
        <f>IF($O$21=1,AN47,IF($O$21=2,AP47,IF($O$21=3,AO47,IF($O$21=4,AQ47,IF($O$21=5,AR47,IF($O$21=6,AM47,IF($O$21=7,AS47,IF($O$21=8,AT47,IF($O$21=9,AL47,"")))))))))</f>
        <v/>
      </c>
      <c r="AW47" s="59" t="s">
        <v>602</v>
      </c>
      <c r="AX47">
        <v>518004</v>
      </c>
      <c r="AY47">
        <v>518005</v>
      </c>
      <c r="AZ47">
        <v>518001</v>
      </c>
      <c r="BA47">
        <v>518030</v>
      </c>
      <c r="BB47">
        <v>518009</v>
      </c>
      <c r="BC47">
        <v>518044</v>
      </c>
      <c r="BD47">
        <v>518042</v>
      </c>
      <c r="BE47">
        <v>518051</v>
      </c>
      <c r="BF47">
        <v>518080</v>
      </c>
      <c r="BG47">
        <v>518028</v>
      </c>
      <c r="BH47" s="59" t="str">
        <f>IF($O$21=1,AZ47,IF($O$21=2,BB47,IF($O$21=3,BA47,IF($O$21=4,BC47,IF($O$21=5,BD47,IF($O$21=6,AY47,IF($O$21=7,BE47,IF($O$21=8,BF47,IF($O$21=9,AX47,IF($O$21=10,BG47,""))))))))))</f>
        <v/>
      </c>
      <c r="BI47" s="59" t="s">
        <v>610</v>
      </c>
      <c r="BJ47" s="56">
        <v>518003</v>
      </c>
      <c r="BK47" s="56">
        <v>518008</v>
      </c>
      <c r="BL47" s="56">
        <v>518023</v>
      </c>
      <c r="BM47" s="57"/>
      <c r="BN47" s="56">
        <v>518026</v>
      </c>
      <c r="BO47" s="57"/>
      <c r="BP47" s="56">
        <v>518204</v>
      </c>
      <c r="BQ47" s="57"/>
      <c r="BR47" s="56">
        <v>518207</v>
      </c>
      <c r="BS47" s="56"/>
      <c r="BT47" s="59" t="str">
        <f>IF($O$21=1,BL47,IF($O$21=2,BN47,IF($O$21=3,BM47,IF($O$21=4,BO47,IF($O$21=5,BP47,IF($O$21=6,BK47,IF($O$21=7,BQ47,IF($O$21=8,BR47,IF($O$21=9,BJ47,"")))))))))</f>
        <v/>
      </c>
      <c r="BU47" s="59" t="s">
        <v>618</v>
      </c>
      <c r="CT47" s="47" t="s">
        <v>84</v>
      </c>
      <c r="CU47" s="47" t="s">
        <v>99</v>
      </c>
      <c r="CV47" s="47" t="s">
        <v>94</v>
      </c>
      <c r="CW47" s="47" t="s">
        <v>97</v>
      </c>
      <c r="CX47" s="47" t="s">
        <v>95</v>
      </c>
      <c r="CY47" s="47" t="s">
        <v>98</v>
      </c>
      <c r="CZ47" s="47" t="s">
        <v>102</v>
      </c>
      <c r="DA47" s="47" t="s">
        <v>103</v>
      </c>
      <c r="DB47" s="47" t="s">
        <v>1459</v>
      </c>
      <c r="DC47" s="47"/>
      <c r="DD47" s="59"/>
      <c r="DE47" s="47" t="s">
        <v>84</v>
      </c>
      <c r="DF47" s="47" t="s">
        <v>99</v>
      </c>
      <c r="DG47" s="47" t="s">
        <v>94</v>
      </c>
      <c r="DH47" s="47" t="s">
        <v>97</v>
      </c>
      <c r="DI47" s="47" t="s">
        <v>95</v>
      </c>
      <c r="DJ47" s="47" t="s">
        <v>98</v>
      </c>
      <c r="DK47" s="47" t="s">
        <v>102</v>
      </c>
      <c r="DL47" s="47" t="s">
        <v>103</v>
      </c>
      <c r="DM47" s="47" t="s">
        <v>1459</v>
      </c>
      <c r="DN47" s="47"/>
      <c r="DO47" s="59"/>
      <c r="DP47" s="47" t="s">
        <v>84</v>
      </c>
      <c r="DQ47" s="47" t="s">
        <v>99</v>
      </c>
      <c r="DR47" s="47" t="s">
        <v>94</v>
      </c>
      <c r="DS47" s="47" t="s">
        <v>97</v>
      </c>
      <c r="DT47" s="47" t="s">
        <v>95</v>
      </c>
      <c r="DU47" s="47" t="s">
        <v>98</v>
      </c>
      <c r="DV47" s="47" t="s">
        <v>102</v>
      </c>
      <c r="DW47" s="47" t="s">
        <v>103</v>
      </c>
      <c r="DX47" s="47" t="s">
        <v>1459</v>
      </c>
      <c r="ES47" s="618" t="str">
        <f>VLOOKUP(722,Sprachindex!$A:$Z,Info!$O$7,FALSE)</f>
        <v>Rinnenwinkel 90° (innen)</v>
      </c>
      <c r="ET47" s="619"/>
      <c r="EU47" s="619"/>
      <c r="EV47" s="619"/>
      <c r="EW47" s="619"/>
      <c r="EX47" s="323"/>
      <c r="EY47" s="299"/>
      <c r="EZ47" s="316"/>
      <c r="FA47" s="347">
        <v>34.39</v>
      </c>
      <c r="FB47" s="299"/>
      <c r="FC47" s="331">
        <v>27.91</v>
      </c>
      <c r="FD47" s="315"/>
      <c r="FE47" s="299"/>
      <c r="FF47" s="316"/>
      <c r="FG47" s="315"/>
      <c r="FH47" s="299"/>
      <c r="FI47" s="316"/>
      <c r="FJ47" s="334">
        <v>34.81</v>
      </c>
      <c r="FK47" s="299"/>
      <c r="FL47" s="336">
        <v>27.69</v>
      </c>
      <c r="FM47" s="315"/>
      <c r="FN47" s="299"/>
      <c r="FO47" s="316"/>
      <c r="FP47" s="315"/>
      <c r="FQ47" s="299"/>
      <c r="FR47" s="316"/>
      <c r="FS47" s="340">
        <v>35.28</v>
      </c>
      <c r="FT47" s="341">
        <v>38.81</v>
      </c>
      <c r="FU47" s="342">
        <v>28.81</v>
      </c>
      <c r="FV47" s="315"/>
      <c r="FW47" s="299"/>
      <c r="FX47" s="316"/>
      <c r="FY47" s="315"/>
      <c r="FZ47" s="299"/>
      <c r="GA47" s="316"/>
      <c r="GB47" s="345">
        <v>53.43</v>
      </c>
      <c r="GC47" s="299"/>
      <c r="GD47" s="346">
        <v>45.81</v>
      </c>
      <c r="GE47" s="315"/>
      <c r="GF47" s="299"/>
      <c r="GG47" s="316"/>
      <c r="GH47" s="315"/>
      <c r="GI47" s="299"/>
      <c r="GJ47" s="316"/>
      <c r="GK47" s="315"/>
      <c r="GL47" s="299"/>
      <c r="GM47" s="316"/>
      <c r="GN47" s="315"/>
      <c r="GO47" s="299"/>
      <c r="GP47" s="324"/>
      <c r="GQ47" s="305" cm="1">
        <f t="array" ref="GQ47">_xlfn.IFS($O$21=9,FC47,$O$21=10,FB47,TRUE,FA47)</f>
        <v>34.39</v>
      </c>
      <c r="GR47" s="304" cm="1">
        <f t="array" ref="GR47">_xlfn.IFS($O$21=9,$O$21=10,FK47,FL47,TRUE,FJ47)</f>
        <v>34.81</v>
      </c>
      <c r="GS47" s="303" cm="1">
        <f t="array" ref="GS47">_xlfn.IFS($O$21=9,$O$21=10,FT47,FU47,TRUE,FS47)</f>
        <v>28.81</v>
      </c>
      <c r="GT47" s="302" t="str">
        <f>IF($O$21=9,GD47,IF(OR($O$21=1,$O$21=2,$O$21=6,$O$21=5,$O$21=8),GB47," "))</f>
        <v xml:space="preserve"> </v>
      </c>
      <c r="GV47" s="314" t="str">
        <f>IF($O$24=1,GQ47,IF($O$24=2,GR47,IF($O$24=3,GS47,IF($O$24=4,GT47," "))))</f>
        <v xml:space="preserve"> </v>
      </c>
      <c r="GW47" s="1" t="s">
        <v>39259</v>
      </c>
    </row>
    <row r="48" spans="1:205" ht="32.1" customHeight="1">
      <c r="A48" s="103"/>
      <c r="B48" s="76" t="str">
        <f>VLOOKUP(878,Sprachindex!$A:$Z,Info!$O$7,FALSE)</f>
        <v>Stk.</v>
      </c>
      <c r="C48" s="79"/>
      <c r="D48" s="79" t="str">
        <f>IF(AND($O$24=1,$O$25=2),AV48,IF(AND($O$24=2,$O$25=2),BH48,IF(AND($O$24=2,$O$25=3),BT48,IF(AND($O$24=3,$O$25=2),CF48,IF(AND($O$24=3,$O$25=3),CR48,IF(AND($O$24=3,$O$25=4),DC48,IF(AND($O$24=4,$O$25=4),DN48,IF(AND($O$24=4,$O$25=5),DY48,IF(AND($O$24=1,$O$25=1),AJ48,"")))))))))</f>
        <v/>
      </c>
      <c r="E48" s="618" t="str">
        <f>VLOOKUP(718,Sprachindex!$A:$Z,Info!$O$7,FALSE)</f>
        <v>Rinnenkessel</v>
      </c>
      <c r="F48" s="619"/>
      <c r="G48" s="619"/>
      <c r="H48" s="619"/>
      <c r="I48" s="619"/>
      <c r="J48" s="681" t="str">
        <f>Formeln!A183</f>
        <v/>
      </c>
      <c r="K48" s="682"/>
      <c r="L48" s="76" t="str">
        <f t="shared" si="0"/>
        <v xml:space="preserve"> </v>
      </c>
      <c r="M48" s="405" t="str">
        <f t="shared" si="2"/>
        <v>Stk.</v>
      </c>
      <c r="N48" s="77"/>
      <c r="O48" s="184" t="str">
        <f t="shared" si="3"/>
        <v xml:space="preserve"> </v>
      </c>
      <c r="R48" s="179"/>
      <c r="S48" s="179"/>
      <c r="T48" s="179"/>
      <c r="U48" s="1"/>
      <c r="V48" s="139" t="e">
        <f t="shared" si="4"/>
        <v>#VALUE!</v>
      </c>
      <c r="W48" s="139">
        <f t="shared" si="4"/>
        <v>0</v>
      </c>
      <c r="X48" s="139" t="str">
        <f>IF(AND($O$24=1,$O$25=1),4,IF(AND($O$24=1,$O$25=2),5,IF(AND($O$24=2,$O$25=2),10,IF(AND($O$24=2,$O$25=3),10,IF(AND($O$24=3,$O$25=2),10,IF(AND($O$24=3,$O$25=3),10,IF(AND($O$24=3,$O$25=4),5,IF(AND($O$24=4,$O$25=4),3,IF(AND($O$24=4,$O$25=5),1,IF(AND($O$24=4,$O$25=3),1,""))))))))))</f>
        <v/>
      </c>
      <c r="Y48" s="139">
        <v>1</v>
      </c>
      <c r="Z48" s="111" t="s">
        <v>1656</v>
      </c>
      <c r="AA48" s="111" t="s">
        <v>1657</v>
      </c>
      <c r="AB48" s="111" t="s">
        <v>1658</v>
      </c>
      <c r="AC48" s="111"/>
      <c r="AD48" s="111" t="s">
        <v>1659</v>
      </c>
      <c r="AE48" s="56"/>
      <c r="AF48" s="56"/>
      <c r="AG48" s="56"/>
      <c r="AH48" s="56"/>
      <c r="AI48" s="56"/>
      <c r="AJ48" s="59" t="str">
        <f t="shared" si="5"/>
        <v/>
      </c>
      <c r="AK48" s="59" t="s">
        <v>689</v>
      </c>
      <c r="AL48">
        <v>519027</v>
      </c>
      <c r="AM48">
        <v>519046</v>
      </c>
      <c r="AN48">
        <v>519028</v>
      </c>
      <c r="AO48">
        <v>519048</v>
      </c>
      <c r="AP48">
        <v>519040</v>
      </c>
      <c r="AQ48">
        <v>519053</v>
      </c>
      <c r="AR48">
        <v>519047</v>
      </c>
      <c r="AS48">
        <v>519058</v>
      </c>
      <c r="AT48">
        <v>519079</v>
      </c>
      <c r="AU48"/>
      <c r="AV48" s="59" t="str">
        <f>IF($O$21=1,AN48,IF($O$21=2,AP48,IF($O$21=3,AO48,IF($O$21=4,AQ48,IF($O$21=5,AR48,IF($O$21=6,AM48,IF($O$21=7,AS48,IF($O$21=8,AT48,IF($O$21=9,AL48,"")))))))))</f>
        <v/>
      </c>
      <c r="AW48" s="59" t="s">
        <v>697</v>
      </c>
      <c r="AX48">
        <v>519010</v>
      </c>
      <c r="AY48">
        <v>519021</v>
      </c>
      <c r="AZ48">
        <v>519020</v>
      </c>
      <c r="BA48">
        <v>519031</v>
      </c>
      <c r="BB48">
        <v>519022</v>
      </c>
      <c r="BC48">
        <v>519050</v>
      </c>
      <c r="BD48">
        <v>519035</v>
      </c>
      <c r="BE48">
        <v>519059</v>
      </c>
      <c r="BF48">
        <v>519080</v>
      </c>
      <c r="BG48"/>
      <c r="BH48" s="59" t="str">
        <f>IF($O$21=1,AZ48,IF($O$21=2,BB48,IF($O$21=3,BA48,IF($O$21=4,BC48,IF($O$21=5,BD48,IF($O$21=6,AY48,IF($O$21=7,BE48,IF($O$21=8,BF48,IF($O$21=9,AX48,"")))))))))</f>
        <v/>
      </c>
      <c r="BI48" s="59" t="s">
        <v>705</v>
      </c>
      <c r="BJ48" s="56">
        <v>519011</v>
      </c>
      <c r="BK48" s="56">
        <v>519001</v>
      </c>
      <c r="BL48" s="56">
        <v>519015</v>
      </c>
      <c r="BM48" s="56">
        <v>519032</v>
      </c>
      <c r="BN48" s="56">
        <v>519017</v>
      </c>
      <c r="BO48" s="56">
        <v>519051</v>
      </c>
      <c r="BP48" s="56">
        <v>519036</v>
      </c>
      <c r="BQ48" s="56">
        <v>519060</v>
      </c>
      <c r="BR48" s="56">
        <v>519081</v>
      </c>
      <c r="BS48" s="56"/>
      <c r="BT48" s="59" t="str">
        <f>IF($O$21=1,BL48,IF($O$21=2,BN48,IF($O$21=3,BM48,IF($O$21=4,BO48,IF($O$21=5,BP48,IF($O$21=6,BK48,IF($O$21=7,BQ48,IF($O$21=8,BR48,IF($O$21=9,BJ48,"")))))))))</f>
        <v/>
      </c>
      <c r="BU48" s="59" t="s">
        <v>713</v>
      </c>
      <c r="BV48">
        <v>519063</v>
      </c>
      <c r="BW48">
        <v>519066</v>
      </c>
      <c r="BX48">
        <v>519064</v>
      </c>
      <c r="BY48">
        <v>519069</v>
      </c>
      <c r="BZ48">
        <v>519065</v>
      </c>
      <c r="CA48">
        <v>519070</v>
      </c>
      <c r="CB48">
        <v>519068</v>
      </c>
      <c r="CC48">
        <v>519071</v>
      </c>
      <c r="CD48">
        <v>519082</v>
      </c>
      <c r="CE48"/>
      <c r="CF48" s="59" t="str">
        <f>IF($O$21=1,BX48,IF($O$21=2,BZ48,IF($O$21=3,BY48,IF($O$21=4,CA48,IF($O$21=5,CB48,IF($O$21=6,BW48,IF($O$21=7,CC48,IF($O$21=8,CD48,IF($O$21=9,BV48,"")))))))))</f>
        <v/>
      </c>
      <c r="CG48" s="59" t="s">
        <v>721</v>
      </c>
      <c r="CH48">
        <v>519012</v>
      </c>
      <c r="CI48">
        <v>519004</v>
      </c>
      <c r="CJ48">
        <v>519013</v>
      </c>
      <c r="CK48">
        <v>519026</v>
      </c>
      <c r="CL48">
        <v>519002</v>
      </c>
      <c r="CM48">
        <v>519049</v>
      </c>
      <c r="CN48">
        <v>519037</v>
      </c>
      <c r="CO48">
        <v>519042</v>
      </c>
      <c r="CP48">
        <v>519062</v>
      </c>
      <c r="CQ48">
        <v>519043</v>
      </c>
      <c r="CR48" s="59" t="str">
        <f>IF($O$21=1,CJ48,IF($O$21=2,CL48,IF($O$21=3,CK48,IF($O$21=4,CM48,IF($O$21=5,CN48,IF($O$21=6,CI48,IF($O$21=7,CO48,IF($O$21=8,CP48,IF($O$21=9,CH48,IF($O$21=10,CQ48,""))))))))))</f>
        <v/>
      </c>
      <c r="CS48" s="59" t="s">
        <v>729</v>
      </c>
      <c r="CT48">
        <v>519007</v>
      </c>
      <c r="CU48">
        <v>519006</v>
      </c>
      <c r="CV48">
        <v>519014</v>
      </c>
      <c r="CW48">
        <v>519034</v>
      </c>
      <c r="CX48">
        <v>519016</v>
      </c>
      <c r="CY48">
        <v>519052</v>
      </c>
      <c r="CZ48">
        <v>519038</v>
      </c>
      <c r="DA48">
        <v>519061</v>
      </c>
      <c r="DB48">
        <v>519083</v>
      </c>
      <c r="DC48" s="59" t="str">
        <f>IF($O$21=1,CV48,IF($O$21=2,CX48,IF($O$21=3,CW48,IF($O$21=4,CY48,IF($O$21=5,CZ48,IF($O$21=6,CU48,IF($O$21=7,DA48,IF($O$21=8,DB48,IF($O$21=9,CT48,"")))))))))</f>
        <v/>
      </c>
      <c r="DD48" s="59" t="s">
        <v>737</v>
      </c>
      <c r="DE48">
        <v>519008</v>
      </c>
      <c r="DF48">
        <v>519005</v>
      </c>
      <c r="DG48">
        <v>519018</v>
      </c>
      <c r="DH48" s="57"/>
      <c r="DI48">
        <v>519023</v>
      </c>
      <c r="DJ48" s="57"/>
      <c r="DK48">
        <v>519084</v>
      </c>
      <c r="DL48" s="57"/>
      <c r="DM48">
        <v>519087</v>
      </c>
      <c r="DN48" s="59" t="str">
        <f>IF($O$21=1,DG48,IF($O$21=2,DI48,IF($O$21=3,DH48,IF($O$21=4,DJ48,IF($O$21=5,DK48,IF($O$21=6,DF48,IF($O$21=7,DL48,IF($O$21=8,DM48,IF($O$21=9,DE48,"")))))))))</f>
        <v/>
      </c>
      <c r="DO48" s="59" t="s">
        <v>745</v>
      </c>
      <c r="DP48">
        <v>519009</v>
      </c>
      <c r="DQ48">
        <v>519003</v>
      </c>
      <c r="DR48">
        <v>519019</v>
      </c>
      <c r="DS48" s="57"/>
      <c r="DT48">
        <v>519024</v>
      </c>
      <c r="DU48" s="57"/>
      <c r="DV48" s="57"/>
      <c r="DW48" s="57"/>
      <c r="DX48" s="57"/>
      <c r="DY48" s="59" t="str">
        <f>IF($O$21=1,DR48,IF($O$21=2,DT48,IF($O$21=3,DS48,IF($O$21=4,DU48,IF($O$21=5,DV48,IF($O$21=6,DQ48,IF($O$21=7,DW48,IF($O$21=8,DX48,IF($O$21=9,DP48,"")))))))))</f>
        <v/>
      </c>
      <c r="DZ48" s="59" t="s">
        <v>746</v>
      </c>
      <c r="ES48" s="618" t="str">
        <f>VLOOKUP(718,Sprachindex!$A:$Z,Info!$O$7,FALSE)</f>
        <v>Rinnenkessel</v>
      </c>
      <c r="ET48" s="619"/>
      <c r="EU48" s="619"/>
      <c r="EV48" s="619"/>
      <c r="EW48" s="619"/>
      <c r="EX48" s="329">
        <v>36.74</v>
      </c>
      <c r="EY48" s="350" t="s">
        <v>1660</v>
      </c>
      <c r="EZ48" s="331">
        <v>34.67</v>
      </c>
      <c r="FA48" s="347">
        <v>24.46</v>
      </c>
      <c r="FB48" s="350" t="s">
        <v>1661</v>
      </c>
      <c r="FC48" s="331">
        <v>21.13</v>
      </c>
      <c r="FD48" s="352" t="str">
        <f>IF(OR($O$21=1,$O$21=2,$O$21=6),EX48,IF($O$21=9,EZ48," "))</f>
        <v xml:space="preserve"> </v>
      </c>
      <c r="FE48" s="353" cm="1">
        <f t="array" ref="FE48">_xlfn.IFS($O$21=9,FC4,$O$21=10,FF48,TRUE,FA48)</f>
        <v>24.46</v>
      </c>
      <c r="FF48" s="316"/>
      <c r="FG48" s="334">
        <v>25.68</v>
      </c>
      <c r="FH48" s="350" t="s">
        <v>1661</v>
      </c>
      <c r="FI48" s="336">
        <v>22.19</v>
      </c>
      <c r="FJ48" s="334">
        <v>25.85</v>
      </c>
      <c r="FK48" s="350" t="s">
        <v>1662</v>
      </c>
      <c r="FL48" s="336">
        <v>22.8</v>
      </c>
      <c r="FM48" s="354" cm="1">
        <f t="array" ref="FM48">_xlfn.IFS($O$21=9,FI48,$O$21=10,"",TRUE,FG48)</f>
        <v>25.68</v>
      </c>
      <c r="FN48" s="354" cm="1">
        <f t="array" ref="FN48">_xlfn.IFS($O$21=9,FJ48,$O$2=10,"",TRUE,FL48)</f>
        <v>22.8</v>
      </c>
      <c r="FO48" s="316"/>
      <c r="FP48" s="340">
        <v>29.93</v>
      </c>
      <c r="FQ48" s="350" t="s">
        <v>1661</v>
      </c>
      <c r="FR48" s="342">
        <v>27.28</v>
      </c>
      <c r="FS48" s="340">
        <v>26.17</v>
      </c>
      <c r="FT48" s="592" t="s">
        <v>1662</v>
      </c>
      <c r="FU48" s="342">
        <v>22.96</v>
      </c>
      <c r="FV48" s="340">
        <v>32.07</v>
      </c>
      <c r="FW48" s="350" t="s">
        <v>1663</v>
      </c>
      <c r="FX48" s="342">
        <v>28.44</v>
      </c>
      <c r="FY48" s="345">
        <v>40.729999999999997</v>
      </c>
      <c r="FZ48" s="350" t="s">
        <v>1662</v>
      </c>
      <c r="GA48" s="346">
        <v>36.5</v>
      </c>
      <c r="GB48" s="345">
        <v>38.44</v>
      </c>
      <c r="GC48" s="350" t="s">
        <v>1663</v>
      </c>
      <c r="GD48" s="346">
        <v>34.46</v>
      </c>
      <c r="GE48" s="345">
        <v>58.18</v>
      </c>
      <c r="GF48" s="350" t="s">
        <v>1664</v>
      </c>
      <c r="GG48" s="346">
        <v>55.31</v>
      </c>
      <c r="GH48" s="315"/>
      <c r="GI48" s="299"/>
      <c r="GJ48" s="316"/>
      <c r="GK48" s="360" cm="1">
        <f t="array" ref="GK48">_xlfn.IFS($O$21=9,FR48,$O$21=10,"",TRUE,FP48)</f>
        <v>29.93</v>
      </c>
      <c r="GL48" s="359" cm="1">
        <f t="array" ref="GL48">_xlfn.IFS($O$21=9,FU48,$O$21=10,28.79,TRUE,FS48)</f>
        <v>26.17</v>
      </c>
      <c r="GM48" s="358" cm="1">
        <f t="array" ref="GM48">_xlfn.IFS($O$21=9,FX48,$O$21=10,"",TRUE,FV48)</f>
        <v>32.07</v>
      </c>
      <c r="GN48" s="357" t="str">
        <f>IF(OR($O$21=1,$O$21=2,$O$21=6,$O$21=5,$O$21=8),FY48,IF($O$21=9,GA48," "))</f>
        <v xml:space="preserve"> </v>
      </c>
      <c r="GO48" s="356" t="str">
        <f>IF(OR($O$21=1,$O$21=2,$O$21=6,$O$21=5,$O$21=8),GB48,IF($O$21=9,GD48," "))</f>
        <v xml:space="preserve"> </v>
      </c>
      <c r="GP48" s="355" t="str">
        <f>IF(OR($O$21=1,$O$21=2,$O$21=6),GE48,IF($O$21=9,GG48," "))</f>
        <v xml:space="preserve"> </v>
      </c>
      <c r="GQ48" s="305" t="str">
        <f>IF($O$25=1,FD48,IF($O$25=2,FE48," "))</f>
        <v xml:space="preserve"> </v>
      </c>
      <c r="GR48" s="304" t="str">
        <f>IF($O$25=2,FM48,IF($O$25=3,FN48," "))</f>
        <v xml:space="preserve"> </v>
      </c>
      <c r="GS48" s="303" t="str">
        <f>IF($O$25=2,GK48,IF($O$25=3,GL48,IF($O$25=4,GM48," ")))</f>
        <v xml:space="preserve"> </v>
      </c>
      <c r="GT48" s="302" t="str">
        <f>IF($O$25=3,GN48,IF($O$25=4,GO48,IF($O$25=5,GP48," ")))</f>
        <v xml:space="preserve"> </v>
      </c>
      <c r="GV48" s="314" t="str">
        <f>IF($O$24=1,GQ48,IF($O$24=2,GR48,IF($O$24=3,GS48,IF($O$24=4,GT48," "))))</f>
        <v xml:space="preserve"> </v>
      </c>
      <c r="GW48" s="1" t="s">
        <v>39259</v>
      </c>
    </row>
    <row r="49" spans="1:205" ht="32.1" customHeight="1">
      <c r="A49" s="103"/>
      <c r="B49" s="76" t="str">
        <f>VLOOKUP(878,Sprachindex!$A:$Z,Info!$O$7,FALSE)</f>
        <v>Stk.</v>
      </c>
      <c r="C49" s="75"/>
      <c r="D49" s="75" t="str">
        <f>IF(OR(AND(O24=1,O25=2),AND(O24=2,O25=2),AND(O24=3,O25=2)),AJ49,IF(OR(AND(O24=2,O25=3),AND(O24=3,O25=3)),AV49,IF(OR(AND(O24=3,O25=4),AND(O24=4,O25=4)),BH49,"")))</f>
        <v/>
      </c>
      <c r="E49" s="618" t="str">
        <f>VLOOKUP(814,Sprachindex!$A:$Z,Info!$O$7,FALSE)</f>
        <v>Schrägstutzen</v>
      </c>
      <c r="F49" s="619"/>
      <c r="G49" s="619"/>
      <c r="H49" s="619"/>
      <c r="I49" s="619"/>
      <c r="J49" s="681" t="str">
        <f>Formeln!A202</f>
        <v/>
      </c>
      <c r="K49" s="682"/>
      <c r="L49" s="76" t="str">
        <f t="shared" si="0"/>
        <v xml:space="preserve"> </v>
      </c>
      <c r="M49" s="405" t="str">
        <f t="shared" si="2"/>
        <v>Stk.</v>
      </c>
      <c r="N49" s="77"/>
      <c r="O49" s="184" t="str">
        <f t="shared" si="3"/>
        <v xml:space="preserve"> </v>
      </c>
      <c r="R49" s="179"/>
      <c r="S49" s="179"/>
      <c r="T49" s="179"/>
      <c r="U49" s="1"/>
      <c r="V49" s="139" t="e">
        <f t="shared" si="4"/>
        <v>#VALUE!</v>
      </c>
      <c r="W49" s="139">
        <f t="shared" si="4"/>
        <v>0</v>
      </c>
      <c r="X49" s="139" t="str">
        <f>IF(AND(OR($O$24=1,$O$24=2,$O$24=3),$O$25=2),2,IF(AND(OR($O$24=2,$O$24=3),$O$25=3),2,IF(AND(OR($O$24=3,$O$24=4),$O$25=4),2,"")))</f>
        <v/>
      </c>
      <c r="Y49" s="139">
        <v>1</v>
      </c>
      <c r="Z49" s="56">
        <v>520010</v>
      </c>
      <c r="AA49" s="56">
        <v>520011</v>
      </c>
      <c r="AB49" s="56">
        <v>520012</v>
      </c>
      <c r="AC49" s="56">
        <v>520016</v>
      </c>
      <c r="AD49" s="56">
        <v>520006</v>
      </c>
      <c r="AE49" s="56">
        <v>520023</v>
      </c>
      <c r="AF49" s="56">
        <v>520017</v>
      </c>
      <c r="AG49" s="56">
        <v>520025</v>
      </c>
      <c r="AH49" s="56">
        <v>520040</v>
      </c>
      <c r="AI49" s="56"/>
      <c r="AJ49" s="59" t="str">
        <f t="shared" si="5"/>
        <v/>
      </c>
      <c r="AK49" s="59">
        <v>80</v>
      </c>
      <c r="AL49">
        <v>520004</v>
      </c>
      <c r="AM49">
        <v>520003</v>
      </c>
      <c r="AN49">
        <v>520007</v>
      </c>
      <c r="AO49">
        <v>520014</v>
      </c>
      <c r="AP49">
        <v>520001</v>
      </c>
      <c r="AQ49">
        <v>520022</v>
      </c>
      <c r="AR49">
        <v>520018</v>
      </c>
      <c r="AS49">
        <v>520030</v>
      </c>
      <c r="AT49">
        <v>520036</v>
      </c>
      <c r="AU49">
        <v>520042</v>
      </c>
      <c r="AV49" s="59" t="e" cm="1">
        <f t="array" ref="AV49">IF($O$21=1,AN49,IF($O$21=2,AP49,IF($O$21=3,AO49,IF($O$21=4,AQ49,IF($O$21=5,AR49,IF($O$21=6,AM49,IF($O$21=7,AS49,IF($O$21=8,AT49,IF($O$21=9,AL49,IF($O$21=10,AU49,ß))))))))))</f>
        <v>#NAME?</v>
      </c>
      <c r="AW49" s="59">
        <v>100</v>
      </c>
      <c r="AX49">
        <v>520005</v>
      </c>
      <c r="AY49">
        <v>520002</v>
      </c>
      <c r="AZ49">
        <v>520008</v>
      </c>
      <c r="BA49">
        <v>520019</v>
      </c>
      <c r="BB49">
        <v>520009</v>
      </c>
      <c r="BC49">
        <v>520024</v>
      </c>
      <c r="BD49">
        <v>520021</v>
      </c>
      <c r="BE49">
        <v>520026</v>
      </c>
      <c r="BF49">
        <v>520041</v>
      </c>
      <c r="BG49"/>
      <c r="BH49" s="59" t="str">
        <f>IF($O$21=1,AZ49,IF($O$21=2,BB49,IF($O$21=3,BA49,IF($O$21=4,BC49,IF($O$21=5,BD49,IF($O$21=6,AY49,IF($O$21=7,BE49,IF($O$21=8,BF49,IF($O$21=9,AX49,"")))))))))</f>
        <v/>
      </c>
      <c r="BI49" s="59">
        <v>120</v>
      </c>
      <c r="ES49" s="618" t="str">
        <f>VLOOKUP(814,Sprachindex!$A:$Z,Info!$O$7,FALSE)</f>
        <v>Schrägstutzen</v>
      </c>
      <c r="ET49" s="619"/>
      <c r="EU49" s="619"/>
      <c r="EV49" s="619"/>
      <c r="EW49" s="619"/>
      <c r="EX49" s="323"/>
      <c r="EY49" s="299"/>
      <c r="EZ49" s="316"/>
      <c r="FA49" s="347">
        <v>31.79</v>
      </c>
      <c r="FB49" s="350" t="s">
        <v>1661</v>
      </c>
      <c r="FC49" s="331">
        <v>26.89</v>
      </c>
      <c r="FD49" s="315"/>
      <c r="FE49" s="299"/>
      <c r="FF49" s="316"/>
      <c r="FG49" s="334">
        <v>31.79</v>
      </c>
      <c r="FH49" s="350" t="s">
        <v>1661</v>
      </c>
      <c r="FI49" s="336">
        <v>26.89</v>
      </c>
      <c r="FJ49" s="334">
        <v>32.64</v>
      </c>
      <c r="FK49" s="350" t="s">
        <v>1662</v>
      </c>
      <c r="FL49" s="336">
        <v>27.69</v>
      </c>
      <c r="FM49" s="315"/>
      <c r="FN49" s="299"/>
      <c r="FO49" s="316"/>
      <c r="FP49" s="340">
        <v>31.79</v>
      </c>
      <c r="FQ49" s="350" t="s">
        <v>1661</v>
      </c>
      <c r="FR49" s="342">
        <v>26.89</v>
      </c>
      <c r="FS49" s="340">
        <v>32.64</v>
      </c>
      <c r="FT49" s="592" t="s">
        <v>1662</v>
      </c>
      <c r="FU49" s="342">
        <v>27.69</v>
      </c>
      <c r="FV49" s="340">
        <v>39.950000000000003</v>
      </c>
      <c r="FW49" s="350" t="s">
        <v>1663</v>
      </c>
      <c r="FX49" s="342">
        <v>34.21</v>
      </c>
      <c r="FY49" s="315"/>
      <c r="FZ49" s="299"/>
      <c r="GA49" s="316"/>
      <c r="GB49" s="345">
        <v>39.950000000000003</v>
      </c>
      <c r="GC49" s="350" t="s">
        <v>1663</v>
      </c>
      <c r="GD49" s="346">
        <v>34.21</v>
      </c>
      <c r="GE49" s="315"/>
      <c r="GF49" s="299"/>
      <c r="GG49" s="316"/>
      <c r="GH49" s="363" cm="1">
        <f t="array" ref="GH49">_xlfn.IFS($O$21=9,FC49,$O$21=10,"",TRUE,FA49)</f>
        <v>31.79</v>
      </c>
      <c r="GI49" s="362" cm="1">
        <f t="array" ref="GI49">_xlfn.IFS($O$21=9,FI49,$O$21=10,"",TRUE,FG49)</f>
        <v>31.79</v>
      </c>
      <c r="GJ49" s="361" cm="1">
        <f t="array" ref="GJ49">_xlfn.IFS($O$21=9,FL49,$O$21=10,"",TRUE,FJ49)</f>
        <v>32.64</v>
      </c>
      <c r="GK49" s="360" cm="1">
        <f t="array" ref="GK49">_xlfn.IFS($O$21=9,FR49,$O$21=10,"",TRUE,FP49)</f>
        <v>31.79</v>
      </c>
      <c r="GL49" s="359" cm="1">
        <f t="array" ref="GL49">_xlfn.IFS($O$21=9,FU49,$O$21=10,32.64,TRUE,FS49)</f>
        <v>32.64</v>
      </c>
      <c r="GM49" s="358" cm="1">
        <f t="array" ref="GM49">_xlfn.IFS($O$21=9,FX49,$O$21=10,"",TRUE,FV49)</f>
        <v>39.950000000000003</v>
      </c>
      <c r="GN49" s="315"/>
      <c r="GO49" s="356" cm="1">
        <f t="array" ref="GO49">_xlfn.IFS($O$21=9,GD49,$O$21=10,"",TRUE,GB49)</f>
        <v>39.950000000000003</v>
      </c>
      <c r="GP49" s="324"/>
      <c r="GQ49" s="305" t="str">
        <f>IF($O$25=2,GH49," ")</f>
        <v xml:space="preserve"> </v>
      </c>
      <c r="GR49" s="304" t="str">
        <f>IF($O$25=2,GI49,IF($O$25=3,GJ49," "))</f>
        <v xml:space="preserve"> </v>
      </c>
      <c r="GS49" s="303" t="str">
        <f>IF($O$25=2,GK49,IF($O$25=3,GL49,IF($O$25=4,GM49," ")))</f>
        <v xml:space="preserve"> </v>
      </c>
      <c r="GT49" s="302" t="str">
        <f>IF($O$25=4,GO49," ")</f>
        <v xml:space="preserve"> </v>
      </c>
      <c r="GV49" s="314" t="str">
        <f>IF($O$24=1,GQ49,IF($O$24=2,GR49,IF($O$24=3,GS49,IF($O$24=4,GT49," "))))</f>
        <v xml:space="preserve"> </v>
      </c>
      <c r="GW49" s="1" t="s">
        <v>39259</v>
      </c>
    </row>
    <row r="50" spans="1:205" ht="32.1" customHeight="1">
      <c r="A50" s="103"/>
      <c r="B50" s="76" t="str">
        <f>VLOOKUP(1512,Sprachindex!$A:$Z,Info!$O$7,FALSE)</f>
        <v>lfm</v>
      </c>
      <c r="C50" s="75"/>
      <c r="D50" s="75" t="str">
        <f>IF(ISNUMBER(A50),AJ50,"")</f>
        <v/>
      </c>
      <c r="E50" s="618" t="str">
        <f>VLOOKUP(334,Sprachindex!$A:$Z,Info!$O$7,FALSE)</f>
        <v>Einlaufblech (230 × 2.000 × 0,7 mm)</v>
      </c>
      <c r="F50" s="619"/>
      <c r="G50" s="619"/>
      <c r="H50" s="619"/>
      <c r="I50" s="619"/>
      <c r="J50" s="681"/>
      <c r="K50" s="682"/>
      <c r="L50" s="76" t="str">
        <f>IF(A50=""," ",IF($O$11=1,$V50,IF($O$11=2,W50,0)))</f>
        <v xml:space="preserve"> </v>
      </c>
      <c r="M50" s="405" t="str">
        <f t="shared" si="2"/>
        <v>lfm</v>
      </c>
      <c r="N50" s="77"/>
      <c r="O50" s="184" t="str">
        <f>IF(ISNUMBER(A50),L50*GV50," ")</f>
        <v xml:space="preserve"> </v>
      </c>
      <c r="R50" s="179"/>
      <c r="S50" s="179"/>
      <c r="T50" s="179"/>
      <c r="U50" s="1"/>
      <c r="V50" s="139">
        <f>ROUNDUP($A50/2,0)*2</f>
        <v>0</v>
      </c>
      <c r="W50" s="139">
        <f>ROUNDUP($A50/2,0)*2</f>
        <v>0</v>
      </c>
      <c r="X50" s="139"/>
      <c r="Y50" s="139"/>
      <c r="Z50" s="56"/>
      <c r="AA50" s="56">
        <v>212102</v>
      </c>
      <c r="AB50" s="56">
        <v>212101</v>
      </c>
      <c r="AC50" s="56"/>
      <c r="AD50" s="56">
        <v>212100</v>
      </c>
      <c r="AE50" s="56"/>
      <c r="AF50" s="56"/>
      <c r="AG50" s="56"/>
      <c r="AH50" s="56"/>
      <c r="AI50" s="482">
        <v>563018</v>
      </c>
      <c r="AJ50" s="466" t="str">
        <f>IF($O$21=1,AB50,IF($O$21=2,AD50,IF($O$21=3,AC50,IF($O$21=4,AE50,IF($O$21=5,AF50,IF($O$21=6,AA50,IF($O$21=7,AG50,IF($O$21=8,AH50,IF($O$21=9,Z50,IF($O$21=10,AI50,""))))))))))</f>
        <v/>
      </c>
      <c r="AK50" s="466"/>
      <c r="ES50" s="618" t="str">
        <f>VLOOKUP(334,Sprachindex!$A:$Z,Info!$O$7,FALSE)</f>
        <v>Einlaufblech (230 × 2.000 × 0,7 mm)</v>
      </c>
      <c r="ET50" s="619"/>
      <c r="EU50" s="619"/>
      <c r="EV50" s="619"/>
      <c r="EW50" s="619"/>
      <c r="EX50" s="348">
        <v>9.81</v>
      </c>
      <c r="EY50" s="299"/>
      <c r="EZ50" s="316"/>
      <c r="FA50" s="315"/>
      <c r="FB50" s="299"/>
      <c r="FC50" s="316"/>
      <c r="FD50" s="315"/>
      <c r="FE50" s="299"/>
      <c r="FF50" s="316"/>
      <c r="FG50" s="315"/>
      <c r="FH50" s="299"/>
      <c r="FI50" s="316"/>
      <c r="FJ50" s="315"/>
      <c r="FK50" s="299"/>
      <c r="FL50" s="316"/>
      <c r="FM50" s="315"/>
      <c r="FN50" s="299"/>
      <c r="FO50" s="316"/>
      <c r="FP50" s="315"/>
      <c r="FQ50" s="299"/>
      <c r="FR50" s="316"/>
      <c r="FS50" s="315"/>
      <c r="FT50" s="299"/>
      <c r="FU50" s="316"/>
      <c r="FV50" s="315"/>
      <c r="FW50" s="299"/>
      <c r="FX50" s="316"/>
      <c r="FY50" s="315"/>
      <c r="FZ50" s="299"/>
      <c r="GA50" s="316"/>
      <c r="GB50" s="315"/>
      <c r="GC50" s="299"/>
      <c r="GD50" s="316"/>
      <c r="GE50" s="315"/>
      <c r="GF50" s="299"/>
      <c r="GG50" s="316"/>
      <c r="GH50" s="315"/>
      <c r="GI50" s="299"/>
      <c r="GJ50" s="316"/>
      <c r="GK50" s="315"/>
      <c r="GL50" s="299"/>
      <c r="GM50" s="316"/>
      <c r="GN50" s="315"/>
      <c r="GO50" s="299"/>
      <c r="GP50" s="324"/>
      <c r="GV50" s="306">
        <f>EX50</f>
        <v>9.81</v>
      </c>
    </row>
    <row r="51" spans="1:205" ht="32.1" customHeight="1">
      <c r="A51" s="103"/>
      <c r="B51" s="76" t="str">
        <f>VLOOKUP(1512,Sprachindex!$A:$Z,Info!$O$7,FALSE)</f>
        <v>lfm</v>
      </c>
      <c r="C51" s="75"/>
      <c r="D51" s="75">
        <v>507300</v>
      </c>
      <c r="E51" s="618" t="str">
        <f>VLOOKUP(986,Sprachindex!$A:$Z,Info!$O$7,FALSE)</f>
        <v>Vogelschutzgitter (Braun/Anthrazit; 125 × 2.000 × 0,7 mm)</v>
      </c>
      <c r="F51" s="619"/>
      <c r="G51" s="619"/>
      <c r="H51" s="619"/>
      <c r="I51" s="619"/>
      <c r="J51" s="681"/>
      <c r="K51" s="682"/>
      <c r="L51" s="76" t="str">
        <f>IF(A51=""," ",IF($O$11=1,$V51,IF($O$11=2,W51,0)))</f>
        <v xml:space="preserve"> </v>
      </c>
      <c r="M51" s="405" t="str">
        <f t="shared" si="2"/>
        <v>lfm</v>
      </c>
      <c r="N51" s="77"/>
      <c r="O51" s="184" t="str">
        <f>IF(ISNUMBER(A51),L51*GV51," ")</f>
        <v xml:space="preserve"> </v>
      </c>
      <c r="R51" s="179"/>
      <c r="S51" s="179"/>
      <c r="T51" s="179"/>
      <c r="U51" s="1"/>
      <c r="V51" s="139">
        <f>ROUNDUP($A51/2,0)*2</f>
        <v>0</v>
      </c>
      <c r="W51" s="139">
        <f>ROUNDUP($A51/2,0)*2</f>
        <v>0</v>
      </c>
      <c r="X51" s="139"/>
      <c r="Y51" s="141"/>
      <c r="Z51" s="47" t="s">
        <v>84</v>
      </c>
      <c r="AA51" s="47" t="s">
        <v>99</v>
      </c>
      <c r="AB51" s="47" t="s">
        <v>94</v>
      </c>
      <c r="AC51" s="47" t="s">
        <v>97</v>
      </c>
      <c r="AD51" s="47" t="s">
        <v>95</v>
      </c>
      <c r="AE51" s="47" t="s">
        <v>98</v>
      </c>
      <c r="AF51" s="47" t="s">
        <v>102</v>
      </c>
      <c r="AG51" s="47" t="s">
        <v>103</v>
      </c>
      <c r="AH51" s="47" t="s">
        <v>1459</v>
      </c>
      <c r="AI51" s="47"/>
      <c r="AJ51" s="47"/>
      <c r="AK51" s="20"/>
      <c r="AL51" s="20"/>
      <c r="AM51" s="20"/>
      <c r="AN51" s="20"/>
      <c r="AO51" s="20"/>
      <c r="AP51" s="20"/>
      <c r="ES51" s="618" t="str">
        <f>VLOOKUP(986,Sprachindex!$A:$Z,Info!$O$7,FALSE)</f>
        <v>Vogelschutzgitter (Braun/Anthrazit; 125 × 2.000 × 0,7 mm)</v>
      </c>
      <c r="ET51" s="619"/>
      <c r="EU51" s="619"/>
      <c r="EV51" s="619"/>
      <c r="EW51" s="619"/>
      <c r="EX51" s="348">
        <v>4.13</v>
      </c>
      <c r="EY51" s="299"/>
      <c r="EZ51" s="316"/>
      <c r="FA51" s="315"/>
      <c r="FB51" s="299"/>
      <c r="FC51" s="316"/>
      <c r="FD51" s="315"/>
      <c r="FE51" s="299"/>
      <c r="FF51" s="316"/>
      <c r="FG51" s="315"/>
      <c r="FH51" s="299"/>
      <c r="FI51" s="316"/>
      <c r="FJ51" s="315"/>
      <c r="FK51" s="299"/>
      <c r="FL51" s="316"/>
      <c r="FM51" s="315"/>
      <c r="FN51" s="299"/>
      <c r="FO51" s="316"/>
      <c r="FP51" s="315"/>
      <c r="FQ51" s="299"/>
      <c r="FR51" s="316"/>
      <c r="FS51" s="315"/>
      <c r="FT51" s="299"/>
      <c r="FU51" s="316"/>
      <c r="FV51" s="315"/>
      <c r="FW51" s="299"/>
      <c r="FX51" s="316"/>
      <c r="FY51" s="315"/>
      <c r="FZ51" s="299"/>
      <c r="GA51" s="316"/>
      <c r="GB51" s="315"/>
      <c r="GC51" s="299"/>
      <c r="GD51" s="316"/>
      <c r="GE51" s="315"/>
      <c r="GF51" s="299"/>
      <c r="GG51" s="316"/>
      <c r="GH51" s="315"/>
      <c r="GI51" s="299"/>
      <c r="GJ51" s="316"/>
      <c r="GK51" s="315"/>
      <c r="GL51" s="299"/>
      <c r="GM51" s="316"/>
      <c r="GN51" s="315"/>
      <c r="GO51" s="299"/>
      <c r="GP51" s="324"/>
      <c r="GV51" s="306">
        <f>EX51</f>
        <v>4.13</v>
      </c>
    </row>
    <row r="52" spans="1:205" ht="32.1" customHeight="1">
      <c r="A52" s="103"/>
      <c r="B52" s="76" t="str">
        <f>VLOOKUP(878,Sprachindex!$A:$Z,Info!$O$7,FALSE)</f>
        <v>Stk.</v>
      </c>
      <c r="C52" s="75"/>
      <c r="D52" s="75" t="str">
        <f>IF(ISNUMBER(A52),AJ52,"")</f>
        <v/>
      </c>
      <c r="E52" s="618" t="str">
        <f>VLOOKUP(921,Sprachindex!$A:$Z,Info!$O$7,FALSE)</f>
        <v>Überbügel</v>
      </c>
      <c r="F52" s="619"/>
      <c r="G52" s="619"/>
      <c r="H52" s="619"/>
      <c r="I52" s="619"/>
      <c r="J52" s="681" t="str">
        <f>VLOOKUP(2233,Sprachindex!$A:$Z,Info!$O$7,FALSE)</f>
        <v>4 × 25 × 427 mm</v>
      </c>
      <c r="K52" s="682"/>
      <c r="L52" s="76" t="str">
        <f t="shared" ref="L52:L83" si="6">IF(OR(A52="",X52="",Y52="")," ",IF($O$11=1,$V52,IF($O$11=2,W52,0)))</f>
        <v xml:space="preserve"> </v>
      </c>
      <c r="M52" s="405" t="str">
        <f t="shared" si="2"/>
        <v>Stk.</v>
      </c>
      <c r="N52" s="77"/>
      <c r="O52" s="184" t="str">
        <f t="shared" ref="O52:O62" si="7">IF(ISNUMBER(L52),L52*GV52," ")</f>
        <v xml:space="preserve"> </v>
      </c>
      <c r="R52" s="179"/>
      <c r="S52" s="179"/>
      <c r="T52" s="179"/>
      <c r="U52" s="1"/>
      <c r="V52" s="139">
        <f>ROUNDUP($A52/X52,0)*X52</f>
        <v>0</v>
      </c>
      <c r="W52" s="139">
        <f>ROUNDUP($A52/Y52,0)*Y52</f>
        <v>0</v>
      </c>
      <c r="X52" s="139">
        <f>IF(O24=5,"",10)</f>
        <v>10</v>
      </c>
      <c r="Y52" s="139">
        <v>1</v>
      </c>
      <c r="Z52" s="56" t="s">
        <v>1665</v>
      </c>
      <c r="AA52" s="56" t="s">
        <v>1666</v>
      </c>
      <c r="AB52" s="56" t="s">
        <v>1667</v>
      </c>
      <c r="AC52" s="56"/>
      <c r="AD52" s="56" t="s">
        <v>1668</v>
      </c>
      <c r="AE52" s="56"/>
      <c r="AF52" s="56"/>
      <c r="AG52" s="56"/>
      <c r="AH52" s="56"/>
      <c r="AI52" s="176">
        <v>537049</v>
      </c>
      <c r="AJ52" s="467" t="str">
        <f>IF($O$21=1,AB52,IF($O$21=2,AD52,IF($O$21=3,AC52,IF($O$21=4,AE52,IF($O$21=5,AF52,IF($O$21=6,AA52,IF($O$21=7,AG52,IF($O$21=8,AH52,IF($O$21=9,Z52,IF($O$21=10,AI52,""))))))))))</f>
        <v/>
      </c>
      <c r="AK52" s="467"/>
      <c r="AL52" s="47" t="s">
        <v>84</v>
      </c>
      <c r="AM52" s="47" t="s">
        <v>99</v>
      </c>
      <c r="AN52" s="47" t="s">
        <v>94</v>
      </c>
      <c r="AO52" s="47" t="s">
        <v>97</v>
      </c>
      <c r="AP52" s="47" t="s">
        <v>95</v>
      </c>
      <c r="AQ52" s="47" t="s">
        <v>98</v>
      </c>
      <c r="AR52" s="47" t="s">
        <v>102</v>
      </c>
      <c r="AS52" s="47" t="s">
        <v>103</v>
      </c>
      <c r="AT52" s="47" t="s">
        <v>1459</v>
      </c>
      <c r="AU52" s="47"/>
      <c r="AV52" s="47"/>
      <c r="AX52" s="47" t="s">
        <v>84</v>
      </c>
      <c r="AY52" s="47" t="s">
        <v>99</v>
      </c>
      <c r="AZ52" s="47" t="s">
        <v>94</v>
      </c>
      <c r="BA52" s="47" t="s">
        <v>97</v>
      </c>
      <c r="BB52" s="47" t="s">
        <v>95</v>
      </c>
      <c r="BC52" s="47" t="s">
        <v>98</v>
      </c>
      <c r="BD52" s="47" t="s">
        <v>102</v>
      </c>
      <c r="BE52" s="47" t="s">
        <v>103</v>
      </c>
      <c r="BF52" s="47" t="s">
        <v>1459</v>
      </c>
      <c r="BG52" s="47"/>
      <c r="BH52" s="47"/>
      <c r="BJ52" s="47" t="s">
        <v>84</v>
      </c>
      <c r="BK52" s="47" t="s">
        <v>99</v>
      </c>
      <c r="BL52" s="47" t="s">
        <v>94</v>
      </c>
      <c r="BM52" s="47" t="s">
        <v>97</v>
      </c>
      <c r="BN52" s="47" t="s">
        <v>95</v>
      </c>
      <c r="BO52" s="47" t="s">
        <v>98</v>
      </c>
      <c r="BP52" s="47" t="s">
        <v>102</v>
      </c>
      <c r="BQ52" s="47" t="s">
        <v>103</v>
      </c>
      <c r="BR52" s="47" t="s">
        <v>1459</v>
      </c>
      <c r="BS52" s="47"/>
      <c r="BT52" s="47"/>
      <c r="ES52" s="618" t="str">
        <f>VLOOKUP(921,Sprachindex!$A:$Z,Info!$O$7,FALSE)</f>
        <v>Überbügel</v>
      </c>
      <c r="ET52" s="619"/>
      <c r="EU52" s="619"/>
      <c r="EV52" s="619"/>
      <c r="EW52" s="619"/>
      <c r="EX52" s="348">
        <v>5.62</v>
      </c>
      <c r="EY52" s="350">
        <v>6.19</v>
      </c>
      <c r="EZ52" s="350">
        <v>4.88</v>
      </c>
      <c r="FA52" s="315"/>
      <c r="FB52" s="299"/>
      <c r="FC52" s="316"/>
      <c r="FD52" s="315"/>
      <c r="FE52" s="299"/>
      <c r="FF52" s="316"/>
      <c r="FG52" s="315"/>
      <c r="FH52" s="299"/>
      <c r="FI52" s="316"/>
      <c r="FJ52" s="315"/>
      <c r="FK52" s="299"/>
      <c r="FL52" s="316"/>
      <c r="FM52" s="315"/>
      <c r="FN52" s="299"/>
      <c r="FO52" s="316"/>
      <c r="FP52" s="315"/>
      <c r="FQ52" s="299"/>
      <c r="FR52" s="316"/>
      <c r="FS52" s="315"/>
      <c r="FT52" s="299"/>
      <c r="FU52" s="316"/>
      <c r="FV52" s="315"/>
      <c r="FW52" s="299"/>
      <c r="FX52" s="316"/>
      <c r="FY52" s="315"/>
      <c r="FZ52" s="299"/>
      <c r="GA52" s="316"/>
      <c r="GB52" s="315"/>
      <c r="GC52" s="299"/>
      <c r="GD52" s="316"/>
      <c r="GE52" s="315"/>
      <c r="GF52" s="299"/>
      <c r="GG52" s="316"/>
      <c r="GH52" s="315"/>
      <c r="GI52" s="299"/>
      <c r="GJ52" s="316"/>
      <c r="GK52" s="315"/>
      <c r="GL52" s="299"/>
      <c r="GM52" s="316"/>
      <c r="GN52" s="315"/>
      <c r="GO52" s="299"/>
      <c r="GP52" s="324"/>
      <c r="GQ52" s="120" t="str" cm="1">
        <f t="array" ref="GQ52">_xlfn.IFS($O$21=9,EZ52,$O$21=10,EY52,OR($O$21=1,$O$21=2,$O$21=6),EX52,TRUE,"")</f>
        <v/>
      </c>
      <c r="GV52" s="306" t="str">
        <f>GQ52</f>
        <v/>
      </c>
    </row>
    <row r="53" spans="1:205" ht="32.1" customHeight="1">
      <c r="A53" s="103"/>
      <c r="B53" s="76" t="str">
        <f>VLOOKUP(1512,Sprachindex!$A:$Z,Info!$O$7,FALSE)</f>
        <v>lfm</v>
      </c>
      <c r="C53" s="75"/>
      <c r="D53" s="75" t="str">
        <f>IF($O$24=1,AJ53,IF($O$24=2,"",IF($O$24=3,AV53,IF($O$24=4,BH53,IF($O$24=5,BT53,"")))))</f>
        <v/>
      </c>
      <c r="E53" s="618" t="str">
        <f>VLOOKUP(2230,Sprachindex!$A:$Z,Info!$O$7,FALSE)</f>
        <v>Kastenrinne 3 m</v>
      </c>
      <c r="F53" s="619"/>
      <c r="G53" s="619"/>
      <c r="H53" s="619"/>
      <c r="I53" s="619"/>
      <c r="J53" s="681" t="str">
        <f>Formeln!B207</f>
        <v>Dimension nicht möglich</v>
      </c>
      <c r="K53" s="682"/>
      <c r="L53" s="161" t="str">
        <f t="shared" si="6"/>
        <v xml:space="preserve"> </v>
      </c>
      <c r="M53" s="405" t="str">
        <f t="shared" si="2"/>
        <v>lfm</v>
      </c>
      <c r="N53" s="77"/>
      <c r="O53" s="184" t="str">
        <f t="shared" si="7"/>
        <v xml:space="preserve"> </v>
      </c>
      <c r="R53" s="179"/>
      <c r="S53" s="179"/>
      <c r="T53" s="179"/>
      <c r="U53" s="1"/>
      <c r="V53" s="139" t="e">
        <f>ROUNDUP($A53/$X53,0)*$X53</f>
        <v>#VALUE!</v>
      </c>
      <c r="W53" s="139">
        <f>ROUNDUP($A53/$Y53,0)*$Y53</f>
        <v>0</v>
      </c>
      <c r="X53" s="139" t="str">
        <f>IF($O$24=1,6,IF($O$24=2,"",IF($O$24=3,6,IF($O$24=4,6,IF($O$24=5,3,"")))))</f>
        <v/>
      </c>
      <c r="Y53" s="139">
        <v>3</v>
      </c>
      <c r="Z53" s="56">
        <v>573210</v>
      </c>
      <c r="AA53" s="56">
        <v>573213</v>
      </c>
      <c r="AB53" s="56">
        <v>573212</v>
      </c>
      <c r="AC53" s="57"/>
      <c r="AD53" s="56">
        <v>573211</v>
      </c>
      <c r="AE53" s="57"/>
      <c r="AF53" s="57"/>
      <c r="AG53" s="57"/>
      <c r="AH53" s="56">
        <v>573217</v>
      </c>
      <c r="AI53" s="56"/>
      <c r="AJ53" s="59" t="str">
        <f t="shared" ref="AJ53:AJ62" si="8">IF($O$21=1,AB53,IF($O$21=2,AD53,IF($O$21=3,AC53,IF($O$21=4,AE53,IF($O$21=5,AF53,IF($O$21=6,AA53,IF($O$21=7,AG53,IF($O$21=8,AH53,IF($O$21=9,Z53,"")))))))))</f>
        <v/>
      </c>
      <c r="AK53" s="59" t="s">
        <v>408</v>
      </c>
      <c r="AL53">
        <v>573200</v>
      </c>
      <c r="AM53">
        <v>573202</v>
      </c>
      <c r="AN53">
        <v>573203</v>
      </c>
      <c r="AO53">
        <v>573205</v>
      </c>
      <c r="AP53">
        <v>573201</v>
      </c>
      <c r="AQ53">
        <v>573206</v>
      </c>
      <c r="AR53">
        <v>573204</v>
      </c>
      <c r="AS53">
        <v>573207</v>
      </c>
      <c r="AT53">
        <v>573215</v>
      </c>
      <c r="AU53">
        <v>573241</v>
      </c>
      <c r="AV53" s="59" t="str">
        <f>IF($O$21=1,AN53,IF($O$21=2,AP53,IF($O$21=3,AO53,IF($O$21=4,AQ53,IF($O$21=5,AR53,IF($O$21=6,AM53,IF($O$21=7,AS53,IF($O$21=8,AT53,IF($O$21=9,AL53,IF($O$21=10,AU53,""))))))))))</f>
        <v/>
      </c>
      <c r="AW53" s="59" t="s">
        <v>423</v>
      </c>
      <c r="AX53" s="42" t="s">
        <v>1669</v>
      </c>
      <c r="AY53" s="42" t="s">
        <v>1670</v>
      </c>
      <c r="AZ53" s="42" t="s">
        <v>1671</v>
      </c>
      <c r="BA53" s="42"/>
      <c r="BB53" s="42" t="s">
        <v>1672</v>
      </c>
      <c r="BC53"/>
      <c r="BD53" s="42" t="s">
        <v>1673</v>
      </c>
      <c r="BE53"/>
      <c r="BF53" s="42" t="s">
        <v>1674</v>
      </c>
      <c r="BG53" s="42"/>
      <c r="BH53" s="59" t="str">
        <f>IF($O$21=1,AZ53,IF($O$21=2,BB53,IF($O$21=3,BA53,IF($O$21=4,BC53,IF($O$21=5,BD53,IF($O$21=6,AY53,IF($O$21=7,BE53,IF($O$21=8,BF53,IF($O$21=9,AX53,"")))))))))</f>
        <v/>
      </c>
      <c r="BI53" s="59" t="s">
        <v>431</v>
      </c>
      <c r="BJ53" t="s">
        <v>1675</v>
      </c>
      <c r="BK53" t="s">
        <v>1676</v>
      </c>
      <c r="BL53" t="s">
        <v>1677</v>
      </c>
      <c r="BM53"/>
      <c r="BN53" t="s">
        <v>1676</v>
      </c>
      <c r="BO53"/>
      <c r="BP53"/>
      <c r="BQ53"/>
      <c r="BR53"/>
      <c r="BS53"/>
      <c r="BT53" s="59" t="str">
        <f>IF($O$21=1,BL53,IF($O$21=2,BN53,IF($O$21=3,BM53,IF($O$21=4,BO53,IF($O$21=5,BP53,IF($O$21=6,BK53,IF($O$21=7,BQ53,IF($O$21=8,BR53,IF($O$21=9,BJ53,"")))))))))</f>
        <v/>
      </c>
      <c r="BU53" s="59" t="s">
        <v>1678</v>
      </c>
      <c r="ES53" s="618" t="str">
        <f>VLOOKUP(2230,Sprachindex!$A:$Z,Info!$O$7,FALSE)</f>
        <v>Kastenrinne 3 m</v>
      </c>
      <c r="ET53" s="619"/>
      <c r="EU53" s="619"/>
      <c r="EV53" s="619"/>
      <c r="EW53" s="619"/>
      <c r="EX53" s="323"/>
      <c r="EY53" s="299"/>
      <c r="EZ53" s="316"/>
      <c r="FA53" s="347">
        <v>16.87</v>
      </c>
      <c r="FB53" s="299"/>
      <c r="FC53" s="331">
        <v>14.79</v>
      </c>
      <c r="FD53" s="315"/>
      <c r="FE53" s="299"/>
      <c r="FF53" s="316"/>
      <c r="FG53" s="315"/>
      <c r="FH53" s="299"/>
      <c r="FI53" s="316"/>
      <c r="FJ53" s="315"/>
      <c r="FK53" s="299"/>
      <c r="FL53" s="316"/>
      <c r="FM53" s="315"/>
      <c r="FN53" s="299"/>
      <c r="FO53" s="316"/>
      <c r="FP53" s="315"/>
      <c r="FQ53" s="299"/>
      <c r="FR53" s="316"/>
      <c r="FS53" s="340">
        <v>17.350000000000001</v>
      </c>
      <c r="FT53" s="341">
        <v>19.079999999999998</v>
      </c>
      <c r="FU53" s="342">
        <v>15.5</v>
      </c>
      <c r="FV53" s="315"/>
      <c r="FW53" s="299"/>
      <c r="FX53" s="316"/>
      <c r="FY53" s="315"/>
      <c r="FZ53" s="299"/>
      <c r="GA53" s="316"/>
      <c r="GB53" s="345">
        <v>24</v>
      </c>
      <c r="GC53" s="299"/>
      <c r="GD53" s="346">
        <v>20.54</v>
      </c>
      <c r="GE53" s="315"/>
      <c r="GF53" s="299"/>
      <c r="GG53" s="316"/>
      <c r="GH53" s="315"/>
      <c r="GI53" s="299"/>
      <c r="GJ53" s="316"/>
      <c r="GK53" s="364">
        <v>36.71</v>
      </c>
      <c r="GL53" s="299"/>
      <c r="GM53" s="365">
        <v>33.619999999999997</v>
      </c>
      <c r="GN53" s="315"/>
      <c r="GO53" s="299"/>
      <c r="GP53" s="324"/>
      <c r="GQ53" s="305" t="str" cm="1">
        <f t="array" ref="GQ53">_xlfn.IFS(OR($O$21=1,$O$21=2,$O$21=6,$O$21=8),FA53,$O$21=9,FC53,$O$21=10,FB53,TRUE," ")</f>
        <v xml:space="preserve"> </v>
      </c>
      <c r="GS53" s="303" cm="1">
        <f t="array" ref="GS53">_xlfn.IFS($O$21=9,FU53,$O$21=10,FT53,TRUE,FS53)</f>
        <v>17.350000000000001</v>
      </c>
      <c r="GT53" s="302" t="str" cm="1">
        <f t="array" ref="GT53">_xlfn.IFS(OR($O$21=1,$O$21=2,$O$21=6,$O$21=5,$O$21=8),GB53,$O$21=9,GD53,$O$21=10,GC53,TRUE," ")</f>
        <v xml:space="preserve"> </v>
      </c>
      <c r="GU53" s="313" t="str" cm="1">
        <f t="array" ref="GU53">_xlfn.IFS(OR($O$21=1,$O$21=2,$O$21=6),GK53,$O$21=9,GM53,$O$21=10,GL53,TRUE," ")</f>
        <v xml:space="preserve"> </v>
      </c>
      <c r="GV53" s="314" t="str">
        <f>IF($O$24=1,GQ53,IF($O$24=3,GS53,IF($O$24=4,GT53,IF($O$24=5,GU53," "))))</f>
        <v xml:space="preserve"> </v>
      </c>
    </row>
    <row r="54" spans="1:205" ht="32.1" customHeight="1">
      <c r="A54" s="103"/>
      <c r="B54" s="76" t="s">
        <v>432</v>
      </c>
      <c r="C54" s="75"/>
      <c r="D54" s="75" t="str">
        <f>IF($O$24=1,AJ54,IF($O$24=2,"",IF($O$24=3,AV54,IF($O$24=4,BH54,IF($O$24=5,BT54,"")))))</f>
        <v/>
      </c>
      <c r="E54" s="618" t="str">
        <f>IF(Info!V7=2,VLOOKUP(2231,Sprachindex!$A:$Z,Info!$O$7,FALSE),VLOOKUP(2232,Sprachindex!$A:$Z,Info!$O$7,FALSE))</f>
        <v>Kastenrinne 6 m</v>
      </c>
      <c r="F54" s="619"/>
      <c r="G54" s="619"/>
      <c r="H54" s="619"/>
      <c r="I54" s="619"/>
      <c r="J54" s="681" t="str">
        <f>Formeln!B206</f>
        <v>Dimension nicht möglich</v>
      </c>
      <c r="K54" s="682"/>
      <c r="L54" s="161" t="str">
        <f t="shared" si="6"/>
        <v xml:space="preserve"> </v>
      </c>
      <c r="M54" s="405" t="str">
        <f t="shared" si="2"/>
        <v>lfm</v>
      </c>
      <c r="N54" s="77"/>
      <c r="O54" s="184" t="str">
        <f t="shared" si="7"/>
        <v xml:space="preserve"> </v>
      </c>
      <c r="R54" s="179"/>
      <c r="S54" s="179"/>
      <c r="T54" s="179"/>
      <c r="U54" s="1"/>
      <c r="V54" s="139" t="e">
        <f>ROUNDUP($A54/$X54,0)*$X54</f>
        <v>#VALUE!</v>
      </c>
      <c r="W54" s="139">
        <f>ROUNDUP($A54/$Y54,0)*$Y54</f>
        <v>0</v>
      </c>
      <c r="X54" s="139" t="str">
        <f>IF($O$24=1,IF(Info!V7=1,10,12),IF($O$24=2,"",IF($O$24=3,IF(Info!V7=1,10,12),IF($O$24=4,IF(Info!V7=1,10,12),IF($O$24=5,6,"")))))</f>
        <v/>
      </c>
      <c r="Y54" s="139">
        <f>IF(Info!V7=2,5,6)</f>
        <v>6</v>
      </c>
      <c r="Z54" s="56">
        <v>573009</v>
      </c>
      <c r="AA54" s="56">
        <v>573012</v>
      </c>
      <c r="AB54" s="56">
        <v>573010</v>
      </c>
      <c r="AC54" s="57"/>
      <c r="AD54" s="56">
        <v>573011</v>
      </c>
      <c r="AE54" s="57"/>
      <c r="AF54" s="57"/>
      <c r="AG54" s="57"/>
      <c r="AH54" s="56">
        <v>573026</v>
      </c>
      <c r="AI54" s="56"/>
      <c r="AJ54" s="59" t="str">
        <f t="shared" si="8"/>
        <v/>
      </c>
      <c r="AK54" s="59" t="s">
        <v>440</v>
      </c>
      <c r="AL54">
        <v>573002</v>
      </c>
      <c r="AM54">
        <v>573001</v>
      </c>
      <c r="AN54">
        <v>573003</v>
      </c>
      <c r="AO54">
        <v>573017</v>
      </c>
      <c r="AP54">
        <v>573007</v>
      </c>
      <c r="AQ54">
        <v>573019</v>
      </c>
      <c r="AR54">
        <v>573016</v>
      </c>
      <c r="AS54">
        <v>573015</v>
      </c>
      <c r="AT54">
        <v>573024</v>
      </c>
      <c r="AU54">
        <v>573041</v>
      </c>
      <c r="AV54" s="59" t="str">
        <f>IF($O$21=1,AN54,IF($O$21=2,AP54,IF($O$21=3,AO54,IF($O$21=4,AQ54,IF($O$21=5,AR54,IF($O$21=6,AM54,IF($O$21=7,AS54,IF($O$21=8,AT54,IF($O$21=9,AL54,IF($O$21=10,AU54,""))))))))))</f>
        <v/>
      </c>
      <c r="AW54" s="59" t="s">
        <v>456</v>
      </c>
      <c r="AX54">
        <v>573005</v>
      </c>
      <c r="AY54">
        <v>573004</v>
      </c>
      <c r="AZ54">
        <v>573006</v>
      </c>
      <c r="BA54" s="57"/>
      <c r="BB54">
        <v>573014</v>
      </c>
      <c r="BC54" s="57"/>
      <c r="BD54">
        <v>573030</v>
      </c>
      <c r="BE54" s="57"/>
      <c r="BF54" s="42">
        <v>573033</v>
      </c>
      <c r="BG54" s="42"/>
      <c r="BH54" s="59" t="str">
        <f>IF($O$21=1,AZ54,IF($O$21=2,BB54,IF($O$21=3,BA54,IF($O$21=4,BC54,IF($O$21=5,BD54,IF($O$21=6,AY54,IF($O$21=7,BE54,IF($O$21=8,BF54,IF($O$21=9,AX54,"")))))))))</f>
        <v/>
      </c>
      <c r="BI54" s="59" t="s">
        <v>464</v>
      </c>
      <c r="BJ54">
        <v>573304</v>
      </c>
      <c r="BK54">
        <v>573303</v>
      </c>
      <c r="BL54">
        <v>573301</v>
      </c>
      <c r="BM54" s="57"/>
      <c r="BN54">
        <v>573302</v>
      </c>
      <c r="BO54" s="57"/>
      <c r="BP54" s="57"/>
      <c r="BQ54" s="57"/>
      <c r="BR54" s="57"/>
      <c r="BS54" s="57"/>
      <c r="BT54" s="59" t="str">
        <f>IF($O$21=1,BL54,IF($O$21=2,BN54,IF($O$21=3,BM54,IF($O$21=4,BO54,IF($O$21=5,BP54,IF($O$21=6,BK54,IF($O$21=7,BQ54,IF($O$21=8,BR54,IF($O$21=9,BJ54,"")))))))))</f>
        <v/>
      </c>
      <c r="BU54" s="59" t="s">
        <v>1679</v>
      </c>
      <c r="BV54"/>
      <c r="BW54"/>
      <c r="BX54"/>
      <c r="BZ54"/>
      <c r="CF54" s="132"/>
      <c r="CG54" s="132"/>
      <c r="CH54"/>
      <c r="CI54"/>
      <c r="CJ54"/>
      <c r="CK54"/>
      <c r="CL54"/>
      <c r="CM54"/>
      <c r="CN54"/>
      <c r="CO54"/>
      <c r="CP54"/>
      <c r="CQ54" s="132"/>
      <c r="CR54" s="132"/>
      <c r="CS54"/>
      <c r="CT54"/>
      <c r="CU54"/>
      <c r="CW54"/>
      <c r="DD54" s="132"/>
      <c r="DE54" s="132"/>
      <c r="DF54"/>
      <c r="DG54"/>
      <c r="DH54"/>
      <c r="DJ54"/>
      <c r="DR54" s="132"/>
      <c r="DS54" s="132"/>
      <c r="ES54" s="618" t="str">
        <f>IF(Info!FX7=1,VLOOKUP(2231,Sprachindex!$A:$Z,Info!$O$7,FALSE),VLOOKUP(2232,Sprachindex!$A:$Z,Info!$O$7,FALSE))</f>
        <v>Kastenrinne 6 m</v>
      </c>
      <c r="ET54" s="619"/>
      <c r="EU54" s="619"/>
      <c r="EV54" s="619"/>
      <c r="EW54" s="619"/>
      <c r="EX54" s="323"/>
      <c r="EY54" s="299"/>
      <c r="EZ54" s="316"/>
      <c r="FA54" s="347">
        <v>16.87</v>
      </c>
      <c r="FB54" s="299"/>
      <c r="FC54" s="331">
        <v>12.79</v>
      </c>
      <c r="FD54" s="315"/>
      <c r="FE54" s="299"/>
      <c r="FF54" s="316"/>
      <c r="FG54" s="315"/>
      <c r="FH54" s="299"/>
      <c r="FI54" s="316"/>
      <c r="FJ54" s="315"/>
      <c r="FK54" s="299"/>
      <c r="FL54" s="316"/>
      <c r="FM54" s="315"/>
      <c r="FN54" s="299"/>
      <c r="FO54" s="316"/>
      <c r="FP54" s="315"/>
      <c r="FQ54" s="299"/>
      <c r="FR54" s="316"/>
      <c r="FS54" s="340">
        <v>17.350000000000001</v>
      </c>
      <c r="FT54" s="299">
        <v>19.079999999999998</v>
      </c>
      <c r="FU54" s="342">
        <v>15.5</v>
      </c>
      <c r="FV54" s="315"/>
      <c r="FW54" s="299"/>
      <c r="FX54" s="316"/>
      <c r="FY54" s="315"/>
      <c r="FZ54" s="299"/>
      <c r="GA54" s="316"/>
      <c r="GB54" s="345">
        <v>24</v>
      </c>
      <c r="GC54" s="299"/>
      <c r="GD54" s="346">
        <v>20.54</v>
      </c>
      <c r="GE54" s="315"/>
      <c r="GF54" s="299"/>
      <c r="GG54" s="316"/>
      <c r="GH54" s="315"/>
      <c r="GI54" s="299"/>
      <c r="GJ54" s="316"/>
      <c r="GK54" s="364">
        <v>36.71</v>
      </c>
      <c r="GL54" s="299"/>
      <c r="GM54" s="365">
        <v>33.619999999999997</v>
      </c>
      <c r="GN54" s="315"/>
      <c r="GO54" s="299"/>
      <c r="GP54" s="324"/>
      <c r="GQ54" s="305" t="str" cm="1">
        <f t="array" ref="GQ54">_xlfn.IFS(OR($O$21=1,$O$21=2,$O$21=6,$O$21=8),FA54,$O$21=9,FC54,$O$21=10,FB54,TRUE," ")</f>
        <v xml:space="preserve"> </v>
      </c>
      <c r="GS54" s="303" cm="1">
        <f t="array" ref="GS54">_xlfn.IFS($O$21=9,FU54,$O$21=10,FT54,TRUE,FS54)</f>
        <v>17.350000000000001</v>
      </c>
      <c r="GT54" s="302" t="str" cm="1">
        <f t="array" ref="GT54">_xlfn.IFS(OR($O$21=1,$O$21=2,$O$21=6,$O$21=5,$O$21=8),GB54,$O$21=9,GD54,$O$21=10,GC54,TRUE," ")</f>
        <v xml:space="preserve"> </v>
      </c>
      <c r="GU54" s="313" t="str" cm="1">
        <f t="array" ref="GU54">_xlfn.IFS(OR($O$21=1,$O$21=2,$O$21=6),GK54,$O$21=9,GM54,$O$21=10,GL54,TRUE," ")</f>
        <v xml:space="preserve"> </v>
      </c>
      <c r="GV54" s="314" t="str">
        <f>IF($O$24=1,GQ54,IF($O$24=3,GS54,IF($O$24=4,GT54,IF($O$24=5,GU54," "))))</f>
        <v xml:space="preserve"> </v>
      </c>
    </row>
    <row r="55" spans="1:205" ht="32.1" customHeight="1">
      <c r="A55" s="103"/>
      <c r="B55" s="76" t="str">
        <f>VLOOKUP(878,Sprachindex!$A:$Z,Info!$O$7,FALSE)</f>
        <v>Stk.</v>
      </c>
      <c r="C55" s="75"/>
      <c r="D55" s="75" t="str">
        <f>IF(O24=1,AJ55,IF(O24=3,AV55,IF(O24=4,AJ55,IF(O24=4,BH55,IF(O24=5,BT55,"")))))</f>
        <v/>
      </c>
      <c r="E55" s="618" t="str">
        <f>VLOOKUP(713,Sprachindex!$A:$Z,Info!$O$7,FALSE)</f>
        <v>Rinnenhaken für Kastenrinne</v>
      </c>
      <c r="F55" s="619"/>
      <c r="G55" s="619"/>
      <c r="H55" s="619"/>
      <c r="I55" s="647"/>
      <c r="J55" s="681" t="str">
        <f>Formeln!A210</f>
        <v/>
      </c>
      <c r="K55" s="682"/>
      <c r="L55" s="76" t="str">
        <f t="shared" si="6"/>
        <v xml:space="preserve"> </v>
      </c>
      <c r="M55" s="405" t="str">
        <f t="shared" si="2"/>
        <v>Stk.</v>
      </c>
      <c r="N55" s="77"/>
      <c r="O55" s="184" t="str">
        <f t="shared" si="7"/>
        <v xml:space="preserve"> </v>
      </c>
      <c r="R55" s="179"/>
      <c r="S55" s="179"/>
      <c r="T55" s="179"/>
      <c r="U55" s="1"/>
      <c r="V55" s="139" t="e">
        <f t="shared" ref="V55:W62" si="9">ROUNDUP($A55/X55,0)*X55</f>
        <v>#VALUE!</v>
      </c>
      <c r="W55" s="139" t="e">
        <f t="shared" si="9"/>
        <v>#VALUE!</v>
      </c>
      <c r="X55" s="139" t="str">
        <f>IF(OR($O$24=1,$O$24=3),30,IF(OR($O$24=4,$O$24=5),20,""))</f>
        <v/>
      </c>
      <c r="Y55" s="139" t="str">
        <f>IF(OR($O$24=1,$O$24=3,$O$24=4,$O$24=5),1,"")</f>
        <v/>
      </c>
      <c r="Z55" s="56">
        <v>525012</v>
      </c>
      <c r="AA55" s="56">
        <v>525015</v>
      </c>
      <c r="AB55" s="56">
        <v>525013</v>
      </c>
      <c r="AC55" s="57"/>
      <c r="AD55" s="56">
        <v>525014</v>
      </c>
      <c r="AE55" s="57"/>
      <c r="AF55" s="57"/>
      <c r="AG55" s="57"/>
      <c r="AH55" s="56">
        <v>525041</v>
      </c>
      <c r="AI55" s="56"/>
      <c r="AJ55" s="59" t="str">
        <f t="shared" si="8"/>
        <v/>
      </c>
      <c r="AK55" s="59" t="s">
        <v>823</v>
      </c>
      <c r="AL55">
        <v>525001</v>
      </c>
      <c r="AM55">
        <v>525002</v>
      </c>
      <c r="AN55">
        <v>525006</v>
      </c>
      <c r="AO55">
        <v>525011</v>
      </c>
      <c r="AP55">
        <v>525007</v>
      </c>
      <c r="AQ55">
        <v>525017</v>
      </c>
      <c r="AR55">
        <v>525010</v>
      </c>
      <c r="AS55">
        <v>525018</v>
      </c>
      <c r="AT55">
        <v>525020</v>
      </c>
      <c r="AU55">
        <v>525021</v>
      </c>
      <c r="AV55" s="59" t="str">
        <f>IF($O$21=1,AN55,IF($O$21=2,AP55,IF($O$21=3,AO55,IF($O$21=4,AQ55,IF($O$21=5,AR55,IF($O$21=6,AM55,IF($O$21=7,AS55,IF($O$21=8,AT55,IF($O$21=9,AL55,IF($O$21=10,AU55,""))))))))))</f>
        <v/>
      </c>
      <c r="AW55" s="59" t="s">
        <v>553</v>
      </c>
      <c r="AX55">
        <v>525003</v>
      </c>
      <c r="AY55">
        <v>525004</v>
      </c>
      <c r="AZ55">
        <v>525005</v>
      </c>
      <c r="BA55" s="57"/>
      <c r="BB55">
        <v>525008</v>
      </c>
      <c r="BC55" s="57"/>
      <c r="BD55">
        <v>525022</v>
      </c>
      <c r="BE55" s="57"/>
      <c r="BF55" s="42">
        <v>525025</v>
      </c>
      <c r="BG55" s="42"/>
      <c r="BH55" s="59" t="str">
        <f>IF($O$21=1,AZ55,IF($O$21=2,BB55,IF($O$21=3,BA55,IF($O$21=4,BC55,IF($O$21=5,BD55,IF($O$21=6,AY55,IF($O$21=7,BE55,IF($O$21=8,BF55,IF($O$21=9,AX55,"")))))))))</f>
        <v/>
      </c>
      <c r="BI55" s="59" t="s">
        <v>838</v>
      </c>
      <c r="BJ55">
        <v>525030</v>
      </c>
      <c r="BK55">
        <v>525033</v>
      </c>
      <c r="BL55">
        <v>525031</v>
      </c>
      <c r="BM55" s="57"/>
      <c r="BN55">
        <v>525032</v>
      </c>
      <c r="BO55" s="57"/>
      <c r="BP55" s="57"/>
      <c r="BQ55" s="57"/>
      <c r="BR55" s="57"/>
      <c r="BS55" s="57"/>
      <c r="BT55" s="59" t="str">
        <f>IF($O$21=1,BL55,IF($O$21=2,BN55,IF($O$21=3,BM55,IF($O$21=4,BO55,IF($O$21=5,BP55,IF($O$21=6,BK55,IF($O$21=7,BQ55,IF($O$21=8,BR55,IF($O$21=9,BJ55,"")))))))))</f>
        <v/>
      </c>
      <c r="BU55" s="59" t="s">
        <v>1680</v>
      </c>
      <c r="ES55" s="618" t="str">
        <f>VLOOKUP(713,Sprachindex!$A:$Z,Info!$O$7,FALSE)</f>
        <v>Rinnenhaken für Kastenrinne</v>
      </c>
      <c r="ET55" s="619"/>
      <c r="EU55" s="619"/>
      <c r="EV55" s="619"/>
      <c r="EW55" s="619"/>
      <c r="EX55" s="323"/>
      <c r="EY55" s="299"/>
      <c r="EZ55" s="316"/>
      <c r="FA55" s="347">
        <v>8.9600000000000009</v>
      </c>
      <c r="FB55" s="299"/>
      <c r="FC55" s="331">
        <v>7.97</v>
      </c>
      <c r="FD55" s="315"/>
      <c r="FE55" s="299"/>
      <c r="FF55" s="316"/>
      <c r="FG55" s="315"/>
      <c r="FH55" s="299"/>
      <c r="FI55" s="316"/>
      <c r="FJ55" s="315"/>
      <c r="FK55" s="299"/>
      <c r="FL55" s="316"/>
      <c r="FM55" s="315"/>
      <c r="FN55" s="299"/>
      <c r="FO55" s="316"/>
      <c r="FP55" s="315"/>
      <c r="FQ55" s="299"/>
      <c r="FR55" s="316"/>
      <c r="FS55" s="340">
        <v>9.74</v>
      </c>
      <c r="FT55" s="299">
        <v>9.74</v>
      </c>
      <c r="FU55" s="342">
        <v>8.3000000000000007</v>
      </c>
      <c r="FV55" s="315"/>
      <c r="FW55" s="299"/>
      <c r="FX55" s="316"/>
      <c r="FY55" s="315"/>
      <c r="FZ55" s="299"/>
      <c r="GA55" s="316"/>
      <c r="GB55" s="345">
        <v>12.24</v>
      </c>
      <c r="GC55" s="299"/>
      <c r="GD55" s="346">
        <v>10.74</v>
      </c>
      <c r="GE55" s="315"/>
      <c r="GF55" s="299"/>
      <c r="GG55" s="316"/>
      <c r="GH55" s="315"/>
      <c r="GI55" s="299"/>
      <c r="GJ55" s="316"/>
      <c r="GK55" s="364">
        <v>17.510000000000002</v>
      </c>
      <c r="GL55" s="299"/>
      <c r="GM55" s="365">
        <v>16.12</v>
      </c>
      <c r="GN55" s="315"/>
      <c r="GO55" s="299"/>
      <c r="GP55" s="324"/>
      <c r="GQ55" s="305" t="str" cm="1">
        <f t="array" ref="GQ55">_xlfn.IFS(OR($O$21=1,$O$21=2,$O$21=6,$O$21=8),FA55,$O$21=9,FC55,$O$21=10,FB55,TRUE," ")</f>
        <v xml:space="preserve"> </v>
      </c>
      <c r="GS55" s="303">
        <f>IF($O$21=9,FU55,FS55)</f>
        <v>9.74</v>
      </c>
      <c r="GT55" s="302" t="str" cm="1">
        <f t="array" ref="GT55">_xlfn.IFS(OR($O$21=1,$O$21=2,$O$21=6,$O$21=5,$O$21=8),GB55,$O$21=9,GD55,$O$21=10,GC55,TRUE," ")</f>
        <v xml:space="preserve"> </v>
      </c>
      <c r="GU55" s="313" t="str" cm="1">
        <f t="array" ref="GU55">_xlfn.IFS(OR($O$21=1,$O$21=2,$O$21=6),GK55,$O$21=9,GM55,$O$21=10,GL55,TRUE," ")</f>
        <v xml:space="preserve"> </v>
      </c>
      <c r="GV55" s="314" t="str">
        <f>IF($O$24=1,GQ55,IF($O$24=3,GS55,IF($O$24=4,GT55,IF($O$24=5,GU55," "))))</f>
        <v xml:space="preserve"> </v>
      </c>
    </row>
    <row r="56" spans="1:205" ht="32.1" customHeight="1">
      <c r="A56" s="103"/>
      <c r="B56" s="76" t="str">
        <f>VLOOKUP(878,Sprachindex!$A:$Z,Info!$O$7,FALSE)</f>
        <v>Stk.</v>
      </c>
      <c r="C56" s="75"/>
      <c r="D56" s="75" t="str">
        <f>IF(O24=1,AJ56,IF(O24=3,AV56,""))</f>
        <v/>
      </c>
      <c r="E56" s="618" t="str">
        <f>VLOOKUP(877,Sprachindex!$A:$Z,Info!$O$7,FALSE)</f>
        <v>Stirnbretthaken für Kastenrinnen</v>
      </c>
      <c r="F56" s="619"/>
      <c r="G56" s="619"/>
      <c r="H56" s="619"/>
      <c r="I56" s="619"/>
      <c r="J56" s="681" t="str">
        <f>Formeln!A218</f>
        <v/>
      </c>
      <c r="K56" s="682"/>
      <c r="L56" s="76" t="str">
        <f t="shared" si="6"/>
        <v xml:space="preserve"> </v>
      </c>
      <c r="M56" s="405" t="str">
        <f t="shared" si="2"/>
        <v>Stk.</v>
      </c>
      <c r="N56" s="77"/>
      <c r="O56" s="184" t="str">
        <f t="shared" si="7"/>
        <v xml:space="preserve"> </v>
      </c>
      <c r="R56" s="179"/>
      <c r="S56" s="179"/>
      <c r="T56" s="179"/>
      <c r="U56" s="1"/>
      <c r="V56" s="139" t="e">
        <f t="shared" si="9"/>
        <v>#VALUE!</v>
      </c>
      <c r="W56" s="139" t="e">
        <f t="shared" si="9"/>
        <v>#VALUE!</v>
      </c>
      <c r="X56" s="139" t="str">
        <f>IF(OR($O$24=1,$O$24=3),20,"")</f>
        <v/>
      </c>
      <c r="Y56" s="139" t="str">
        <f>IF(OR($O$24=1,$O$24=3),1,"")</f>
        <v/>
      </c>
      <c r="Z56" s="56">
        <v>525200</v>
      </c>
      <c r="AA56" s="56">
        <v>525232</v>
      </c>
      <c r="AB56" s="56">
        <v>525230</v>
      </c>
      <c r="AC56" s="57"/>
      <c r="AD56" s="56">
        <v>525231</v>
      </c>
      <c r="AE56" s="57"/>
      <c r="AF56" s="57"/>
      <c r="AG56" s="57"/>
      <c r="AH56" s="56">
        <v>525235</v>
      </c>
      <c r="AI56" s="56"/>
      <c r="AJ56" s="59" t="str">
        <f t="shared" si="8"/>
        <v/>
      </c>
      <c r="AK56" s="59" t="s">
        <v>538</v>
      </c>
      <c r="AL56">
        <v>525201</v>
      </c>
      <c r="AM56">
        <v>525212</v>
      </c>
      <c r="AN56">
        <v>525210</v>
      </c>
      <c r="AO56">
        <v>525215</v>
      </c>
      <c r="AP56">
        <v>525211</v>
      </c>
      <c r="AQ56">
        <v>525216</v>
      </c>
      <c r="AR56">
        <v>525214</v>
      </c>
      <c r="AS56">
        <v>525217</v>
      </c>
      <c r="AT56">
        <v>525219</v>
      </c>
      <c r="AU56">
        <v>525221</v>
      </c>
      <c r="AV56" s="59" t="str">
        <f>IF($O$21=1,AN56,IF($O$21=2,AP56,IF($O$21=3,AO56,IF($O$21=4,AQ56,IF($O$21=5,AR56,IF($O$21=6,AM56,IF($O$21=7,AS56,IF($O$21=8,AT56,IF($O$21=9,AL56,IF($O$21=10,AU56,""))))))))))</f>
        <v/>
      </c>
      <c r="AW56" s="59" t="s">
        <v>553</v>
      </c>
      <c r="BD56"/>
      <c r="BF56" s="42"/>
      <c r="BG56" s="42"/>
      <c r="ES56" s="618" t="str">
        <f>VLOOKUP(877,Sprachindex!$A:$Z,Info!$O$7,FALSE)</f>
        <v>Stirnbretthaken für Kastenrinnen</v>
      </c>
      <c r="ET56" s="619"/>
      <c r="EU56" s="619"/>
      <c r="EV56" s="619"/>
      <c r="EW56" s="619"/>
      <c r="EX56" s="323"/>
      <c r="EY56" s="299"/>
      <c r="EZ56" s="316"/>
      <c r="FA56" s="347">
        <v>8.81</v>
      </c>
      <c r="FB56" s="299"/>
      <c r="FC56" s="331">
        <v>7.43</v>
      </c>
      <c r="FD56" s="315"/>
      <c r="FE56" s="299"/>
      <c r="FF56" s="316"/>
      <c r="FG56" s="315"/>
      <c r="FH56" s="299"/>
      <c r="FI56" s="316"/>
      <c r="FJ56" s="315"/>
      <c r="FK56" s="299"/>
      <c r="FL56" s="316"/>
      <c r="FM56" s="315"/>
      <c r="FN56" s="299"/>
      <c r="FO56" s="316"/>
      <c r="FP56" s="315"/>
      <c r="FQ56" s="299"/>
      <c r="FR56" s="316"/>
      <c r="FS56" s="340">
        <v>9.6999999999999993</v>
      </c>
      <c r="FT56" s="299">
        <v>9.6999999999999993</v>
      </c>
      <c r="FU56" s="342">
        <v>7.7</v>
      </c>
      <c r="FV56" s="315"/>
      <c r="FW56" s="299"/>
      <c r="FX56" s="316"/>
      <c r="FY56" s="315"/>
      <c r="FZ56" s="299"/>
      <c r="GA56" s="316"/>
      <c r="GB56" s="315"/>
      <c r="GC56" s="299"/>
      <c r="GD56" s="316"/>
      <c r="GE56" s="315"/>
      <c r="GF56" s="299"/>
      <c r="GG56" s="316"/>
      <c r="GH56" s="315"/>
      <c r="GI56" s="299"/>
      <c r="GJ56" s="316"/>
      <c r="GK56" s="315"/>
      <c r="GL56" s="299"/>
      <c r="GM56" s="316"/>
      <c r="GN56" s="315"/>
      <c r="GO56" s="299"/>
      <c r="GP56" s="324"/>
      <c r="GQ56" s="305" t="str" cm="1">
        <f t="array" ref="GQ56">_xlfn.IFS(OR($O$21=1,$O$21=2,$O$21=6,$O$21=8),FA56,$O$21=9,FC56,$O$21=10,FB56,TRUE," ")</f>
        <v xml:space="preserve"> </v>
      </c>
      <c r="GS56" s="303">
        <f>IF($O$21=9,FU56,FS56)</f>
        <v>9.6999999999999993</v>
      </c>
      <c r="GV56" s="314" t="str">
        <f>IF($O$24=1,GQ56,IF($O$24=3,GS56," "))</f>
        <v xml:space="preserve"> </v>
      </c>
    </row>
    <row r="57" spans="1:205" ht="32.1" customHeight="1">
      <c r="A57" s="103"/>
      <c r="B57" s="76" t="str">
        <f>VLOOKUP(878,Sprachindex!$A:$Z,Info!$O$7,FALSE)</f>
        <v>Stk.</v>
      </c>
      <c r="C57" s="75"/>
      <c r="D57" s="75" t="str">
        <f>IF(O24=1,AJ57,IF(O24=3,AV57,IF(O24=4,BH57,"")))</f>
        <v/>
      </c>
      <c r="E57" s="618" t="str">
        <f>VLOOKUP(519,Sprachindex!$A:$Z,Info!$O$7,FALSE)</f>
        <v>Kastenrinnenendboden</v>
      </c>
      <c r="F57" s="619"/>
      <c r="G57" s="619"/>
      <c r="H57" s="619"/>
      <c r="I57" s="619"/>
      <c r="J57" s="681" t="str">
        <f>Formeln!A222</f>
        <v/>
      </c>
      <c r="K57" s="682"/>
      <c r="L57" s="76" t="str">
        <f t="shared" si="6"/>
        <v xml:space="preserve"> </v>
      </c>
      <c r="M57" s="405" t="str">
        <f t="shared" si="2"/>
        <v>Stk.</v>
      </c>
      <c r="N57" s="77"/>
      <c r="O57" s="184" t="str">
        <f t="shared" si="7"/>
        <v xml:space="preserve"> </v>
      </c>
      <c r="R57" s="179"/>
      <c r="S57" s="179"/>
      <c r="T57" s="179"/>
      <c r="U57" s="1"/>
      <c r="V57" s="139" t="e">
        <f t="shared" si="9"/>
        <v>#VALUE!</v>
      </c>
      <c r="W57" s="139" t="e">
        <f t="shared" si="9"/>
        <v>#VALUE!</v>
      </c>
      <c r="X57" s="139" t="str">
        <f>IF(OR($O$24=1,$O$24=3,$O$24=4),50,"")</f>
        <v/>
      </c>
      <c r="Y57" s="139" t="str">
        <f>IF(OR($O$24=1,$O$24=3,$O$24=4),1,"")</f>
        <v/>
      </c>
      <c r="Z57" s="56">
        <v>540009</v>
      </c>
      <c r="AA57" s="56">
        <v>540013</v>
      </c>
      <c r="AB57" s="56">
        <v>540011</v>
      </c>
      <c r="AC57" s="57"/>
      <c r="AD57" s="56">
        <v>540012</v>
      </c>
      <c r="AE57" s="57"/>
      <c r="AF57" s="57"/>
      <c r="AG57" s="57"/>
      <c r="AH57" s="56">
        <v>540023</v>
      </c>
      <c r="AI57" s="56"/>
      <c r="AJ57" s="59" t="str">
        <f t="shared" si="8"/>
        <v/>
      </c>
      <c r="AK57" s="59" t="s">
        <v>595</v>
      </c>
      <c r="AL57">
        <v>540003</v>
      </c>
      <c r="AM57">
        <v>540004</v>
      </c>
      <c r="AN57">
        <v>540006</v>
      </c>
      <c r="AO57">
        <v>540016</v>
      </c>
      <c r="AP57">
        <v>540007</v>
      </c>
      <c r="AQ57">
        <v>540017</v>
      </c>
      <c r="AR57">
        <v>540015</v>
      </c>
      <c r="AS57">
        <v>540018</v>
      </c>
      <c r="AT57">
        <v>540020</v>
      </c>
      <c r="AU57">
        <v>540022</v>
      </c>
      <c r="AV57" s="59" t="str">
        <f>IF($O$21=1,AN57,IF($O$21=2,AP57,IF($O$21=3,AO57,IF($O$21=4,AQ57,IF($O$21=5,AR57,IF($O$21=6,AM57,IF($O$21=7,AS57,IF($O$21=8,AT57,IF($O$21=9,AL57,IF($O$21=10,AU57,""))))))))))</f>
        <v/>
      </c>
      <c r="AW57" s="59" t="s">
        <v>610</v>
      </c>
      <c r="AX57">
        <v>540001</v>
      </c>
      <c r="AY57">
        <v>540002</v>
      </c>
      <c r="AZ57">
        <v>540005</v>
      </c>
      <c r="BA57" s="57"/>
      <c r="BB57">
        <v>540008</v>
      </c>
      <c r="BC57" s="57"/>
      <c r="BD57">
        <v>540024</v>
      </c>
      <c r="BE57" s="57"/>
      <c r="BF57" s="42">
        <v>540027</v>
      </c>
      <c r="BG57" s="42"/>
      <c r="BH57" s="59" t="str">
        <f>IF($O$21=1,AZ57,IF($O$21=2,BB57,IF($O$21=3,BA57,IF($O$21=4,BC57,IF($O$21=5,BD57,IF($O$21=6,AY57,IF($O$21=7,BE57,IF($O$21=8,BF57,IF($O$21=9,AX57,"")))))))))</f>
        <v/>
      </c>
      <c r="BI57" s="59" t="s">
        <v>618</v>
      </c>
      <c r="ES57" s="618" t="str">
        <f>VLOOKUP(519,Sprachindex!$A:$Z,Info!$O$7,FALSE)</f>
        <v>Kastenrinnenendboden</v>
      </c>
      <c r="ET57" s="619"/>
      <c r="EU57" s="619"/>
      <c r="EV57" s="619"/>
      <c r="EW57" s="619"/>
      <c r="EX57" s="323"/>
      <c r="EY57" s="299"/>
      <c r="EZ57" s="316"/>
      <c r="FA57" s="347">
        <v>4.8899999999999997</v>
      </c>
      <c r="FB57" s="299"/>
      <c r="FC57" s="331">
        <v>4.24</v>
      </c>
      <c r="FD57" s="315"/>
      <c r="FE57" s="299"/>
      <c r="FF57" s="316"/>
      <c r="FG57" s="315"/>
      <c r="FH57" s="299"/>
      <c r="FI57" s="316"/>
      <c r="FJ57" s="315"/>
      <c r="FK57" s="299"/>
      <c r="FL57" s="316"/>
      <c r="FM57" s="315"/>
      <c r="FN57" s="299"/>
      <c r="FO57" s="316"/>
      <c r="FP57" s="315"/>
      <c r="FQ57" s="299"/>
      <c r="FR57" s="316"/>
      <c r="FS57" s="340">
        <v>5.09</v>
      </c>
      <c r="FT57" s="341">
        <v>5.59</v>
      </c>
      <c r="FU57" s="342">
        <v>4.5599999999999996</v>
      </c>
      <c r="FV57" s="315"/>
      <c r="FW57" s="299"/>
      <c r="FX57" s="316"/>
      <c r="FY57" s="315"/>
      <c r="FZ57" s="299"/>
      <c r="GA57" s="316"/>
      <c r="GB57" s="345">
        <v>5.86</v>
      </c>
      <c r="GC57" s="299"/>
      <c r="GD57" s="346">
        <v>5.2</v>
      </c>
      <c r="GE57" s="315"/>
      <c r="GF57" s="299"/>
      <c r="GG57" s="316"/>
      <c r="GH57" s="315"/>
      <c r="GI57" s="299"/>
      <c r="GJ57" s="316"/>
      <c r="GK57" s="315"/>
      <c r="GL57" s="299"/>
      <c r="GM57" s="316"/>
      <c r="GN57" s="315"/>
      <c r="GO57" s="299"/>
      <c r="GP57" s="324"/>
      <c r="GQ57" s="305" t="str" cm="1">
        <f t="array" ref="GQ57">_xlfn.IFS(OR($O$21=1,$O$21=2,$O$21=6,$O$21=8),FA57,$O$21=9,FC57,$O$21=10,FB57,TRUE," ")</f>
        <v xml:space="preserve"> </v>
      </c>
      <c r="GS57" s="303" cm="1">
        <f t="array" ref="GS57">_xlfn.IFS($O$21=9,FU57,$O$21=10,FT57,TRUE,FS57)</f>
        <v>5.09</v>
      </c>
      <c r="GT57" s="302" t="str" cm="1">
        <f t="array" ref="GT57">_xlfn.IFS(OR($O$21=1,$O$21=2,$O$21=6,$O$21=5,$O$21=8),GB57,$O$21=9,GD57,$O$21=10,GC57,TRUE," ")</f>
        <v xml:space="preserve"> </v>
      </c>
      <c r="GV57" s="314" t="str">
        <f>IF($O$24=1,GQ57,IF($O$24=3,GS57,IF($O$24=4,GT57," ")))</f>
        <v xml:space="preserve"> </v>
      </c>
    </row>
    <row r="58" spans="1:205" ht="32.1" customHeight="1">
      <c r="A58" s="103"/>
      <c r="B58" s="76" t="str">
        <f>VLOOKUP(878,Sprachindex!$A:$Z,Info!$O$7,FALSE)</f>
        <v>Stk.</v>
      </c>
      <c r="C58" s="75"/>
      <c r="D58" s="75" t="str">
        <f>IF($O$24=5,AJ58,"")</f>
        <v/>
      </c>
      <c r="E58" s="618" t="str">
        <f>VLOOKUP(520,Sprachindex!$A:$Z,Info!$O$7,FALSE)</f>
        <v>Kastenrinnenendboden 500 (links)</v>
      </c>
      <c r="F58" s="619"/>
      <c r="G58" s="619"/>
      <c r="H58" s="619"/>
      <c r="I58" s="619"/>
      <c r="J58" s="681" t="str">
        <f>IF(O24=0,"",IF(O24=5,G29,Formeln!A177))</f>
        <v/>
      </c>
      <c r="K58" s="682"/>
      <c r="L58" s="76" t="str">
        <f t="shared" si="6"/>
        <v xml:space="preserve"> </v>
      </c>
      <c r="M58" s="405" t="str">
        <f t="shared" si="2"/>
        <v>Stk.</v>
      </c>
      <c r="N58" s="77"/>
      <c r="O58" s="184" t="str">
        <f t="shared" si="7"/>
        <v xml:space="preserve"> </v>
      </c>
      <c r="R58" s="179"/>
      <c r="S58" s="179"/>
      <c r="T58" s="179"/>
      <c r="U58" s="1"/>
      <c r="V58" s="139" t="e">
        <f t="shared" si="9"/>
        <v>#VALUE!</v>
      </c>
      <c r="W58" s="139" t="e">
        <f t="shared" si="9"/>
        <v>#VALUE!</v>
      </c>
      <c r="X58" s="139" t="str">
        <f>IF($O$24=5,2,"")</f>
        <v/>
      </c>
      <c r="Y58" s="139" t="str">
        <f>IF($O$24=5,1,"")</f>
        <v/>
      </c>
      <c r="Z58" s="56">
        <v>540035</v>
      </c>
      <c r="AA58" s="56">
        <v>540038</v>
      </c>
      <c r="AB58" s="56">
        <v>540036</v>
      </c>
      <c r="AC58" s="57"/>
      <c r="AD58" s="56">
        <v>540037</v>
      </c>
      <c r="AE58" s="57"/>
      <c r="AF58" s="57"/>
      <c r="AG58" s="57"/>
      <c r="AH58" s="57"/>
      <c r="AI58" s="57"/>
      <c r="AJ58" s="59" t="str">
        <f t="shared" si="8"/>
        <v/>
      </c>
      <c r="AK58" s="59" t="s">
        <v>1681</v>
      </c>
      <c r="BF58" s="42"/>
      <c r="BG58" s="42"/>
      <c r="ES58" s="618" t="str">
        <f>VLOOKUP(520,Sprachindex!$A:$Z,Info!$O$7,FALSE)</f>
        <v>Kastenrinnenendboden 500 (links)</v>
      </c>
      <c r="ET58" s="619"/>
      <c r="EU58" s="619"/>
      <c r="EV58" s="619"/>
      <c r="EW58" s="619"/>
      <c r="EX58" s="323"/>
      <c r="EY58" s="299"/>
      <c r="EZ58" s="316"/>
      <c r="FA58" s="366">
        <v>52.98</v>
      </c>
      <c r="FB58" s="299"/>
      <c r="FC58" s="367">
        <v>47.8</v>
      </c>
      <c r="FD58" s="315"/>
      <c r="FE58" s="299"/>
      <c r="FF58" s="316"/>
      <c r="FG58" s="315"/>
      <c r="FH58" s="299"/>
      <c r="FI58" s="316"/>
      <c r="FJ58" s="315"/>
      <c r="FK58" s="299"/>
      <c r="FL58" s="316"/>
      <c r="FM58" s="315"/>
      <c r="FN58" s="299"/>
      <c r="FO58" s="316"/>
      <c r="FP58" s="315"/>
      <c r="FQ58" s="299"/>
      <c r="FR58" s="316"/>
      <c r="FS58" s="315"/>
      <c r="FT58" s="299"/>
      <c r="FU58" s="316"/>
      <c r="FV58" s="315"/>
      <c r="FW58" s="299"/>
      <c r="FX58" s="316"/>
      <c r="FY58" s="315"/>
      <c r="FZ58" s="299"/>
      <c r="GA58" s="316"/>
      <c r="GB58" s="315"/>
      <c r="GC58" s="299"/>
      <c r="GD58" s="316"/>
      <c r="GE58" s="315"/>
      <c r="GF58" s="299"/>
      <c r="GG58" s="316"/>
      <c r="GH58" s="315"/>
      <c r="GI58" s="299"/>
      <c r="GJ58" s="316"/>
      <c r="GK58" s="315"/>
      <c r="GL58" s="299"/>
      <c r="GM58" s="316"/>
      <c r="GN58" s="315"/>
      <c r="GO58" s="299"/>
      <c r="GP58" s="324"/>
      <c r="GQ58" s="120" t="str">
        <f>IF(OR($O$21=1,$O$21=2,$O$21=6),FA58,IF($O$21=9,FC58," "))</f>
        <v xml:space="preserve"> </v>
      </c>
      <c r="GV58" s="306" t="str">
        <f>GQ58</f>
        <v xml:space="preserve"> </v>
      </c>
    </row>
    <row r="59" spans="1:205" ht="32.1" customHeight="1">
      <c r="A59" s="103"/>
      <c r="B59" s="76" t="str">
        <f>VLOOKUP(878,Sprachindex!$A:$Z,Info!$O$7,FALSE)</f>
        <v>Stk.</v>
      </c>
      <c r="C59" s="75"/>
      <c r="D59" s="75" t="str">
        <f>IF($O$24=5,AJ59,"")</f>
        <v/>
      </c>
      <c r="E59" s="618" t="str">
        <f>VLOOKUP(521,Sprachindex!$A:$Z,Info!$O$7,FALSE)</f>
        <v>Kastenrinnenendboden 500 (rechts)</v>
      </c>
      <c r="F59" s="619"/>
      <c r="G59" s="619"/>
      <c r="H59" s="619"/>
      <c r="I59" s="619"/>
      <c r="J59" s="681" t="str">
        <f>IF(O24=0,"",IF(O24=5,G29,Formeln!A177))</f>
        <v/>
      </c>
      <c r="K59" s="682"/>
      <c r="L59" s="76" t="str">
        <f t="shared" si="6"/>
        <v xml:space="preserve"> </v>
      </c>
      <c r="M59" s="405" t="str">
        <f t="shared" si="2"/>
        <v>Stk.</v>
      </c>
      <c r="N59" s="77"/>
      <c r="O59" s="184" t="str">
        <f t="shared" si="7"/>
        <v xml:space="preserve"> </v>
      </c>
      <c r="R59" s="179"/>
      <c r="S59" s="179"/>
      <c r="T59" s="179"/>
      <c r="U59" s="1"/>
      <c r="V59" s="139" t="e">
        <f t="shared" si="9"/>
        <v>#VALUE!</v>
      </c>
      <c r="W59" s="139" t="e">
        <f t="shared" si="9"/>
        <v>#VALUE!</v>
      </c>
      <c r="X59" s="139" t="str">
        <f>IF($O$24=5,2,"")</f>
        <v/>
      </c>
      <c r="Y59" s="139" t="str">
        <f>IF($O$24=5,1,"")</f>
        <v/>
      </c>
      <c r="Z59" s="56">
        <v>540030</v>
      </c>
      <c r="AA59" s="56">
        <v>540033</v>
      </c>
      <c r="AB59" s="56">
        <v>540031</v>
      </c>
      <c r="AC59" s="57"/>
      <c r="AD59" s="56">
        <v>540032</v>
      </c>
      <c r="AE59" s="57"/>
      <c r="AF59" s="57"/>
      <c r="AG59" s="57"/>
      <c r="AH59" s="57"/>
      <c r="AI59" s="57"/>
      <c r="AJ59" s="59" t="str">
        <f t="shared" si="8"/>
        <v/>
      </c>
      <c r="AK59" s="59" t="s">
        <v>1681</v>
      </c>
      <c r="ES59" s="618" t="str">
        <f>VLOOKUP(521,Sprachindex!$A:$Z,Info!$O$7,FALSE)</f>
        <v>Kastenrinnenendboden 500 (rechts)</v>
      </c>
      <c r="ET59" s="619"/>
      <c r="EU59" s="619"/>
      <c r="EV59" s="619"/>
      <c r="EW59" s="619"/>
      <c r="EX59" s="323"/>
      <c r="EY59" s="299"/>
      <c r="EZ59" s="316"/>
      <c r="FA59" s="366">
        <v>52.98</v>
      </c>
      <c r="FB59" s="299"/>
      <c r="FC59" s="367">
        <v>47.8</v>
      </c>
      <c r="FD59" s="315"/>
      <c r="FE59" s="299"/>
      <c r="FF59" s="316"/>
      <c r="FG59" s="315"/>
      <c r="FH59" s="299"/>
      <c r="FI59" s="316"/>
      <c r="FJ59" s="315"/>
      <c r="FK59" s="299"/>
      <c r="FL59" s="316"/>
      <c r="FM59" s="315"/>
      <c r="FN59" s="299"/>
      <c r="FO59" s="316"/>
      <c r="FP59" s="315"/>
      <c r="FQ59" s="299"/>
      <c r="FR59" s="316"/>
      <c r="FS59" s="315"/>
      <c r="FT59" s="299"/>
      <c r="FU59" s="316"/>
      <c r="FV59" s="315"/>
      <c r="FW59" s="299"/>
      <c r="FX59" s="316"/>
      <c r="FY59" s="315"/>
      <c r="FZ59" s="299"/>
      <c r="GA59" s="316"/>
      <c r="GB59" s="315"/>
      <c r="GC59" s="299"/>
      <c r="GD59" s="316"/>
      <c r="GE59" s="315"/>
      <c r="GF59" s="299"/>
      <c r="GG59" s="316"/>
      <c r="GH59" s="315"/>
      <c r="GI59" s="299"/>
      <c r="GJ59" s="316"/>
      <c r="GK59" s="315"/>
      <c r="GL59" s="299"/>
      <c r="GM59" s="316"/>
      <c r="GN59" s="315"/>
      <c r="GO59" s="299"/>
      <c r="GP59" s="324"/>
      <c r="GQ59" s="120" t="str">
        <f>IF(OR($O$21=1,$O$21=2,$O$21=6),FA59,IF($O$21=9,FC59," "))</f>
        <v xml:space="preserve"> </v>
      </c>
      <c r="GV59" s="306" t="str">
        <f>GQ59</f>
        <v xml:space="preserve"> </v>
      </c>
    </row>
    <row r="60" spans="1:205" ht="32.1" customHeight="1">
      <c r="A60" s="103"/>
      <c r="B60" s="76" t="str">
        <f>VLOOKUP(878,Sprachindex!$A:$Z,Info!$O$7,FALSE)</f>
        <v>Stk.</v>
      </c>
      <c r="C60" s="75"/>
      <c r="D60" s="75" t="str">
        <f>IF($O$24=1,AJ60,IF($O$24=3,AV60,IF($O$24=4,BH60,IF($O$24=5,BT60,""))))</f>
        <v/>
      </c>
      <c r="E60" s="618" t="str">
        <f>VLOOKUP(523,Sprachindex!$A:$Z,Info!$O$7,FALSE)</f>
        <v>Kastenrinnenwinkel 90° (außen)</v>
      </c>
      <c r="F60" s="619"/>
      <c r="G60" s="619"/>
      <c r="H60" s="619"/>
      <c r="I60" s="619"/>
      <c r="J60" s="681" t="str">
        <f>Formeln!A186</f>
        <v/>
      </c>
      <c r="K60" s="682"/>
      <c r="L60" s="76" t="str">
        <f t="shared" si="6"/>
        <v xml:space="preserve"> </v>
      </c>
      <c r="M60" s="405" t="str">
        <f t="shared" si="2"/>
        <v>Stk.</v>
      </c>
      <c r="N60" s="77"/>
      <c r="O60" s="184" t="str">
        <f t="shared" si="7"/>
        <v xml:space="preserve"> </v>
      </c>
      <c r="R60" s="179"/>
      <c r="S60" s="179"/>
      <c r="T60" s="179"/>
      <c r="U60" s="1"/>
      <c r="V60" s="139" t="e">
        <f t="shared" si="9"/>
        <v>#VALUE!</v>
      </c>
      <c r="W60" s="139" t="e">
        <f t="shared" si="9"/>
        <v>#VALUE!</v>
      </c>
      <c r="X60" s="139" t="str">
        <f>IF($O$24=1,4,IF($O$24=3,4,IF($O$24=4,2,IF($O$24=5,2,""))))</f>
        <v/>
      </c>
      <c r="Y60" s="139" t="str">
        <f>IF($O$24=1,1,IF($O$24=3,1,IF($O$24=4,1,IF($O$24=5,1,""))))</f>
        <v/>
      </c>
      <c r="Z60" s="56" t="s">
        <v>1682</v>
      </c>
      <c r="AA60" s="56" t="s">
        <v>1683</v>
      </c>
      <c r="AB60" s="56">
        <v>524022</v>
      </c>
      <c r="AC60" s="57"/>
      <c r="AD60" s="56">
        <v>524023</v>
      </c>
      <c r="AE60" s="57"/>
      <c r="AF60" s="57"/>
      <c r="AG60" s="57"/>
      <c r="AH60" s="56">
        <v>574071</v>
      </c>
      <c r="AI60" s="56"/>
      <c r="AJ60" s="59" t="str">
        <f t="shared" si="8"/>
        <v/>
      </c>
      <c r="AK60" s="59" t="s">
        <v>595</v>
      </c>
      <c r="AL60">
        <v>524008</v>
      </c>
      <c r="AM60">
        <v>524009</v>
      </c>
      <c r="AN60">
        <v>524010</v>
      </c>
      <c r="AO60">
        <v>524029</v>
      </c>
      <c r="AP60">
        <v>524011</v>
      </c>
      <c r="AQ60">
        <v>524033</v>
      </c>
      <c r="AR60">
        <v>524027</v>
      </c>
      <c r="AS60">
        <v>524035</v>
      </c>
      <c r="AT60">
        <v>524040</v>
      </c>
      <c r="AU60">
        <v>524042</v>
      </c>
      <c r="AV60" s="59" t="str">
        <f>IF($O$21=1,AN60,IF($O$21=2,AP60,IF($O$21=3,AO60,IF($O$21=4,AQ60,IF($O$21=5,AR60,IF($O$21=6,AM60,IF($O$21=7,AS60,IF($O$21=8,AT60,IF($O$21=9,AL60,IF($O$21=10,AU60,""))))))))))</f>
        <v/>
      </c>
      <c r="AW60" s="59" t="s">
        <v>610</v>
      </c>
      <c r="AX60">
        <v>524012</v>
      </c>
      <c r="AY60">
        <v>524013</v>
      </c>
      <c r="AZ60">
        <v>524014</v>
      </c>
      <c r="BA60" s="57"/>
      <c r="BB60">
        <v>524015</v>
      </c>
      <c r="BC60" s="57"/>
      <c r="BD60" s="57">
        <v>524082</v>
      </c>
      <c r="BE60" s="57"/>
      <c r="BF60" s="57">
        <v>524085</v>
      </c>
      <c r="BG60" s="57"/>
      <c r="BH60" s="59" t="str">
        <f>IF($O$21=1,AZ60,IF($O$21=2,BB60,IF($O$21=3,BA60,IF($O$21=4,BC60,IF($O$21=5,BD60,IF($O$21=6,AY60,IF($O$21=7,BE60,IF($O$21=8,BF60,IF($O$21=9,AX60,"")))))))))</f>
        <v/>
      </c>
      <c r="BI60" s="59" t="s">
        <v>618</v>
      </c>
      <c r="BJ60">
        <v>524050</v>
      </c>
      <c r="BK60">
        <v>524053</v>
      </c>
      <c r="BL60">
        <v>524051</v>
      </c>
      <c r="BM60" s="57"/>
      <c r="BN60">
        <v>524052</v>
      </c>
      <c r="BO60" s="57"/>
      <c r="BP60" s="57"/>
      <c r="BQ60" s="57"/>
      <c r="BR60" s="57"/>
      <c r="BS60" s="57"/>
      <c r="BT60" s="59" t="str">
        <f>IF($O$21=1,BL60,IF($O$21=2,BN60,IF($O$21=3,BM60,IF($O$21=4,BO60,IF($O$21=5,BP60,IF($O$21=6,BK60,IF($O$21=7,BQ60,IF($O$21=8,BR60,IF($O$21=9,BJ60,"")))))))))</f>
        <v/>
      </c>
      <c r="BU60" s="59" t="s">
        <v>1681</v>
      </c>
      <c r="ES60" s="618" t="str">
        <f>VLOOKUP(523,Sprachindex!$A:$Z,Info!$O$7,FALSE)</f>
        <v>Kastenrinnenwinkel 90° (außen)</v>
      </c>
      <c r="ET60" s="619"/>
      <c r="EU60" s="619"/>
      <c r="EV60" s="619"/>
      <c r="EW60" s="619"/>
      <c r="EX60" s="323"/>
      <c r="EY60" s="299"/>
      <c r="EZ60" s="316"/>
      <c r="FA60" s="347">
        <v>42.04</v>
      </c>
      <c r="FB60" s="299"/>
      <c r="FC60" s="331">
        <v>37.04</v>
      </c>
      <c r="FD60" s="315"/>
      <c r="FE60" s="299"/>
      <c r="FF60" s="316"/>
      <c r="FG60" s="315"/>
      <c r="FH60" s="299"/>
      <c r="FI60" s="316"/>
      <c r="FJ60" s="315"/>
      <c r="FK60" s="299"/>
      <c r="FL60" s="316"/>
      <c r="FM60" s="315"/>
      <c r="FN60" s="299"/>
      <c r="FO60" s="316"/>
      <c r="FP60" s="315"/>
      <c r="FQ60" s="299"/>
      <c r="FR60" s="316"/>
      <c r="FS60" s="340">
        <v>42.28</v>
      </c>
      <c r="FT60" s="299">
        <v>46.51</v>
      </c>
      <c r="FU60" s="342">
        <v>37.880000000000003</v>
      </c>
      <c r="FV60" s="315"/>
      <c r="FW60" s="299"/>
      <c r="FX60" s="316"/>
      <c r="FY60" s="315"/>
      <c r="FZ60" s="299"/>
      <c r="GA60" s="316"/>
      <c r="GB60" s="345">
        <v>49.28</v>
      </c>
      <c r="GC60" s="299"/>
      <c r="GD60" s="346">
        <v>45.31</v>
      </c>
      <c r="GE60" s="315"/>
      <c r="GF60" s="299"/>
      <c r="GG60" s="316"/>
      <c r="GH60" s="315"/>
      <c r="GI60" s="299"/>
      <c r="GJ60" s="316"/>
      <c r="GK60" s="364">
        <v>85.44</v>
      </c>
      <c r="GL60" s="299"/>
      <c r="GM60" s="365">
        <v>83.81</v>
      </c>
      <c r="GN60" s="315"/>
      <c r="GO60" s="299"/>
      <c r="GP60" s="324"/>
      <c r="GQ60" s="305" t="str">
        <f>IF(OR($O$21=1,$O$21=2,$O$21=6,$O$21=8),FA60,IF($O$21=9,FC60," "))</f>
        <v xml:space="preserve"> </v>
      </c>
      <c r="GS60" s="303" cm="1">
        <f t="array" ref="GS60">_xlfn.IFS($O$21=9,FU60,$O$21=10,FT60,TRUE,FS60)</f>
        <v>42.28</v>
      </c>
      <c r="GT60" s="302" t="str">
        <f>IF(OR($O$21=1,$O$21=2,$O$21=6,$O$21=5,$O$21=8),GB60,IF($O$21=9,GD60," "))</f>
        <v xml:space="preserve"> </v>
      </c>
      <c r="GU60" s="313" t="str">
        <f>IF(OR($O$21=1,$O$21=2,$O$21=6),GK60,IF($O$21=9,GM60," "))</f>
        <v xml:space="preserve"> </v>
      </c>
      <c r="GV60" s="314" t="str">
        <f>IF($O$24=1,GQ60,IF($O$24=3,GS60,IF($O$24=4,GT60,IF($O$24=5,GU60," "))))</f>
        <v xml:space="preserve"> </v>
      </c>
    </row>
    <row r="61" spans="1:205" ht="32.1" customHeight="1">
      <c r="A61" s="103"/>
      <c r="B61" s="76" t="str">
        <f>VLOOKUP(878,Sprachindex!$A:$Z,Info!$O$7,FALSE)</f>
        <v>Stk.</v>
      </c>
      <c r="C61" s="75"/>
      <c r="D61" s="75" t="str">
        <f>IF($O$24=1,AJ61,IF($O$24=3,AV61,IF($O$24=4,BH61,IF($O$24=5,BT61,""))))</f>
        <v/>
      </c>
      <c r="E61" s="618" t="str">
        <f>VLOOKUP(524,Sprachindex!$A:$Z,Info!$O$7,FALSE)</f>
        <v>Kastenrinnenwinkel 90° (innen)</v>
      </c>
      <c r="F61" s="619"/>
      <c r="G61" s="619"/>
      <c r="H61" s="619"/>
      <c r="I61" s="619"/>
      <c r="J61" s="681" t="str">
        <f>Formeln!A186</f>
        <v/>
      </c>
      <c r="K61" s="682"/>
      <c r="L61" s="76" t="str">
        <f t="shared" si="6"/>
        <v xml:space="preserve"> </v>
      </c>
      <c r="M61" s="405" t="str">
        <f t="shared" si="2"/>
        <v>Stk.</v>
      </c>
      <c r="N61" s="77"/>
      <c r="O61" s="184" t="str">
        <f t="shared" si="7"/>
        <v xml:space="preserve"> </v>
      </c>
      <c r="R61" s="187"/>
      <c r="S61" s="187"/>
      <c r="T61" s="187"/>
      <c r="U61" s="1"/>
      <c r="V61" s="139" t="e">
        <f t="shared" si="9"/>
        <v>#VALUE!</v>
      </c>
      <c r="W61" s="139" t="e">
        <f t="shared" si="9"/>
        <v>#VALUE!</v>
      </c>
      <c r="X61" s="139" t="str">
        <f>IF($O$24=1,4,IF($O$24=3,4,IF($O$24=4,2,IF($O$24=5,2,""))))</f>
        <v/>
      </c>
      <c r="Y61" s="139" t="str">
        <f>IF($O$24=1,1,IF($O$24=3,1,IF($O$24=4,1,IF($O$24=5,1,""))))</f>
        <v/>
      </c>
      <c r="Z61" s="56" t="s">
        <v>1684</v>
      </c>
      <c r="AA61" s="56" t="s">
        <v>1685</v>
      </c>
      <c r="AB61" s="56" t="s">
        <v>1686</v>
      </c>
      <c r="AC61" s="57"/>
      <c r="AD61" s="56" t="s">
        <v>1687</v>
      </c>
      <c r="AE61" s="57"/>
      <c r="AF61" s="57"/>
      <c r="AG61" s="57"/>
      <c r="AH61" s="56">
        <v>524081</v>
      </c>
      <c r="AI61" s="56"/>
      <c r="AJ61" s="59" t="str">
        <f t="shared" si="8"/>
        <v/>
      </c>
      <c r="AK61" s="59" t="s">
        <v>595</v>
      </c>
      <c r="AL61">
        <v>524002</v>
      </c>
      <c r="AM61">
        <v>524003</v>
      </c>
      <c r="AN61">
        <v>524004</v>
      </c>
      <c r="AO61">
        <v>524030</v>
      </c>
      <c r="AP61">
        <v>524007</v>
      </c>
      <c r="AQ61">
        <v>524034</v>
      </c>
      <c r="AR61">
        <v>524028</v>
      </c>
      <c r="AS61">
        <v>524036</v>
      </c>
      <c r="AT61">
        <v>524039</v>
      </c>
      <c r="AU61">
        <v>524041</v>
      </c>
      <c r="AV61" s="59" t="str">
        <f>IF($O$21=1,AN61,IF($O$21=2,AP61,IF($O$21=3,AO61,IF($O$21=4,AQ61,IF($O$21=5,AR61,IF($O$21=6,AM61,IF($O$21=7,AS61,IF($O$21=8,AT61,IF($O$21=9,AL61,IF($O$21=10,AU61,""))))))))))</f>
        <v/>
      </c>
      <c r="AW61" s="59" t="s">
        <v>610</v>
      </c>
      <c r="AX61">
        <v>524005</v>
      </c>
      <c r="AY61">
        <v>524006</v>
      </c>
      <c r="AZ61">
        <v>524001</v>
      </c>
      <c r="BA61" s="57"/>
      <c r="BB61">
        <v>524016</v>
      </c>
      <c r="BC61" s="57"/>
      <c r="BD61" s="57">
        <v>524086</v>
      </c>
      <c r="BE61" s="57"/>
      <c r="BF61" s="57">
        <v>524089</v>
      </c>
      <c r="BG61" s="57"/>
      <c r="BH61" s="59" t="str">
        <f>IF($O$21=1,AZ61,IF($O$21=2,BB61,IF($O$21=3,BA61,IF($O$21=4,BC61,IF($O$21=5,BD61,IF($O$21=6,AY61,IF($O$21=7,BE61,IF($O$21=8,BF61,IF($O$21=9,AX61,"")))))))))</f>
        <v/>
      </c>
      <c r="BI61" s="59" t="s">
        <v>618</v>
      </c>
      <c r="BJ61">
        <v>524060</v>
      </c>
      <c r="BK61">
        <v>524063</v>
      </c>
      <c r="BL61">
        <v>524061</v>
      </c>
      <c r="BM61" s="57"/>
      <c r="BN61">
        <v>524062</v>
      </c>
      <c r="BO61" s="57"/>
      <c r="BP61" s="57"/>
      <c r="BQ61" s="57"/>
      <c r="BR61" s="57"/>
      <c r="BS61" s="57"/>
      <c r="BT61" s="59" t="str">
        <f>IF($O$21=1,BL61,IF($O$21=2,BN61,IF($O$21=3,BM61,IF($O$21=4,BO61,IF($O$21=5,BP61,IF($O$21=6,BK61,IF($O$21=7,BQ61,IF($O$21=8,BR61,IF($O$21=9,BJ61,"")))))))))</f>
        <v/>
      </c>
      <c r="BU61" s="59" t="s">
        <v>1681</v>
      </c>
      <c r="ES61" s="618" t="str">
        <f>VLOOKUP(524,Sprachindex!$A:$Z,Info!$O$7,FALSE)</f>
        <v>Kastenrinnenwinkel 90° (innen)</v>
      </c>
      <c r="ET61" s="619"/>
      <c r="EU61" s="619"/>
      <c r="EV61" s="619"/>
      <c r="EW61" s="619"/>
      <c r="EX61" s="323"/>
      <c r="EY61" s="299"/>
      <c r="EZ61" s="316"/>
      <c r="FA61" s="347">
        <v>42.04</v>
      </c>
      <c r="FB61" s="299"/>
      <c r="FC61" s="331">
        <v>37.04</v>
      </c>
      <c r="FD61" s="315"/>
      <c r="FE61" s="299"/>
      <c r="FF61" s="316"/>
      <c r="FG61" s="315"/>
      <c r="FH61" s="299"/>
      <c r="FI61" s="316"/>
      <c r="FJ61" s="315"/>
      <c r="FK61" s="299"/>
      <c r="FL61" s="316"/>
      <c r="FM61" s="315"/>
      <c r="FN61" s="299"/>
      <c r="FO61" s="316"/>
      <c r="FP61" s="315"/>
      <c r="FQ61" s="299"/>
      <c r="FR61" s="316"/>
      <c r="FS61" s="340">
        <v>42.28</v>
      </c>
      <c r="FT61" s="299">
        <v>46.51</v>
      </c>
      <c r="FU61" s="342">
        <v>37.880000000000003</v>
      </c>
      <c r="FV61" s="315"/>
      <c r="FW61" s="299"/>
      <c r="FX61" s="316"/>
      <c r="FY61" s="315"/>
      <c r="FZ61" s="299"/>
      <c r="GA61" s="316"/>
      <c r="GB61" s="345">
        <v>49.28</v>
      </c>
      <c r="GC61" s="299"/>
      <c r="GD61" s="346">
        <v>45.31</v>
      </c>
      <c r="GE61" s="315"/>
      <c r="GF61" s="299"/>
      <c r="GG61" s="316"/>
      <c r="GH61" s="315"/>
      <c r="GI61" s="299"/>
      <c r="GJ61" s="316"/>
      <c r="GK61" s="364">
        <v>85.44</v>
      </c>
      <c r="GL61" s="299"/>
      <c r="GM61" s="365">
        <v>83.81</v>
      </c>
      <c r="GN61" s="315"/>
      <c r="GO61" s="299"/>
      <c r="GP61" s="324"/>
      <c r="GQ61" s="305" t="str">
        <f>IF(OR($O$21=1,$O$21=2,$O$21=6,$O$21=8),FA61,IF($O$21=9,FC61," "))</f>
        <v xml:space="preserve"> </v>
      </c>
      <c r="GS61" s="303" cm="1">
        <f t="array" ref="GS61">_xlfn.IFS($O$21=9,FU61,$O$21=10,FT61,TRUE,FS61)</f>
        <v>42.28</v>
      </c>
      <c r="GT61" s="302" t="str">
        <f>IF(OR($O$21=1,$O$21=2,$O$21=6,$O$21=5,$O$21=8),GB61,IF($O$21=9,GD61," "))</f>
        <v xml:space="preserve"> </v>
      </c>
      <c r="GU61" s="313" t="str">
        <f>IF(OR($O$21=1,$O$21=2,$O$21=6),GK61,IF($O$21=9,GM61," "))</f>
        <v xml:space="preserve"> </v>
      </c>
      <c r="GV61" s="314" t="str">
        <f>IF($O$24=1,GQ61,IF($O$24=3,GS61,IF($O$24=4,GT61,IF($O$24=5,GU61," "))))</f>
        <v xml:space="preserve"> </v>
      </c>
    </row>
    <row r="62" spans="1:205" ht="32.1" customHeight="1">
      <c r="A62" s="103"/>
      <c r="B62" s="76" t="str">
        <f>VLOOKUP(878,Sprachindex!$A:$Z,Info!$O$7,FALSE)</f>
        <v>Stk.</v>
      </c>
      <c r="C62" s="75"/>
      <c r="D62" s="75" t="str">
        <f>IF(AND(O24=1,O25=2),AJ62,IF(AND(O24=3,O25=3),AV62,IF(AND(O24=4,O25=4),BH62,IF(AND(O24=5,O25=4),BT62,IF(AND(O24=5,O25=5),CF62,"")))))</f>
        <v/>
      </c>
      <c r="E62" s="618" t="str">
        <f>VLOOKUP(522,Sprachindex!$A:$Z,Info!$O$7,FALSE)</f>
        <v>Kastenrinnenkessel</v>
      </c>
      <c r="F62" s="619"/>
      <c r="G62" s="619"/>
      <c r="H62" s="619"/>
      <c r="I62" s="81"/>
      <c r="J62" s="631" t="str">
        <f>Formeln!A225</f>
        <v/>
      </c>
      <c r="K62" s="706"/>
      <c r="L62" s="76" t="str">
        <f t="shared" si="6"/>
        <v xml:space="preserve"> </v>
      </c>
      <c r="M62" s="405" t="str">
        <f t="shared" si="2"/>
        <v>Stk.</v>
      </c>
      <c r="N62" s="77"/>
      <c r="O62" s="184" t="str">
        <f t="shared" si="7"/>
        <v xml:space="preserve"> </v>
      </c>
      <c r="R62" s="187"/>
      <c r="S62" s="179"/>
      <c r="T62" s="179"/>
      <c r="U62" s="1"/>
      <c r="V62" s="139" t="e">
        <f t="shared" si="9"/>
        <v>#VALUE!</v>
      </c>
      <c r="W62" s="139">
        <f t="shared" si="9"/>
        <v>0</v>
      </c>
      <c r="X62" s="139" t="str">
        <f>IF(AND($O$24=1,$O$25=2),6,IF(AND($O$24=3,$O$25=3),10,IF(AND($O$24=4,$O$25=4),6,IF(AND($O$24=5,$O$25=4),1,IF(AND($O$24=5,$O$25=5),1,"")))))</f>
        <v/>
      </c>
      <c r="Y62" s="139">
        <v>1</v>
      </c>
      <c r="Z62" s="56">
        <v>548013</v>
      </c>
      <c r="AA62" s="56">
        <v>548017</v>
      </c>
      <c r="AB62" s="56">
        <v>548015</v>
      </c>
      <c r="AC62" s="57"/>
      <c r="AD62" s="56">
        <v>548016</v>
      </c>
      <c r="AE62" s="57"/>
      <c r="AF62" s="57"/>
      <c r="AG62" s="57"/>
      <c r="AH62" s="56">
        <v>548051</v>
      </c>
      <c r="AI62" s="56"/>
      <c r="AJ62" s="59" t="str">
        <f t="shared" si="8"/>
        <v/>
      </c>
      <c r="AK62" s="59" t="s">
        <v>697</v>
      </c>
      <c r="AL62">
        <v>548003</v>
      </c>
      <c r="AM62">
        <v>548004</v>
      </c>
      <c r="AN62">
        <v>548006</v>
      </c>
      <c r="AO62">
        <v>548020</v>
      </c>
      <c r="AP62">
        <v>548007</v>
      </c>
      <c r="AQ62">
        <v>548022</v>
      </c>
      <c r="AR62">
        <v>548019</v>
      </c>
      <c r="AS62">
        <v>548023</v>
      </c>
      <c r="AT62">
        <v>548025</v>
      </c>
      <c r="AU62">
        <v>548026</v>
      </c>
      <c r="AV62" s="59" t="str">
        <f>IF($O$21=1,AN62,IF($O$21=2,AP62,IF($O$21=3,AO62,IF($O$21=4,AQ62,IF($O$21=5,AR62,IF($O$21=6,AM62,IF($O$21=7,AS62,IF($O$21=8,AT62,IF($O$21=9,AL62,IF($O$21=10,AU62,""))))))))))</f>
        <v/>
      </c>
      <c r="AW62" s="59" t="s">
        <v>729</v>
      </c>
      <c r="AX62">
        <v>548001</v>
      </c>
      <c r="AY62">
        <v>548002</v>
      </c>
      <c r="AZ62">
        <v>548005</v>
      </c>
      <c r="BA62" s="57"/>
      <c r="BB62">
        <v>548012</v>
      </c>
      <c r="BC62" s="57"/>
      <c r="BD62" s="57">
        <v>548060</v>
      </c>
      <c r="BE62" s="57"/>
      <c r="BF62" s="57">
        <v>548063</v>
      </c>
      <c r="BG62" s="57"/>
      <c r="BH62" s="59" t="str">
        <f>IF($O$21=1,AZ62,IF($O$21=2,BB62,IF($O$21=3,BA62,IF($O$21=4,BC62,IF($O$21=5,BD62,IF($O$21=6,AY62,IF($O$21=7,BE62,IF($O$21=8,BF62,IF($O$21=9,AX62,"")))))))))</f>
        <v/>
      </c>
      <c r="BI62" s="59" t="s">
        <v>745</v>
      </c>
      <c r="BJ62">
        <v>548040</v>
      </c>
      <c r="BK62">
        <v>548043</v>
      </c>
      <c r="BL62">
        <v>548041</v>
      </c>
      <c r="BM62" s="57"/>
      <c r="BN62">
        <v>548042</v>
      </c>
      <c r="BO62" s="57"/>
      <c r="BP62" s="57"/>
      <c r="BQ62" s="57"/>
      <c r="BR62" s="57"/>
      <c r="BS62" s="57"/>
      <c r="BT62" s="59" t="str">
        <f>IF($O$21=1,BL62,IF($O$21=2,BN62,IF($O$21=3,BM62,IF($O$21=4,BO62,IF($O$21=5,BP62,IF($O$21=6,BK62,IF($O$21=7,BQ62,IF($O$21=8,BR62,IF($O$21=9,BJ62,"")))))))))</f>
        <v/>
      </c>
      <c r="BU62" s="59" t="s">
        <v>1688</v>
      </c>
      <c r="BV62">
        <v>548030</v>
      </c>
      <c r="BW62">
        <v>548033</v>
      </c>
      <c r="BX62">
        <v>548031</v>
      </c>
      <c r="BY62" s="57"/>
      <c r="BZ62">
        <v>548032</v>
      </c>
      <c r="CA62" s="57"/>
      <c r="CB62" s="57"/>
      <c r="CC62" s="57"/>
      <c r="CD62" s="57"/>
      <c r="CE62" s="57"/>
      <c r="CF62" s="59" t="str">
        <f>IF($O$21=1,BX62,IF($O$21=2,BZ62,IF($O$21=3,BY62,IF($O$21=4,CA62,IF($O$21=5,CB62,IF($O$21=6,BW62,IF($O$21=7,CC62,IF($O$21=8,CD62,IF($O$21=9,BV62,"")))))))))</f>
        <v/>
      </c>
      <c r="CG62" s="59" t="s">
        <v>1689</v>
      </c>
      <c r="ES62" s="618" t="str">
        <f>VLOOKUP(522,Sprachindex!$A:$Z,Info!$O$7,FALSE)</f>
        <v>Kastenrinnenkessel</v>
      </c>
      <c r="ET62" s="619"/>
      <c r="EU62" s="619"/>
      <c r="EV62" s="619"/>
      <c r="EW62" s="286"/>
      <c r="EX62" s="323"/>
      <c r="EY62" s="299"/>
      <c r="EZ62" s="316"/>
      <c r="FA62" s="347">
        <v>39.22</v>
      </c>
      <c r="FB62" s="350" t="s">
        <v>1661</v>
      </c>
      <c r="FC62" s="331">
        <v>35.590000000000003</v>
      </c>
      <c r="FD62" s="315"/>
      <c r="FE62" s="353" t="str">
        <f>IF(OR($O$21=1,$O$21=2,$O$21=6,$O$21=8),FA62,IF($O$21=9,FC62," "))</f>
        <v xml:space="preserve"> </v>
      </c>
      <c r="FF62" s="316"/>
      <c r="FG62" s="315"/>
      <c r="FH62" s="299"/>
      <c r="FI62" s="316"/>
      <c r="FJ62" s="315"/>
      <c r="FK62" s="299"/>
      <c r="FL62" s="316"/>
      <c r="FM62" s="315"/>
      <c r="FN62" s="299"/>
      <c r="FO62" s="316"/>
      <c r="FP62" s="315"/>
      <c r="FQ62" s="299"/>
      <c r="FR62" s="316"/>
      <c r="FS62" s="340">
        <v>40.89</v>
      </c>
      <c r="FT62" s="350" t="s">
        <v>1662</v>
      </c>
      <c r="FU62" s="342">
        <v>36.64</v>
      </c>
      <c r="FV62" s="315"/>
      <c r="FW62" s="359" cm="1">
        <f t="array" ref="FW62">_xlfn.IFS($O$21=9,FU62,$O$21=10,44.98,TRUE,FS62)</f>
        <v>40.89</v>
      </c>
      <c r="FX62" s="316"/>
      <c r="FY62" s="315"/>
      <c r="FZ62" s="299"/>
      <c r="GA62" s="316"/>
      <c r="GB62" s="345">
        <v>45.14</v>
      </c>
      <c r="GC62" s="350" t="s">
        <v>1663</v>
      </c>
      <c r="GD62" s="346">
        <v>40.75</v>
      </c>
      <c r="GE62" s="315"/>
      <c r="GF62" s="356" t="str">
        <f>IF($O$21=9,GD62,IF(OR($O$21=1,$O$21=2,$O$21=6,$O$21=5,$O$21=8),GB62," "))</f>
        <v xml:space="preserve"> </v>
      </c>
      <c r="GG62" s="316"/>
      <c r="GH62" s="364">
        <v>107.33</v>
      </c>
      <c r="GI62" s="350" t="s">
        <v>1663</v>
      </c>
      <c r="GJ62" s="365">
        <v>98.76</v>
      </c>
      <c r="GK62" s="364">
        <v>107.33</v>
      </c>
      <c r="GL62" s="350" t="s">
        <v>1664</v>
      </c>
      <c r="GM62" s="365">
        <v>98.76</v>
      </c>
      <c r="GN62" s="368" t="str">
        <f>IF(OR($O$21=1,$O$21=2,$O$21=6),GH62,IF($O$21=9,GJ62," "))</f>
        <v xml:space="preserve"> </v>
      </c>
      <c r="GO62" s="368" t="str">
        <f>IF(OR($O$21=1,$O$21=2,$O$21=6),GK62,IF($O$21=9,GM62," "))</f>
        <v xml:space="preserve"> </v>
      </c>
      <c r="GP62" s="324"/>
      <c r="GQ62" s="305" t="str">
        <f>IF($O$25=2,FE62," ")</f>
        <v xml:space="preserve"> </v>
      </c>
      <c r="GS62" s="303" t="str">
        <f>IF($O$25=3,FW62," ")</f>
        <v xml:space="preserve"> </v>
      </c>
      <c r="GT62" s="302" t="str">
        <f>IF($O$25=4,GF62," ")</f>
        <v xml:space="preserve"> </v>
      </c>
      <c r="GU62" s="313" t="str">
        <f>IF($O$25=4,GN62,IF($O$25=5,GO62," "))</f>
        <v xml:space="preserve"> </v>
      </c>
      <c r="GV62" s="314" t="str">
        <f>IF($O$24=1,GQ62,IF($O$24=3,GS62,IF($O$24=4,GT62,IF($O$24=5,GU62," "))))</f>
        <v xml:space="preserve"> </v>
      </c>
    </row>
    <row r="63" spans="1:205" ht="32.1" customHeight="1">
      <c r="A63" s="103"/>
      <c r="B63" s="76" t="str">
        <f>VLOOKUP(1512,Sprachindex!$A:$Z,Info!$O$7,FALSE)</f>
        <v>lfm</v>
      </c>
      <c r="C63" s="75"/>
      <c r="D63" s="75" t="str">
        <f>AJ63</f>
        <v/>
      </c>
      <c r="E63" s="618" t="str">
        <f>VLOOKUP(763,Sprachindex!$A:$Z,Info!$O$7,FALSE)</f>
        <v>Saumrinne (mit Schutzfolie außen)</v>
      </c>
      <c r="F63" s="619"/>
      <c r="G63" s="619"/>
      <c r="H63" s="619"/>
      <c r="I63" s="619"/>
      <c r="J63" s="681" t="str">
        <f>VLOOKUP(131,Sprachindex!$A:$Z,Info!$O$7,FALSE)</f>
        <v>700 × 1,0 mm</v>
      </c>
      <c r="K63" s="682"/>
      <c r="L63" s="76" t="str">
        <f t="shared" si="6"/>
        <v xml:space="preserve"> </v>
      </c>
      <c r="M63" s="405" t="str">
        <f t="shared" si="2"/>
        <v>lfm</v>
      </c>
      <c r="N63" s="77"/>
      <c r="O63" s="184" t="str">
        <f>IF(ISNUMBER(A63),L63*GV63," ")</f>
        <v xml:space="preserve"> </v>
      </c>
      <c r="R63" s="179"/>
      <c r="S63" s="179"/>
      <c r="T63" s="179"/>
      <c r="U63" s="1"/>
      <c r="V63" s="139">
        <f>ROUNDUP($A63/$X63,0)*$X63</f>
        <v>0</v>
      </c>
      <c r="W63" s="139">
        <f>ROUNDUP($A63/$Y63,0)*$Y63</f>
        <v>0</v>
      </c>
      <c r="X63" s="139">
        <v>30</v>
      </c>
      <c r="Y63" s="139">
        <f>IF(Info!V7=2,5,6)</f>
        <v>6</v>
      </c>
      <c r="Z63" s="56">
        <v>575002</v>
      </c>
      <c r="AA63" s="56">
        <v>575001</v>
      </c>
      <c r="AB63" s="56">
        <v>575005</v>
      </c>
      <c r="AC63" s="56">
        <v>575010</v>
      </c>
      <c r="AD63" s="56">
        <v>575006</v>
      </c>
      <c r="AE63" s="56">
        <v>575011</v>
      </c>
      <c r="AF63" s="56">
        <v>575008</v>
      </c>
      <c r="AG63" s="56">
        <v>575012</v>
      </c>
      <c r="AH63" s="57"/>
      <c r="AI63" s="57">
        <v>575013</v>
      </c>
      <c r="AJ63" s="59" t="str">
        <f>IF($O$21=1,AB63,IF($O$21=2,AD63,IF($O$21=3,AC63,IF($O$21=4,AE63,IF($O$21=5,AF63,IF($O$21=6,AA63,IF($O$21=7,AG63,IF($O$21=8,AH63,IF($O$21=9,Z63,IF($O$21=10,AI63,""))))))))))</f>
        <v/>
      </c>
      <c r="AK63" s="59"/>
      <c r="ES63" s="618" t="str">
        <f>VLOOKUP(763,Sprachindex!$A:$Z,Info!$O$7,FALSE)</f>
        <v>Saumrinne (mit Schutzfolie außen)</v>
      </c>
      <c r="ET63" s="619"/>
      <c r="EU63" s="619"/>
      <c r="EV63" s="619"/>
      <c r="EW63" s="619"/>
      <c r="EX63" s="323"/>
      <c r="EY63" s="299"/>
      <c r="EZ63" s="316"/>
      <c r="FA63" s="366">
        <v>39.950000000000003</v>
      </c>
      <c r="FB63" s="299">
        <v>43.95</v>
      </c>
      <c r="FC63" s="367">
        <v>37.04</v>
      </c>
      <c r="FD63" s="315"/>
      <c r="FE63" s="299"/>
      <c r="FF63" s="316"/>
      <c r="FG63" s="315"/>
      <c r="FH63" s="299"/>
      <c r="FI63" s="316"/>
      <c r="FJ63" s="315"/>
      <c r="FK63" s="299"/>
      <c r="FL63" s="316"/>
      <c r="FM63" s="315"/>
      <c r="FN63" s="299"/>
      <c r="FO63" s="316"/>
      <c r="FP63" s="315"/>
      <c r="FQ63" s="299"/>
      <c r="FR63" s="316"/>
      <c r="FS63" s="315"/>
      <c r="FT63" s="299"/>
      <c r="FU63" s="316"/>
      <c r="FV63" s="315"/>
      <c r="FW63" s="299"/>
      <c r="FX63" s="316"/>
      <c r="FY63" s="315"/>
      <c r="FZ63" s="299"/>
      <c r="GA63" s="316"/>
      <c r="GB63" s="315"/>
      <c r="GC63" s="299"/>
      <c r="GD63" s="316"/>
      <c r="GE63" s="315"/>
      <c r="GF63" s="299"/>
      <c r="GG63" s="316"/>
      <c r="GH63" s="315"/>
      <c r="GI63" s="299"/>
      <c r="GJ63" s="316"/>
      <c r="GK63" s="315"/>
      <c r="GL63" s="299"/>
      <c r="GM63" s="316"/>
      <c r="GN63" s="315"/>
      <c r="GO63" s="299"/>
      <c r="GP63" s="324"/>
      <c r="GQ63" s="120" cm="1">
        <f t="array" ref="GQ63">_xlfn.IFS($O$21=10,FB63,$O$21=8,"",$O$21=9,FC63,TRUE,FA63)</f>
        <v>39.950000000000003</v>
      </c>
      <c r="GV63" s="306">
        <f>GQ63</f>
        <v>39.950000000000003</v>
      </c>
    </row>
    <row r="64" spans="1:205" ht="32.1" customHeight="1">
      <c r="A64" s="103"/>
      <c r="B64" s="76" t="str">
        <f>VLOOKUP(878,Sprachindex!$A:$Z,Info!$O$7,FALSE)</f>
        <v>Stk.</v>
      </c>
      <c r="C64" s="75"/>
      <c r="D64" s="75" t="str">
        <f>AJ64</f>
        <v/>
      </c>
      <c r="E64" s="618" t="str">
        <f>VLOOKUP(764,Sprachindex!$A:$Z,Info!$O$7,FALSE)</f>
        <v>Saumrinnenendboden</v>
      </c>
      <c r="F64" s="619"/>
      <c r="G64" s="619"/>
      <c r="H64" s="619"/>
      <c r="I64" s="619"/>
      <c r="J64" s="681"/>
      <c r="K64" s="682"/>
      <c r="L64" s="76" t="str">
        <f t="shared" si="6"/>
        <v xml:space="preserve"> </v>
      </c>
      <c r="M64" s="405" t="str">
        <f t="shared" si="2"/>
        <v>Stk.</v>
      </c>
      <c r="N64" s="77"/>
      <c r="O64" s="184" t="str">
        <f>IF(ISNUMBER(A64),L64*GV64," ")</f>
        <v xml:space="preserve"> </v>
      </c>
      <c r="R64" s="179"/>
      <c r="S64" s="179"/>
      <c r="T64" s="179"/>
      <c r="U64" s="1"/>
      <c r="V64" s="139">
        <f t="shared" ref="V64:W67" si="10">ROUNDUP($A64/X64,0)*X64</f>
        <v>0</v>
      </c>
      <c r="W64" s="139">
        <f t="shared" si="10"/>
        <v>0</v>
      </c>
      <c r="X64" s="139">
        <v>1</v>
      </c>
      <c r="Y64" s="139">
        <v>1</v>
      </c>
      <c r="Z64" s="56">
        <v>517300</v>
      </c>
      <c r="AA64" s="56">
        <v>517303</v>
      </c>
      <c r="AB64" s="56">
        <v>517301</v>
      </c>
      <c r="AC64" s="56">
        <v>517304</v>
      </c>
      <c r="AD64" s="56">
        <v>517302</v>
      </c>
      <c r="AE64" s="56">
        <v>517305</v>
      </c>
      <c r="AF64" s="56">
        <v>517306</v>
      </c>
      <c r="AG64" s="56">
        <v>517307</v>
      </c>
      <c r="AH64" s="57"/>
      <c r="AI64" s="57">
        <v>517308</v>
      </c>
      <c r="AJ64" s="59" t="str">
        <f>IF($O$21=1,AB64,IF($O$21=2,AD64,IF($O$21=3,AC64,IF($O$21=4,AE64,IF($O$21=5,AF64,IF($O$21=6,AA64,IF($O$21=7,AG64,IF($O$21=8,AH64,IF($O$21=9,Z64,IF($O$21=10,AI64,""))))))))))</f>
        <v/>
      </c>
      <c r="AK64" s="59"/>
      <c r="ES64" s="618" t="str">
        <f>VLOOKUP(764,Sprachindex!$A:$Z,Info!$O$7,FALSE)</f>
        <v>Saumrinnenendboden</v>
      </c>
      <c r="ET64" s="619"/>
      <c r="EU64" s="619"/>
      <c r="EV64" s="619"/>
      <c r="EW64" s="619"/>
      <c r="EX64" s="323"/>
      <c r="EY64" s="299"/>
      <c r="EZ64" s="316"/>
      <c r="FA64" s="366">
        <v>37.81</v>
      </c>
      <c r="FB64" s="299">
        <v>37.81</v>
      </c>
      <c r="FC64" s="367">
        <v>28.25</v>
      </c>
      <c r="FD64" s="315"/>
      <c r="FE64" s="299"/>
      <c r="FF64" s="316"/>
      <c r="FG64" s="315"/>
      <c r="FH64" s="299"/>
      <c r="FI64" s="316"/>
      <c r="FJ64" s="315"/>
      <c r="FK64" s="299"/>
      <c r="FL64" s="316"/>
      <c r="FM64" s="315"/>
      <c r="FN64" s="299"/>
      <c r="FO64" s="316"/>
      <c r="FP64" s="315"/>
      <c r="FQ64" s="299"/>
      <c r="FR64" s="316"/>
      <c r="FS64" s="315"/>
      <c r="FT64" s="299"/>
      <c r="FU64" s="316"/>
      <c r="FV64" s="315"/>
      <c r="FW64" s="299"/>
      <c r="FX64" s="316"/>
      <c r="FY64" s="315"/>
      <c r="FZ64" s="299"/>
      <c r="GA64" s="316"/>
      <c r="GB64" s="315"/>
      <c r="GC64" s="299"/>
      <c r="GD64" s="316"/>
      <c r="GE64" s="315"/>
      <c r="GF64" s="299"/>
      <c r="GG64" s="316"/>
      <c r="GH64" s="315"/>
      <c r="GI64" s="299"/>
      <c r="GJ64" s="316"/>
      <c r="GK64" s="315"/>
      <c r="GL64" s="299"/>
      <c r="GM64" s="316"/>
      <c r="GN64" s="315"/>
      <c r="GO64" s="299"/>
      <c r="GP64" s="324"/>
      <c r="GQ64" s="120" cm="1">
        <f t="array" ref="GQ64">_xlfn.IFS($O$21=8,"",$O$21=9,FC64,TRUE,FA64)</f>
        <v>37.81</v>
      </c>
      <c r="GV64" s="306">
        <f t="shared" ref="GV64:GV66" si="11">GQ64</f>
        <v>37.81</v>
      </c>
    </row>
    <row r="65" spans="1:204" ht="32.1" customHeight="1">
      <c r="A65" s="103"/>
      <c r="B65" s="76" t="str">
        <f>VLOOKUP(878,Sprachindex!$A:$Z,Info!$O$7,FALSE)</f>
        <v>Stk.</v>
      </c>
      <c r="C65" s="75"/>
      <c r="D65" s="75" t="str">
        <f>AJ65</f>
        <v/>
      </c>
      <c r="E65" s="618" t="str">
        <f>VLOOKUP(766,Sprachindex!$A:$Z,Info!$O$7,FALSE)</f>
        <v>Saumrinnenstutzen</v>
      </c>
      <c r="F65" s="619"/>
      <c r="G65" s="619"/>
      <c r="H65" s="619"/>
      <c r="I65" s="619"/>
      <c r="J65" s="681" t="str">
        <f>VLOOKUP(45,Sprachindex!$A:$Z,Info!$O$7,FALSE)</f>
        <v>⌀ 100</v>
      </c>
      <c r="K65" s="682"/>
      <c r="L65" s="76" t="str">
        <f t="shared" si="6"/>
        <v xml:space="preserve"> </v>
      </c>
      <c r="M65" s="405" t="str">
        <f t="shared" si="2"/>
        <v>Stk.</v>
      </c>
      <c r="N65" s="77"/>
      <c r="O65" s="184" t="str">
        <f>IF(ISNUMBER(A65),L65*GV65," ")</f>
        <v xml:space="preserve"> </v>
      </c>
      <c r="R65" s="179"/>
      <c r="S65" s="179"/>
      <c r="T65" s="179"/>
      <c r="U65" s="1"/>
      <c r="V65" s="139">
        <f t="shared" si="10"/>
        <v>0</v>
      </c>
      <c r="W65" s="139">
        <f t="shared" si="10"/>
        <v>0</v>
      </c>
      <c r="X65" s="139">
        <v>1</v>
      </c>
      <c r="Y65" s="139">
        <v>1</v>
      </c>
      <c r="Z65" s="56">
        <v>520200</v>
      </c>
      <c r="AA65" s="56">
        <v>520203</v>
      </c>
      <c r="AB65" s="56">
        <v>520201</v>
      </c>
      <c r="AC65" s="56">
        <v>520206</v>
      </c>
      <c r="AD65" s="56">
        <v>520202</v>
      </c>
      <c r="AE65" s="56">
        <v>520207</v>
      </c>
      <c r="AF65" s="56">
        <v>520204</v>
      </c>
      <c r="AG65" s="56">
        <v>520208</v>
      </c>
      <c r="AH65" s="57"/>
      <c r="AI65" s="57">
        <v>520209</v>
      </c>
      <c r="AJ65" s="59" t="str">
        <f>IF($O$21=1,AB65,IF($O$21=2,AD65,IF($O$21=3,AC65,IF($O$21=4,AE65,IF($O$21=5,AF65,IF($O$21=6,AA65,IF($O$21=7,AG65,IF($O$21=8,AH65,IF($O$21=9,Z65,IF($O$21=10,AI65,""))))))))))</f>
        <v/>
      </c>
      <c r="AK65" s="59"/>
      <c r="ES65" s="618" t="str">
        <f>VLOOKUP(766,Sprachindex!$A:$Z,Info!$O$7,FALSE)</f>
        <v>Saumrinnenstutzen</v>
      </c>
      <c r="ET65" s="619"/>
      <c r="EU65" s="619"/>
      <c r="EV65" s="619"/>
      <c r="EW65" s="619"/>
      <c r="EX65" s="323"/>
      <c r="EY65" s="299"/>
      <c r="EZ65" s="316"/>
      <c r="FA65" s="366">
        <v>39.29</v>
      </c>
      <c r="FB65" s="299">
        <v>43.23</v>
      </c>
      <c r="FC65" s="367">
        <v>29.95</v>
      </c>
      <c r="FD65" s="315"/>
      <c r="FE65" s="299"/>
      <c r="FF65" s="316"/>
      <c r="FG65" s="315"/>
      <c r="FH65" s="299"/>
      <c r="FI65" s="316"/>
      <c r="FJ65" s="315"/>
      <c r="FK65" s="299"/>
      <c r="FL65" s="316"/>
      <c r="FM65" s="315"/>
      <c r="FN65" s="299"/>
      <c r="FO65" s="316"/>
      <c r="FP65" s="315"/>
      <c r="FQ65" s="299"/>
      <c r="FR65" s="316"/>
      <c r="FS65" s="315"/>
      <c r="FT65" s="299"/>
      <c r="FU65" s="316"/>
      <c r="FV65" s="315"/>
      <c r="FW65" s="299"/>
      <c r="FX65" s="316"/>
      <c r="FY65" s="315"/>
      <c r="FZ65" s="299"/>
      <c r="GA65" s="316"/>
      <c r="GB65" s="315"/>
      <c r="GC65" s="299"/>
      <c r="GD65" s="316"/>
      <c r="GE65" s="315"/>
      <c r="GF65" s="299"/>
      <c r="GG65" s="316"/>
      <c r="GH65" s="315"/>
      <c r="GI65" s="299"/>
      <c r="GJ65" s="316"/>
      <c r="GK65" s="315"/>
      <c r="GL65" s="299"/>
      <c r="GM65" s="316"/>
      <c r="GN65" s="315"/>
      <c r="GO65" s="299"/>
      <c r="GP65" s="324"/>
      <c r="GQ65" s="120" cm="1">
        <f t="array" ref="GQ65">_xlfn.IFS($O$21=10,FB65,$O$21=8,"",$O$21=9,FC65,TRUE,FA65)</f>
        <v>39.29</v>
      </c>
      <c r="GV65" s="306">
        <f t="shared" si="11"/>
        <v>39.29</v>
      </c>
    </row>
    <row r="66" spans="1:204" ht="32.1" customHeight="1">
      <c r="A66" s="103"/>
      <c r="B66" s="76" t="str">
        <f>VLOOKUP(878,Sprachindex!$A:$Z,Info!$O$7,FALSE)</f>
        <v>Stk.</v>
      </c>
      <c r="C66" s="75"/>
      <c r="D66" s="75" t="str">
        <f>AJ66</f>
        <v/>
      </c>
      <c r="E66" s="618" t="str">
        <f>VLOOKUP(765,Sprachindex!$A:$Z,Info!$O$7,FALSE)</f>
        <v>Saumrinnenhaken</v>
      </c>
      <c r="F66" s="619"/>
      <c r="G66" s="619"/>
      <c r="H66" s="619"/>
      <c r="I66" s="619"/>
      <c r="J66" s="681" t="str">
        <f>VLOOKUP(78,Sprachindex!$A:$Z,Info!$O$7,FALSE)</f>
        <v>28 × 7 mm</v>
      </c>
      <c r="K66" s="682"/>
      <c r="L66" s="76" t="str">
        <f t="shared" si="6"/>
        <v xml:space="preserve"> </v>
      </c>
      <c r="M66" s="405" t="str">
        <f t="shared" si="2"/>
        <v>Stk.</v>
      </c>
      <c r="N66" s="77"/>
      <c r="O66" s="184" t="str">
        <f>IF(ISNUMBER(A66),L66*GV66," ")</f>
        <v xml:space="preserve"> </v>
      </c>
      <c r="R66" s="179"/>
      <c r="S66" s="179"/>
      <c r="T66" s="179"/>
      <c r="U66" s="1"/>
      <c r="V66" s="139">
        <f t="shared" si="10"/>
        <v>0</v>
      </c>
      <c r="W66" s="139">
        <f t="shared" si="10"/>
        <v>0</v>
      </c>
      <c r="X66" s="139">
        <v>20</v>
      </c>
      <c r="Y66" s="139">
        <v>1</v>
      </c>
      <c r="Z66" s="56">
        <v>523003</v>
      </c>
      <c r="AA66" s="56">
        <v>523004</v>
      </c>
      <c r="AB66" s="56">
        <v>523005</v>
      </c>
      <c r="AC66" s="56">
        <v>523009</v>
      </c>
      <c r="AD66" s="56">
        <v>523006</v>
      </c>
      <c r="AE66" s="56">
        <v>523010</v>
      </c>
      <c r="AF66" s="56">
        <v>523008</v>
      </c>
      <c r="AG66" s="56">
        <v>523011</v>
      </c>
      <c r="AH66" s="57"/>
      <c r="AI66" s="57">
        <v>523012</v>
      </c>
      <c r="AJ66" s="59" t="str">
        <f>IF($O$21=1,AB66,IF($O$21=2,AD66,IF($O$21=3,AC66,IF($O$21=4,AE66,IF($O$21=5,AF66,IF($O$21=6,AA66,IF($O$21=7,AG66,IF($O$21=8,AH66,IF($O$21=9,Z66,IF($O$21=10,AI66,""))))))))))</f>
        <v/>
      </c>
      <c r="AK66" s="59"/>
      <c r="ES66" s="618" t="str">
        <f>VLOOKUP(765,Sprachindex!$A:$Z,Info!$O$7,FALSE)</f>
        <v>Saumrinnenhaken</v>
      </c>
      <c r="ET66" s="619"/>
      <c r="EU66" s="619"/>
      <c r="EV66" s="619"/>
      <c r="EW66" s="619"/>
      <c r="EX66" s="323"/>
      <c r="EY66" s="299"/>
      <c r="EZ66" s="371"/>
      <c r="FA66" s="366">
        <v>15.55</v>
      </c>
      <c r="FB66" s="299">
        <v>15.55</v>
      </c>
      <c r="FC66" s="367">
        <v>13.5</v>
      </c>
      <c r="FD66" s="373"/>
      <c r="FE66" s="299"/>
      <c r="FF66" s="316"/>
      <c r="FG66" s="315"/>
      <c r="FH66" s="299"/>
      <c r="FI66" s="316"/>
      <c r="FJ66" s="315"/>
      <c r="FK66" s="299"/>
      <c r="FL66" s="316"/>
      <c r="FM66" s="315"/>
      <c r="FN66" s="299"/>
      <c r="FO66" s="316"/>
      <c r="FP66" s="315"/>
      <c r="FQ66" s="299"/>
      <c r="FR66" s="316"/>
      <c r="FS66" s="315"/>
      <c r="FT66" s="299"/>
      <c r="FU66" s="316"/>
      <c r="FV66" s="315"/>
      <c r="FW66" s="299"/>
      <c r="FX66" s="316"/>
      <c r="FY66" s="315"/>
      <c r="FZ66" s="299"/>
      <c r="GA66" s="316"/>
      <c r="GB66" s="315"/>
      <c r="GC66" s="299"/>
      <c r="GD66" s="316"/>
      <c r="GE66" s="315"/>
      <c r="GF66" s="299"/>
      <c r="GG66" s="316"/>
      <c r="GH66" s="315"/>
      <c r="GI66" s="299"/>
      <c r="GJ66" s="316"/>
      <c r="GK66" s="315"/>
      <c r="GL66" s="299"/>
      <c r="GM66" s="316"/>
      <c r="GN66" s="315"/>
      <c r="GO66" s="299"/>
      <c r="GP66" s="324"/>
      <c r="GQ66" s="120" cm="1">
        <f t="array" ref="GQ66">_xlfn.IFS($O$21=8,"",$O$21=9,FC66,TRUE,FA66)</f>
        <v>15.55</v>
      </c>
      <c r="GV66" s="306">
        <f t="shared" si="11"/>
        <v>15.55</v>
      </c>
    </row>
    <row r="67" spans="1:204" ht="32.1" customHeight="1">
      <c r="A67" s="103"/>
      <c r="B67" s="76" t="str">
        <f>VLOOKUP(1512,Sprachindex!$A:$Z,Info!$O$7,FALSE)</f>
        <v>lfm</v>
      </c>
      <c r="C67" s="75"/>
      <c r="D67" s="75" t="str">
        <f>IF($O$25=2,AJ67,IF($O$25=3,AV67,IF($O$25=4,BH67,IF($O$25=5,BT67,""))))</f>
        <v/>
      </c>
      <c r="E67" s="618" t="str">
        <f>VLOOKUP(1186,Sprachindex!$A:$Z,Info!$O$7,FALSE)</f>
        <v>Ablaufrohr mit Schutzfolie</v>
      </c>
      <c r="F67" s="619"/>
      <c r="G67" s="619"/>
      <c r="H67" s="619"/>
      <c r="I67" s="619"/>
      <c r="J67" s="681" t="str">
        <f>Formeln!A233</f>
        <v/>
      </c>
      <c r="K67" s="682"/>
      <c r="L67" s="76" t="str">
        <f t="shared" si="6"/>
        <v xml:space="preserve"> </v>
      </c>
      <c r="M67" s="405" t="str">
        <f t="shared" si="2"/>
        <v>lfm</v>
      </c>
      <c r="N67" s="77"/>
      <c r="O67" s="184" t="str">
        <f>IF(ISNUMBER(A67),L67*GV67," ")</f>
        <v xml:space="preserve"> </v>
      </c>
      <c r="R67" s="179"/>
      <c r="S67" s="179"/>
      <c r="T67" s="179"/>
      <c r="U67" s="1"/>
      <c r="V67" s="139" t="e">
        <f t="shared" si="10"/>
        <v>#VALUE!</v>
      </c>
      <c r="W67" s="139">
        <f t="shared" si="10"/>
        <v>0</v>
      </c>
      <c r="X67" s="139" t="str">
        <f>IF($O$25=1,3,IF($O$25=2,60,IF($O$25=3,39,IF($O$25=4,24,IF($O$25=5,18,"")))))</f>
        <v/>
      </c>
      <c r="Y67" s="139">
        <v>3</v>
      </c>
      <c r="Z67" s="56">
        <v>574012</v>
      </c>
      <c r="AA67" s="56">
        <v>574013</v>
      </c>
      <c r="AB67" s="56">
        <v>574009</v>
      </c>
      <c r="AC67" s="56">
        <v>574021</v>
      </c>
      <c r="AD67" s="56">
        <v>574015</v>
      </c>
      <c r="AE67" s="56">
        <v>574027</v>
      </c>
      <c r="AF67" s="56">
        <v>574024</v>
      </c>
      <c r="AG67" s="56">
        <v>574036</v>
      </c>
      <c r="AH67" s="56">
        <v>574042</v>
      </c>
      <c r="AI67" s="56"/>
      <c r="AJ67" s="59" t="str">
        <f>IF($O$21=1,AB67,IF($O$21=2,AD67,IF($O$21=3,AC67,IF($O$21=4,AE67,IF($O$21=5,AF67,IF($O$21=6,AA67,IF($O$21=7,AG67,IF($O$21=8,AH67,IF($O$21=9,Z67,"")))))))))</f>
        <v/>
      </c>
      <c r="AK67" s="59">
        <v>80</v>
      </c>
      <c r="AL67">
        <v>574005</v>
      </c>
      <c r="AM67">
        <v>574006</v>
      </c>
      <c r="AN67">
        <v>574003</v>
      </c>
      <c r="AO67">
        <v>574019</v>
      </c>
      <c r="AP67">
        <v>574001</v>
      </c>
      <c r="AQ67">
        <v>574028</v>
      </c>
      <c r="AR67">
        <v>574025</v>
      </c>
      <c r="AS67">
        <v>574030</v>
      </c>
      <c r="AT67">
        <v>574038</v>
      </c>
      <c r="AU67">
        <v>574031</v>
      </c>
      <c r="AV67" s="59" t="str">
        <f>IF($O$21=1,AN67,IF($O$21=2,AP67,IF($O$21=3,AO67,IF($O$21=4,AQ67,IF($O$21=5,AR67,IF($O$21=6,AM67,IF($O$21=7,AS67,IF($O$21=8,AT67,IF($O$21=9,AL67,IF($O$21=10,AU67,""))))))))))</f>
        <v/>
      </c>
      <c r="AW67" s="59">
        <v>100</v>
      </c>
      <c r="AX67">
        <v>574007</v>
      </c>
      <c r="AY67">
        <v>574004</v>
      </c>
      <c r="AZ67">
        <v>574010</v>
      </c>
      <c r="BA67">
        <v>574023</v>
      </c>
      <c r="BB67">
        <v>574011</v>
      </c>
      <c r="BC67">
        <v>574029</v>
      </c>
      <c r="BD67">
        <v>574026</v>
      </c>
      <c r="BE67">
        <v>574037</v>
      </c>
      <c r="BF67">
        <v>574043</v>
      </c>
      <c r="BG67"/>
      <c r="BH67" s="59" t="str">
        <f>IF($O$21=1,AZ67,IF($O$21=2,BB67,IF($O$21=3,BA67,IF($O$21=4,BC67,IF($O$21=5,BD67,IF($O$21=6,AY67,IF($O$21=7,BE67,IF($O$21=8,BF67,IF($O$21=9,AX67,"")))))))))</f>
        <v/>
      </c>
      <c r="BI67" s="59">
        <v>120</v>
      </c>
      <c r="BJ67">
        <v>574008</v>
      </c>
      <c r="BK67">
        <v>574002</v>
      </c>
      <c r="BL67">
        <v>574014</v>
      </c>
      <c r="BM67" s="57"/>
      <c r="BN67">
        <v>574017</v>
      </c>
      <c r="BO67" s="57"/>
      <c r="BP67" s="57"/>
      <c r="BQ67" s="57"/>
      <c r="BR67" s="57"/>
      <c r="BS67" s="57"/>
      <c r="BT67" s="59" t="str">
        <f>IF($O$21=1,BL67,IF($O$21=2,BN67,IF($O$21=3,BM67,IF($O$21=4,BO67,IF($O$21=5,BP67,IF($O$21=6,BK67,IF($O$21=7,BQ67,IF($O$21=8,BR67,IF($O$21=9,BJ67,"")))))))))</f>
        <v/>
      </c>
      <c r="BU67" s="59">
        <v>150</v>
      </c>
      <c r="ES67" s="618" t="str">
        <f>VLOOKUP(1186,Sprachindex!$A:$Z,Info!$O$7,FALSE)</f>
        <v>Ablaufrohr mit Schutzfolie</v>
      </c>
      <c r="ET67" s="619"/>
      <c r="EU67" s="619"/>
      <c r="EV67" s="619"/>
      <c r="EW67" s="619"/>
      <c r="EX67" s="369"/>
      <c r="EY67" s="370"/>
      <c r="EZ67" s="372"/>
      <c r="FA67" s="374"/>
      <c r="FB67" s="370"/>
      <c r="FC67" s="380" t="s">
        <v>1690</v>
      </c>
      <c r="FD67" s="299">
        <v>17.12</v>
      </c>
      <c r="FF67" s="316">
        <v>15.58</v>
      </c>
      <c r="FG67" s="374"/>
      <c r="FH67" s="370"/>
      <c r="FI67" s="376" t="s">
        <v>1661</v>
      </c>
      <c r="FJ67" s="315">
        <v>15.69</v>
      </c>
      <c r="FK67" s="299"/>
      <c r="FL67" s="316">
        <v>14.33</v>
      </c>
      <c r="FM67" s="315"/>
      <c r="FN67" s="299"/>
      <c r="FO67" s="377" t="s">
        <v>1662</v>
      </c>
      <c r="FP67" s="315">
        <v>15.97</v>
      </c>
      <c r="FQ67" s="299">
        <v>17.559999999999999</v>
      </c>
      <c r="FR67" s="316">
        <v>14.64</v>
      </c>
      <c r="FS67" s="315"/>
      <c r="FT67" s="299"/>
      <c r="FU67" s="378" t="s">
        <v>1663</v>
      </c>
      <c r="FV67" s="315">
        <v>22.06</v>
      </c>
      <c r="FW67" s="299"/>
      <c r="FX67" s="316">
        <v>20.04</v>
      </c>
      <c r="FZ67" s="299"/>
      <c r="GA67" s="379" t="s">
        <v>1664</v>
      </c>
      <c r="GB67" s="315">
        <v>29.31</v>
      </c>
      <c r="GC67" s="299"/>
      <c r="GD67" s="316">
        <v>24.95</v>
      </c>
      <c r="GE67" s="315"/>
      <c r="GF67" s="299"/>
      <c r="GG67" s="316"/>
      <c r="GH67" s="315"/>
      <c r="GI67" s="299"/>
      <c r="GJ67" s="316"/>
      <c r="GK67" s="315"/>
      <c r="GL67" s="299"/>
      <c r="GM67" s="316"/>
      <c r="GN67" s="315"/>
      <c r="GO67" s="299"/>
      <c r="GP67" s="324"/>
      <c r="GQ67" s="390" t="str">
        <f>IF(OR($O$21=1,$O$21=2,$O$21=6),FD67,IF($O$21=9,FF67," "))</f>
        <v xml:space="preserve"> </v>
      </c>
      <c r="GR67" s="295" cm="1">
        <f t="array" ref="GR67">_xlfn.IFS($O$21=10,"",$O$21=9,FL67,TRUE,FJ67)</f>
        <v>15.69</v>
      </c>
      <c r="GS67" s="296" cm="1">
        <f t="array" ref="GS67">_xlfn.IFS($O$21=10,FQ67,$O$21=9,FR67,TRUE,FP67)</f>
        <v>15.97</v>
      </c>
      <c r="GT67" s="297" cm="1">
        <f t="array" ref="GT67">_xlfn.IFS($O$21=10,"",$O$21=9,FX67,TRUE,FV67)</f>
        <v>22.06</v>
      </c>
      <c r="GU67" s="391" cm="1">
        <f t="array" ref="GU67">_xlfn.IFS($O$21=10,"",$O$21=9,GD67,TRUE,GB67)</f>
        <v>29.31</v>
      </c>
      <c r="GV67" s="306" t="str">
        <f>IF($O$25=1,GQ67,IF($O$25=2,GR67,IF($O$25=3,GS67,IF($O$25=4,GT67,IF($O$25=5,GU67," ")))))</f>
        <v xml:space="preserve"> </v>
      </c>
    </row>
    <row r="68" spans="1:204" ht="32.1" customHeight="1">
      <c r="A68" s="103"/>
      <c r="B68" s="76" t="str">
        <f>VLOOKUP(878,Sprachindex!$A:$Z,Info!$O$7,FALSE)</f>
        <v>Stk.</v>
      </c>
      <c r="C68" s="75"/>
      <c r="D68" s="75" t="str">
        <f>IF(ISNUMBER(A68),IF($O$25=3,AJ68,""),"")</f>
        <v/>
      </c>
      <c r="E68" s="618" t="str">
        <f>VLOOKUP(148,Sprachindex!$A:$Z,Info!$O$7,FALSE)</f>
        <v>Ablaufrohr (1,6 mm; DN 100)</v>
      </c>
      <c r="F68" s="619"/>
      <c r="G68" s="619"/>
      <c r="H68" s="619"/>
      <c r="I68" s="619"/>
      <c r="J68" s="681" t="str">
        <f>Formeln!A251</f>
        <v>100 ⌀ × 2950 mm</v>
      </c>
      <c r="K68" s="682"/>
      <c r="L68" s="76" t="str">
        <f t="shared" si="6"/>
        <v xml:space="preserve"> </v>
      </c>
      <c r="M68" s="405" t="str">
        <f t="shared" si="2"/>
        <v>Stk.</v>
      </c>
      <c r="N68" s="77"/>
      <c r="O68" s="184" t="str">
        <f>IF(ISNUMBER(L68),L68*GV68," ")</f>
        <v xml:space="preserve"> </v>
      </c>
      <c r="R68" s="179"/>
      <c r="S68" s="179"/>
      <c r="T68" s="179"/>
      <c r="U68" s="1"/>
      <c r="V68" s="139" t="e">
        <f t="shared" ref="V68:V95" si="12">ROUNDUP($A68/X68,0)*X68</f>
        <v>#VALUE!</v>
      </c>
      <c r="W68" s="139">
        <f t="shared" ref="W68:W101" si="13">ROUNDUP($A68/Y68,0)*Y68</f>
        <v>0</v>
      </c>
      <c r="X68" s="139" t="str">
        <f>IF($O$25=3,1,"")</f>
        <v/>
      </c>
      <c r="Y68" s="139">
        <v>1</v>
      </c>
      <c r="Z68" s="56" t="s">
        <v>1691</v>
      </c>
      <c r="AA68" s="56"/>
      <c r="AB68" s="56"/>
      <c r="AC68" s="56"/>
      <c r="AD68" s="56"/>
      <c r="AE68" s="56"/>
      <c r="AF68" s="56"/>
      <c r="AG68" s="56"/>
      <c r="AH68" s="56"/>
      <c r="AI68" s="56"/>
      <c r="AJ68" s="59" t="str">
        <f>IF($O$21=1,AB68,IF($O$21=2,AD68,IF($O$21=3,AC68,IF($O$21=4,AE68,IF($O$21=5,AF68,IF($O$21=6,AA68,IF($O$21=7,AG68,IF($O$21=8,AH68,IF($O$21=9,Z68,"")))))))))</f>
        <v/>
      </c>
      <c r="AK68" s="59"/>
      <c r="ES68" s="618" t="str">
        <f>VLOOKUP(148,Sprachindex!$A:$Z,Info!$O$7,FALSE)</f>
        <v>Ablaufrohr (1,6 mm; DN 100)</v>
      </c>
      <c r="ET68" s="619"/>
      <c r="EU68" s="619"/>
      <c r="EV68" s="619"/>
      <c r="EW68" s="619"/>
      <c r="EX68" s="323"/>
      <c r="EY68" s="299"/>
      <c r="EZ68" s="316"/>
      <c r="FA68" s="315"/>
      <c r="FB68" s="299"/>
      <c r="FC68" s="377" t="s">
        <v>1662</v>
      </c>
      <c r="FD68" s="315">
        <v>171.71</v>
      </c>
      <c r="FE68" s="299"/>
      <c r="FF68" s="316">
        <v>165.52</v>
      </c>
      <c r="FG68" s="315"/>
      <c r="FH68" s="299"/>
      <c r="FI68" s="316"/>
      <c r="FJ68" s="315"/>
      <c r="FK68" s="299"/>
      <c r="FL68" s="316"/>
      <c r="FM68" s="315"/>
      <c r="FN68" s="299"/>
      <c r="FO68" s="316"/>
      <c r="FP68" s="315"/>
      <c r="FQ68" s="299"/>
      <c r="FR68" s="316"/>
      <c r="FS68" s="315"/>
      <c r="FT68" s="299"/>
      <c r="FU68" s="316"/>
      <c r="FV68" s="315"/>
      <c r="FW68" s="299"/>
      <c r="FX68" s="316"/>
      <c r="FY68" s="315"/>
      <c r="FZ68" s="299"/>
      <c r="GA68" s="316"/>
      <c r="GB68" s="315"/>
      <c r="GC68" s="299"/>
      <c r="GD68" s="316"/>
      <c r="GE68" s="315"/>
      <c r="GF68" s="299"/>
      <c r="GG68" s="316"/>
      <c r="GH68" s="315"/>
      <c r="GI68" s="299"/>
      <c r="GJ68" s="316"/>
      <c r="GK68" s="315"/>
      <c r="GL68" s="299"/>
      <c r="GM68" s="316"/>
      <c r="GN68" s="315"/>
      <c r="GO68" s="299"/>
      <c r="GP68" s="324"/>
      <c r="GQ68" s="1" cm="1">
        <f t="array" ref="GQ68">_xlfn.IFS($O$21=10,"",$O$21=9,FA68,TRUE,EY68)</f>
        <v>0</v>
      </c>
      <c r="GS68" s="296" cm="1">
        <f t="array" ref="GS68">_xlfn.IFS($O$21=10,"",$O$21=9,FF68,TRUE,FD68)</f>
        <v>171.71</v>
      </c>
      <c r="GV68" s="306">
        <f>GS68</f>
        <v>171.71</v>
      </c>
    </row>
    <row r="69" spans="1:204" ht="32.1" customHeight="1">
      <c r="A69" s="103"/>
      <c r="B69" s="76" t="str">
        <f>VLOOKUP(878,Sprachindex!$A:$Z,Info!$O$7,FALSE)</f>
        <v>Stk.</v>
      </c>
      <c r="C69" s="75"/>
      <c r="D69" s="75" t="str">
        <f>IF($O$25=2,AJ69,IF($O$25=3,AV69,IF($O$25=4,BH69,IF($O$25=5,BT69,IF($O$25=1,CF69,"")))))</f>
        <v/>
      </c>
      <c r="E69" s="618" t="str">
        <f>VLOOKUP(742,Sprachindex!$A:$Z,Info!$O$7,FALSE)</f>
        <v>Rohrschelle (mit M10 Gewinde; ohne Dorn)</v>
      </c>
      <c r="F69" s="619"/>
      <c r="G69" s="619"/>
      <c r="H69" s="619"/>
      <c r="I69" s="619"/>
      <c r="J69" s="681" t="str">
        <f>Formeln!A233</f>
        <v/>
      </c>
      <c r="K69" s="682"/>
      <c r="L69" s="76" t="str">
        <f t="shared" si="6"/>
        <v xml:space="preserve"> </v>
      </c>
      <c r="M69" s="405" t="str">
        <f t="shared" si="2"/>
        <v>Stk.</v>
      </c>
      <c r="N69" s="77"/>
      <c r="O69" s="184" t="str">
        <f>IF(ISNUMBER(A69),L69*GV69," ")</f>
        <v xml:space="preserve"> </v>
      </c>
      <c r="R69" s="179"/>
      <c r="S69" s="179"/>
      <c r="T69" s="179"/>
      <c r="U69" s="1"/>
      <c r="V69" s="139" t="e">
        <f t="shared" si="12"/>
        <v>#VALUE!</v>
      </c>
      <c r="W69" s="139">
        <f t="shared" si="13"/>
        <v>0</v>
      </c>
      <c r="X69" s="139" t="str">
        <f>IF($O$25=1,2,IF($O$25=2,25,IF($O$25=3,25,IF($O$25=4,25,IF($O$25=5,15,"")))))</f>
        <v/>
      </c>
      <c r="Y69" s="139">
        <v>1</v>
      </c>
      <c r="Z69" s="56">
        <v>529600</v>
      </c>
      <c r="AA69" s="56">
        <v>529603</v>
      </c>
      <c r="AB69" s="56">
        <v>529601</v>
      </c>
      <c r="AC69" s="56">
        <v>529605</v>
      </c>
      <c r="AD69" s="56">
        <v>529602</v>
      </c>
      <c r="AE69" s="56">
        <v>529606</v>
      </c>
      <c r="AF69" s="56">
        <v>529604</v>
      </c>
      <c r="AG69" s="56">
        <v>529608</v>
      </c>
      <c r="AH69" s="56">
        <v>529609</v>
      </c>
      <c r="AI69" s="56"/>
      <c r="AJ69" s="59" t="str">
        <f>IF($O$21=1,AB69,IF($O$21=2,AD69,IF($O$21=3,AC69,IF($O$21=4,AE69,IF($O$21=5,AF69,IF($O$21=6,AA69,IF($O$21=7,AG69,IF($O$21=8,AH69,IF($O$21=9,Z69,"")))))))))</f>
        <v/>
      </c>
      <c r="AK69" s="59">
        <v>80</v>
      </c>
      <c r="AL69">
        <v>529620</v>
      </c>
      <c r="AM69">
        <v>529623</v>
      </c>
      <c r="AN69">
        <v>529621</v>
      </c>
      <c r="AO69">
        <v>529625</v>
      </c>
      <c r="AP69">
        <v>529622</v>
      </c>
      <c r="AQ69">
        <v>529626</v>
      </c>
      <c r="AR69">
        <v>529624</v>
      </c>
      <c r="AS69">
        <v>529628</v>
      </c>
      <c r="AT69">
        <v>529629</v>
      </c>
      <c r="AU69">
        <v>529631</v>
      </c>
      <c r="AV69" s="59" t="str">
        <f>IF($O$21=1,AN69,IF($O$21=2,AP69,IF($O$21=3,AO69,IF($O$21=4,AQ69,IF($O$21=5,AR69,IF($O$21=6,AM69,IF($O$21=7,AS69,IF($O$21=8,AT69,IF($O$21=9,AL69,IF($O$21=10,AU69,""))))))))))</f>
        <v/>
      </c>
      <c r="AW69" s="59">
        <v>100</v>
      </c>
      <c r="AX69">
        <v>529640</v>
      </c>
      <c r="AY69">
        <v>529643</v>
      </c>
      <c r="AZ69">
        <v>529641</v>
      </c>
      <c r="BA69">
        <v>529645</v>
      </c>
      <c r="BB69">
        <v>529642</v>
      </c>
      <c r="BC69">
        <v>529646</v>
      </c>
      <c r="BD69">
        <v>529644</v>
      </c>
      <c r="BE69">
        <v>529648</v>
      </c>
      <c r="BF69">
        <v>529649</v>
      </c>
      <c r="BG69"/>
      <c r="BH69" s="59" t="str">
        <f>IF($O$21=1,AZ69,IF($O$21=2,BB69,IF($O$21=3,BA69,IF($O$21=4,BC69,IF($O$21=5,BD69,IF($O$21=6,AY69,IF($O$21=7,BE69,IF($O$21=8,BF69,IF($O$21=9,AX69,"")))))))))</f>
        <v/>
      </c>
      <c r="BI69" s="59">
        <v>120</v>
      </c>
      <c r="BJ69">
        <v>529710</v>
      </c>
      <c r="BK69">
        <v>529702</v>
      </c>
      <c r="BL69">
        <v>529700</v>
      </c>
      <c r="BM69" s="57"/>
      <c r="BN69">
        <v>529701</v>
      </c>
      <c r="BO69" s="57"/>
      <c r="BP69" s="57"/>
      <c r="BQ69" s="57"/>
      <c r="BR69" s="57"/>
      <c r="BS69" s="57"/>
      <c r="BT69" s="59" t="str">
        <f>IF($O$21=1,BL69,IF($O$21=2,BN69,IF($O$21=3,BM69,IF($O$21=4,BO69,IF($O$21=5,BP69,IF($O$21=6,BK69,IF($O$21=7,BQ69,IF($O$21=8,BR69,IF($O$21=9,BJ69,"")))))))))</f>
        <v/>
      </c>
      <c r="BU69" s="59">
        <v>150</v>
      </c>
      <c r="BV69" s="56">
        <v>529670</v>
      </c>
      <c r="BW69" s="56">
        <v>529673</v>
      </c>
      <c r="BX69" s="56">
        <v>529671</v>
      </c>
      <c r="BY69" s="57"/>
      <c r="BZ69" s="56">
        <v>529672</v>
      </c>
      <c r="CA69" s="57"/>
      <c r="CB69" s="57"/>
      <c r="CC69" s="57"/>
      <c r="CD69" s="57"/>
      <c r="CE69" s="57"/>
      <c r="CF69" s="59" t="str">
        <f>IF($O$21=1,BX69,IF($O$21=2,BZ69,IF($O$21=3,BY69,IF($O$21=4,CA69,IF($O$21=5,CB69,IF($O$21=6,BW69,IF($O$21=7,CC69,IF($O$21=8,CD69,IF($O$21=9,BV69,"")))))))))</f>
        <v/>
      </c>
      <c r="CG69" s="59">
        <v>60</v>
      </c>
      <c r="ES69" s="618" t="str">
        <f>VLOOKUP(742,Sprachindex!$A:$Z,Info!$O$7,FALSE)</f>
        <v>Rohrschelle (mit M10 Gewinde; ohne Dorn)</v>
      </c>
      <c r="ET69" s="619"/>
      <c r="EU69" s="619"/>
      <c r="EV69" s="619"/>
      <c r="EW69" s="619"/>
      <c r="EX69" s="323"/>
      <c r="EY69" s="299"/>
      <c r="EZ69" s="316"/>
      <c r="FA69" s="315"/>
      <c r="FB69" s="299"/>
      <c r="FC69" s="316"/>
      <c r="FD69" s="315">
        <v>8.09</v>
      </c>
      <c r="FE69" s="380" t="s">
        <v>1690</v>
      </c>
      <c r="FF69" s="316">
        <v>7.37</v>
      </c>
      <c r="FG69" s="315"/>
      <c r="FH69" s="299"/>
      <c r="FJ69" s="315">
        <v>7.21</v>
      </c>
      <c r="FK69" s="376" t="s">
        <v>1661</v>
      </c>
      <c r="FL69" s="316">
        <v>5.16</v>
      </c>
      <c r="FM69" s="315"/>
      <c r="FN69" s="299"/>
      <c r="FP69" s="315">
        <v>7.66</v>
      </c>
      <c r="FQ69" s="377" t="s">
        <v>1662</v>
      </c>
      <c r="FR69" s="316">
        <v>5.38</v>
      </c>
      <c r="FS69" s="315"/>
      <c r="FT69" s="299"/>
      <c r="FV69" s="315">
        <v>8.7200000000000006</v>
      </c>
      <c r="FW69" s="378" t="s">
        <v>1663</v>
      </c>
      <c r="FX69" s="316">
        <v>6.08</v>
      </c>
      <c r="FY69" s="315"/>
      <c r="FZ69" s="299"/>
      <c r="GA69" s="316"/>
      <c r="GB69" s="315">
        <v>12.23</v>
      </c>
      <c r="GC69" s="379" t="s">
        <v>1664</v>
      </c>
      <c r="GD69" s="316">
        <v>10.210000000000001</v>
      </c>
      <c r="GE69" s="315"/>
      <c r="GF69" s="299"/>
      <c r="GG69" s="316"/>
      <c r="GH69" s="315"/>
      <c r="GI69" s="299"/>
      <c r="GJ69" s="316"/>
      <c r="GK69" s="315"/>
      <c r="GL69" s="299"/>
      <c r="GM69" s="316"/>
      <c r="GN69" s="315"/>
      <c r="GO69" s="299"/>
      <c r="GP69" s="324"/>
      <c r="GQ69" s="390" t="str">
        <f>IF(OR($O$21=1,$O$21=2,$O$21=6),FD69,IF($O$21=9,FF69," "))</f>
        <v xml:space="preserve"> </v>
      </c>
      <c r="GR69" s="295" cm="1">
        <f t="array" ref="GR69">_xlfn.IFS($O$21=9,FL69,$O$21=10,"",TRUE,FJ69)</f>
        <v>7.21</v>
      </c>
      <c r="GS69" s="296" cm="1">
        <f t="array" ref="GS69">_xlfn.IFS($O$21=9,FR69,$O$21=10,8.43,TRUE,FP69)</f>
        <v>7.66</v>
      </c>
      <c r="GT69" s="297" cm="1">
        <f t="array" ref="GT69">_xlfn.IFS($O$21=9,FX69,$O$21=10,"",TRUE,FV69)</f>
        <v>8.7200000000000006</v>
      </c>
      <c r="GU69" s="391" t="str">
        <f>IF(OR($O$21=1,$O$21=2,$O$21=6),GB69,IF($O$21=9,GD69," "))</f>
        <v xml:space="preserve"> </v>
      </c>
      <c r="GV69" s="306" t="str">
        <f>IF($O$25=1,GQ69,IF($O$25=2,GR69,IF($O$25=3,GS69,IF($O$25=4,GT69,IF($O$25=5,GU69," ")))))</f>
        <v xml:space="preserve"> </v>
      </c>
    </row>
    <row r="70" spans="1:204" ht="32.1" customHeight="1">
      <c r="A70" s="103"/>
      <c r="B70" s="76" t="str">
        <f>VLOOKUP(878,Sprachindex!$A:$Z,Info!$O$7,FALSE)</f>
        <v>Stk.</v>
      </c>
      <c r="C70" s="75"/>
      <c r="D70" s="75">
        <f>IF(J70=Formeln!B153,345030,IF(J70=Formeln!B154,345031,IF(J70=Formeln!B155,345032,IF(J70=Formeln!B152,345033,""))))</f>
        <v>345033</v>
      </c>
      <c r="E70" s="618" t="str">
        <f>VLOOKUP(744,Sprachindex!$A:$Z,Info!$O$7,FALSE)</f>
        <v>Rohrschellendorn für WDVS-Rohrschellendübel ⌀ 10</v>
      </c>
      <c r="F70" s="619"/>
      <c r="G70" s="619"/>
      <c r="H70" s="619"/>
      <c r="I70" s="81" t="str">
        <f>VLOOKUP(556,Sprachindex!$A:$Z,Info!$O$7,FALSE)</f>
        <v>Länge wählen:</v>
      </c>
      <c r="J70" s="631"/>
      <c r="K70" s="706"/>
      <c r="L70" s="76" t="str">
        <f t="shared" si="6"/>
        <v xml:space="preserve"> </v>
      </c>
      <c r="M70" s="405" t="str">
        <f t="shared" si="2"/>
        <v>Stk.</v>
      </c>
      <c r="N70" s="77"/>
      <c r="O70" s="184" t="str">
        <f>IF(ISNUMBER(A70),L70*GV70," ")</f>
        <v xml:space="preserve"> </v>
      </c>
      <c r="R70" s="179"/>
      <c r="S70" s="179"/>
      <c r="T70" s="179"/>
      <c r="U70" s="1"/>
      <c r="V70" s="139" t="e">
        <f t="shared" si="12"/>
        <v>#VALUE!</v>
      </c>
      <c r="W70" s="139">
        <f t="shared" si="13"/>
        <v>0</v>
      </c>
      <c r="X70" s="139" t="str">
        <f>IF(J70=Formeln!$B$152,"",25)</f>
        <v/>
      </c>
      <c r="Y70" s="139">
        <v>1</v>
      </c>
      <c r="ES70" s="618" t="str">
        <f>VLOOKUP(744,Sprachindex!$A:$Z,Info!$O$7,FALSE)</f>
        <v>Rohrschellendorn für WDVS-Rohrschellendübel ⌀ 10</v>
      </c>
      <c r="ET70" s="619"/>
      <c r="EU70" s="619"/>
      <c r="EV70" s="619"/>
      <c r="EW70" s="286" t="str">
        <f>VLOOKUP(556,Sprachindex!$A:$Z,Info!$O$7,FALSE)</f>
        <v>Länge wählen:</v>
      </c>
      <c r="EX70" s="323"/>
      <c r="EY70" s="299"/>
      <c r="EZ70" s="316"/>
      <c r="FA70" s="315"/>
      <c r="FB70" s="299"/>
      <c r="FC70" s="316"/>
      <c r="FD70" s="315"/>
      <c r="FE70" s="350" t="s">
        <v>1639</v>
      </c>
      <c r="FF70" s="316">
        <v>1.67</v>
      </c>
      <c r="FG70" s="315"/>
      <c r="FH70" s="350" t="s">
        <v>1640</v>
      </c>
      <c r="FI70" s="316">
        <v>2.04</v>
      </c>
      <c r="FJ70" s="315"/>
      <c r="FK70" s="350" t="s">
        <v>1638</v>
      </c>
      <c r="FL70" s="316">
        <v>4.34</v>
      </c>
      <c r="FM70" s="315"/>
      <c r="FN70" s="299"/>
      <c r="FO70" s="316"/>
      <c r="FP70" s="315"/>
      <c r="FQ70" s="299"/>
      <c r="FR70" s="316"/>
      <c r="FS70" s="315"/>
      <c r="FT70" s="299"/>
      <c r="FU70" s="316"/>
      <c r="FV70" s="315"/>
      <c r="FW70" s="299"/>
      <c r="FX70" s="316"/>
      <c r="FY70" s="315"/>
      <c r="FZ70" s="299"/>
      <c r="GA70" s="316"/>
      <c r="GB70" s="315"/>
      <c r="GC70" s="299"/>
      <c r="GD70" s="316"/>
      <c r="GE70" s="315"/>
      <c r="GF70" s="299"/>
      <c r="GG70" s="316"/>
      <c r="GH70" s="315"/>
      <c r="GI70" s="299"/>
      <c r="GJ70" s="316"/>
      <c r="GK70" s="315"/>
      <c r="GL70" s="299"/>
      <c r="GM70" s="316"/>
      <c r="GN70" s="315"/>
      <c r="GO70" s="299"/>
      <c r="GP70" s="324"/>
      <c r="GV70" s="306" t="str">
        <f>IF(J70=FE70,FF70,IF(J70=FH70,FI70,IF(J70=FK70,FL70," ")))</f>
        <v xml:space="preserve"> </v>
      </c>
    </row>
    <row r="71" spans="1:204" ht="32.1" customHeight="1">
      <c r="A71" s="103"/>
      <c r="B71" s="76" t="str">
        <f>VLOOKUP(878,Sprachindex!$A:$Z,Info!$O$7,FALSE)</f>
        <v>Stk.</v>
      </c>
      <c r="C71" s="75"/>
      <c r="D71" s="75">
        <v>345033</v>
      </c>
      <c r="E71" s="618" t="str">
        <f>VLOOKUP(743,Sprachindex!$A:$Z,Info!$O$7,FALSE)</f>
        <v>Rohrschellendorn</v>
      </c>
      <c r="F71" s="619"/>
      <c r="G71" s="619"/>
      <c r="H71" s="619"/>
      <c r="I71" s="647"/>
      <c r="J71" s="631" t="s">
        <v>1692</v>
      </c>
      <c r="K71" s="632"/>
      <c r="L71" s="76" t="str">
        <f>IF(OR(A71="",X71="",Y71="")," ",IF($O$11=1,$V71,IF($O$11=2,W71,0)))</f>
        <v xml:space="preserve"> </v>
      </c>
      <c r="M71" s="405" t="str">
        <f t="shared" si="2"/>
        <v>Stk.</v>
      </c>
      <c r="N71" s="77"/>
      <c r="O71" s="184" t="str">
        <f>IF(ISNUMBER(A71),L71*GV71," ")</f>
        <v xml:space="preserve"> </v>
      </c>
      <c r="R71" s="179"/>
      <c r="S71" s="179"/>
      <c r="T71" s="179"/>
      <c r="U71" s="1"/>
      <c r="V71" s="139">
        <f t="shared" ref="V71" si="14">ROUNDUP($A71/X71,0)*X71</f>
        <v>0</v>
      </c>
      <c r="W71" s="139">
        <f t="shared" ref="W71" si="15">ROUNDUP($A71/Y71,0)*Y71</f>
        <v>0</v>
      </c>
      <c r="X71" s="139">
        <f>IF(J71=Formeln!$B$152,"",25)</f>
        <v>25</v>
      </c>
      <c r="Y71" s="139">
        <v>1</v>
      </c>
      <c r="ES71" s="618" t="str">
        <f>E71</f>
        <v>Rohrschellendorn</v>
      </c>
      <c r="ET71" s="619"/>
      <c r="EU71" s="619"/>
      <c r="EV71" s="619"/>
      <c r="EW71" s="758"/>
      <c r="EX71" s="472"/>
      <c r="EY71" s="473"/>
      <c r="EZ71" s="474"/>
      <c r="FA71" s="315"/>
      <c r="FB71" s="299"/>
      <c r="FC71" s="316"/>
      <c r="FD71" s="475"/>
      <c r="FE71" s="476"/>
      <c r="FF71" s="474"/>
      <c r="FG71" s="315"/>
      <c r="FH71" s="350"/>
      <c r="FI71" s="316"/>
      <c r="FJ71" s="475"/>
      <c r="FK71" s="476"/>
      <c r="FL71" s="474"/>
      <c r="FM71" s="315"/>
      <c r="FN71" s="299"/>
      <c r="FO71" s="316"/>
      <c r="FP71" s="315"/>
      <c r="FQ71" s="299"/>
      <c r="FR71" s="316"/>
      <c r="FS71" s="315"/>
      <c r="FT71" s="299"/>
      <c r="FU71" s="316"/>
      <c r="FV71" s="315"/>
      <c r="FW71" s="299"/>
      <c r="FX71" s="316"/>
      <c r="FY71" s="315"/>
      <c r="FZ71" s="299"/>
      <c r="GA71" s="316"/>
      <c r="GB71" s="315"/>
      <c r="GC71" s="299"/>
      <c r="GD71" s="316"/>
      <c r="GE71" s="315"/>
      <c r="GF71" s="299"/>
      <c r="GG71" s="316"/>
      <c r="GH71" s="315"/>
      <c r="GI71" s="299"/>
      <c r="GJ71" s="316"/>
      <c r="GK71" s="315"/>
      <c r="GL71" s="299"/>
      <c r="GM71" s="316"/>
      <c r="GN71" s="315"/>
      <c r="GO71" s="299"/>
      <c r="GP71" s="324"/>
      <c r="GV71" s="306">
        <v>1.56</v>
      </c>
    </row>
    <row r="72" spans="1:204" ht="32.1" customHeight="1">
      <c r="A72" s="103"/>
      <c r="B72" s="76" t="str">
        <f>VLOOKUP(878,Sprachindex!$A:$Z,Info!$O$7,FALSE)</f>
        <v>Stk.</v>
      </c>
      <c r="C72" s="75"/>
      <c r="D72" s="75" t="str">
        <f>IF(J72=Formeln!A281,345040,IF(J72=Formeln!A282,345041,IF(J72=Formeln!A283,345042,"")))</f>
        <v/>
      </c>
      <c r="E72" s="618" t="str">
        <f>VLOOKUP(745,Sprachindex!$A:$Z,Info!$O$7,FALSE)</f>
        <v>WDVS-Rohrschellendübel ⌀ 10</v>
      </c>
      <c r="F72" s="619"/>
      <c r="G72" s="619"/>
      <c r="H72" s="619"/>
      <c r="I72" s="81" t="str">
        <f>VLOOKUP(556,Sprachindex!$A:$Z,Info!$O$7,FALSE)</f>
        <v>Länge wählen:</v>
      </c>
      <c r="J72" s="631"/>
      <c r="K72" s="706"/>
      <c r="L72" s="76" t="str">
        <f t="shared" si="6"/>
        <v xml:space="preserve"> </v>
      </c>
      <c r="M72" s="405" t="str">
        <f t="shared" si="2"/>
        <v>Stk.</v>
      </c>
      <c r="N72" s="77"/>
      <c r="O72" s="184" t="str">
        <f t="shared" ref="O72:O81" si="16">IF(ISNUMBER(A72),L72*GV72," ")</f>
        <v xml:space="preserve"> </v>
      </c>
      <c r="R72" s="179"/>
      <c r="S72" s="179"/>
      <c r="T72" s="179"/>
      <c r="U72" s="1"/>
      <c r="V72" s="139" t="e">
        <f t="shared" si="12"/>
        <v>#VALUE!</v>
      </c>
      <c r="W72" s="139">
        <f t="shared" si="13"/>
        <v>0</v>
      </c>
      <c r="X72" s="139" t="str">
        <f>IF(J72=Formeln!$A$278,"",25)</f>
        <v/>
      </c>
      <c r="Y72" s="139">
        <v>1</v>
      </c>
      <c r="ES72" s="618" t="str">
        <f>VLOOKUP(745,Sprachindex!$A:$Z,Info!$O$7,FALSE)</f>
        <v>WDVS-Rohrschellendübel ⌀ 10</v>
      </c>
      <c r="ET72" s="619"/>
      <c r="EU72" s="619"/>
      <c r="EV72" s="619"/>
      <c r="EW72" s="286" t="str">
        <f>VLOOKUP(556,Sprachindex!$A:$Z,Info!$O$7,FALSE)</f>
        <v>Länge wählen:</v>
      </c>
      <c r="EX72" s="738" t="s">
        <v>1033</v>
      </c>
      <c r="EY72" s="739"/>
      <c r="EZ72" s="740"/>
      <c r="FA72" s="315">
        <v>1.19</v>
      </c>
      <c r="FB72" s="299"/>
      <c r="FC72" s="316"/>
      <c r="FD72" s="741" t="s">
        <v>1034</v>
      </c>
      <c r="FE72" s="739"/>
      <c r="FF72" s="740"/>
      <c r="FG72" s="315">
        <v>1.39</v>
      </c>
      <c r="FH72" s="299"/>
      <c r="FI72" s="316"/>
      <c r="FJ72" s="741" t="s">
        <v>1035</v>
      </c>
      <c r="FK72" s="739"/>
      <c r="FL72" s="740"/>
      <c r="FM72" s="315">
        <v>1.6</v>
      </c>
      <c r="FN72" s="299"/>
      <c r="FO72" s="316"/>
      <c r="FP72" s="315"/>
      <c r="FQ72" s="299"/>
      <c r="FR72" s="316"/>
      <c r="FS72" s="315"/>
      <c r="FT72" s="299"/>
      <c r="FU72" s="316"/>
      <c r="FV72" s="315"/>
      <c r="FW72" s="299"/>
      <c r="FX72" s="316"/>
      <c r="FY72" s="315"/>
      <c r="FZ72" s="299"/>
      <c r="GA72" s="316"/>
      <c r="GB72" s="315"/>
      <c r="GC72" s="299"/>
      <c r="GD72" s="316"/>
      <c r="GE72" s="315"/>
      <c r="GF72" s="299"/>
      <c r="GG72" s="316"/>
      <c r="GH72" s="315"/>
      <c r="GI72" s="299"/>
      <c r="GJ72" s="316"/>
      <c r="GK72" s="315"/>
      <c r="GL72" s="299"/>
      <c r="GM72" s="316"/>
      <c r="GN72" s="315"/>
      <c r="GO72" s="299"/>
      <c r="GP72" s="324"/>
      <c r="GV72" s="306" t="str">
        <f>IF(J72=EX72,FA72,IF(J72=FD72,FG72,IF(J72=FJ72,FM72," ")))</f>
        <v xml:space="preserve"> </v>
      </c>
    </row>
    <row r="73" spans="1:204" ht="32.1" customHeight="1">
      <c r="A73" s="103"/>
      <c r="B73" s="76" t="str">
        <f>VLOOKUP(878,Sprachindex!$A:$Z,Info!$O$7,FALSE)</f>
        <v>Stk.</v>
      </c>
      <c r="C73" s="75"/>
      <c r="D73" s="75">
        <v>345015</v>
      </c>
      <c r="E73" s="618" t="str">
        <f>VLOOKUP(587,Sprachindex!$A:$Z,Info!$O$7,FALSE)</f>
        <v>M10-Gewindedorn</v>
      </c>
      <c r="F73" s="619"/>
      <c r="G73" s="619"/>
      <c r="H73" s="619"/>
      <c r="I73" s="619"/>
      <c r="J73" s="681" t="str">
        <f>VLOOKUP(64,Sprachindex!$A:$Z,Info!$O$7,FALSE)</f>
        <v>195 mm lang</v>
      </c>
      <c r="K73" s="682"/>
      <c r="L73" s="76" t="str">
        <f t="shared" si="6"/>
        <v xml:space="preserve"> </v>
      </c>
      <c r="M73" s="405" t="str">
        <f t="shared" si="2"/>
        <v>Stk.</v>
      </c>
      <c r="N73" s="77"/>
      <c r="O73" s="184" t="str">
        <f t="shared" si="16"/>
        <v xml:space="preserve"> </v>
      </c>
      <c r="R73" s="179"/>
      <c r="S73" s="179"/>
      <c r="T73" s="179"/>
      <c r="U73" s="1"/>
      <c r="V73" s="139">
        <f t="shared" si="12"/>
        <v>0</v>
      </c>
      <c r="W73" s="139">
        <f t="shared" si="13"/>
        <v>0</v>
      </c>
      <c r="X73" s="139">
        <v>100</v>
      </c>
      <c r="Y73" s="139">
        <v>1</v>
      </c>
      <c r="ES73" s="618" t="str">
        <f>VLOOKUP(587,Sprachindex!$A:$Z,Info!$O$7,FALSE)</f>
        <v>M10-Gewindedorn</v>
      </c>
      <c r="ET73" s="619"/>
      <c r="EU73" s="619"/>
      <c r="EV73" s="619"/>
      <c r="EW73" s="619"/>
      <c r="EX73" s="323"/>
      <c r="EY73" s="299"/>
      <c r="EZ73" s="316"/>
      <c r="FA73" s="315"/>
      <c r="FB73" s="299"/>
      <c r="FC73" s="316"/>
      <c r="FD73" s="315"/>
      <c r="FE73" s="299"/>
      <c r="FF73" s="316"/>
      <c r="FG73" s="315"/>
      <c r="FH73" s="299"/>
      <c r="FI73" s="316"/>
      <c r="FJ73" s="315"/>
      <c r="FK73" s="299"/>
      <c r="FL73" s="316"/>
      <c r="FM73" s="315"/>
      <c r="FN73" s="299"/>
      <c r="FO73" s="316"/>
      <c r="FP73" s="315"/>
      <c r="FQ73" s="299"/>
      <c r="FR73" s="316"/>
      <c r="FS73" s="315"/>
      <c r="FT73" s="299"/>
      <c r="FU73" s="316"/>
      <c r="FV73" s="315"/>
      <c r="FW73" s="299"/>
      <c r="FX73" s="316"/>
      <c r="FY73" s="315"/>
      <c r="FZ73" s="299"/>
      <c r="GA73" s="316"/>
      <c r="GB73" s="315"/>
      <c r="GC73" s="299"/>
      <c r="GD73" s="316"/>
      <c r="GE73" s="315"/>
      <c r="GF73" s="299"/>
      <c r="GG73" s="316"/>
      <c r="GH73" s="315"/>
      <c r="GI73" s="299"/>
      <c r="GJ73" s="316"/>
      <c r="GK73" s="315"/>
      <c r="GL73" s="299"/>
      <c r="GM73" s="316"/>
      <c r="GN73" s="315"/>
      <c r="GO73" s="299"/>
      <c r="GP73" s="324"/>
      <c r="GQ73" s="1">
        <v>3.3</v>
      </c>
      <c r="GV73" s="306">
        <f>GQ73</f>
        <v>3.3</v>
      </c>
    </row>
    <row r="74" spans="1:204" ht="32.1" customHeight="1">
      <c r="A74" s="103"/>
      <c r="B74" s="76" t="str">
        <f>VLOOKUP(878,Sprachindex!$A:$Z,Info!$O$7,FALSE)</f>
        <v>Stk.</v>
      </c>
      <c r="C74" s="75"/>
      <c r="D74" s="75" t="str">
        <f>IF(J74=Formeln!A160,420305,IF(J74=Formeln!A161,420306,""))</f>
        <v/>
      </c>
      <c r="E74" s="618" t="str">
        <f>VLOOKUP(746,Sprachindex!$A:$Z,Info!$O$7,FALSE)</f>
        <v>Rohrschellenhalter für WDVS</v>
      </c>
      <c r="F74" s="619"/>
      <c r="G74" s="619"/>
      <c r="H74" s="619"/>
      <c r="I74" s="81" t="str">
        <f>VLOOKUP(556,Sprachindex!$A:$Z,Info!$O$7,FALSE)</f>
        <v>Länge wählen:</v>
      </c>
      <c r="J74" s="631"/>
      <c r="K74" s="706"/>
      <c r="L74" s="76" t="str">
        <f t="shared" si="6"/>
        <v xml:space="preserve"> </v>
      </c>
      <c r="M74" s="405" t="str">
        <f t="shared" si="2"/>
        <v>Stk.</v>
      </c>
      <c r="N74" s="77"/>
      <c r="O74" s="184" t="str">
        <f t="shared" si="16"/>
        <v xml:space="preserve"> </v>
      </c>
      <c r="R74" s="179"/>
      <c r="S74" s="179"/>
      <c r="T74" s="179"/>
      <c r="U74" s="1"/>
      <c r="V74" s="139" t="e">
        <f t="shared" si="12"/>
        <v>#VALUE!</v>
      </c>
      <c r="W74" s="139">
        <f t="shared" si="13"/>
        <v>0</v>
      </c>
      <c r="X74" s="139" t="str">
        <f>IF(J74=Formeln!$A$159,"",4)</f>
        <v/>
      </c>
      <c r="Y74" s="139">
        <v>1</v>
      </c>
      <c r="Z74" s="149" t="s">
        <v>84</v>
      </c>
      <c r="AA74" s="47" t="s">
        <v>99</v>
      </c>
      <c r="AB74" s="47" t="s">
        <v>94</v>
      </c>
      <c r="AC74" s="47" t="s">
        <v>97</v>
      </c>
      <c r="AD74" s="47" t="s">
        <v>95</v>
      </c>
      <c r="AE74" s="47" t="s">
        <v>98</v>
      </c>
      <c r="AF74" s="47" t="s">
        <v>102</v>
      </c>
      <c r="AG74" s="47" t="s">
        <v>103</v>
      </c>
      <c r="AH74" s="47" t="s">
        <v>1459</v>
      </c>
      <c r="AI74" s="47"/>
      <c r="AJ74" s="47"/>
      <c r="AK74" s="59"/>
      <c r="AL74" s="47" t="s">
        <v>84</v>
      </c>
      <c r="AM74" s="47" t="s">
        <v>99</v>
      </c>
      <c r="AN74" s="47" t="s">
        <v>94</v>
      </c>
      <c r="AO74" s="47" t="s">
        <v>97</v>
      </c>
      <c r="AP74" s="47" t="s">
        <v>95</v>
      </c>
      <c r="AQ74" s="47" t="s">
        <v>98</v>
      </c>
      <c r="AR74" s="47" t="s">
        <v>102</v>
      </c>
      <c r="AS74" s="47" t="s">
        <v>103</v>
      </c>
      <c r="AT74" s="47" t="s">
        <v>1459</v>
      </c>
      <c r="AU74" s="47"/>
      <c r="AV74" s="47"/>
      <c r="AW74" s="59"/>
      <c r="AX74" s="47" t="s">
        <v>84</v>
      </c>
      <c r="AY74" s="47" t="s">
        <v>99</v>
      </c>
      <c r="AZ74" s="47" t="s">
        <v>94</v>
      </c>
      <c r="BA74" s="47" t="s">
        <v>97</v>
      </c>
      <c r="BB74" s="47" t="s">
        <v>95</v>
      </c>
      <c r="BC74" s="47" t="s">
        <v>98</v>
      </c>
      <c r="BD74" s="47" t="s">
        <v>102</v>
      </c>
      <c r="BE74" s="47" t="s">
        <v>103</v>
      </c>
      <c r="BF74" s="47" t="s">
        <v>1459</v>
      </c>
      <c r="BG74" s="47"/>
      <c r="BH74" s="47"/>
      <c r="BI74" s="59"/>
      <c r="BJ74" s="47" t="s">
        <v>84</v>
      </c>
      <c r="BK74" s="47" t="s">
        <v>99</v>
      </c>
      <c r="BL74" s="47" t="s">
        <v>94</v>
      </c>
      <c r="BM74" s="47" t="s">
        <v>97</v>
      </c>
      <c r="BN74" s="47" t="s">
        <v>95</v>
      </c>
      <c r="BO74" s="47" t="s">
        <v>98</v>
      </c>
      <c r="BP74" s="47" t="s">
        <v>102</v>
      </c>
      <c r="BQ74" s="47" t="s">
        <v>103</v>
      </c>
      <c r="BR74" s="47" t="s">
        <v>1459</v>
      </c>
      <c r="BS74" s="47"/>
      <c r="BT74" s="47"/>
      <c r="BU74" s="59"/>
      <c r="BV74" s="47" t="s">
        <v>84</v>
      </c>
      <c r="BW74" s="47" t="s">
        <v>99</v>
      </c>
      <c r="BX74" s="47" t="s">
        <v>94</v>
      </c>
      <c r="BY74" s="47" t="s">
        <v>97</v>
      </c>
      <c r="BZ74" s="47" t="s">
        <v>95</v>
      </c>
      <c r="CA74" s="47" t="s">
        <v>98</v>
      </c>
      <c r="CB74" s="47" t="s">
        <v>102</v>
      </c>
      <c r="CC74" s="47" t="s">
        <v>103</v>
      </c>
      <c r="CD74" s="47" t="s">
        <v>1459</v>
      </c>
      <c r="CE74" s="47"/>
      <c r="CF74" s="47"/>
      <c r="CG74" s="59"/>
      <c r="ES74" s="618" t="str">
        <f>VLOOKUP(746,Sprachindex!$A:$Z,Info!$O$7,FALSE)</f>
        <v>Rohrschellenhalter für WDVS</v>
      </c>
      <c r="ET74" s="619"/>
      <c r="EU74" s="619"/>
      <c r="EV74" s="619"/>
      <c r="EW74" s="286" t="str">
        <f>VLOOKUP(556,Sprachindex!$A:$Z,Info!$O$7,FALSE)</f>
        <v>Länge wählen:</v>
      </c>
      <c r="EX74" s="323"/>
      <c r="EY74" s="299"/>
      <c r="EZ74" s="316"/>
      <c r="FA74" s="315"/>
      <c r="FB74" s="299"/>
      <c r="FC74" s="316"/>
      <c r="FD74" s="315"/>
      <c r="FE74" s="299"/>
      <c r="FF74" s="316"/>
      <c r="FG74" s="315"/>
      <c r="FH74" s="299"/>
      <c r="FI74" s="316"/>
      <c r="FJ74" s="315"/>
      <c r="FK74" s="299" t="s">
        <v>1036</v>
      </c>
      <c r="FL74" s="316"/>
      <c r="FM74" s="315">
        <v>20.11</v>
      </c>
      <c r="FN74" s="299"/>
      <c r="FO74" s="316"/>
      <c r="FP74" s="315"/>
      <c r="FQ74" s="299" t="s">
        <v>1038</v>
      </c>
      <c r="FR74" s="316"/>
      <c r="FS74" s="315">
        <v>21.49</v>
      </c>
      <c r="FT74" s="299"/>
      <c r="FU74" s="316"/>
      <c r="FV74" s="315"/>
      <c r="FW74" s="299"/>
      <c r="FX74" s="316"/>
      <c r="FY74" s="315"/>
      <c r="FZ74" s="299"/>
      <c r="GA74" s="316"/>
      <c r="GB74" s="315"/>
      <c r="GC74" s="299"/>
      <c r="GD74" s="316"/>
      <c r="GE74" s="315"/>
      <c r="GF74" s="299"/>
      <c r="GG74" s="316"/>
      <c r="GH74" s="315"/>
      <c r="GI74" s="299"/>
      <c r="GJ74" s="316"/>
      <c r="GK74" s="315"/>
      <c r="GL74" s="299"/>
      <c r="GM74" s="316"/>
      <c r="GN74" s="315"/>
      <c r="GO74" s="299"/>
      <c r="GP74" s="324"/>
      <c r="GV74" s="306" t="str">
        <f>IF(J74=FK74,FM74,IF(J74=FQ74,FS74," "))</f>
        <v xml:space="preserve"> </v>
      </c>
    </row>
    <row r="75" spans="1:204" ht="32.1" customHeight="1">
      <c r="A75" s="103"/>
      <c r="B75" s="76" t="str">
        <f>VLOOKUP(878,Sprachindex!$A:$Z,Info!$O$7,FALSE)</f>
        <v>Stk.</v>
      </c>
      <c r="C75" s="75"/>
      <c r="D75" s="75" t="str">
        <f>AJ75</f>
        <v/>
      </c>
      <c r="E75" s="618" t="str">
        <f>VLOOKUP(1001,Sprachindex!$A:$Z,Info!$O$7,FALSE)</f>
        <v>Wandmontageplatte</v>
      </c>
      <c r="F75" s="619"/>
      <c r="G75" s="619"/>
      <c r="H75" s="619"/>
      <c r="I75" s="619"/>
      <c r="J75" s="681"/>
      <c r="K75" s="682"/>
      <c r="L75" s="76" t="str">
        <f t="shared" si="6"/>
        <v xml:space="preserve"> </v>
      </c>
      <c r="M75" s="405" t="str">
        <f t="shared" si="2"/>
        <v>Stk.</v>
      </c>
      <c r="N75" s="77"/>
      <c r="O75" s="184" t="str">
        <f t="shared" si="16"/>
        <v xml:space="preserve"> </v>
      </c>
      <c r="R75" s="179"/>
      <c r="S75" s="179"/>
      <c r="T75" s="179"/>
      <c r="U75" s="1"/>
      <c r="V75" s="139">
        <f t="shared" si="12"/>
        <v>0</v>
      </c>
      <c r="W75" s="139">
        <f t="shared" si="13"/>
        <v>0</v>
      </c>
      <c r="X75" s="139">
        <v>6</v>
      </c>
      <c r="Y75" s="139">
        <v>1</v>
      </c>
      <c r="Z75" s="56">
        <v>529301</v>
      </c>
      <c r="AA75" s="56">
        <v>529304</v>
      </c>
      <c r="AB75" s="56">
        <v>529302</v>
      </c>
      <c r="AC75" s="56">
        <v>529305</v>
      </c>
      <c r="AD75" s="56">
        <v>529303</v>
      </c>
      <c r="AE75" s="56">
        <v>529306</v>
      </c>
      <c r="AF75" s="56">
        <v>529307</v>
      </c>
      <c r="AG75" s="56">
        <v>529308</v>
      </c>
      <c r="AH75" s="56">
        <v>529310</v>
      </c>
      <c r="AI75" s="56">
        <v>529311</v>
      </c>
      <c r="AJ75" s="59" t="str">
        <f>IF($O$21=1,AB75,IF($O$21=2,AD75,IF($O$21=3,AC75,IF($O$21=4,AE75,IF($O$21=5,AF75,IF($O$21=6,AA75,IF($O$21=7,AG75,IF($O$21=8,AH75,IF($O$21=9,Z75,IF($O$21=10,AI75,""))))))))))</f>
        <v/>
      </c>
      <c r="AK75" s="59"/>
      <c r="ES75" s="618" t="str">
        <f>VLOOKUP(1001,Sprachindex!$A:$Z,Info!$O$7,FALSE)</f>
        <v>Wandmontageplatte</v>
      </c>
      <c r="ET75" s="619"/>
      <c r="EU75" s="619"/>
      <c r="EV75" s="619"/>
      <c r="EW75" s="619"/>
      <c r="EX75" s="323"/>
      <c r="EY75" s="299"/>
      <c r="EZ75" s="316"/>
      <c r="FA75" s="315"/>
      <c r="FB75" s="299"/>
      <c r="FC75" s="316"/>
      <c r="FD75" s="315"/>
      <c r="FE75" s="299"/>
      <c r="FF75" s="316"/>
      <c r="FG75" s="315"/>
      <c r="FH75" s="299"/>
      <c r="FI75" s="316"/>
      <c r="FJ75" s="315"/>
      <c r="FK75" s="299"/>
      <c r="FL75" s="316"/>
      <c r="FM75" s="315"/>
      <c r="FN75" s="299"/>
      <c r="FO75" s="316"/>
      <c r="FP75" s="315"/>
      <c r="FQ75" s="299"/>
      <c r="FR75" s="316"/>
      <c r="FS75" s="315"/>
      <c r="FT75" s="299"/>
      <c r="FU75" s="316"/>
      <c r="FV75" s="315"/>
      <c r="FW75" s="299"/>
      <c r="FX75" s="316"/>
      <c r="FY75" s="315"/>
      <c r="FZ75" s="299"/>
      <c r="GA75" s="316"/>
      <c r="GB75" s="315"/>
      <c r="GC75" s="299"/>
      <c r="GD75" s="316"/>
      <c r="GE75" s="315"/>
      <c r="GF75" s="299"/>
      <c r="GG75" s="316"/>
      <c r="GH75" s="315"/>
      <c r="GI75" s="299"/>
      <c r="GJ75" s="316"/>
      <c r="GK75" s="315">
        <v>9.99</v>
      </c>
      <c r="GL75" s="299">
        <v>10.99</v>
      </c>
      <c r="GM75" s="316">
        <v>9.5399999999999991</v>
      </c>
      <c r="GN75" s="315"/>
      <c r="GO75" s="299"/>
      <c r="GP75" s="324"/>
      <c r="GV75" s="306" cm="1">
        <f t="array" ref="GV75">_xlfn.IFS($O$21=9,GM75,$O$21=10,GL75,TRUE,GK75)</f>
        <v>9.99</v>
      </c>
    </row>
    <row r="76" spans="1:204" ht="32.1" customHeight="1">
      <c r="A76" s="103"/>
      <c r="B76" s="76" t="str">
        <f>VLOOKUP(878,Sprachindex!$A:$Z,Info!$O$7,FALSE)</f>
        <v>Stk.</v>
      </c>
      <c r="C76" s="75"/>
      <c r="D76" s="75">
        <v>529502</v>
      </c>
      <c r="E76" s="618" t="str">
        <f>VLOOKUP(138,Sprachindex!$A:$Z,Info!$O$7,FALSE)</f>
        <v>Abdeckkappe für Rohrschellendorn</v>
      </c>
      <c r="F76" s="619"/>
      <c r="G76" s="619"/>
      <c r="H76" s="619"/>
      <c r="I76" s="619"/>
      <c r="J76" s="681"/>
      <c r="K76" s="682"/>
      <c r="L76" s="76" t="str">
        <f t="shared" si="6"/>
        <v xml:space="preserve"> </v>
      </c>
      <c r="M76" s="405" t="str">
        <f t="shared" si="2"/>
        <v>Stk.</v>
      </c>
      <c r="N76" s="77"/>
      <c r="O76" s="184" t="str">
        <f t="shared" si="16"/>
        <v xml:space="preserve"> </v>
      </c>
      <c r="R76" s="179"/>
      <c r="S76" s="179"/>
      <c r="T76" s="179"/>
      <c r="U76" s="1"/>
      <c r="V76" s="139">
        <f t="shared" si="12"/>
        <v>0</v>
      </c>
      <c r="W76" s="139">
        <f t="shared" si="13"/>
        <v>0</v>
      </c>
      <c r="X76" s="139">
        <v>25</v>
      </c>
      <c r="Y76" s="139">
        <v>1</v>
      </c>
      <c r="ES76" s="618" t="str">
        <f>VLOOKUP(138,Sprachindex!$A:$Z,Info!$O$7,FALSE)</f>
        <v>Abdeckkappe für Rohrschellendorn</v>
      </c>
      <c r="ET76" s="619"/>
      <c r="EU76" s="619"/>
      <c r="EV76" s="619"/>
      <c r="EW76" s="619"/>
      <c r="EX76" s="323"/>
      <c r="EY76" s="299"/>
      <c r="EZ76" s="316"/>
      <c r="FA76" s="315"/>
      <c r="FB76" s="299"/>
      <c r="FC76" s="316"/>
      <c r="FD76" s="315"/>
      <c r="FE76" s="299"/>
      <c r="FF76" s="316"/>
      <c r="FG76" s="315"/>
      <c r="FH76" s="299"/>
      <c r="FI76" s="316"/>
      <c r="FJ76" s="315"/>
      <c r="FK76" s="299"/>
      <c r="FL76" s="316"/>
      <c r="FM76" s="315"/>
      <c r="FN76" s="299"/>
      <c r="FO76" s="316"/>
      <c r="FP76" s="315"/>
      <c r="FQ76" s="299"/>
      <c r="FR76" s="316"/>
      <c r="FS76" s="315"/>
      <c r="FT76" s="299"/>
      <c r="FU76" s="316"/>
      <c r="FV76" s="315"/>
      <c r="FW76" s="299"/>
      <c r="FX76" s="316"/>
      <c r="FY76" s="315"/>
      <c r="FZ76" s="299"/>
      <c r="GA76" s="316"/>
      <c r="GB76" s="315"/>
      <c r="GC76" s="299"/>
      <c r="GD76" s="316"/>
      <c r="GE76" s="315"/>
      <c r="GF76" s="299"/>
      <c r="GG76" s="316"/>
      <c r="GH76" s="315"/>
      <c r="GI76" s="299"/>
      <c r="GJ76" s="316"/>
      <c r="GK76" s="315"/>
      <c r="GL76" s="299"/>
      <c r="GM76" s="316"/>
      <c r="GN76" s="315"/>
      <c r="GO76" s="299"/>
      <c r="GP76" s="324"/>
      <c r="GQ76" s="1">
        <v>0.63</v>
      </c>
      <c r="GV76" s="306">
        <f>GQ76</f>
        <v>0.63</v>
      </c>
    </row>
    <row r="77" spans="1:204" ht="32.1" customHeight="1">
      <c r="A77" s="103"/>
      <c r="B77" s="76" t="str">
        <f>VLOOKUP(878,Sprachindex!$A:$Z,Info!$O$7,FALSE)</f>
        <v>Stk.</v>
      </c>
      <c r="C77" s="75"/>
      <c r="D77" s="75" t="str">
        <f>IF(J77=Formeln!G194,150052,IF(RI!J77=Formeln!G195,150053,""))</f>
        <v/>
      </c>
      <c r="E77" s="618" t="str">
        <f>VLOOKUP(444,Sprachindex!$A:$Z,Info!$O$7,FALSE)</f>
        <v>Gummidichtung passend für HT/KG (NW 110 mm)</v>
      </c>
      <c r="F77" s="619"/>
      <c r="G77" s="619"/>
      <c r="H77" s="619"/>
      <c r="I77" s="484" t="str">
        <f>VLOOKUP(306,Sprachindex!$A:$Z,Info!$O$7,FALSE)</f>
        <v>Dimension wählen:</v>
      </c>
      <c r="J77" s="631"/>
      <c r="K77" s="632"/>
      <c r="L77" s="76" t="str">
        <f t="shared" si="6"/>
        <v xml:space="preserve"> </v>
      </c>
      <c r="M77" s="405" t="str">
        <f t="shared" si="2"/>
        <v>Stk.</v>
      </c>
      <c r="N77" s="77"/>
      <c r="O77" s="184" t="str">
        <f t="shared" si="16"/>
        <v xml:space="preserve"> </v>
      </c>
      <c r="R77" s="179"/>
      <c r="S77" s="179"/>
      <c r="T77" s="179"/>
      <c r="U77" s="1"/>
      <c r="V77" s="139">
        <f t="shared" si="12"/>
        <v>0</v>
      </c>
      <c r="W77" s="139">
        <f t="shared" si="13"/>
        <v>0</v>
      </c>
      <c r="X77" s="139">
        <v>1</v>
      </c>
      <c r="Y77" s="139">
        <v>1</v>
      </c>
      <c r="ES77" s="618" t="str">
        <f>VLOOKUP(444,Sprachindex!$A:$Z,Info!$O$7,FALSE)</f>
        <v>Gummidichtung passend für HT/KG (NW 110 mm)</v>
      </c>
      <c r="ET77" s="619"/>
      <c r="EU77" s="619"/>
      <c r="EV77" s="619"/>
      <c r="EW77" s="619"/>
      <c r="EX77" s="323"/>
      <c r="EY77" s="299"/>
      <c r="EZ77" s="316"/>
      <c r="FA77" s="315"/>
      <c r="FB77" s="299"/>
      <c r="FC77" s="316"/>
      <c r="FD77" s="315"/>
      <c r="FE77" s="299"/>
      <c r="FF77" s="316"/>
      <c r="FG77" s="315"/>
      <c r="FH77" s="299"/>
      <c r="FI77" s="316"/>
      <c r="FJ77" s="315"/>
      <c r="FK77" s="299"/>
      <c r="FL77" s="316"/>
      <c r="FM77" s="315"/>
      <c r="FN77" s="299"/>
      <c r="FO77" s="316"/>
      <c r="FP77" s="315"/>
      <c r="FQ77" s="299"/>
      <c r="FR77" s="316"/>
      <c r="FS77" s="315"/>
      <c r="FT77" s="299"/>
      <c r="FU77" s="316"/>
      <c r="FV77" s="315"/>
      <c r="FW77" s="299"/>
      <c r="FX77" s="316"/>
      <c r="FY77" s="315"/>
      <c r="FZ77" s="299"/>
      <c r="GA77" s="316"/>
      <c r="GB77" s="315"/>
      <c r="GC77" s="299"/>
      <c r="GD77" s="316"/>
      <c r="GE77" s="315"/>
      <c r="GF77" s="299"/>
      <c r="GG77" s="316"/>
      <c r="GH77" s="315"/>
      <c r="GI77" s="299"/>
      <c r="GJ77" s="316"/>
      <c r="GK77" s="315"/>
      <c r="GL77" s="299"/>
      <c r="GM77" s="316"/>
      <c r="GN77" s="315"/>
      <c r="GO77" s="299"/>
      <c r="GP77" s="324"/>
      <c r="GQ77" s="1">
        <v>7.19</v>
      </c>
      <c r="GV77" s="306">
        <f>GQ77</f>
        <v>7.19</v>
      </c>
    </row>
    <row r="78" spans="1:204" ht="32.1" customHeight="1">
      <c r="A78" s="103"/>
      <c r="B78" s="76" t="str">
        <f>VLOOKUP(878,Sprachindex!$A:$Z,Info!$O$7,FALSE)</f>
        <v>Stk.</v>
      </c>
      <c r="C78" s="75"/>
      <c r="D78" s="75" t="str">
        <f>IF(ISNUMBER(A78),AJ78,"")</f>
        <v/>
      </c>
      <c r="E78" s="618" t="str">
        <f>VLOOKUP(893,Sprachindex!$A:$Z,Info!$O$7,FALSE)</f>
        <v>Stutzen mit Klebeflansch (passend für Ablaufrohr ⌀ 60)</v>
      </c>
      <c r="F78" s="619"/>
      <c r="G78" s="619"/>
      <c r="H78" s="619"/>
      <c r="I78" s="619"/>
      <c r="J78" s="681"/>
      <c r="K78" s="682"/>
      <c r="L78" s="76" t="str">
        <f t="shared" si="6"/>
        <v xml:space="preserve"> </v>
      </c>
      <c r="M78" s="405" t="str">
        <f t="shared" si="2"/>
        <v>Stk.</v>
      </c>
      <c r="N78" s="77"/>
      <c r="O78" s="184" t="str">
        <f t="shared" si="16"/>
        <v xml:space="preserve"> </v>
      </c>
      <c r="R78" s="179"/>
      <c r="S78" s="179"/>
      <c r="T78" s="179"/>
      <c r="U78" s="1"/>
      <c r="V78" s="139">
        <f t="shared" si="12"/>
        <v>0</v>
      </c>
      <c r="W78" s="139">
        <f t="shared" si="13"/>
        <v>0</v>
      </c>
      <c r="X78" s="139">
        <v>1</v>
      </c>
      <c r="Y78" s="139">
        <v>1</v>
      </c>
      <c r="Z78" s="56" t="s">
        <v>1693</v>
      </c>
      <c r="AA78" s="56" t="s">
        <v>1694</v>
      </c>
      <c r="AB78" s="56" t="s">
        <v>1695</v>
      </c>
      <c r="AC78" s="56"/>
      <c r="AD78" s="56" t="s">
        <v>1696</v>
      </c>
      <c r="AE78" s="56"/>
      <c r="AF78" s="56"/>
      <c r="AG78" s="56"/>
      <c r="AH78" s="56"/>
      <c r="AI78" s="56"/>
      <c r="AJ78" s="59" t="str">
        <f t="shared" ref="AJ78:AJ85" si="17">IF($O$21=1,AB78,IF($O$21=2,AD78,IF($O$21=3,AC78,IF($O$21=4,AE78,IF($O$21=5,AF78,IF($O$21=6,AA78,IF($O$21=7,AG78,IF($O$21=8,AH78,IF($O$21=9,Z78,"")))))))))</f>
        <v/>
      </c>
      <c r="AK78" s="59" t="s">
        <v>1053</v>
      </c>
      <c r="ES78" s="618" t="str">
        <f>VLOOKUP(893,Sprachindex!$A:$Z,Info!$O$7,FALSE)</f>
        <v>Stutzen mit Klebeflansch (passend für Ablaufrohr ⌀ 60)</v>
      </c>
      <c r="ET78" s="619"/>
      <c r="EU78" s="619"/>
      <c r="EV78" s="619"/>
      <c r="EW78" s="619"/>
      <c r="EX78" s="323"/>
      <c r="EY78" s="299"/>
      <c r="EZ78" s="316"/>
      <c r="FA78" s="315"/>
      <c r="FB78" s="299"/>
      <c r="FC78" s="316"/>
      <c r="FD78" s="315"/>
      <c r="FE78" s="299"/>
      <c r="FF78" s="316"/>
      <c r="FG78" s="315"/>
      <c r="FH78" s="299"/>
      <c r="FI78" s="316"/>
      <c r="FJ78" s="315"/>
      <c r="FK78" s="299"/>
      <c r="FL78" s="316"/>
      <c r="FM78" s="315"/>
      <c r="FN78" s="299"/>
      <c r="FO78" s="316"/>
      <c r="FP78" s="315"/>
      <c r="FQ78" s="299"/>
      <c r="FR78" s="316"/>
      <c r="FS78" s="315"/>
      <c r="FT78" s="299"/>
      <c r="FU78" s="316"/>
      <c r="FV78" s="315"/>
      <c r="FW78" s="299"/>
      <c r="FX78" s="316"/>
      <c r="FY78" s="315"/>
      <c r="FZ78" s="299"/>
      <c r="GA78" s="316"/>
      <c r="GB78" s="315"/>
      <c r="GC78" s="299"/>
      <c r="GD78" s="316"/>
      <c r="GE78" s="315"/>
      <c r="GF78" s="299"/>
      <c r="GG78" s="316"/>
      <c r="GH78" s="315"/>
      <c r="GI78" s="299"/>
      <c r="GJ78" s="316"/>
      <c r="GK78" s="315">
        <v>14.75</v>
      </c>
      <c r="GL78" s="299"/>
      <c r="GM78" s="316">
        <v>13.42</v>
      </c>
      <c r="GN78" s="315"/>
      <c r="GO78" s="299"/>
      <c r="GP78" s="324"/>
      <c r="GQ78" s="1" t="str">
        <f>IF($O$21=9,GM78,IF(OR($O$21=1,$O$21=2,$O$21=6),GK78," "))</f>
        <v xml:space="preserve"> </v>
      </c>
      <c r="GV78" s="306" t="str">
        <f>GQ78</f>
        <v xml:space="preserve"> </v>
      </c>
    </row>
    <row r="79" spans="1:204" ht="32.1" customHeight="1">
      <c r="A79" s="103"/>
      <c r="B79" s="76" t="str">
        <f>VLOOKUP(878,Sprachindex!$A:$Z,Info!$O$7,FALSE)</f>
        <v>Stk.</v>
      </c>
      <c r="C79" s="75"/>
      <c r="D79" s="75" t="str">
        <f>IF($O$25=2,AV79,IF($O$25=3,BH79,IF($O$25=4,BT79,IF($O$25=5,CF79,IF($O$25=1,AJ79,"")))))</f>
        <v/>
      </c>
      <c r="E79" s="618" t="str">
        <f>VLOOKUP(728,Sprachindex!$A:$Z,Info!$O$7,FALSE)</f>
        <v>Rohrbogen 72°</v>
      </c>
      <c r="F79" s="619"/>
      <c r="G79" s="619"/>
      <c r="H79" s="619"/>
      <c r="I79" s="619"/>
      <c r="J79" s="681" t="str">
        <f>Formeln!A236</f>
        <v/>
      </c>
      <c r="K79" s="682"/>
      <c r="L79" s="76" t="str">
        <f t="shared" si="6"/>
        <v xml:space="preserve"> </v>
      </c>
      <c r="M79" s="405" t="str">
        <f t="shared" si="2"/>
        <v>Stk.</v>
      </c>
      <c r="N79" s="77"/>
      <c r="O79" s="184" t="str">
        <f t="shared" si="16"/>
        <v xml:space="preserve"> </v>
      </c>
      <c r="R79" s="179"/>
      <c r="S79" s="179"/>
      <c r="T79" s="179"/>
      <c r="U79" s="1"/>
      <c r="V79" s="139" t="e">
        <f t="shared" si="12"/>
        <v>#VALUE!</v>
      </c>
      <c r="W79" s="139">
        <f t="shared" si="13"/>
        <v>0</v>
      </c>
      <c r="X79" s="139" t="str">
        <f>IF($O$25=1,1,IF($O$25=2,8,IF($O$25=3,8,IF($O$25=4,4,IF($O$25=5,1,"")))))</f>
        <v/>
      </c>
      <c r="Y79" s="139">
        <v>1</v>
      </c>
      <c r="Z79" s="56" t="s">
        <v>1697</v>
      </c>
      <c r="AA79" s="56" t="s">
        <v>1698</v>
      </c>
      <c r="AB79" s="56" t="s">
        <v>1699</v>
      </c>
      <c r="AC79" s="56"/>
      <c r="AD79" s="56" t="s">
        <v>1700</v>
      </c>
      <c r="AE79" s="56"/>
      <c r="AF79" s="56"/>
      <c r="AG79" s="56"/>
      <c r="AH79" s="56"/>
      <c r="AI79" s="56"/>
      <c r="AJ79" s="59" t="str">
        <f t="shared" si="17"/>
        <v/>
      </c>
      <c r="AK79" s="59">
        <v>60</v>
      </c>
      <c r="AL79" t="s">
        <v>1701</v>
      </c>
      <c r="AM79" t="s">
        <v>1702</v>
      </c>
      <c r="AN79" t="s">
        <v>1703</v>
      </c>
      <c r="AO79" t="s">
        <v>1704</v>
      </c>
      <c r="AP79" t="s">
        <v>1705</v>
      </c>
      <c r="AQ79" t="s">
        <v>1706</v>
      </c>
      <c r="AR79" t="s">
        <v>1707</v>
      </c>
      <c r="AS79" t="s">
        <v>1708</v>
      </c>
      <c r="AT79" t="s">
        <v>1709</v>
      </c>
      <c r="AU79"/>
      <c r="AV79" s="59" t="str">
        <f>IF($O$21=1,AN79,IF($O$21=2,AP79,IF($O$21=3,AO79,IF($O$21=4,AQ79,IF($O$21=5,AR79,IF($O$21=6,AM79,IF($O$21=7,AS79,IF($O$21=8,AT79,IF($O$21=9,AL79,"")))))))))</f>
        <v/>
      </c>
      <c r="AW79" s="59">
        <v>80</v>
      </c>
      <c r="AX79" t="s">
        <v>1710</v>
      </c>
      <c r="AY79" t="s">
        <v>1711</v>
      </c>
      <c r="AZ79" t="s">
        <v>1712</v>
      </c>
      <c r="BA79" t="s">
        <v>1713</v>
      </c>
      <c r="BB79" t="s">
        <v>1714</v>
      </c>
      <c r="BC79" t="s">
        <v>1715</v>
      </c>
      <c r="BD79" t="s">
        <v>1716</v>
      </c>
      <c r="BE79" t="s">
        <v>1717</v>
      </c>
      <c r="BF79" t="s">
        <v>1718</v>
      </c>
      <c r="BG79">
        <v>526029</v>
      </c>
      <c r="BH79" s="59" t="str">
        <f>IF($O$21=1,AZ79,IF($O$21=2,BB79,IF($O$21=3,BA79,IF($O$21=4,BC79,IF($O$21=5,BD79,IF($O$21=6,AY79,IF($O$21=7,BE79,IF($O$21=8,BF79,IF($O$21=9,AX79,IF($O$21=10,BG79,""))))))))))</f>
        <v/>
      </c>
      <c r="BI79" s="59">
        <v>100</v>
      </c>
      <c r="BJ79" t="s">
        <v>1719</v>
      </c>
      <c r="BK79" t="s">
        <v>1720</v>
      </c>
      <c r="BL79" t="s">
        <v>1721</v>
      </c>
      <c r="BM79" t="s">
        <v>1722</v>
      </c>
      <c r="BN79" t="s">
        <v>1723</v>
      </c>
      <c r="BO79" t="s">
        <v>1724</v>
      </c>
      <c r="BP79" t="s">
        <v>1725</v>
      </c>
      <c r="BQ79" t="s">
        <v>1726</v>
      </c>
      <c r="BR79" t="s">
        <v>1727</v>
      </c>
      <c r="BS79"/>
      <c r="BT79" s="59" t="str">
        <f>IF($O$21=1,BL79,IF($O$21=2,BN79,IF($O$21=3,BM79,IF($O$21=4,BO79,IF($O$21=5,BP79,IF($O$21=6,BK79,IF($O$21=7,BQ79,IF($O$21=8,BR79,IF($O$21=9,BJ79,"")))))))))</f>
        <v/>
      </c>
      <c r="BU79" s="59">
        <v>120</v>
      </c>
      <c r="BV79" t="s">
        <v>1728</v>
      </c>
      <c r="BW79" t="s">
        <v>1729</v>
      </c>
      <c r="BX79" t="s">
        <v>1730</v>
      </c>
      <c r="BY79" s="57"/>
      <c r="BZ79" t="s">
        <v>1731</v>
      </c>
      <c r="CA79" s="57"/>
      <c r="CB79" s="57"/>
      <c r="CC79" s="57"/>
      <c r="CD79" s="57"/>
      <c r="CE79" s="57"/>
      <c r="CF79" s="59" t="str">
        <f>IF($O$21=1,BX79,IF($O$21=2,BZ79,IF($O$21=3,BY79,IF($O$21=4,CA79,IF($O$21=5,CB79,IF($O$21=6,BW79,IF($O$21=7,CC79,IF($O$21=8,CD79,IF($O$21=9,BV79,"")))))))))</f>
        <v/>
      </c>
      <c r="CG79" s="59">
        <v>150</v>
      </c>
      <c r="ES79" s="618" t="str">
        <f>VLOOKUP(728,Sprachindex!$A:$Z,Info!$O$7,FALSE)</f>
        <v>Rohrbogen 72°</v>
      </c>
      <c r="ET79" s="619"/>
      <c r="EU79" s="619"/>
      <c r="EV79" s="619"/>
      <c r="EW79" s="619"/>
      <c r="EX79" s="323"/>
      <c r="EY79" s="299"/>
      <c r="EZ79" s="316"/>
      <c r="FA79" s="315"/>
      <c r="FB79" s="299"/>
      <c r="FC79" s="316"/>
      <c r="FD79" s="315">
        <v>15.92</v>
      </c>
      <c r="FE79" s="380" t="s">
        <v>1690</v>
      </c>
      <c r="FF79" s="316">
        <v>14.49</v>
      </c>
      <c r="FG79" s="315"/>
      <c r="FH79" s="299"/>
      <c r="FJ79" s="315">
        <v>17.32</v>
      </c>
      <c r="FK79" s="376" t="s">
        <v>1661</v>
      </c>
      <c r="FL79" s="316">
        <v>13.34</v>
      </c>
      <c r="FM79" s="315"/>
      <c r="FN79" s="299"/>
      <c r="FO79" s="377" t="s">
        <v>1662</v>
      </c>
      <c r="FP79" s="315">
        <v>19.07</v>
      </c>
      <c r="FQ79" s="299">
        <v>20.97</v>
      </c>
      <c r="FR79" s="316">
        <v>14.64</v>
      </c>
      <c r="FS79" s="315"/>
      <c r="FT79" s="299"/>
      <c r="FU79" s="375"/>
      <c r="FV79" s="315">
        <v>25.17</v>
      </c>
      <c r="FW79" s="378" t="s">
        <v>1663</v>
      </c>
      <c r="FX79" s="316">
        <v>20.84</v>
      </c>
      <c r="FY79" s="315"/>
      <c r="FZ79" s="299"/>
      <c r="GA79" s="316"/>
      <c r="GB79" s="315">
        <v>46.96</v>
      </c>
      <c r="GC79" s="379" t="s">
        <v>1664</v>
      </c>
      <c r="GD79" s="316">
        <v>41.82</v>
      </c>
      <c r="GE79" s="315"/>
      <c r="GF79" s="299"/>
      <c r="GG79" s="316"/>
      <c r="GH79" s="315"/>
      <c r="GI79" s="299"/>
      <c r="GJ79" s="316"/>
      <c r="GK79" s="315"/>
      <c r="GL79" s="299"/>
      <c r="GM79" s="316"/>
      <c r="GN79" s="315"/>
      <c r="GO79" s="299"/>
      <c r="GP79" s="324"/>
      <c r="GQ79" s="390" t="str">
        <f>IF(OR($O$21=1,$O$21=2,$O$21=6),FD79,IF($O$21=9,FF79," "))</f>
        <v xml:space="preserve"> </v>
      </c>
      <c r="GR79" s="295" cm="1">
        <f t="array" ref="GR79">_xlfn.IFS($O$21=9,FL79,$O$21=10,"",TRUE,FJ79)</f>
        <v>17.32</v>
      </c>
      <c r="GS79" s="296" cm="1">
        <f t="array" ref="GS79">_xlfn.IFS($O$21=9,FR79,$O$21=10,FQ79,TRUE,FP79)</f>
        <v>19.07</v>
      </c>
      <c r="GT79" s="297" cm="1">
        <f t="array" ref="GT79">_xlfn.IFS($O$21=9,FX79,$O$21=10,"",TRUE,FV79)</f>
        <v>25.17</v>
      </c>
      <c r="GU79" s="391" t="str">
        <f>IF(OR($O$21=1,$O$21=2,$O$21=6),GB79,IF($O$21=9,GD79," "))</f>
        <v xml:space="preserve"> </v>
      </c>
      <c r="GV79" s="306" t="str">
        <f>IF($O$25=1,GQ79,IF($O$25=2,GR79,IF($O$25=3,GS79,IF($O$25=4,GT79,IF($O$25=5,GU79," ")))))</f>
        <v xml:space="preserve"> </v>
      </c>
    </row>
    <row r="80" spans="1:204" ht="32.1" customHeight="1">
      <c r="A80" s="103"/>
      <c r="B80" s="76" t="str">
        <f>VLOOKUP(878,Sprachindex!$A:$Z,Info!$O$7,FALSE)</f>
        <v>Stk.</v>
      </c>
      <c r="C80" s="75"/>
      <c r="D80" s="75" t="str">
        <f>IF(ISNUMBER(A80),IF($O$25=2,AV80,IF($O$25=3,BH80,IF($O$25=4,BT80,IF($O$25=5,CF80,IF($O$25=1,AJ80,""))))),"")</f>
        <v/>
      </c>
      <c r="E80" s="618" t="str">
        <f>VLOOKUP(729,Sprachindex!$A:$Z,Info!$O$7,FALSE)</f>
        <v>Rohrbogen 85°</v>
      </c>
      <c r="F80" s="619"/>
      <c r="G80" s="619"/>
      <c r="H80" s="619"/>
      <c r="I80" s="619"/>
      <c r="J80" s="681" t="str">
        <f>Formeln!A276</f>
        <v/>
      </c>
      <c r="K80" s="682"/>
      <c r="L80" s="76" t="str">
        <f t="shared" si="6"/>
        <v xml:space="preserve"> </v>
      </c>
      <c r="M80" s="405" t="str">
        <f t="shared" si="2"/>
        <v>Stk.</v>
      </c>
      <c r="N80" s="77"/>
      <c r="O80" s="184" t="str">
        <f t="shared" si="16"/>
        <v xml:space="preserve"> </v>
      </c>
      <c r="R80" s="179"/>
      <c r="S80" s="179"/>
      <c r="T80" s="179"/>
      <c r="U80" s="1"/>
      <c r="V80" s="139" t="e">
        <f t="shared" si="12"/>
        <v>#VALUE!</v>
      </c>
      <c r="W80" s="139">
        <f t="shared" si="13"/>
        <v>0</v>
      </c>
      <c r="X80" s="139" t="str">
        <f>IF($O$25=1,1,IF($O$25=2,8,IF($O$25=3,8,IF($O$25=4,3,IF($O$25=5,"","")))))</f>
        <v/>
      </c>
      <c r="Y80" s="139">
        <v>1</v>
      </c>
      <c r="Z80" s="56" t="s">
        <v>1732</v>
      </c>
      <c r="AA80" s="56"/>
      <c r="AB80" s="56"/>
      <c r="AC80" s="56"/>
      <c r="AD80" s="56"/>
      <c r="AE80" s="56"/>
      <c r="AF80" s="56"/>
      <c r="AG80" s="56"/>
      <c r="AH80" s="56"/>
      <c r="AI80" s="56"/>
      <c r="AJ80" s="59" t="str">
        <f t="shared" si="17"/>
        <v/>
      </c>
      <c r="AK80" s="59">
        <v>60</v>
      </c>
      <c r="AL80" t="s">
        <v>1733</v>
      </c>
      <c r="AM80" t="s">
        <v>1734</v>
      </c>
      <c r="AN80" t="s">
        <v>1735</v>
      </c>
      <c r="AO80" s="57"/>
      <c r="AP80" t="s">
        <v>1736</v>
      </c>
      <c r="AQ80" s="57"/>
      <c r="AR80" s="57"/>
      <c r="AS80" s="57"/>
      <c r="AT80" t="s">
        <v>1737</v>
      </c>
      <c r="AU80"/>
      <c r="AV80" s="59" t="str">
        <f>IF($O$21=1,AN80,IF($O$21=2,AP80,IF($O$21=3,AO80,IF($O$21=4,AQ80,IF($O$21=5,AR80,IF($O$21=6,AM80,IF($O$21=7,AS80,IF($O$21=8,AT80,IF($O$21=9,AL80,"")))))))))</f>
        <v/>
      </c>
      <c r="AW80" s="59">
        <v>80</v>
      </c>
      <c r="AX80" t="s">
        <v>1738</v>
      </c>
      <c r="AY80" t="s">
        <v>1739</v>
      </c>
      <c r="AZ80" t="s">
        <v>1740</v>
      </c>
      <c r="BA80" s="57"/>
      <c r="BB80" t="s">
        <v>1741</v>
      </c>
      <c r="BC80" s="57"/>
      <c r="BD80" s="57"/>
      <c r="BE80" s="57"/>
      <c r="BF80" t="s">
        <v>1742</v>
      </c>
      <c r="BG80">
        <v>526309</v>
      </c>
      <c r="BH80" s="59" t="str">
        <f>IF($O$21=1,AZ80,IF($O$21=2,BB80,IF($O$21=3,BA80,IF($O$21=4,BC80,IF($O$21=5,BD80,IF($O$21=6,AY80,IF($O$21=7,BE80,IF($O$21=8,BF80,IF($O$21=9,AX80,IF($O$21=10,BG80,""))))))))))</f>
        <v/>
      </c>
      <c r="BI80" s="59">
        <v>100</v>
      </c>
      <c r="BJ80" t="s">
        <v>1743</v>
      </c>
      <c r="BK80" t="s">
        <v>1744</v>
      </c>
      <c r="BL80" t="s">
        <v>1745</v>
      </c>
      <c r="BM80" s="57"/>
      <c r="BN80" t="s">
        <v>1746</v>
      </c>
      <c r="BO80" s="57"/>
      <c r="BP80" s="57"/>
      <c r="BQ80" s="57"/>
      <c r="BR80" s="57"/>
      <c r="BS80" s="57"/>
      <c r="BT80" s="59" t="str">
        <f>IF($O$21=1,BL80,IF($O$21=2,BN80,IF($O$21=3,BM80,IF($O$21=4,BO80,IF($O$21=5,BP80,IF($O$21=6,BK80,IF($O$21=7,BQ80,IF($O$21=8,BR80,IF($O$21=9,BJ80,"")))))))))</f>
        <v/>
      </c>
      <c r="BU80" s="59">
        <v>120</v>
      </c>
      <c r="ES80" s="618" t="str">
        <f>VLOOKUP(729,Sprachindex!$A:$Z,Info!$O$7,FALSE)</f>
        <v>Rohrbogen 85°</v>
      </c>
      <c r="ET80" s="619"/>
      <c r="EU80" s="619"/>
      <c r="EV80" s="619"/>
      <c r="EW80" s="619"/>
      <c r="EX80" s="323"/>
      <c r="EY80" s="299"/>
      <c r="EZ80" s="316"/>
      <c r="FA80" s="315"/>
      <c r="FB80" s="299"/>
      <c r="FC80" s="316"/>
      <c r="FD80" s="315">
        <v>21.95</v>
      </c>
      <c r="FE80" s="380" t="s">
        <v>1690</v>
      </c>
      <c r="FF80" s="316">
        <v>20.399999999999999</v>
      </c>
      <c r="FG80" s="315"/>
      <c r="FH80" s="299"/>
      <c r="FI80" s="316"/>
      <c r="FJ80" s="315">
        <v>23.93</v>
      </c>
      <c r="FK80" s="376" t="s">
        <v>1661</v>
      </c>
      <c r="FL80" s="316">
        <v>22.54</v>
      </c>
      <c r="FM80" s="315"/>
      <c r="FN80" s="299"/>
      <c r="FO80" s="377" t="s">
        <v>1662</v>
      </c>
      <c r="FP80" s="315">
        <v>24.96</v>
      </c>
      <c r="FQ80" s="299">
        <v>27.45</v>
      </c>
      <c r="FR80" s="316">
        <v>23.98</v>
      </c>
      <c r="FS80" s="315"/>
      <c r="FT80" s="299"/>
      <c r="FU80" s="49"/>
      <c r="FV80" s="315">
        <v>31.68</v>
      </c>
      <c r="FW80" s="378" t="s">
        <v>1663</v>
      </c>
      <c r="FX80" s="316">
        <v>27.97</v>
      </c>
      <c r="FY80" s="315"/>
      <c r="FZ80" s="299"/>
      <c r="GA80" s="316"/>
      <c r="GB80" s="315"/>
      <c r="GC80" s="299"/>
      <c r="GD80" s="316"/>
      <c r="GE80" s="315"/>
      <c r="GF80" s="299"/>
      <c r="GG80" s="316"/>
      <c r="GH80" s="315"/>
      <c r="GI80" s="299"/>
      <c r="GJ80" s="316"/>
      <c r="GK80" s="315"/>
      <c r="GL80" s="299"/>
      <c r="GM80" s="316"/>
      <c r="GN80" s="315"/>
      <c r="GO80" s="299"/>
      <c r="GP80" s="324"/>
      <c r="GQ80" s="390" t="str">
        <f>IF(OR($O$21=1,$O$21=2,$O$21=6),FD80,IF($O$21=9,FF80," "))</f>
        <v xml:space="preserve"> </v>
      </c>
      <c r="GR80" s="295" t="str">
        <f>IF(OR($O$21=1,$O$21=2,$O$21=6,$O$21=8),FJ80,IF($O$21=9,FL80," "))</f>
        <v xml:space="preserve"> </v>
      </c>
      <c r="GS80" s="296" t="str" cm="1">
        <f t="array" ref="GS80">_xlfn.IFS(OR($O$21=1,$O$21=2,$O$21=6,$O$21=8),FP80,$O$21=9,FR80,$O$21=10,FQ80,TRUE," ")</f>
        <v xml:space="preserve"> </v>
      </c>
      <c r="GT80" s="297" t="str">
        <f>IF(OR($O$21=1,$O$21=2,$O$21=6),FV80,IF($O$21=9,FX80," "))</f>
        <v xml:space="preserve"> </v>
      </c>
      <c r="GV80" s="306" t="str">
        <f>IF($O$25=1,GQ80,IF($O$25=2,GR80,IF($O$25=3,GS80,IF($O$25=4,GT80," "))))</f>
        <v xml:space="preserve"> </v>
      </c>
    </row>
    <row r="81" spans="1:204" ht="32.1" customHeight="1">
      <c r="A81" s="103"/>
      <c r="B81" s="76" t="str">
        <f>VLOOKUP(878,Sprachindex!$A:$Z,Info!$O$7,FALSE)</f>
        <v>Stk.</v>
      </c>
      <c r="C81" s="75"/>
      <c r="D81" s="75" t="str">
        <f>IF($O$25=2,AV81,IF($O$25=3,BH81,IF($O$25=4,BT81,IF($O$25=5,CF81,IF($O$25=1,AJ81,"")))))</f>
        <v/>
      </c>
      <c r="E81" s="618" t="str">
        <f>VLOOKUP(727,Sprachindex!$A:$Z,Info!$O$7,FALSE)</f>
        <v>Rohrbogen 40°</v>
      </c>
      <c r="F81" s="619"/>
      <c r="G81" s="619"/>
      <c r="H81" s="619"/>
      <c r="I81" s="619"/>
      <c r="J81" s="681" t="str">
        <f>Formeln!A276</f>
        <v/>
      </c>
      <c r="K81" s="682"/>
      <c r="L81" s="76" t="str">
        <f t="shared" si="6"/>
        <v xml:space="preserve"> </v>
      </c>
      <c r="M81" s="405" t="str">
        <f t="shared" si="2"/>
        <v>Stk.</v>
      </c>
      <c r="N81" s="77"/>
      <c r="O81" s="184" t="str">
        <f t="shared" si="16"/>
        <v xml:space="preserve"> </v>
      </c>
      <c r="R81" s="179"/>
      <c r="S81" s="179"/>
      <c r="T81" s="179"/>
      <c r="U81" s="1"/>
      <c r="V81" s="139" t="e">
        <f t="shared" si="12"/>
        <v>#VALUE!</v>
      </c>
      <c r="W81" s="139">
        <f t="shared" si="13"/>
        <v>0</v>
      </c>
      <c r="X81" s="139" t="str">
        <f>IF($O$25=1,1,IF($O$25=2,12,IF($O$25=3,6,IF($O$25=4,3,IF($O$25=5,"","")))))</f>
        <v/>
      </c>
      <c r="Y81" s="139">
        <v>1</v>
      </c>
      <c r="Z81" s="56" t="s">
        <v>1747</v>
      </c>
      <c r="AA81" s="56"/>
      <c r="AB81" s="56"/>
      <c r="AC81" s="56"/>
      <c r="AD81" s="56"/>
      <c r="AE81" s="56"/>
      <c r="AF81" s="56"/>
      <c r="AG81" s="56"/>
      <c r="AH81" s="56"/>
      <c r="AI81" s="56"/>
      <c r="AJ81" s="59" t="str">
        <f t="shared" si="17"/>
        <v/>
      </c>
      <c r="AK81" s="59">
        <v>60</v>
      </c>
      <c r="AL81" t="s">
        <v>1748</v>
      </c>
      <c r="AM81" t="s">
        <v>1749</v>
      </c>
      <c r="AN81" t="s">
        <v>1750</v>
      </c>
      <c r="AO81" t="s">
        <v>1751</v>
      </c>
      <c r="AP81" t="s">
        <v>1752</v>
      </c>
      <c r="AQ81" t="s">
        <v>1753</v>
      </c>
      <c r="AR81" t="s">
        <v>1754</v>
      </c>
      <c r="AS81" t="s">
        <v>1755</v>
      </c>
      <c r="AT81" t="s">
        <v>1756</v>
      </c>
      <c r="AU81"/>
      <c r="AV81" s="59" t="str">
        <f>IF($O$21=1,AN81,IF($O$21=2,AP81,IF($O$21=3,AO81,IF($O$21=4,AQ81,IF($O$21=5,AR81,IF($O$21=6,AM81,IF($O$21=7,AS81,IF($O$21=8,AT81,IF($O$21=9,AL81,"")))))))))</f>
        <v/>
      </c>
      <c r="AW81" s="59">
        <v>80</v>
      </c>
      <c r="AX81" t="s">
        <v>1757</v>
      </c>
      <c r="AY81" t="s">
        <v>1758</v>
      </c>
      <c r="AZ81" t="s">
        <v>1759</v>
      </c>
      <c r="BA81" t="s">
        <v>1760</v>
      </c>
      <c r="BB81" t="s">
        <v>1761</v>
      </c>
      <c r="BC81" t="s">
        <v>1762</v>
      </c>
      <c r="BD81" t="s">
        <v>1763</v>
      </c>
      <c r="BE81" t="s">
        <v>1764</v>
      </c>
      <c r="BF81" t="s">
        <v>1765</v>
      </c>
      <c r="BG81">
        <v>526089</v>
      </c>
      <c r="BH81" s="59" t="str">
        <f>IF($O$21=1,AZ81,IF($O$21=2,BB81,IF($O$21=3,BA81,IF($O$21=4,BC81,IF($O$21=5,BD81,IF($O$21=6,AY81,IF($O$21=7,BE81,IF($O$21=8,BF81,IF($O$21=9,AX81,IF($O$21=10,BG81,""))))))))))</f>
        <v/>
      </c>
      <c r="BI81" s="59">
        <v>100</v>
      </c>
      <c r="BJ81" t="s">
        <v>1766</v>
      </c>
      <c r="BK81" t="s">
        <v>1767</v>
      </c>
      <c r="BL81" t="s">
        <v>1768</v>
      </c>
      <c r="BM81" t="s">
        <v>1769</v>
      </c>
      <c r="BN81" t="s">
        <v>1770</v>
      </c>
      <c r="BO81" t="s">
        <v>1771</v>
      </c>
      <c r="BP81" t="s">
        <v>1772</v>
      </c>
      <c r="BQ81" t="s">
        <v>1773</v>
      </c>
      <c r="BR81" t="s">
        <v>1774</v>
      </c>
      <c r="BS81"/>
      <c r="BT81" s="59" t="str">
        <f>IF($O$21=1,BL81,IF($O$21=2,BN81,IF($O$21=3,BM81,IF($O$21=4,BO81,IF($O$21=5,BP81,IF($O$21=6,BK81,IF($O$21=7,BQ81,IF($O$21=8,BR81,IF($O$21=9,BJ81,"")))))))))</f>
        <v/>
      </c>
      <c r="BU81" s="59">
        <v>120</v>
      </c>
      <c r="ES81" s="618" t="str">
        <f>VLOOKUP(727,Sprachindex!$A:$Z,Info!$O$7,FALSE)</f>
        <v>Rohrbogen 40°</v>
      </c>
      <c r="ET81" s="619"/>
      <c r="EU81" s="619"/>
      <c r="EV81" s="619"/>
      <c r="EW81" s="619"/>
      <c r="EX81" s="323"/>
      <c r="EY81" s="299"/>
      <c r="EZ81" s="316"/>
      <c r="FA81" s="315"/>
      <c r="FB81" s="299"/>
      <c r="FC81" s="316"/>
      <c r="FD81" s="315">
        <v>15.88</v>
      </c>
      <c r="FE81" s="380" t="s">
        <v>1690</v>
      </c>
      <c r="FF81" s="316">
        <v>14.43</v>
      </c>
      <c r="FG81" s="315"/>
      <c r="FH81" s="299"/>
      <c r="FI81" s="316"/>
      <c r="FJ81" s="315">
        <v>17.62</v>
      </c>
      <c r="FK81" s="376" t="s">
        <v>1661</v>
      </c>
      <c r="FL81" s="316">
        <v>13.84</v>
      </c>
      <c r="FM81" s="315"/>
      <c r="FN81" s="299"/>
      <c r="FO81" s="377" t="s">
        <v>1662</v>
      </c>
      <c r="FP81" s="315">
        <v>19.579999999999998</v>
      </c>
      <c r="FQ81" s="299">
        <v>21.54</v>
      </c>
      <c r="FR81" s="316">
        <v>15.16</v>
      </c>
      <c r="FS81" s="315"/>
      <c r="FT81" s="299"/>
      <c r="FU81" s="13"/>
      <c r="FV81" s="315">
        <v>25.83</v>
      </c>
      <c r="FW81" s="378" t="s">
        <v>1663</v>
      </c>
      <c r="FX81" s="316">
        <v>21.04</v>
      </c>
      <c r="FY81" s="315"/>
      <c r="FZ81" s="299"/>
      <c r="GA81" s="316"/>
      <c r="GB81" s="315"/>
      <c r="GC81" s="299"/>
      <c r="GD81" s="316"/>
      <c r="GE81" s="315"/>
      <c r="GF81" s="299"/>
      <c r="GG81" s="316"/>
      <c r="GH81" s="315"/>
      <c r="GI81" s="299"/>
      <c r="GJ81" s="316"/>
      <c r="GK81" s="315"/>
      <c r="GL81" s="299"/>
      <c r="GM81" s="316"/>
      <c r="GN81" s="315"/>
      <c r="GO81" s="299"/>
      <c r="GP81" s="324"/>
      <c r="GQ81" s="390" t="str">
        <f>IF(OR($O$21=1,$O$21=2,$O$21=6),FD81,IF($O$21=9,FF81," "))</f>
        <v xml:space="preserve"> </v>
      </c>
      <c r="GR81" s="295" cm="1">
        <f t="array" ref="GR81">_xlfn.IFS($O$21=9,FL81,$O$21=10,"",TRUE,FJ81)</f>
        <v>17.62</v>
      </c>
      <c r="GS81" s="296" cm="1">
        <f t="array" ref="GS81">_xlfn.IFS($O$21=9,FR81,$O$21=10,FQ81,TRUE,FP81)</f>
        <v>19.579999999999998</v>
      </c>
      <c r="GT81" s="297" cm="1">
        <f t="array" ref="GT81">_xlfn.IFS($O$21=9,FX81,$O$21=10,"",TRUE,FV81)</f>
        <v>25.83</v>
      </c>
      <c r="GV81" s="306" t="str">
        <f>IF($O$25=1,GQ81,IF($O$25=2,GR81,IF($O$25=3,GS81,IF($O$25=4,GT81," "))))</f>
        <v xml:space="preserve"> </v>
      </c>
    </row>
    <row r="82" spans="1:204" ht="32.1" customHeight="1">
      <c r="A82" s="103"/>
      <c r="B82" s="76" t="str">
        <f>VLOOKUP(878,Sprachindex!$A:$Z,Info!$O$7,FALSE)</f>
        <v>Stk.</v>
      </c>
      <c r="C82" s="75"/>
      <c r="D82" s="75" t="str">
        <f>IF($O$25=2,AJ82,IF($O$25=3,AV82,IF($O$25=4,BH82,IF($O$25=5,BT82,""))))</f>
        <v/>
      </c>
      <c r="E82" s="618" t="str">
        <f>VLOOKUP(839,Sprachindex!$A:$Z,Info!$O$7,FALSE)</f>
        <v>Sockelknie (Ausladung: 60 mm)</v>
      </c>
      <c r="F82" s="619"/>
      <c r="G82" s="619"/>
      <c r="H82" s="619"/>
      <c r="I82" s="619"/>
      <c r="J82" s="681" t="str">
        <f>Formeln!A230</f>
        <v/>
      </c>
      <c r="K82" s="682"/>
      <c r="L82" s="76" t="str">
        <f t="shared" si="6"/>
        <v xml:space="preserve"> </v>
      </c>
      <c r="M82" s="405" t="str">
        <f t="shared" si="2"/>
        <v>Stk.</v>
      </c>
      <c r="N82" s="77"/>
      <c r="O82" s="184" t="str">
        <f>IF(ISNUMBER(L82),L82*GV82," ")</f>
        <v xml:space="preserve"> </v>
      </c>
      <c r="R82" s="179"/>
      <c r="S82" s="179"/>
      <c r="T82" s="179"/>
      <c r="U82" s="1"/>
      <c r="V82" s="139" t="e">
        <f t="shared" si="12"/>
        <v>#VALUE!</v>
      </c>
      <c r="W82" s="139">
        <f t="shared" si="13"/>
        <v>0</v>
      </c>
      <c r="X82" s="139" t="str">
        <f>IF($O$25=1,"",IF($O$25=2,2,IF($O$25=3,8,IF($O$25=4,4,IF($O$25=5,1,"")))))</f>
        <v/>
      </c>
      <c r="Y82" s="139">
        <v>1</v>
      </c>
      <c r="Z82" s="56" t="s">
        <v>1775</v>
      </c>
      <c r="AA82" s="56" t="s">
        <v>1776</v>
      </c>
      <c r="AB82" s="56" t="s">
        <v>1777</v>
      </c>
      <c r="AC82" s="56" t="s">
        <v>1778</v>
      </c>
      <c r="AD82" s="56" t="s">
        <v>1779</v>
      </c>
      <c r="AE82" s="56" t="s">
        <v>1780</v>
      </c>
      <c r="AF82" s="56" t="s">
        <v>1781</v>
      </c>
      <c r="AG82" s="56" t="s">
        <v>1782</v>
      </c>
      <c r="AH82" s="56" t="s">
        <v>1783</v>
      </c>
      <c r="AI82" s="56"/>
      <c r="AJ82" s="59" t="str">
        <f t="shared" si="17"/>
        <v/>
      </c>
      <c r="AK82" s="59">
        <v>80</v>
      </c>
      <c r="AL82" t="s">
        <v>1784</v>
      </c>
      <c r="AM82" t="s">
        <v>1785</v>
      </c>
      <c r="AN82" t="s">
        <v>1786</v>
      </c>
      <c r="AO82" t="s">
        <v>1787</v>
      </c>
      <c r="AP82" t="s">
        <v>1788</v>
      </c>
      <c r="AQ82" t="s">
        <v>1789</v>
      </c>
      <c r="AR82" t="s">
        <v>1790</v>
      </c>
      <c r="AS82" t="s">
        <v>1791</v>
      </c>
      <c r="AT82" t="s">
        <v>1792</v>
      </c>
      <c r="AU82">
        <v>527029</v>
      </c>
      <c r="AV82" s="59" t="str">
        <f>IF($O$21=1,AN82,IF($O$21=2,AP82,IF($O$21=3,AO82,IF($O$21=4,AQ82,IF($O$21=5,AR82,IF($O$21=6,AM82,IF($O$21=7,AS82,IF($O$21=8,AT82,IF($O$21=9,AL82,IF($O$21=10,AU82,""))))))))))</f>
        <v/>
      </c>
      <c r="AW82" s="59">
        <v>100</v>
      </c>
      <c r="AX82" t="s">
        <v>1793</v>
      </c>
      <c r="AY82" t="s">
        <v>1794</v>
      </c>
      <c r="AZ82" t="s">
        <v>1795</v>
      </c>
      <c r="BA82" t="s">
        <v>1796</v>
      </c>
      <c r="BB82" t="s">
        <v>1797</v>
      </c>
      <c r="BC82" t="s">
        <v>1798</v>
      </c>
      <c r="BD82" t="s">
        <v>1799</v>
      </c>
      <c r="BE82" t="s">
        <v>1800</v>
      </c>
      <c r="BF82" t="s">
        <v>1801</v>
      </c>
      <c r="BG82"/>
      <c r="BH82" s="59" t="str">
        <f>IF($O$21=1,AZ82,IF($O$21=2,BB82,IF($O$21=3,BA82,IF($O$21=4,BC82,IF($O$21=5,BD82,IF($O$21=6,AY82,IF($O$21=7,BE82,IF($O$21=8,BF82,IF($O$21=9,AX82,"")))))))))</f>
        <v/>
      </c>
      <c r="BI82" s="59">
        <v>120</v>
      </c>
      <c r="BJ82" t="s">
        <v>1802</v>
      </c>
      <c r="BK82" t="s">
        <v>1803</v>
      </c>
      <c r="BL82" t="s">
        <v>1804</v>
      </c>
      <c r="BM82" s="57"/>
      <c r="BN82" t="s">
        <v>1805</v>
      </c>
      <c r="BO82" s="57"/>
      <c r="BP82" s="57"/>
      <c r="BQ82" s="57"/>
      <c r="BR82" s="57"/>
      <c r="BS82" s="57"/>
      <c r="BT82" s="59" t="str">
        <f>IF($O$21=1,BL82,IF($O$21=2,BN82,IF($O$21=3,BM82,IF($O$21=4,BO82,IF($O$21=5,BP82,IF($O$21=6,BK82,IF($O$21=7,BQ82,IF($O$21=8,BR82,IF($O$21=9,BJ82,"")))))))))</f>
        <v/>
      </c>
      <c r="BU82" s="59">
        <v>150</v>
      </c>
      <c r="ES82" s="618" t="str">
        <f>VLOOKUP(839,Sprachindex!$A:$Z,Info!$O$7,FALSE)</f>
        <v>Sockelknie (Ausladung: 60 mm)</v>
      </c>
      <c r="ET82" s="619"/>
      <c r="EU82" s="619"/>
      <c r="EV82" s="619"/>
      <c r="EW82" s="619"/>
      <c r="EX82" s="323"/>
      <c r="EY82" s="299"/>
      <c r="EZ82" s="316"/>
      <c r="FA82" s="315"/>
      <c r="FB82" s="299"/>
      <c r="FC82" s="316"/>
      <c r="FD82" s="315"/>
      <c r="FE82" s="299"/>
      <c r="FF82" s="316"/>
      <c r="FG82" s="315"/>
      <c r="FH82" s="299"/>
      <c r="FI82" s="316"/>
      <c r="FJ82" s="315">
        <v>23.25</v>
      </c>
      <c r="FK82" s="376" t="s">
        <v>1661</v>
      </c>
      <c r="FL82" s="316">
        <v>20.37</v>
      </c>
      <c r="FM82" s="315"/>
      <c r="FN82" s="299"/>
      <c r="FO82" s="316"/>
      <c r="FP82" s="315">
        <v>24.01</v>
      </c>
      <c r="FQ82" s="377" t="s">
        <v>1662</v>
      </c>
      <c r="FR82" s="316">
        <v>21.01</v>
      </c>
      <c r="FS82" s="315"/>
      <c r="FT82" s="299"/>
      <c r="FU82" s="13"/>
      <c r="FV82" s="315">
        <v>30.42</v>
      </c>
      <c r="FW82" s="378" t="s">
        <v>1663</v>
      </c>
      <c r="FX82" s="316">
        <v>27.97</v>
      </c>
      <c r="FY82" s="315"/>
      <c r="FZ82" s="299"/>
      <c r="GA82" s="316"/>
      <c r="GB82" s="315">
        <v>56.27</v>
      </c>
      <c r="GC82" s="379" t="s">
        <v>1664</v>
      </c>
      <c r="GD82" s="316">
        <v>52.11</v>
      </c>
      <c r="GF82" s="299"/>
      <c r="GG82" s="316"/>
      <c r="GH82" s="315"/>
      <c r="GI82" s="299"/>
      <c r="GJ82" s="316"/>
      <c r="GK82" s="315"/>
      <c r="GL82" s="299"/>
      <c r="GM82" s="316"/>
      <c r="GN82" s="315"/>
      <c r="GO82" s="299"/>
      <c r="GP82" s="324"/>
      <c r="GR82" s="295" cm="1">
        <f t="array" ref="GR82">_xlfn.IFS($O$21=9,FL82,$O$21=10,"",TRUE,FJ82)</f>
        <v>23.25</v>
      </c>
      <c r="GS82" s="296" cm="1">
        <f t="array" ref="GS82">_xlfn.IFS($O$21=9,FR82,$O$21=10,26.41,TRUE,FP82)</f>
        <v>24.01</v>
      </c>
      <c r="GT82" s="297" cm="1">
        <f t="array" ref="GT82">_xlfn.IFS($O$21=9,FX82,$O$21=10,"",TRUE,FV82)</f>
        <v>30.42</v>
      </c>
      <c r="GU82" s="389" t="str">
        <f>IF(OR($O$21=1,$O$21=2,$O$21=6),GB82,IF($O$21=9,GD82," "))</f>
        <v xml:space="preserve"> </v>
      </c>
      <c r="GV82" s="306" t="str">
        <f>IF($O$25=2,GR82,IF($O$25=3,GS82,IF($O$25=4,GT82,IF($O$25=5,GU82," "))))</f>
        <v xml:space="preserve"> </v>
      </c>
    </row>
    <row r="83" spans="1:204" ht="32.1" customHeight="1">
      <c r="A83" s="103"/>
      <c r="B83" s="76" t="str">
        <f>VLOOKUP(878,Sprachindex!$A:$Z,Info!$O$7,FALSE)</f>
        <v>Stk.</v>
      </c>
      <c r="C83" s="75"/>
      <c r="D83" s="75" t="str">
        <f>IF(ISNUMBER(A83),IF($O$25=3,AJ83,""),"")</f>
        <v/>
      </c>
      <c r="E83" s="618" t="str">
        <f>VLOOKUP(1425,Sprachindex!$A:$Z,Info!$O$7,FALSE)</f>
        <v>Sockelknie (Ausladung: 30 mm)</v>
      </c>
      <c r="F83" s="619"/>
      <c r="G83" s="619"/>
      <c r="H83" s="619"/>
      <c r="I83" s="619"/>
      <c r="J83" s="681" t="str">
        <f>IF($O$25="","",IF($O$25=1,Formeln!$A$177,IF($O$25=2,Formeln!$A$177,IF($O$25=3,Formeln!$F$194,IF($O$25=4,Formeln!$A$177,IF($O$25=5,Formeln!$A$177,""))))))</f>
        <v/>
      </c>
      <c r="K83" s="682"/>
      <c r="L83" s="76" t="str">
        <f t="shared" si="6"/>
        <v xml:space="preserve"> </v>
      </c>
      <c r="M83" s="405" t="str">
        <f t="shared" si="2"/>
        <v>Stk.</v>
      </c>
      <c r="N83" s="77"/>
      <c r="O83" s="184" t="str">
        <f>IF(ISNUMBER(L83),L83*GV83," ")</f>
        <v xml:space="preserve"> </v>
      </c>
      <c r="R83" s="179"/>
      <c r="S83" s="179"/>
      <c r="T83" s="179"/>
      <c r="U83" s="1"/>
      <c r="V83" s="139" t="e">
        <f t="shared" si="12"/>
        <v>#VALUE!</v>
      </c>
      <c r="W83" s="139">
        <f t="shared" si="13"/>
        <v>0</v>
      </c>
      <c r="X83" s="139" t="str">
        <f>IF($O$25=3,8,"")</f>
        <v/>
      </c>
      <c r="Y83" s="139">
        <v>1</v>
      </c>
      <c r="Z83" s="56" t="s">
        <v>1806</v>
      </c>
      <c r="AA83" s="56"/>
      <c r="AB83" s="56"/>
      <c r="AC83" s="56"/>
      <c r="AD83" s="56"/>
      <c r="AE83" s="56"/>
      <c r="AF83" s="56"/>
      <c r="AG83" s="56"/>
      <c r="AH83" s="56"/>
      <c r="AI83" s="56"/>
      <c r="AJ83" s="59" t="str">
        <f t="shared" si="17"/>
        <v/>
      </c>
      <c r="AK83" s="59">
        <v>100</v>
      </c>
      <c r="AL83"/>
      <c r="AM83"/>
      <c r="AN83"/>
      <c r="AO83"/>
      <c r="AP83"/>
      <c r="AQ83"/>
      <c r="AR83"/>
      <c r="AS83"/>
      <c r="AT83"/>
      <c r="AU83"/>
      <c r="AV83" s="59" t="str">
        <f>IF($O$21=1,AN83,IF($O$21=2,AP83,IF($O$21=3,AO83,IF($O$21=4,AQ83,IF($O$21=5,AR83,IF($O$21=6,AM83,IF($O$21=7,AS83,IF($O$21=8,AT83,IF($O$21=9,AL83,"")))))))))</f>
        <v/>
      </c>
      <c r="AW83" s="59"/>
      <c r="AX83"/>
      <c r="AY83"/>
      <c r="AZ83"/>
      <c r="BA83"/>
      <c r="BB83"/>
      <c r="BC83"/>
      <c r="BD83"/>
      <c r="BE83"/>
      <c r="BF83"/>
      <c r="BG83"/>
      <c r="BH83" s="59" t="str">
        <f>IF($O$21=1,AZ83,IF($O$21=2,BB83,IF($O$21=3,BA83,IF($O$21=4,BC83,IF($O$21=5,BD83,IF($O$21=6,AY83,IF($O$21=7,BE83,IF($O$21=8,BF83,IF($O$21=9,AX83,"")))))))))</f>
        <v/>
      </c>
      <c r="BI83" s="59"/>
      <c r="BJ83"/>
      <c r="BK83"/>
      <c r="BL83"/>
      <c r="BM83" s="125"/>
      <c r="BN83"/>
      <c r="BO83" s="125"/>
      <c r="BP83" s="125"/>
      <c r="BQ83" s="125"/>
      <c r="BR83" s="125"/>
      <c r="BS83" s="125"/>
      <c r="BT83" s="126"/>
      <c r="BU83" s="126"/>
      <c r="ES83" s="618" t="str">
        <f>VLOOKUP(1425,Sprachindex!$A:$Z,Info!$O$7,FALSE)</f>
        <v>Sockelknie (Ausladung: 30 mm)</v>
      </c>
      <c r="ET83" s="619"/>
      <c r="EU83" s="619"/>
      <c r="EV83" s="619"/>
      <c r="EW83" s="619"/>
      <c r="EX83" s="323"/>
      <c r="EY83" s="299"/>
      <c r="EZ83" s="316"/>
      <c r="FA83" s="315"/>
      <c r="FB83" s="299"/>
      <c r="FC83" s="316"/>
      <c r="FD83" s="315"/>
      <c r="FE83" s="299"/>
      <c r="FF83" s="316"/>
      <c r="FG83" s="315"/>
      <c r="FH83" s="299"/>
      <c r="FI83" s="316"/>
      <c r="FJ83" s="315"/>
      <c r="FK83" s="299"/>
      <c r="FL83" s="316"/>
      <c r="FM83" s="315"/>
      <c r="FN83" s="299"/>
      <c r="FO83" s="316"/>
      <c r="FP83" s="315">
        <v>25.3</v>
      </c>
      <c r="FQ83" s="377" t="s">
        <v>1662</v>
      </c>
      <c r="FR83" s="316">
        <v>23.54</v>
      </c>
      <c r="FS83" s="315"/>
      <c r="FT83" s="299"/>
      <c r="FU83" s="316"/>
      <c r="FV83" s="315"/>
      <c r="FW83" s="299"/>
      <c r="FX83" s="316"/>
      <c r="FY83" s="315"/>
      <c r="FZ83" s="299"/>
      <c r="GA83" s="316"/>
      <c r="GB83" s="315"/>
      <c r="GC83" s="299"/>
      <c r="GD83" s="316"/>
      <c r="GE83" s="315"/>
      <c r="GF83" s="299"/>
      <c r="GG83" s="316"/>
      <c r="GH83" s="315"/>
      <c r="GI83" s="299"/>
      <c r="GJ83" s="316"/>
      <c r="GK83" s="315"/>
      <c r="GL83" s="299"/>
      <c r="GM83" s="316"/>
      <c r="GN83" s="315"/>
      <c r="GO83" s="299"/>
      <c r="GP83" s="324"/>
      <c r="GS83" s="296" cm="1">
        <f t="array" ref="GS83">_xlfn.IFS($O$21=9,FR83,$O$21=10,"",TRUE,FP83)</f>
        <v>25.3</v>
      </c>
      <c r="GT83" s="297"/>
      <c r="GV83" s="306" t="str">
        <f>IF($O$25=3,GS83," ")</f>
        <v xml:space="preserve"> </v>
      </c>
    </row>
    <row r="84" spans="1:204" ht="32.1" customHeight="1">
      <c r="A84" s="103"/>
      <c r="B84" s="76" t="str">
        <f>VLOOKUP(878,Sprachindex!$A:$Z,Info!$O$7,FALSE)</f>
        <v>Stk.</v>
      </c>
      <c r="C84" s="75"/>
      <c r="D84" s="75" t="str">
        <f>IF($O$25=2,AJ84,IF($O$25=3,AV84,IF($O$25=4,BH84,IF($O$25=5,BT84,""))))</f>
        <v/>
      </c>
      <c r="E84" s="618" t="str">
        <f>VLOOKUP(1013,Sprachindex!$A:$Z,Info!$O$7,FALSE)</f>
        <v>Wassersammler</v>
      </c>
      <c r="F84" s="619"/>
      <c r="G84" s="619"/>
      <c r="H84" s="619"/>
      <c r="I84" s="619"/>
      <c r="J84" s="681" t="str">
        <f>Formeln!A239</f>
        <v/>
      </c>
      <c r="K84" s="682"/>
      <c r="L84" s="76" t="str">
        <f t="shared" ref="L84:L101" si="18">IF(OR(A84="",X84="",Y84="")," ",IF($O$11=1,$V84,IF($O$11=2,W84,0)))</f>
        <v xml:space="preserve"> </v>
      </c>
      <c r="M84" s="405" t="str">
        <f t="shared" si="2"/>
        <v>Stk.</v>
      </c>
      <c r="N84" s="77"/>
      <c r="O84" s="184" t="str">
        <f>IF(ISNUMBER(L84),L84*GV84," ")</f>
        <v xml:space="preserve"> </v>
      </c>
      <c r="R84" s="179"/>
      <c r="S84" s="179"/>
      <c r="T84" s="179"/>
      <c r="U84" s="1"/>
      <c r="V84" s="139" t="e">
        <f t="shared" si="12"/>
        <v>#VALUE!</v>
      </c>
      <c r="W84" s="139">
        <f t="shared" si="13"/>
        <v>0</v>
      </c>
      <c r="X84" s="139" t="str">
        <f>IF($O$25=1,"",IF($O$25=2,1,IF($O$25=3,1,IF($O$25=4,1,IF($O$25=5,"","")))))</f>
        <v/>
      </c>
      <c r="Y84" s="139">
        <v>1</v>
      </c>
      <c r="Z84" s="56" t="s">
        <v>1807</v>
      </c>
      <c r="AA84" s="56" t="s">
        <v>1808</v>
      </c>
      <c r="AB84" s="56" t="s">
        <v>1809</v>
      </c>
      <c r="AC84" s="56" t="s">
        <v>1810</v>
      </c>
      <c r="AD84" s="56" t="s">
        <v>1811</v>
      </c>
      <c r="AE84" s="56" t="s">
        <v>1812</v>
      </c>
      <c r="AF84" s="56" t="s">
        <v>1813</v>
      </c>
      <c r="AG84" s="56" t="s">
        <v>1814</v>
      </c>
      <c r="AH84" s="56" t="s">
        <v>1815</v>
      </c>
      <c r="AI84" s="56"/>
      <c r="AJ84" s="59" t="str">
        <f t="shared" si="17"/>
        <v/>
      </c>
      <c r="AK84" s="59">
        <v>80</v>
      </c>
      <c r="AL84" t="s">
        <v>1816</v>
      </c>
      <c r="AM84" t="s">
        <v>1817</v>
      </c>
      <c r="AN84" t="s">
        <v>1818</v>
      </c>
      <c r="AO84" t="s">
        <v>1819</v>
      </c>
      <c r="AP84" t="s">
        <v>1820</v>
      </c>
      <c r="AQ84" t="s">
        <v>1821</v>
      </c>
      <c r="AR84" t="s">
        <v>1822</v>
      </c>
      <c r="AS84" t="s">
        <v>1823</v>
      </c>
      <c r="AT84" t="s">
        <v>1824</v>
      </c>
      <c r="AU84"/>
      <c r="AV84" s="59" t="str">
        <f>IF($O$21=1,AN84,IF($O$21=2,AP84,IF($O$21=3,AO84,IF($O$21=4,AQ84,IF($O$21=5,AR84,IF($O$21=6,AM84,IF($O$21=7,AS84,IF($O$21=8,AT84,IF($O$21=9,AL84,"")))))))))</f>
        <v/>
      </c>
      <c r="AW84" s="59">
        <v>100</v>
      </c>
      <c r="AX84" t="s">
        <v>1825</v>
      </c>
      <c r="AY84" t="s">
        <v>1826</v>
      </c>
      <c r="AZ84" t="s">
        <v>1827</v>
      </c>
      <c r="BA84" t="s">
        <v>1828</v>
      </c>
      <c r="BB84" t="s">
        <v>1829</v>
      </c>
      <c r="BC84" t="s">
        <v>1830</v>
      </c>
      <c r="BD84" t="s">
        <v>1831</v>
      </c>
      <c r="BE84" t="s">
        <v>1832</v>
      </c>
      <c r="BF84" t="s">
        <v>1833</v>
      </c>
      <c r="BG84"/>
      <c r="BH84" s="59" t="str">
        <f>IF($O$21=1,AZ84,IF($O$21=2,BB84,IF($O$21=3,BA84,IF($O$21=4,BC84,IF($O$21=5,BD84,IF($O$21=6,AY84,IF($O$21=7,BE84,IF($O$21=8,BF84,IF($O$21=9,AX84,"")))))))))</f>
        <v/>
      </c>
      <c r="BI84" s="59">
        <v>120</v>
      </c>
      <c r="ES84" s="618" t="str">
        <f>VLOOKUP(1013,Sprachindex!$A:$Z,Info!$O$7,FALSE)</f>
        <v>Wassersammler</v>
      </c>
      <c r="ET84" s="619"/>
      <c r="EU84" s="619"/>
      <c r="EV84" s="619"/>
      <c r="EW84" s="619"/>
      <c r="EX84" s="323"/>
      <c r="EY84" s="299"/>
      <c r="EZ84" s="316"/>
      <c r="FA84" s="315"/>
      <c r="FB84" s="299"/>
      <c r="FC84" s="316"/>
      <c r="FD84" s="315"/>
      <c r="FE84" s="299"/>
      <c r="FF84" s="316"/>
      <c r="FG84" s="315"/>
      <c r="FH84" s="299"/>
      <c r="FI84" s="316"/>
      <c r="FJ84" s="315">
        <v>137.4</v>
      </c>
      <c r="FK84" s="376" t="s">
        <v>1661</v>
      </c>
      <c r="FL84" s="316">
        <v>133.38999999999999</v>
      </c>
      <c r="FM84" s="315"/>
      <c r="FN84" s="299"/>
      <c r="FO84" s="316"/>
      <c r="FP84" s="315">
        <v>143.69</v>
      </c>
      <c r="FQ84" s="377" t="s">
        <v>1662</v>
      </c>
      <c r="FR84" s="316">
        <v>138.33000000000001</v>
      </c>
      <c r="FS84" s="315"/>
      <c r="FT84" s="299"/>
      <c r="FU84" s="13"/>
      <c r="FV84" s="315">
        <v>196.42</v>
      </c>
      <c r="FW84" s="378" t="s">
        <v>1663</v>
      </c>
      <c r="FX84" s="316">
        <v>189.73</v>
      </c>
      <c r="FY84" s="315"/>
      <c r="FZ84" s="299"/>
      <c r="GA84" s="316"/>
      <c r="GB84" s="315"/>
      <c r="GC84" s="299"/>
      <c r="GD84" s="316"/>
      <c r="GE84" s="315"/>
      <c r="GF84" s="299"/>
      <c r="GG84" s="316"/>
      <c r="GH84" s="315"/>
      <c r="GI84" s="299"/>
      <c r="GJ84" s="316"/>
      <c r="GK84" s="315"/>
      <c r="GL84" s="299"/>
      <c r="GM84" s="316"/>
      <c r="GN84" s="315"/>
      <c r="GO84" s="299"/>
      <c r="GP84" s="324"/>
      <c r="GR84" s="295" cm="1">
        <f t="array" ref="GR84">_xlfn.IFS($O$21=9,FL84,$O$21=10,"",TRUE,FJ84)</f>
        <v>137.4</v>
      </c>
      <c r="GS84" s="296" cm="1">
        <f t="array" ref="GS84">_xlfn.IFS($O$21=9,FR84,$O$21=10,"",TRUE,FP84)</f>
        <v>143.69</v>
      </c>
      <c r="GT84" s="297" cm="1">
        <f t="array" ref="GT84">_xlfn.IFS($O$21=9,FX84,$O$21=10,"",TRUE,FV84)</f>
        <v>196.42</v>
      </c>
      <c r="GV84" s="306" t="str">
        <f>IF($O$25=2,GR84,IF($O$25=3,GS84,IF($O$25=4,GT84," ")))</f>
        <v xml:space="preserve"> </v>
      </c>
    </row>
    <row r="85" spans="1:204" ht="32.1" customHeight="1">
      <c r="A85" s="103"/>
      <c r="B85" s="76" t="str">
        <f>VLOOKUP(878,Sprachindex!$A:$Z,Info!$O$7,FALSE)</f>
        <v>Stk.</v>
      </c>
      <c r="C85" s="75"/>
      <c r="D85" s="75" t="str">
        <f>IF($O$25=2,AJ85,IF($O$25=3,AV85,IF($O$25=4,BH85,IF($O$25=5,BT85,""))))</f>
        <v/>
      </c>
      <c r="E85" s="618" t="str">
        <f>VLOOKUP(702,Sprachindex!$A:$Z,Info!$O$7,FALSE)</f>
        <v>Regenklappe</v>
      </c>
      <c r="F85" s="619"/>
      <c r="G85" s="619"/>
      <c r="H85" s="619"/>
      <c r="I85" s="619"/>
      <c r="J85" s="681" t="str">
        <f>Formeln!A239</f>
        <v/>
      </c>
      <c r="K85" s="682"/>
      <c r="L85" s="76" t="str">
        <f t="shared" si="18"/>
        <v xml:space="preserve"> </v>
      </c>
      <c r="M85" s="405" t="str">
        <f t="shared" si="2"/>
        <v>Stk.</v>
      </c>
      <c r="N85" s="77"/>
      <c r="O85" s="184" t="str">
        <f>IF(ISNUMBER(L85),L85*GV85," ")</f>
        <v xml:space="preserve"> </v>
      </c>
      <c r="R85" s="179"/>
      <c r="S85" s="179"/>
      <c r="T85" s="179"/>
      <c r="U85" s="1"/>
      <c r="V85" s="139" t="e">
        <f t="shared" si="12"/>
        <v>#VALUE!</v>
      </c>
      <c r="W85" s="139">
        <f t="shared" si="13"/>
        <v>0</v>
      </c>
      <c r="X85" s="139" t="str">
        <f>IF($O$25=1,"",IF($O$25=2,1,IF($O$25=3,1,IF($O$25=4,1,IF($O$25=5,"","")))))</f>
        <v/>
      </c>
      <c r="Y85" s="139">
        <v>1</v>
      </c>
      <c r="Z85" s="56" t="s">
        <v>1834</v>
      </c>
      <c r="AA85" s="56" t="s">
        <v>1835</v>
      </c>
      <c r="AB85" s="56" t="s">
        <v>1836</v>
      </c>
      <c r="AC85" s="56" t="s">
        <v>1837</v>
      </c>
      <c r="AD85" s="56" t="s">
        <v>1838</v>
      </c>
      <c r="AE85" s="56" t="s">
        <v>1839</v>
      </c>
      <c r="AF85" s="56" t="s">
        <v>1840</v>
      </c>
      <c r="AG85" s="56" t="s">
        <v>1841</v>
      </c>
      <c r="AH85" s="56" t="s">
        <v>1842</v>
      </c>
      <c r="AI85" s="56"/>
      <c r="AJ85" s="59" t="str">
        <f t="shared" si="17"/>
        <v/>
      </c>
      <c r="AK85" s="59">
        <v>80</v>
      </c>
      <c r="AL85" t="s">
        <v>1843</v>
      </c>
      <c r="AM85" t="s">
        <v>1844</v>
      </c>
      <c r="AN85" t="s">
        <v>1845</v>
      </c>
      <c r="AO85" t="s">
        <v>1846</v>
      </c>
      <c r="AP85" t="s">
        <v>1847</v>
      </c>
      <c r="AQ85" t="s">
        <v>1848</v>
      </c>
      <c r="AR85" t="s">
        <v>1849</v>
      </c>
      <c r="AS85" t="s">
        <v>1850</v>
      </c>
      <c r="AT85" t="s">
        <v>1851</v>
      </c>
      <c r="AU85">
        <v>539029</v>
      </c>
      <c r="AV85" s="59" t="str">
        <f>IF($O$21=1,AN85,IF($O$21=2,AP85,IF($O$21=3,AO85,IF($O$21=4,AQ85,IF($O$21=5,AR85,IF($O$21=6,AM85,IF($O$21=7,AS85,IF($O$21=8,AT85,IF($O$21=9,AL85,IF($O$21=10,AU85,""))))))))))</f>
        <v/>
      </c>
      <c r="AW85" s="59">
        <v>100</v>
      </c>
      <c r="AX85" t="s">
        <v>1852</v>
      </c>
      <c r="AY85" t="s">
        <v>1853</v>
      </c>
      <c r="AZ85" t="s">
        <v>1854</v>
      </c>
      <c r="BA85" t="s">
        <v>1855</v>
      </c>
      <c r="BB85" t="s">
        <v>1856</v>
      </c>
      <c r="BC85" t="s">
        <v>1857</v>
      </c>
      <c r="BD85" t="s">
        <v>1858</v>
      </c>
      <c r="BE85" t="s">
        <v>1859</v>
      </c>
      <c r="BF85" t="s">
        <v>1860</v>
      </c>
      <c r="BG85"/>
      <c r="BH85" s="59" t="str">
        <f>IF($O$21=1,AZ85,IF($O$21=2,BB85,IF($O$21=3,BA85,IF($O$21=4,BC85,IF($O$21=5,BD85,IF($O$21=6,AY85,IF($O$21=7,BE85,IF($O$21=8,BF85,IF($O$21=9,AX85,"")))))))))</f>
        <v/>
      </c>
      <c r="BI85" s="59">
        <v>120</v>
      </c>
      <c r="ES85" s="618" t="str">
        <f>VLOOKUP(702,Sprachindex!$A:$Z,Info!$O$7,FALSE)</f>
        <v>Regenklappe</v>
      </c>
      <c r="ET85" s="619"/>
      <c r="EU85" s="619"/>
      <c r="EV85" s="619"/>
      <c r="EW85" s="619"/>
      <c r="EX85" s="323"/>
      <c r="EY85" s="299"/>
      <c r="EZ85" s="316"/>
      <c r="FA85" s="315"/>
      <c r="FB85" s="299"/>
      <c r="FC85" s="316"/>
      <c r="FD85" s="315"/>
      <c r="FE85" s="299"/>
      <c r="FF85" s="316"/>
      <c r="FG85" s="315"/>
      <c r="FH85" s="299"/>
      <c r="FI85" s="316"/>
      <c r="FJ85" s="315">
        <v>60.35</v>
      </c>
      <c r="FK85" s="376" t="s">
        <v>1661</v>
      </c>
      <c r="FL85" s="316">
        <v>47.58</v>
      </c>
      <c r="FM85" s="315"/>
      <c r="FN85" s="299"/>
      <c r="FO85" s="316"/>
      <c r="FP85" s="315">
        <v>67.349999999999994</v>
      </c>
      <c r="FQ85" s="377" t="s">
        <v>1662</v>
      </c>
      <c r="FR85" s="316">
        <v>52.9</v>
      </c>
      <c r="FS85" s="315"/>
      <c r="FT85" s="299"/>
      <c r="FU85" s="13"/>
      <c r="FV85" s="315">
        <v>78.17</v>
      </c>
      <c r="FW85" s="378" t="s">
        <v>1663</v>
      </c>
      <c r="FX85" s="316">
        <v>63.84</v>
      </c>
      <c r="FY85" s="315"/>
      <c r="FZ85" s="299"/>
      <c r="GA85" s="316"/>
      <c r="GB85" s="315"/>
      <c r="GC85" s="299"/>
      <c r="GD85" s="316"/>
      <c r="GE85" s="315"/>
      <c r="GF85" s="299"/>
      <c r="GG85" s="316"/>
      <c r="GH85" s="315"/>
      <c r="GI85" s="299"/>
      <c r="GJ85" s="316"/>
      <c r="GK85" s="315"/>
      <c r="GL85" s="299"/>
      <c r="GM85" s="316"/>
      <c r="GN85" s="315"/>
      <c r="GO85" s="299"/>
      <c r="GP85" s="324"/>
      <c r="GR85" s="295" cm="1">
        <f t="array" ref="GR85">_xlfn.IFS($O$21=9,FL85,$O$21=10,"",TRUE,FJ85)</f>
        <v>60.35</v>
      </c>
      <c r="GS85" s="296" cm="1">
        <f t="array" ref="GS85">_xlfn.IFS($O$21=9,FR85,$O$21=10,74.09,TRUE,FP85)</f>
        <v>67.349999999999994</v>
      </c>
      <c r="GT85" s="297" cm="1">
        <f t="array" ref="GT85">_xlfn.IFS($O$21=9,FX85,$O$21=10,"",TRUE,FV85)</f>
        <v>78.17</v>
      </c>
      <c r="GV85" s="306" t="str">
        <f>IF($O$25=2,GR85,IF($O$25=3,GS85,IF($O$25=4,GT85," ")))</f>
        <v xml:space="preserve"> </v>
      </c>
    </row>
    <row r="86" spans="1:204" ht="32.1" customHeight="1">
      <c r="A86" s="103"/>
      <c r="B86" s="76" t="str">
        <f>VLOOKUP(878,Sprachindex!$A:$Z,Info!$O$7,FALSE)</f>
        <v>Stk.</v>
      </c>
      <c r="C86" s="75"/>
      <c r="D86" s="75" t="str">
        <f>IF(O25=2,AJ86,IF(O25=3,AV86,IF(O25=4,BH86,"")))</f>
        <v/>
      </c>
      <c r="E86" s="618" t="str">
        <f>VLOOKUP(373,Sprachindex!$A:$Z,Info!$O$7,FALSE)</f>
        <v>Ersatzgitter für Regenklappe</v>
      </c>
      <c r="F86" s="619"/>
      <c r="G86" s="619"/>
      <c r="H86" s="619"/>
      <c r="I86" s="619"/>
      <c r="J86" s="681" t="str">
        <f>Formeln!A239</f>
        <v/>
      </c>
      <c r="K86" s="682"/>
      <c r="L86" s="76" t="str">
        <f t="shared" si="18"/>
        <v xml:space="preserve"> </v>
      </c>
      <c r="M86" s="405" t="str">
        <f t="shared" si="2"/>
        <v>Stk.</v>
      </c>
      <c r="N86" s="77"/>
      <c r="O86" s="184" t="str">
        <f>IF(ISNUMBER(L86),L86*GV86," ")</f>
        <v xml:space="preserve"> </v>
      </c>
      <c r="R86" s="179"/>
      <c r="S86" s="179"/>
      <c r="T86" s="179"/>
      <c r="U86" s="1"/>
      <c r="V86" s="139" t="e">
        <f t="shared" si="12"/>
        <v>#VALUE!</v>
      </c>
      <c r="W86" s="139">
        <f t="shared" si="13"/>
        <v>0</v>
      </c>
      <c r="X86" s="139" t="str">
        <f>IF($O$25=1,"",IF($O$25=2,1,IF($O$25=3,1,IF($O$25=4,1,IF($O$25=5,"","")))))</f>
        <v/>
      </c>
      <c r="Y86" s="139">
        <v>1</v>
      </c>
      <c r="Z86" s="56"/>
      <c r="AA86" s="56"/>
      <c r="AB86" s="56"/>
      <c r="AC86" s="56"/>
      <c r="AD86" s="56"/>
      <c r="AE86" s="56"/>
      <c r="AF86" s="56"/>
      <c r="AG86" s="56"/>
      <c r="AH86" s="56"/>
      <c r="AI86" s="56"/>
      <c r="AJ86" s="59">
        <v>539089</v>
      </c>
      <c r="AK86" s="59">
        <v>80</v>
      </c>
      <c r="AL86"/>
      <c r="AM86"/>
      <c r="AN86"/>
      <c r="AO86"/>
      <c r="AP86"/>
      <c r="AQ86"/>
      <c r="AR86"/>
      <c r="AS86"/>
      <c r="AT86"/>
      <c r="AU86"/>
      <c r="AV86" s="59">
        <v>539090</v>
      </c>
      <c r="AW86" s="59">
        <v>100</v>
      </c>
      <c r="AX86"/>
      <c r="AY86"/>
      <c r="AZ86"/>
      <c r="BA86"/>
      <c r="BB86"/>
      <c r="BC86"/>
      <c r="BD86"/>
      <c r="BE86"/>
      <c r="BF86"/>
      <c r="BG86"/>
      <c r="BH86" s="59">
        <v>539091</v>
      </c>
      <c r="BI86" s="59">
        <v>120</v>
      </c>
      <c r="CH86" s="47" t="s">
        <v>84</v>
      </c>
      <c r="CI86" s="47" t="s">
        <v>99</v>
      </c>
      <c r="CJ86" s="47" t="s">
        <v>94</v>
      </c>
      <c r="CK86" s="47" t="s">
        <v>97</v>
      </c>
      <c r="CL86" s="47" t="s">
        <v>95</v>
      </c>
      <c r="CM86" s="47" t="s">
        <v>98</v>
      </c>
      <c r="CN86" s="47" t="s">
        <v>102</v>
      </c>
      <c r="CO86" s="47" t="s">
        <v>103</v>
      </c>
      <c r="CP86" s="47" t="s">
        <v>1459</v>
      </c>
      <c r="CQ86" s="59"/>
      <c r="CS86" s="47" t="s">
        <v>84</v>
      </c>
      <c r="CT86" s="47" t="s">
        <v>99</v>
      </c>
      <c r="CU86" s="47" t="s">
        <v>94</v>
      </c>
      <c r="CV86" s="47" t="s">
        <v>97</v>
      </c>
      <c r="CW86" s="47" t="s">
        <v>95</v>
      </c>
      <c r="CX86" s="47" t="s">
        <v>98</v>
      </c>
      <c r="CY86" s="47" t="s">
        <v>102</v>
      </c>
      <c r="CZ86" s="47" t="s">
        <v>103</v>
      </c>
      <c r="DA86" s="47" t="s">
        <v>1459</v>
      </c>
      <c r="DD86" s="47" t="s">
        <v>84</v>
      </c>
      <c r="DE86" s="47" t="s">
        <v>99</v>
      </c>
      <c r="DF86" s="47" t="s">
        <v>94</v>
      </c>
      <c r="DG86" s="47" t="s">
        <v>97</v>
      </c>
      <c r="DH86" s="47" t="s">
        <v>95</v>
      </c>
      <c r="DI86" s="47" t="s">
        <v>98</v>
      </c>
      <c r="DJ86" s="47" t="s">
        <v>102</v>
      </c>
      <c r="DK86" s="47" t="s">
        <v>103</v>
      </c>
      <c r="DL86" s="47" t="s">
        <v>1459</v>
      </c>
      <c r="ES86" s="618" t="str">
        <f>VLOOKUP(373,Sprachindex!$A:$Z,Info!$O$7,FALSE)</f>
        <v>Ersatzgitter für Regenklappe</v>
      </c>
      <c r="ET86" s="619"/>
      <c r="EU86" s="619"/>
      <c r="EV86" s="619"/>
      <c r="EW86" s="619"/>
      <c r="EX86" s="323"/>
      <c r="EY86" s="299"/>
      <c r="EZ86" s="316"/>
      <c r="FA86" s="315"/>
      <c r="FB86" s="299"/>
      <c r="FC86" s="316"/>
      <c r="FD86" s="315"/>
      <c r="FE86" s="299"/>
      <c r="FF86" s="316"/>
      <c r="FG86" s="315"/>
      <c r="FH86" s="299"/>
      <c r="FI86" s="316"/>
      <c r="FJ86" s="315"/>
      <c r="FK86" s="299"/>
      <c r="FL86" s="316"/>
      <c r="FM86" s="315"/>
      <c r="FN86" s="299"/>
      <c r="FO86" s="316"/>
      <c r="FP86" s="315"/>
      <c r="FQ86" s="299"/>
      <c r="FR86" s="316"/>
      <c r="FS86" s="315"/>
      <c r="FT86" s="299"/>
      <c r="FU86" s="316"/>
      <c r="FV86" s="315"/>
      <c r="FW86" s="299"/>
      <c r="FX86" s="316"/>
      <c r="FY86" s="315"/>
      <c r="FZ86" s="299"/>
      <c r="GA86" s="316"/>
      <c r="GB86" s="315"/>
      <c r="GC86" s="299"/>
      <c r="GD86" s="316"/>
      <c r="GE86" s="315"/>
      <c r="GF86" s="299"/>
      <c r="GG86" s="316"/>
      <c r="GH86" s="315"/>
      <c r="GI86" s="299"/>
      <c r="GJ86" s="316"/>
      <c r="GK86" s="315"/>
      <c r="GL86" s="299"/>
      <c r="GM86" s="316"/>
      <c r="GN86" s="315"/>
      <c r="GO86" s="299"/>
      <c r="GP86" s="324"/>
      <c r="GR86" s="295">
        <v>25.99</v>
      </c>
      <c r="GS86" s="296">
        <v>25.99</v>
      </c>
      <c r="GT86" s="297">
        <v>25.99</v>
      </c>
      <c r="GV86" s="306" t="str">
        <f>IF($O$25=2,GR86,IF($O$25=3,GS86,IF($O$25=4,GT86," ")))</f>
        <v xml:space="preserve"> </v>
      </c>
    </row>
    <row r="87" spans="1:204" ht="32.1" customHeight="1">
      <c r="A87" s="103"/>
      <c r="B87" s="76" t="str">
        <f>VLOOKUP(878,Sprachindex!$A:$Z,Info!$O$7,FALSE)</f>
        <v>Stk.</v>
      </c>
      <c r="C87" s="75"/>
      <c r="D87" s="75" t="str">
        <f>IF(AND($O$25=2,J87=Formeln!A243),AJ87,IF(AND($O$25=3,J87=Formeln!A244),BT87,IF(AND($O$25=3,J87=Formeln!A245),CF87,IF(AND($O$25=4,J87=Formeln!A243),CQ87,IF(AND($O$25=4,J87=Formeln!A244),DB87,IF(AND($O$25=4,J87=Formeln!A245),DM87,IF(AND($O$25=2,J87=Formeln!A244),AV87,IF(AND($O$25=3,J87=Formeln!A243),BH87,""))))))))</f>
        <v/>
      </c>
      <c r="E87" s="618" t="str">
        <f>VLOOKUP(732,Sprachindex!$A:$Z,Info!$O$7,FALSE)</f>
        <v>Rohreinmündung</v>
      </c>
      <c r="F87" s="619"/>
      <c r="G87" s="619"/>
      <c r="H87" s="619"/>
      <c r="I87" s="619"/>
      <c r="J87" s="631" t="s">
        <v>1210</v>
      </c>
      <c r="K87" s="706"/>
      <c r="L87" s="76" t="str">
        <f t="shared" si="18"/>
        <v xml:space="preserve"> </v>
      </c>
      <c r="M87" s="405" t="str">
        <f t="shared" si="2"/>
        <v>Stk.</v>
      </c>
      <c r="N87" s="77"/>
      <c r="O87" s="184" t="str">
        <f>IF(ISNUMBER(A87),L87*GV87," ")</f>
        <v xml:space="preserve"> </v>
      </c>
      <c r="R87" s="179"/>
      <c r="S87" s="179"/>
      <c r="T87" s="179"/>
      <c r="U87" s="1"/>
      <c r="V87" s="139">
        <f t="shared" si="12"/>
        <v>0</v>
      </c>
      <c r="W87" s="139">
        <f t="shared" si="13"/>
        <v>0</v>
      </c>
      <c r="X87" s="139">
        <v>2</v>
      </c>
      <c r="Y87" s="139">
        <v>1</v>
      </c>
      <c r="Z87" s="477" t="s">
        <v>1861</v>
      </c>
      <c r="AA87" s="477" t="s">
        <v>1862</v>
      </c>
      <c r="AB87" s="477" t="s">
        <v>1863</v>
      </c>
      <c r="AC87" s="477"/>
      <c r="AD87" s="477" t="s">
        <v>1864</v>
      </c>
      <c r="AE87" s="477"/>
      <c r="AF87" s="477"/>
      <c r="AG87" s="477"/>
      <c r="AH87" s="477"/>
      <c r="AI87" s="477"/>
      <c r="AJ87" s="59" t="str">
        <f t="shared" ref="AJ87:AJ95" si="19">IF($O$21=1,AB87,IF($O$21=2,AD87,IF($O$21=3,AC87,IF($O$21=4,AE87,IF($O$21=5,AF87,IF($O$21=6,AA87,IF($O$21=7,AG87,IF($O$21=8,AH87,IF($O$21=9,Z87,"")))))))))</f>
        <v/>
      </c>
      <c r="AK87" s="59" t="s">
        <v>1221</v>
      </c>
      <c r="AL87" s="19" t="s">
        <v>1865</v>
      </c>
      <c r="AM87" s="19" t="s">
        <v>1866</v>
      </c>
      <c r="AN87" s="19" t="s">
        <v>1867</v>
      </c>
      <c r="AO87" s="19" t="s">
        <v>1868</v>
      </c>
      <c r="AP87" s="19" t="s">
        <v>1869</v>
      </c>
      <c r="AQ87" s="19" t="s">
        <v>1870</v>
      </c>
      <c r="AR87" s="19" t="s">
        <v>1871</v>
      </c>
      <c r="AS87" s="19" t="s">
        <v>1872</v>
      </c>
      <c r="AT87" s="19" t="s">
        <v>1873</v>
      </c>
      <c r="AU87" s="19"/>
      <c r="AV87" s="59" t="str">
        <f>IF($O$21=1,AN87,IF($O$21=2,AP87,IF($O$21=3,AO87,IF($O$21=4,AQ87,IF($O$21=5,AR87,IF($O$21=6,AM87,IF($O$21=7,AS87,IF($O$21=8,AT87,IF($O$21=9,AL87,"")))))))))</f>
        <v/>
      </c>
      <c r="AW87" s="59" t="s">
        <v>1229</v>
      </c>
      <c r="AX87" s="19" t="s">
        <v>1874</v>
      </c>
      <c r="AY87" s="19" t="s">
        <v>1875</v>
      </c>
      <c r="AZ87" s="19" t="s">
        <v>1876</v>
      </c>
      <c r="BA87" s="19"/>
      <c r="BB87" s="19" t="s">
        <v>1877</v>
      </c>
      <c r="BC87" s="19"/>
      <c r="BD87" s="19"/>
      <c r="BE87" s="19"/>
      <c r="BF87" s="19"/>
      <c r="BG87" s="19"/>
      <c r="BH87" s="59" t="str">
        <f>IF($O$21=1,AZ87,IF($O$21=2,BB87,IF($O$21=3,BA87,IF($O$21=4,BC87,IF($O$21=5,BD87,IF($O$21=6,AY87,IF($O$21=7,BE87,IF($O$21=8,BF87,IF($O$21=9,AX87,"")))))))))</f>
        <v/>
      </c>
      <c r="BI87" s="59" t="s">
        <v>1237</v>
      </c>
      <c r="BJ87" s="19">
        <v>542015</v>
      </c>
      <c r="BK87" s="19" t="s">
        <v>1878</v>
      </c>
      <c r="BL87" s="19" t="s">
        <v>1879</v>
      </c>
      <c r="BM87" s="19" t="s">
        <v>1880</v>
      </c>
      <c r="BN87" s="19" t="s">
        <v>1881</v>
      </c>
      <c r="BO87" s="19" t="s">
        <v>1882</v>
      </c>
      <c r="BP87" s="19" t="s">
        <v>1883</v>
      </c>
      <c r="BQ87" s="19" t="s">
        <v>1884</v>
      </c>
      <c r="BR87" s="19" t="s">
        <v>1885</v>
      </c>
      <c r="BS87" s="19"/>
      <c r="BT87" s="59" t="str">
        <f>IF($O$21=1,BL87,IF($O$21=2,BN87,IF($O$21=3,BM87,IF($O$21=4,BO87,IF($O$21=5,BP87,IF($O$21=6,BK87,IF($O$21=7,BQ87,IF($O$21=8,BR87,IF($O$21=9,BJ87,"")))))))))</f>
        <v/>
      </c>
      <c r="BU87" s="59" t="s">
        <v>1244</v>
      </c>
      <c r="BV87" s="19" t="s">
        <v>1886</v>
      </c>
      <c r="BW87" s="19" t="s">
        <v>1887</v>
      </c>
      <c r="BX87" s="19" t="s">
        <v>1888</v>
      </c>
      <c r="BY87" s="19" t="s">
        <v>1889</v>
      </c>
      <c r="BZ87" s="19" t="s">
        <v>1890</v>
      </c>
      <c r="CA87" s="19" t="s">
        <v>1891</v>
      </c>
      <c r="CB87" s="19" t="s">
        <v>1892</v>
      </c>
      <c r="CC87" s="19" t="s">
        <v>1893</v>
      </c>
      <c r="CD87" s="19" t="s">
        <v>1894</v>
      </c>
      <c r="CE87" s="19">
        <v>542049</v>
      </c>
      <c r="CF87" s="59" t="str">
        <f>IF($O$21=1,BX87,IF($O$21=2,BZ87,IF($O$21=3,BY87,IF($O$21=4,CA87,IF($O$21=5,CB87,IF($O$21=6,BW87,IF($O$21=7,CC87,IF($O$21=8,CD87,IF($O$21=9,BV87,IF($O$21=10,CE87,""))))))))))</f>
        <v/>
      </c>
      <c r="CG87" s="59" t="s">
        <v>1252</v>
      </c>
      <c r="CH87" s="19">
        <v>542038</v>
      </c>
      <c r="CI87" s="19">
        <v>542041</v>
      </c>
      <c r="CJ87" s="19">
        <v>542039</v>
      </c>
      <c r="CK87" s="19">
        <v>542043</v>
      </c>
      <c r="CL87" s="19">
        <v>542040</v>
      </c>
      <c r="CM87" s="19">
        <v>542055</v>
      </c>
      <c r="CN87" s="19">
        <v>542044</v>
      </c>
      <c r="CO87" s="19">
        <v>542063</v>
      </c>
      <c r="CP87" s="19">
        <v>542069</v>
      </c>
      <c r="CQ87" s="59" t="str">
        <f>IF($O$21=1,CJ87,IF($O$21=2,CL87,IF($O$21=3,CK87,IF($O$21=4,CM87,IF($O$21=5,CN87,IF($O$21=6,CI87,IF($O$21=7,CO87,IF($O$21=8,CP87,IF($O$21=9,CH87,"")))))))))</f>
        <v/>
      </c>
      <c r="CR87" s="59" t="s">
        <v>1260</v>
      </c>
      <c r="CS87" s="19">
        <v>542005</v>
      </c>
      <c r="CT87" s="19">
        <v>542006</v>
      </c>
      <c r="CU87" s="19">
        <v>542013</v>
      </c>
      <c r="CV87" s="19">
        <v>542036</v>
      </c>
      <c r="CW87" s="19">
        <v>542014</v>
      </c>
      <c r="CX87" s="19">
        <v>542053</v>
      </c>
      <c r="CY87" s="19">
        <v>542031</v>
      </c>
      <c r="CZ87" s="19">
        <v>542064</v>
      </c>
      <c r="DA87" s="19">
        <v>542070</v>
      </c>
      <c r="DB87" s="59" t="str">
        <f>IF($O$21=1,CU87,IF($O$21=2,CW87,IF($O$21=3,CV87,IF($O$21=4,CX87,IF($O$21=5,CY87,IF($O$21=6,CT87,IF($O$21=7,CZ87,IF($O$21=8,DA87,IF($O$21=9,CS87,"")))))))))</f>
        <v/>
      </c>
      <c r="DC87" s="59" t="s">
        <v>1268</v>
      </c>
      <c r="DD87" s="19">
        <v>542007</v>
      </c>
      <c r="DE87" s="19">
        <v>542008</v>
      </c>
      <c r="DF87" s="19">
        <v>542010</v>
      </c>
      <c r="DG87" s="19">
        <v>542037</v>
      </c>
      <c r="DH87" s="19">
        <v>542011</v>
      </c>
      <c r="DI87" s="19">
        <v>542054</v>
      </c>
      <c r="DJ87" s="19">
        <v>542032</v>
      </c>
      <c r="DK87" s="19">
        <v>542065</v>
      </c>
      <c r="DL87" s="19">
        <v>542071</v>
      </c>
      <c r="DM87" s="59" t="str">
        <f>IF($O$21=1,DF87,IF($O$21=2,DH87,IF($O$21=3,DG87,IF($O$21=4,DI87,IF($O$21=5,DJ87,IF($O$21=6,DE87,IF($O$21=7,DK87,IF($O$21=8,DL87,IF($O$21=9,DD87,"")))))))))</f>
        <v/>
      </c>
      <c r="DN87" s="59" t="s">
        <v>1276</v>
      </c>
      <c r="ES87" s="618" t="str">
        <f>VLOOKUP(732,Sprachindex!$A:$Z,Info!$O$7,FALSE)</f>
        <v>Rohreinmündung</v>
      </c>
      <c r="ET87" s="619"/>
      <c r="EU87" s="619"/>
      <c r="EV87" s="619"/>
      <c r="EW87" s="619"/>
      <c r="EX87" s="323">
        <v>68.739999999999995</v>
      </c>
      <c r="EY87" s="376" t="s">
        <v>1206</v>
      </c>
      <c r="EZ87" s="381">
        <v>66.58</v>
      </c>
      <c r="FA87" s="368" t="str">
        <f>IF(OR($O$21=1,$O$21=2,$O$21=6),EX87,IF($O$21=9,EZ87," "))</f>
        <v xml:space="preserve"> </v>
      </c>
      <c r="FB87" s="299"/>
      <c r="FC87" s="376" t="s">
        <v>1207</v>
      </c>
      <c r="FD87" s="315">
        <v>70.87</v>
      </c>
      <c r="FF87" s="316">
        <v>61.29</v>
      </c>
      <c r="FG87" s="368" cm="1">
        <f t="array" ref="FG87">_xlfn.IFS($O$21=10,"",$O$21=9,FF87,TRUE,FD87)</f>
        <v>70.87</v>
      </c>
      <c r="FH87" s="371"/>
      <c r="FI87" s="387" t="s">
        <v>1208</v>
      </c>
      <c r="FJ87" s="464">
        <v>69.56</v>
      </c>
      <c r="FK87" s="299"/>
      <c r="FL87" s="464">
        <v>67.38</v>
      </c>
      <c r="FM87" s="385" t="str">
        <f>IF(OR($O$21=1,$O$21=2,$O$21=6),FJ87,IF($O$21=9,FL87," "))</f>
        <v xml:space="preserve"> </v>
      </c>
      <c r="FN87" s="1"/>
      <c r="FO87" s="386" t="s">
        <v>1209</v>
      </c>
      <c r="FP87" s="316">
        <v>71.73</v>
      </c>
      <c r="FQ87" s="373"/>
      <c r="FR87" s="371">
        <v>62.02</v>
      </c>
      <c r="FS87" s="385" cm="1">
        <f t="array" ref="FS87">_xlfn.IFS($O$21=9,FR87,$O$21=10,"",TRUE,FP87)</f>
        <v>71.73</v>
      </c>
      <c r="FU87" s="386" t="s">
        <v>1210</v>
      </c>
      <c r="FV87" s="316">
        <v>72.48</v>
      </c>
      <c r="FW87" s="373">
        <v>79.73</v>
      </c>
      <c r="FX87" s="371">
        <v>62.08</v>
      </c>
      <c r="FY87" s="385" cm="1">
        <f t="array" ref="FY87">_xlfn.IFS($O$21=10,FW87,$O$21=9,FX87,TRUE,FV87)</f>
        <v>72.48</v>
      </c>
      <c r="GA87" s="384" t="s">
        <v>1211</v>
      </c>
      <c r="GB87" s="316">
        <v>73.239999999999995</v>
      </c>
      <c r="GC87" s="373"/>
      <c r="GD87" s="371">
        <v>62.75</v>
      </c>
      <c r="GE87" s="383" cm="1">
        <f t="array" ref="GE87">_xlfn.IFS($O$21=10,"",$O$21=9,GD87,TRUE,GB87)</f>
        <v>73.239999999999995</v>
      </c>
      <c r="GG87" s="388" t="s">
        <v>1212</v>
      </c>
      <c r="GH87" s="316">
        <v>73.239999999999995</v>
      </c>
      <c r="GI87" s="373"/>
      <c r="GJ87" s="371">
        <v>62.75</v>
      </c>
      <c r="GK87" s="383" cm="1">
        <f t="array" ref="GK87">_xlfn.IFS($O$21=10,"",$O$21=9,GJ87,TRUE,GH87)</f>
        <v>73.239999999999995</v>
      </c>
      <c r="GL87" s="298" t="s">
        <v>1213</v>
      </c>
      <c r="GM87" s="316">
        <v>68.709999999999994</v>
      </c>
      <c r="GN87" s="373">
        <v>81.02</v>
      </c>
      <c r="GO87" s="371"/>
      <c r="GP87" s="382" cm="1">
        <f t="array" ref="GP87">_xlfn.IFS($O$21=10,"",$O$21=9,GM87,TRUE,GN87)</f>
        <v>81.02</v>
      </c>
      <c r="GR87" s="295" t="str">
        <f>IF($J$87=EY87,FA87,IF($J$87=FC87,FG87," "))</f>
        <v xml:space="preserve"> </v>
      </c>
      <c r="GS87" s="296">
        <f>IF($J$87=FI87,FM87,IF($J$87=FO87,FS87,IF($J$87=FU87,FY87," ")))</f>
        <v>72.48</v>
      </c>
      <c r="GT87" s="297" t="str">
        <f>IF($J$87=GA87,GE87,IF($J$87=GG87,GK87,IF($J$87=GL87,GP87," ")))</f>
        <v xml:space="preserve"> </v>
      </c>
      <c r="GV87" s="306" t="str">
        <f>IF($O$25=2,GR87,IF($O$25=3,GS87,IF($O$25=4,GT87," ")))</f>
        <v xml:space="preserve"> </v>
      </c>
    </row>
    <row r="88" spans="1:204" ht="32.1" customHeight="1">
      <c r="A88" s="103"/>
      <c r="B88" s="76" t="str">
        <f>VLOOKUP(878,Sprachindex!$A:$Z,Info!$O$7,FALSE)</f>
        <v>Stk.</v>
      </c>
      <c r="C88" s="75"/>
      <c r="D88" s="75" t="str">
        <f>IF(O25=3,AJ88,"")</f>
        <v/>
      </c>
      <c r="E88" s="618" t="str">
        <f>VLOOKUP(733,Sprachindex!$A:$Z,Info!$O$7,FALSE)</f>
        <v>Rohreinmündung konisch</v>
      </c>
      <c r="F88" s="619"/>
      <c r="G88" s="619"/>
      <c r="H88" s="619"/>
      <c r="I88" s="619"/>
      <c r="J88" s="681" t="s">
        <v>1895</v>
      </c>
      <c r="K88" s="682"/>
      <c r="L88" s="76" t="str">
        <f t="shared" si="18"/>
        <v xml:space="preserve"> </v>
      </c>
      <c r="M88" s="405" t="str">
        <f t="shared" si="2"/>
        <v>Stk.</v>
      </c>
      <c r="N88" s="77"/>
      <c r="O88" s="184" t="str">
        <f>IF(ISNUMBER(L88),L88*GV88," ")</f>
        <v xml:space="preserve"> </v>
      </c>
      <c r="R88" s="179"/>
      <c r="S88" s="179"/>
      <c r="T88" s="179"/>
      <c r="U88" s="1"/>
      <c r="V88" s="139" t="e">
        <f t="shared" si="12"/>
        <v>#VALUE!</v>
      </c>
      <c r="W88" s="139">
        <f t="shared" si="13"/>
        <v>0</v>
      </c>
      <c r="X88" s="139" t="str">
        <f>IF($O$25=3,2,"")</f>
        <v/>
      </c>
      <c r="Y88" s="139">
        <v>1</v>
      </c>
      <c r="Z88" s="56" t="s">
        <v>1896</v>
      </c>
      <c r="AA88" s="56" t="s">
        <v>1897</v>
      </c>
      <c r="AB88" s="56" t="s">
        <v>1898</v>
      </c>
      <c r="AC88" s="56" t="s">
        <v>1899</v>
      </c>
      <c r="AD88" s="56" t="s">
        <v>1900</v>
      </c>
      <c r="AE88" s="56" t="s">
        <v>1901</v>
      </c>
      <c r="AF88" s="56" t="s">
        <v>1902</v>
      </c>
      <c r="AG88" s="56" t="s">
        <v>1903</v>
      </c>
      <c r="AH88" s="56" t="s">
        <v>1904</v>
      </c>
      <c r="AI88" s="56"/>
      <c r="AJ88" s="59" t="str">
        <f t="shared" si="19"/>
        <v/>
      </c>
      <c r="AK88" s="59" t="s">
        <v>1285</v>
      </c>
      <c r="ES88" s="618" t="str">
        <f>VLOOKUP(733,Sprachindex!$A:$Z,Info!$O$7,FALSE)</f>
        <v>Rohreinmündung konisch</v>
      </c>
      <c r="ET88" s="619"/>
      <c r="EU88" s="619"/>
      <c r="EV88" s="619"/>
      <c r="EW88" s="619"/>
      <c r="EX88" s="323">
        <v>97.76</v>
      </c>
      <c r="EY88" s="299"/>
      <c r="EZ88" s="316">
        <v>90.99</v>
      </c>
      <c r="FA88" s="315"/>
      <c r="FB88" s="299"/>
      <c r="FC88" s="316"/>
      <c r="FD88" s="315"/>
      <c r="FE88" s="299"/>
      <c r="FF88" s="316"/>
      <c r="FG88" s="315"/>
      <c r="FH88" s="299"/>
      <c r="FI88" s="316"/>
      <c r="FJ88" s="315"/>
      <c r="FK88" s="299"/>
      <c r="FL88" s="316"/>
      <c r="FM88" s="315"/>
      <c r="FN88" s="299"/>
      <c r="FO88" s="316"/>
      <c r="FP88" s="315"/>
      <c r="FQ88" s="299"/>
      <c r="FR88" s="316"/>
      <c r="FS88" s="315"/>
      <c r="FT88" s="299"/>
      <c r="FU88" s="316"/>
      <c r="FV88" s="315"/>
      <c r="FW88" s="299"/>
      <c r="FX88" s="316"/>
      <c r="FY88" s="315"/>
      <c r="FZ88" s="299"/>
      <c r="GA88" s="316"/>
      <c r="GB88" s="315"/>
      <c r="GC88" s="299"/>
      <c r="GD88" s="316"/>
      <c r="GE88" s="315"/>
      <c r="GF88" s="299"/>
      <c r="GG88" s="316"/>
      <c r="GH88" s="315"/>
      <c r="GI88" s="299"/>
      <c r="GJ88" s="316"/>
      <c r="GK88" s="315"/>
      <c r="GL88" s="299"/>
      <c r="GM88" s="316"/>
      <c r="GN88" s="315"/>
      <c r="GO88" s="299"/>
      <c r="GP88" s="324"/>
      <c r="GQ88" s="120" cm="1">
        <f t="array" ref="GQ88">_xlfn.IFS($O$21=9,EZ88,$O$21=10,"",TRUE,EX88)</f>
        <v>97.76</v>
      </c>
      <c r="GV88" s="306">
        <f>GQ88</f>
        <v>97.76</v>
      </c>
    </row>
    <row r="89" spans="1:204" ht="32.1" customHeight="1">
      <c r="A89" s="103"/>
      <c r="B89" s="76" t="str">
        <f>VLOOKUP(878,Sprachindex!$A:$Z,Info!$O$7,FALSE)</f>
        <v>Stk.</v>
      </c>
      <c r="C89" s="75"/>
      <c r="D89" s="75" t="str">
        <f>IF(O25=2,AV89,IF(AND(O25=3,J89=Formeln!A258),BH89,IF(AND(O25=3,J89=Formeln!A259),BT89,IF(O25=4,CF89,""))))</f>
        <v/>
      </c>
      <c r="E89" s="618" t="str">
        <f>VLOOKUP(861,Sprachindex!$A:$Z,Info!$O$7,FALSE)</f>
        <v>Standrohrkappe</v>
      </c>
      <c r="F89" s="619"/>
      <c r="G89" s="619"/>
      <c r="H89" s="619"/>
      <c r="I89" s="619"/>
      <c r="J89" s="631" t="s">
        <v>1286</v>
      </c>
      <c r="K89" s="706"/>
      <c r="L89" s="76" t="str">
        <f t="shared" si="18"/>
        <v xml:space="preserve"> </v>
      </c>
      <c r="M89" s="405" t="str">
        <f t="shared" si="2"/>
        <v>Stk.</v>
      </c>
      <c r="N89" s="77"/>
      <c r="O89" s="184" t="str">
        <f>IF(ISNUMBER(A89),L89*GV89," ")</f>
        <v xml:space="preserve"> </v>
      </c>
      <c r="R89" s="179"/>
      <c r="S89" s="179"/>
      <c r="T89" s="179"/>
      <c r="U89" s="1"/>
      <c r="V89" s="139">
        <f t="shared" si="12"/>
        <v>0</v>
      </c>
      <c r="W89" s="139">
        <f t="shared" si="13"/>
        <v>0</v>
      </c>
      <c r="X89" s="139">
        <f>IF(J89="60/115",20,IF(J89="80/115",20,IF(J89="100/115",20,IF(J89="100/150",10,IF(J89="120/150",10,"")))))</f>
        <v>10</v>
      </c>
      <c r="Y89" s="139">
        <v>1</v>
      </c>
      <c r="Z89" s="56" t="s">
        <v>1905</v>
      </c>
      <c r="AA89" s="56" t="s">
        <v>1906</v>
      </c>
      <c r="AB89" s="56" t="s">
        <v>1907</v>
      </c>
      <c r="AC89" s="56"/>
      <c r="AD89" s="56" t="s">
        <v>1908</v>
      </c>
      <c r="AE89" s="56"/>
      <c r="AF89" s="56"/>
      <c r="AG89" s="56"/>
      <c r="AH89" s="56"/>
      <c r="AI89" s="56"/>
      <c r="AJ89" s="59" t="str">
        <f t="shared" si="19"/>
        <v/>
      </c>
      <c r="AK89" s="59" t="s">
        <v>1294</v>
      </c>
      <c r="AL89" t="s">
        <v>1909</v>
      </c>
      <c r="AM89" t="s">
        <v>1910</v>
      </c>
      <c r="AN89" t="s">
        <v>1911</v>
      </c>
      <c r="AO89" t="s">
        <v>1912</v>
      </c>
      <c r="AP89" t="s">
        <v>1913</v>
      </c>
      <c r="AQ89" t="s">
        <v>1914</v>
      </c>
      <c r="AR89" t="s">
        <v>1915</v>
      </c>
      <c r="AS89" t="s">
        <v>1916</v>
      </c>
      <c r="AT89" t="s">
        <v>1917</v>
      </c>
      <c r="AU89"/>
      <c r="AV89" s="59" t="str">
        <f>IF($O$21=1,AN89,IF($O$21=2,AP89,IF($O$21=3,AO89,IF($O$21=4,AQ89,IF($O$21=5,AR89,IF($O$21=6,AM89,IF($O$21=7,AS89,IF($O$21=8,AT89,IF($O$21=9,AL89,"")))))))))</f>
        <v/>
      </c>
      <c r="AW89" s="59" t="s">
        <v>1302</v>
      </c>
      <c r="AX89" t="s">
        <v>1918</v>
      </c>
      <c r="AY89" t="s">
        <v>1919</v>
      </c>
      <c r="AZ89" t="s">
        <v>1920</v>
      </c>
      <c r="BA89" t="s">
        <v>1921</v>
      </c>
      <c r="BB89" t="s">
        <v>1922</v>
      </c>
      <c r="BC89" t="s">
        <v>1923</v>
      </c>
      <c r="BD89" t="s">
        <v>1924</v>
      </c>
      <c r="BE89" t="s">
        <v>1925</v>
      </c>
      <c r="BF89" t="s">
        <v>1926</v>
      </c>
      <c r="BG89">
        <v>537228</v>
      </c>
      <c r="BH89" s="59" t="str">
        <f>IF($O$21=1,AZ89,IF($O$21=2,BB89,IF($O$21=3,BA89,IF($O$21=4,BC89,IF($O$21=5,BD89,IF($O$21=6,AY89,IF($O$21=7,BE89,IF($O$21=8,BF89,IF($O$21=9,AX89,IF($O$21=10,BG89,""))))))))))</f>
        <v/>
      </c>
      <c r="BI89" s="59" t="s">
        <v>1310</v>
      </c>
      <c r="BJ89" t="s">
        <v>1927</v>
      </c>
      <c r="BK89" t="s">
        <v>1928</v>
      </c>
      <c r="BL89" t="s">
        <v>1929</v>
      </c>
      <c r="BM89" t="s">
        <v>1930</v>
      </c>
      <c r="BN89" t="s">
        <v>1931</v>
      </c>
      <c r="BO89" t="s">
        <v>1932</v>
      </c>
      <c r="BP89" t="s">
        <v>1933</v>
      </c>
      <c r="BQ89" t="s">
        <v>1934</v>
      </c>
      <c r="BR89" t="s">
        <v>1935</v>
      </c>
      <c r="BS89">
        <v>537238</v>
      </c>
      <c r="BT89" s="59" t="str">
        <f>IF($O$21=1,BL89,IF($O$21=2,BN89,IF($O$21=3,BM89,IF($O$21=4,BO89,IF($O$21=5,BP89,IF($O$21=6,BK89,IF($O$21=7,BQ89,IF($O$21=8,BR89,IF($O$21=9,BJ89,IF($O$21=10,BS89,""))))))))))</f>
        <v/>
      </c>
      <c r="BU89" s="59" t="s">
        <v>1286</v>
      </c>
      <c r="BV89" t="s">
        <v>1936</v>
      </c>
      <c r="BW89" t="s">
        <v>1937</v>
      </c>
      <c r="BX89" t="s">
        <v>1938</v>
      </c>
      <c r="BY89" t="s">
        <v>1939</v>
      </c>
      <c r="BZ89" t="s">
        <v>1940</v>
      </c>
      <c r="CA89" t="s">
        <v>1941</v>
      </c>
      <c r="CB89" t="s">
        <v>1942</v>
      </c>
      <c r="CC89" t="s">
        <v>1943</v>
      </c>
      <c r="CD89" t="s">
        <v>1944</v>
      </c>
      <c r="CE89"/>
      <c r="CF89" s="59" t="str">
        <f>IF($O$21=1,BX89,IF($O$21=2,BZ89,IF($O$21=3,BY89,IF($O$21=4,CA89,IF($O$21=5,CB89,IF($O$21=6,BW89,IF($O$21=7,CC89,IF($O$21=8,CD89,IF($O$21=9,BV89,"")))))))))</f>
        <v/>
      </c>
      <c r="CG89" s="59" t="s">
        <v>1325</v>
      </c>
      <c r="ES89" s="618" t="str">
        <f>VLOOKUP(861,Sprachindex!$A:$Z,Info!$O$7,FALSE)</f>
        <v>Standrohrkappe</v>
      </c>
      <c r="ET89" s="619"/>
      <c r="EU89" s="619"/>
      <c r="EV89" s="619"/>
      <c r="EW89" s="619"/>
      <c r="EX89" s="323"/>
      <c r="EY89" s="299"/>
      <c r="EZ89" s="316"/>
      <c r="FA89" s="374"/>
      <c r="FB89" s="370"/>
      <c r="FC89" s="230"/>
      <c r="FD89" s="315">
        <v>6.96</v>
      </c>
      <c r="FE89" s="380" t="s">
        <v>1690</v>
      </c>
      <c r="FF89" s="316">
        <v>6.03</v>
      </c>
      <c r="FG89" s="315"/>
      <c r="FH89" s="299"/>
      <c r="FI89" s="316"/>
      <c r="FJ89" s="315">
        <v>7.17</v>
      </c>
      <c r="FK89" s="376" t="s">
        <v>1661</v>
      </c>
      <c r="FL89" s="316">
        <v>6.19</v>
      </c>
      <c r="FM89" s="315"/>
      <c r="FN89" s="299"/>
      <c r="FO89" s="377" t="s">
        <v>1310</v>
      </c>
      <c r="FP89" s="315">
        <v>7.33</v>
      </c>
      <c r="FQ89" s="299">
        <v>8.06</v>
      </c>
      <c r="FR89" s="316">
        <v>6.33</v>
      </c>
      <c r="FS89" s="392" cm="1">
        <f t="array" ref="FS89">_xlfn.IFS($O$21=9,FR89,$O$21=10,FQ89,TRUE,FP89)</f>
        <v>7.33</v>
      </c>
      <c r="FT89" s="373"/>
      <c r="FU89" s="377" t="s">
        <v>1286</v>
      </c>
      <c r="FV89" s="315">
        <v>8.4700000000000006</v>
      </c>
      <c r="FW89" s="299">
        <v>9.31</v>
      </c>
      <c r="FX89" s="316">
        <v>7.5</v>
      </c>
      <c r="FY89" s="392" cm="1">
        <f t="array" ref="FY89">_xlfn.IFS($O$21=9,FX89,$O$21=10,FW89,TRUE,FV89)</f>
        <v>8.4700000000000006</v>
      </c>
      <c r="FZ89" s="299"/>
      <c r="GA89" s="316"/>
      <c r="GB89" s="315">
        <v>9.74</v>
      </c>
      <c r="GC89" s="378" t="s">
        <v>1663</v>
      </c>
      <c r="GD89" s="316">
        <v>8.83</v>
      </c>
      <c r="GE89" s="315"/>
      <c r="GF89" s="299"/>
      <c r="GG89" s="316"/>
      <c r="GH89" s="315"/>
      <c r="GI89" s="299"/>
      <c r="GJ89" s="316"/>
      <c r="GK89" s="315"/>
      <c r="GL89" s="299"/>
      <c r="GM89" s="316"/>
      <c r="GN89" s="315"/>
      <c r="GO89" s="299"/>
      <c r="GP89" s="324"/>
      <c r="GQ89" s="390" t="str">
        <f>IF(OR($O$21=1,$O$21=2,$O$21=6),FD89,IF($O$21=9,FF89," "))</f>
        <v xml:space="preserve"> </v>
      </c>
      <c r="GR89" s="295" cm="1">
        <f t="array" ref="GR89">_xlfn.IFS($O$21=9,FL89,$O$21=10,"",TRUE,FJ89)</f>
        <v>7.17</v>
      </c>
      <c r="GS89" s="296">
        <f>IF($J$89=FO89,FS89,IF($J$89=FU89,FY89," "))</f>
        <v>8.4700000000000006</v>
      </c>
      <c r="GT89" s="297" cm="1">
        <f t="array" ref="GT89">_xlfn.IFS($O$21=9,GD89,$O$21=10,"",TRUE,GB89)</f>
        <v>9.74</v>
      </c>
      <c r="GV89" s="306" t="str">
        <f>IF($O$25=1,GQ89,IF($O$25=2,GR89,IF($O$25=3,GS89,IF($O$25=4,GT89," "))))</f>
        <v xml:space="preserve"> </v>
      </c>
    </row>
    <row r="90" spans="1:204" ht="32.1" customHeight="1">
      <c r="A90" s="103"/>
      <c r="B90" s="76" t="str">
        <f>VLOOKUP(878,Sprachindex!$A:$Z,Info!$O$7,FALSE)</f>
        <v>Stk.</v>
      </c>
      <c r="C90" s="75"/>
      <c r="D90" s="75" t="str">
        <f>IF($O$25=2,AJ90,IF($O$25=3,AV90,IF($O$25=4,BH90,IF($O$25=5,BT90,""))))</f>
        <v/>
      </c>
      <c r="E90" s="618" t="str">
        <f>VLOOKUP(860,Sprachindex!$A:$Z,Info!$O$7,FALSE)</f>
        <v>Standrohr mit Reinigungsöffnung</v>
      </c>
      <c r="F90" s="619"/>
      <c r="G90" s="619"/>
      <c r="H90" s="619"/>
      <c r="I90" s="619"/>
      <c r="J90" s="681" t="str">
        <f>Formeln!A262</f>
        <v/>
      </c>
      <c r="K90" s="682"/>
      <c r="L90" s="76" t="str">
        <f t="shared" si="18"/>
        <v xml:space="preserve"> </v>
      </c>
      <c r="M90" s="405" t="str">
        <f t="shared" si="2"/>
        <v>Stk.</v>
      </c>
      <c r="N90" s="77"/>
      <c r="O90" s="184" t="str">
        <f>IF(ISNUMBER(L90),L90*GV90," ")</f>
        <v xml:space="preserve"> </v>
      </c>
      <c r="R90" s="179"/>
      <c r="S90" s="179"/>
      <c r="T90" s="179"/>
      <c r="U90" s="1"/>
      <c r="V90" s="139" t="e">
        <f t="shared" si="12"/>
        <v>#VALUE!</v>
      </c>
      <c r="W90" s="139">
        <f t="shared" si="13"/>
        <v>0</v>
      </c>
      <c r="X90" s="139" t="str">
        <f>IF($O$25=2,1,IF($O$25=3,1,IF($O$25=4,1,"")))</f>
        <v/>
      </c>
      <c r="Y90" s="139">
        <v>1</v>
      </c>
      <c r="Z90" s="56" t="s">
        <v>1945</v>
      </c>
      <c r="AA90" s="56" t="s">
        <v>1946</v>
      </c>
      <c r="AB90" s="56" t="s">
        <v>1947</v>
      </c>
      <c r="AC90" s="56" t="s">
        <v>1948</v>
      </c>
      <c r="AD90" s="56" t="s">
        <v>1949</v>
      </c>
      <c r="AE90" s="56" t="s">
        <v>1950</v>
      </c>
      <c r="AF90" s="56" t="s">
        <v>1951</v>
      </c>
      <c r="AG90" s="56" t="s">
        <v>1952</v>
      </c>
      <c r="AH90" s="56" t="s">
        <v>1953</v>
      </c>
      <c r="AI90" s="56"/>
      <c r="AJ90" s="59" t="str">
        <f t="shared" si="19"/>
        <v/>
      </c>
      <c r="AK90" s="59" t="s">
        <v>1333</v>
      </c>
      <c r="AL90" t="s">
        <v>1954</v>
      </c>
      <c r="AM90" t="s">
        <v>1955</v>
      </c>
      <c r="AN90" t="s">
        <v>1956</v>
      </c>
      <c r="AO90" t="s">
        <v>1957</v>
      </c>
      <c r="AP90" t="s">
        <v>1958</v>
      </c>
      <c r="AQ90" t="s">
        <v>1959</v>
      </c>
      <c r="AR90" t="s">
        <v>1960</v>
      </c>
      <c r="AS90" t="s">
        <v>1961</v>
      </c>
      <c r="AT90" t="s">
        <v>1962</v>
      </c>
      <c r="AU90">
        <v>668142</v>
      </c>
      <c r="AV90" s="59" t="str">
        <f>IF($O$21=1,AN90,IF($O$21=2,AP90,IF($O$21=3,AO90,IF($O$21=4,AQ90,IF($O$21=5,AR90,IF($O$21=6,AM90,IF($O$21=7,AS90,IF($O$21=8,AT90,IF($O$21=9,AL90,IF($O$21=10,AU90,""))))))))))</f>
        <v/>
      </c>
      <c r="AW90" s="59" t="s">
        <v>1341</v>
      </c>
      <c r="AX90" t="s">
        <v>1963</v>
      </c>
      <c r="AY90" t="s">
        <v>1964</v>
      </c>
      <c r="AZ90" t="s">
        <v>1965</v>
      </c>
      <c r="BA90" t="s">
        <v>1966</v>
      </c>
      <c r="BB90" t="s">
        <v>1967</v>
      </c>
      <c r="BC90" t="s">
        <v>1968</v>
      </c>
      <c r="BD90" t="s">
        <v>1969</v>
      </c>
      <c r="BE90" t="s">
        <v>1970</v>
      </c>
      <c r="BF90" t="s">
        <v>1971</v>
      </c>
      <c r="BG90"/>
      <c r="BH90" s="59" t="str">
        <f>IF($O$21=1,AZ90,IF($O$21=2,BB90,IF($O$21=3,BA90,IF($O$21=4,BC90,IF($O$21=5,BD90,IF($O$21=6,AY90,IF($O$21=7,BE90,IF($O$21=8,BF90,IF($O$21=9,AX90,"")))))))))</f>
        <v/>
      </c>
      <c r="BI90" s="59" t="s">
        <v>1349</v>
      </c>
      <c r="ES90" s="618" t="str">
        <f>VLOOKUP(860,Sprachindex!$A:$Z,Info!$O$7,FALSE)</f>
        <v>Standrohr mit Reinigungsöffnung</v>
      </c>
      <c r="ET90" s="619"/>
      <c r="EU90" s="619"/>
      <c r="EV90" s="619"/>
      <c r="EW90" s="619"/>
      <c r="EX90" s="323"/>
      <c r="EY90" s="299"/>
      <c r="EZ90" s="316"/>
      <c r="FA90" s="315"/>
      <c r="FB90" s="299"/>
      <c r="FC90" s="316"/>
      <c r="FD90" s="315"/>
      <c r="FE90" s="299"/>
      <c r="FF90" s="316"/>
      <c r="FG90" s="315"/>
      <c r="FH90" s="299"/>
      <c r="FI90" s="316"/>
      <c r="FJ90" s="315">
        <v>88.91</v>
      </c>
      <c r="FK90" s="376" t="s">
        <v>1661</v>
      </c>
      <c r="FL90" s="316">
        <v>87.25</v>
      </c>
      <c r="FM90" s="315"/>
      <c r="FN90" s="299"/>
      <c r="FO90" s="377" t="s">
        <v>1662</v>
      </c>
      <c r="FP90" s="315">
        <v>96.32</v>
      </c>
      <c r="FQ90" s="1">
        <v>105.95</v>
      </c>
      <c r="FR90" s="316">
        <v>92.89</v>
      </c>
      <c r="FS90" s="315"/>
      <c r="FT90" s="299"/>
      <c r="FU90" s="316"/>
      <c r="FV90" s="315">
        <v>210.43</v>
      </c>
      <c r="FW90" s="378" t="s">
        <v>1663</v>
      </c>
      <c r="FX90" s="316">
        <v>191.58</v>
      </c>
      <c r="FY90" s="315"/>
      <c r="FZ90" s="299"/>
      <c r="GA90" s="316"/>
      <c r="GB90" s="315"/>
      <c r="GC90" s="299"/>
      <c r="GD90" s="316"/>
      <c r="GE90" s="315"/>
      <c r="GF90" s="299"/>
      <c r="GG90" s="316"/>
      <c r="GH90" s="315"/>
      <c r="GI90" s="299"/>
      <c r="GJ90" s="316"/>
      <c r="GK90" s="315"/>
      <c r="GL90" s="299"/>
      <c r="GM90" s="316"/>
      <c r="GN90" s="315"/>
      <c r="GO90" s="299"/>
      <c r="GP90" s="324"/>
      <c r="GR90" s="295" cm="1">
        <f t="array" ref="GR90">_xlfn.IFS($O$21=9,FL90,$O$21=10,"",TRUE,FJ90)</f>
        <v>88.91</v>
      </c>
      <c r="GS90" s="296" cm="1">
        <f t="array" ref="GS90">_xlfn.IFS($O$21=9,FR90,$O$21=10,FQ90,TRUE,FP90)</f>
        <v>96.32</v>
      </c>
      <c r="GT90" s="297" cm="1">
        <f t="array" ref="GT90">_xlfn.IFS($O$21=9,FX90,$O$21=10,"",TRUE,FV90)</f>
        <v>210.43</v>
      </c>
      <c r="GV90" s="306" t="str">
        <f>IF($O$25=2,GR90,IF($O$25=3,GS90,IF($O$25=4,GT90," ")))</f>
        <v xml:space="preserve"> </v>
      </c>
    </row>
    <row r="91" spans="1:204" ht="32.1" customHeight="1">
      <c r="A91" s="103"/>
      <c r="B91" s="76" t="str">
        <f>VLOOKUP(878,Sprachindex!$A:$Z,Info!$O$7,FALSE)</f>
        <v>Stk.</v>
      </c>
      <c r="C91" s="75"/>
      <c r="D91" s="75" t="str">
        <f>IF($O$25=2,AV91,IF($O$25=3,BH91,IF($O$25=4,BT91,IF($O$25=1,AJ91,IF($O$25=5,CF91,"")))))</f>
        <v/>
      </c>
      <c r="E91" s="618" t="str">
        <f>VLOOKUP(747,Sprachindex!$A:$Z,Info!$O$7,FALSE)</f>
        <v>Rohrverbinder</v>
      </c>
      <c r="F91" s="619"/>
      <c r="G91" s="619"/>
      <c r="H91" s="619"/>
      <c r="I91" s="619"/>
      <c r="J91" s="681" t="str">
        <f>Formeln!A193</f>
        <v/>
      </c>
      <c r="K91" s="682"/>
      <c r="L91" s="76" t="str">
        <f t="shared" si="18"/>
        <v xml:space="preserve"> </v>
      </c>
      <c r="M91" s="405" t="str">
        <f t="shared" si="2"/>
        <v>Stk.</v>
      </c>
      <c r="N91" s="77"/>
      <c r="O91" s="184" t="str">
        <f>IF(ISNUMBER(A91),L91*GV91," ")</f>
        <v xml:space="preserve"> </v>
      </c>
      <c r="R91" s="179"/>
      <c r="S91" s="179"/>
      <c r="T91" s="179"/>
      <c r="U91" s="1"/>
      <c r="V91" s="139" t="e">
        <f t="shared" si="12"/>
        <v>#VALUE!</v>
      </c>
      <c r="W91" s="139">
        <f t="shared" si="13"/>
        <v>0</v>
      </c>
      <c r="X91" s="139" t="str">
        <f>IF($O$25=1,2,IF($O$25=2,2,IF($O$25=3,2,IF($O$25=4,2,IF($O$25=5,"","")))))</f>
        <v/>
      </c>
      <c r="Y91" s="139">
        <v>1</v>
      </c>
      <c r="Z91" s="56" t="s">
        <v>1972</v>
      </c>
      <c r="AA91" s="56" t="s">
        <v>1973</v>
      </c>
      <c r="AB91" s="56" t="s">
        <v>1974</v>
      </c>
      <c r="AC91" s="56"/>
      <c r="AD91" s="56" t="s">
        <v>1975</v>
      </c>
      <c r="AE91" s="56"/>
      <c r="AF91" s="56"/>
      <c r="AG91" s="56"/>
      <c r="AH91" s="56"/>
      <c r="AI91" s="56"/>
      <c r="AJ91" s="59" t="str">
        <f t="shared" si="19"/>
        <v/>
      </c>
      <c r="AK91" s="59">
        <v>60</v>
      </c>
      <c r="AL91" t="s">
        <v>1976</v>
      </c>
      <c r="AM91" t="s">
        <v>1977</v>
      </c>
      <c r="AN91" t="s">
        <v>1978</v>
      </c>
      <c r="AO91" t="s">
        <v>1979</v>
      </c>
      <c r="AP91" t="s">
        <v>1980</v>
      </c>
      <c r="AQ91" t="s">
        <v>1981</v>
      </c>
      <c r="AR91" t="s">
        <v>1982</v>
      </c>
      <c r="AS91" t="s">
        <v>1983</v>
      </c>
      <c r="AT91" t="s">
        <v>1984</v>
      </c>
      <c r="AU91"/>
      <c r="AV91" s="59" t="str">
        <f>IF($O$21=1,AN91,IF($O$21=2,AP91,IF($O$21=3,AO91,IF($O$21=4,AQ91,IF($O$21=5,AR91,IF($O$21=6,AM91,IF($O$21=7,AS91,IF($O$21=8,AT91,IF($O$21=9,AL91,"")))))))))</f>
        <v/>
      </c>
      <c r="AW91" s="59">
        <v>80</v>
      </c>
      <c r="AX91" t="s">
        <v>1985</v>
      </c>
      <c r="AY91" t="s">
        <v>1986</v>
      </c>
      <c r="AZ91" t="s">
        <v>1987</v>
      </c>
      <c r="BA91" t="s">
        <v>1988</v>
      </c>
      <c r="BB91" t="s">
        <v>1989</v>
      </c>
      <c r="BC91" t="s">
        <v>1990</v>
      </c>
      <c r="BD91" t="s">
        <v>1991</v>
      </c>
      <c r="BE91" t="s">
        <v>1992</v>
      </c>
      <c r="BF91" t="s">
        <v>1993</v>
      </c>
      <c r="BG91"/>
      <c r="BH91" s="59" t="str">
        <f>IF($O$21=1,AZ91,IF($O$21=2,BB91,IF($O$21=3,BA91,IF($O$21=4,BC91,IF($O$21=5,BD91,IF($O$21=6,AY91,IF($O$21=7,BE91,IF($O$21=8,BF91,IF($O$21=9,AX91,"")))))))))</f>
        <v/>
      </c>
      <c r="BI91" s="59">
        <v>100</v>
      </c>
      <c r="BJ91" t="s">
        <v>1994</v>
      </c>
      <c r="BK91" t="s">
        <v>1995</v>
      </c>
      <c r="BL91" t="s">
        <v>1996</v>
      </c>
      <c r="BM91" t="s">
        <v>1997</v>
      </c>
      <c r="BN91" t="s">
        <v>1998</v>
      </c>
      <c r="BO91" t="s">
        <v>1999</v>
      </c>
      <c r="BP91" t="s">
        <v>2000</v>
      </c>
      <c r="BQ91" t="s">
        <v>2001</v>
      </c>
      <c r="BR91" t="s">
        <v>2002</v>
      </c>
      <c r="BS91"/>
      <c r="BT91" s="59" t="str">
        <f>IF($O$21=1,BL91,IF($O$21=2,BN91,IF($O$21=3,BM91,IF($O$21=4,BO91,IF($O$21=5,BP91,IF($O$21=6,BK91,IF($O$21=7,BQ91,IF($O$21=8,BR91,IF($O$21=9,BJ91,"")))))))))</f>
        <v/>
      </c>
      <c r="BU91" s="59">
        <v>120</v>
      </c>
      <c r="BV91">
        <v>527305</v>
      </c>
      <c r="BW91"/>
      <c r="BX91"/>
      <c r="BY91"/>
      <c r="BZ91"/>
      <c r="CA91"/>
      <c r="CB91"/>
      <c r="CC91"/>
      <c r="CD91"/>
      <c r="CE91"/>
      <c r="CF91" s="59" t="str">
        <f>IF($O$21=1,BX91,IF($O$21=2,BZ91,IF($O$21=3,BY91,IF($O$21=4,CA91,IF($O$21=5,CB91,IF($O$21=6,BW91,IF($O$21=7,CC91,IF($O$21=8,CD91,IF($O$21=9,BV91,"")))))))))</f>
        <v/>
      </c>
      <c r="CG91" s="59">
        <v>150</v>
      </c>
      <c r="ES91" s="618" t="str">
        <f>VLOOKUP(747,Sprachindex!$A:$Z,Info!$O$7,FALSE)</f>
        <v>Rohrverbinder</v>
      </c>
      <c r="ET91" s="619"/>
      <c r="EU91" s="619"/>
      <c r="EV91" s="619"/>
      <c r="EW91" s="619"/>
      <c r="EX91" s="323"/>
      <c r="EY91" s="299"/>
      <c r="EZ91" s="316"/>
      <c r="FA91" s="315"/>
      <c r="FB91" s="299"/>
      <c r="FC91" s="316"/>
      <c r="FD91" s="315">
        <v>8.56</v>
      </c>
      <c r="FE91" s="380" t="s">
        <v>1690</v>
      </c>
      <c r="FF91" s="316">
        <v>7.86</v>
      </c>
      <c r="FG91" s="315"/>
      <c r="FH91" s="299"/>
      <c r="FI91" s="316"/>
      <c r="FJ91" s="315">
        <v>6.67</v>
      </c>
      <c r="FK91" s="376" t="s">
        <v>1661</v>
      </c>
      <c r="FL91" s="316">
        <v>6.23</v>
      </c>
      <c r="FM91" s="315"/>
      <c r="FN91" s="299"/>
      <c r="FO91" s="316"/>
      <c r="FP91" s="315">
        <v>6.86</v>
      </c>
      <c r="FQ91" s="377" t="s">
        <v>1662</v>
      </c>
      <c r="FR91" s="316">
        <v>6.39</v>
      </c>
      <c r="FS91" s="315"/>
      <c r="FT91" s="299"/>
      <c r="FU91" s="316"/>
      <c r="FV91" s="315">
        <v>9.76</v>
      </c>
      <c r="FW91" s="378" t="s">
        <v>1663</v>
      </c>
      <c r="FX91" s="316">
        <v>9.32</v>
      </c>
      <c r="FY91" s="315"/>
      <c r="FZ91" s="299"/>
      <c r="GA91" s="316"/>
      <c r="GB91" s="315">
        <v>64.290000000000006</v>
      </c>
      <c r="GC91" s="379" t="s">
        <v>1664</v>
      </c>
      <c r="GD91" s="316">
        <v>58.44</v>
      </c>
      <c r="GE91" s="315"/>
      <c r="GF91" s="299"/>
      <c r="GG91" s="316"/>
      <c r="GH91" s="315"/>
      <c r="GI91" s="299"/>
      <c r="GJ91" s="316"/>
      <c r="GK91" s="315"/>
      <c r="GL91" s="299"/>
      <c r="GM91" s="316"/>
      <c r="GN91" s="315"/>
      <c r="GO91" s="299"/>
      <c r="GP91" s="324"/>
      <c r="GQ91" s="390" t="str">
        <f>IF(OR($O$21=1,$O$21=2,$O$21=6),FD91,IF($O$21=9,FF91," "))</f>
        <v xml:space="preserve"> </v>
      </c>
      <c r="GR91" s="295" cm="1">
        <f t="array" ref="GR91">_xlfn.IFS($O$21=9,FL91,$O$21=10,"",TRUE,FJ91)</f>
        <v>6.67</v>
      </c>
      <c r="GS91" s="296" cm="1">
        <f t="array" ref="GS91">_xlfn.IFS($O$21=9,FR91,$O$21=10,"",TRUE,FP91)</f>
        <v>6.86</v>
      </c>
      <c r="GT91" s="297" cm="1">
        <f t="array" ref="GT91">_xlfn.IFS($O$21=9,FX91,$O$21=10,"",TRUE,FV91)</f>
        <v>9.76</v>
      </c>
      <c r="GU91" s="389" cm="1">
        <f t="array" ref="GU91">_xlfn.IFS($O$21=9,GD91,$O$21=10,"",TRUE,GB91)</f>
        <v>64.290000000000006</v>
      </c>
      <c r="GV91" s="306" t="str">
        <f>IF($O$25=1,GQ91,IF($O$25=2,GR91,IF($O$25=3,GS91,IF($O$25=4,GT91,IF($O$25=5,GU91," ")))))</f>
        <v xml:space="preserve"> </v>
      </c>
    </row>
    <row r="92" spans="1:204" ht="32.1" customHeight="1">
      <c r="A92" s="103"/>
      <c r="B92" s="76" t="str">
        <f>VLOOKUP(878,Sprachindex!$A:$Z,Info!$O$7,FALSE)</f>
        <v>Stk.</v>
      </c>
      <c r="C92" s="75"/>
      <c r="D92" s="75" t="str">
        <f>IF(ISNUMBER(A92),IF($O$25=3,AJ92,""),"")</f>
        <v/>
      </c>
      <c r="E92" s="618" t="str">
        <f>VLOOKUP(1876,Sprachindex!$A:$Z,Info!$O$7,FALSE)</f>
        <v>Rohrverbinder Stärke 1,6 mm</v>
      </c>
      <c r="F92" s="619"/>
      <c r="G92" s="619"/>
      <c r="H92" s="619"/>
      <c r="I92" s="619"/>
      <c r="J92" s="681" t="str">
        <f>IF($O$25="","",IF($O$25=1,Formeln!$A$177,IF($O$25=2,Formeln!$A$177,IF($O$25=3,Formeln!$F$194,IF($O$25=4,Formeln!$A$177,IF($O$25=5,Formeln!$A$177,""))))))</f>
        <v/>
      </c>
      <c r="K92" s="682"/>
      <c r="L92" s="76" t="str">
        <f>IF(OR(A92="",X92="",Y92="")," ",IF($O$11=1,$V92,IF($O$11=2,W92,0)))</f>
        <v xml:space="preserve"> </v>
      </c>
      <c r="M92" s="405" t="str">
        <f t="shared" si="2"/>
        <v>Stk.</v>
      </c>
      <c r="N92" s="77"/>
      <c r="O92" s="184" t="str">
        <f>IF(ISNUMBER(L92),L92*GV92," ")</f>
        <v xml:space="preserve"> </v>
      </c>
      <c r="R92" s="179"/>
      <c r="S92" s="179"/>
      <c r="T92" s="179"/>
      <c r="U92" s="1"/>
      <c r="V92" s="139" t="e">
        <f t="shared" si="12"/>
        <v>#VALUE!</v>
      </c>
      <c r="W92" s="139">
        <f t="shared" si="13"/>
        <v>0</v>
      </c>
      <c r="X92" s="139" t="str">
        <f>IF($O$25=3,1," ")</f>
        <v xml:space="preserve"> </v>
      </c>
      <c r="Y92" s="139">
        <v>1</v>
      </c>
      <c r="Z92" s="478">
        <v>527303</v>
      </c>
      <c r="AA92" s="56"/>
      <c r="AB92" s="56"/>
      <c r="AC92" s="56"/>
      <c r="AD92" s="56"/>
      <c r="AE92" s="56"/>
      <c r="AF92" s="56"/>
      <c r="AG92" s="56"/>
      <c r="AH92" s="56"/>
      <c r="AI92" s="56"/>
      <c r="AJ92" s="59" t="str">
        <f t="shared" si="19"/>
        <v/>
      </c>
      <c r="AK92" s="59"/>
      <c r="ES92" s="618" t="str">
        <f>VLOOKUP(1876,Sprachindex!$A:$Z,Info!$O$7,FALSE)</f>
        <v>Rohrverbinder Stärke 1,6 mm</v>
      </c>
      <c r="ET92" s="619"/>
      <c r="EU92" s="619"/>
      <c r="EV92" s="619"/>
      <c r="EW92" s="619"/>
      <c r="EX92" s="323"/>
      <c r="EY92" s="299"/>
      <c r="EZ92" s="316"/>
      <c r="FA92" s="315"/>
      <c r="FB92" s="299"/>
      <c r="FC92" s="316"/>
      <c r="FD92" s="315"/>
      <c r="FE92" s="299"/>
      <c r="FF92" s="316"/>
      <c r="FG92" s="315"/>
      <c r="FH92" s="299"/>
      <c r="FI92" s="316"/>
      <c r="FJ92" s="315"/>
      <c r="FK92" s="299"/>
      <c r="FL92" s="316"/>
      <c r="FM92" s="315"/>
      <c r="FN92" s="299"/>
      <c r="FO92" s="316"/>
      <c r="FP92" s="315">
        <v>8.09</v>
      </c>
      <c r="FQ92" s="377" t="s">
        <v>1662</v>
      </c>
      <c r="FR92" s="316">
        <v>7.51</v>
      </c>
      <c r="FS92" s="315"/>
      <c r="FT92" s="299"/>
      <c r="FU92" s="316"/>
      <c r="FV92" s="315"/>
      <c r="FW92" s="132"/>
      <c r="FX92" s="316"/>
      <c r="FY92" s="315"/>
      <c r="FZ92" s="299"/>
      <c r="GA92" s="316"/>
      <c r="GB92" s="315"/>
      <c r="GC92" s="299"/>
      <c r="GD92" s="316"/>
      <c r="GE92" s="315"/>
      <c r="GF92" s="299"/>
      <c r="GG92" s="316"/>
      <c r="GH92" s="315"/>
      <c r="GI92" s="299"/>
      <c r="GJ92" s="316"/>
      <c r="GK92" s="315"/>
      <c r="GL92" s="299"/>
      <c r="GM92" s="316"/>
      <c r="GN92" s="315"/>
      <c r="GO92" s="299"/>
      <c r="GP92" s="324"/>
      <c r="GS92" s="296" cm="1">
        <f t="array" ref="GS92">_xlfn.IFS($O$21=9,FR92,$O$21=10,"",TRUE,FP92)</f>
        <v>8.09</v>
      </c>
      <c r="GV92" s="306" t="str">
        <f>IF($O$25=3,GS92," ")</f>
        <v xml:space="preserve"> </v>
      </c>
    </row>
    <row r="93" spans="1:204" ht="32.1" customHeight="1">
      <c r="A93" s="103"/>
      <c r="B93" s="76" t="str">
        <f>VLOOKUP(878,Sprachindex!$A:$Z,Info!$O$7,FALSE)</f>
        <v>Stk.</v>
      </c>
      <c r="C93" s="75"/>
      <c r="D93" s="75" t="str">
        <f>IF(J93=Formeln!G193,AJ93,IF(J93=Formeln!G194,AV93,IF(J93=Formeln!G195,BH93,"")))</f>
        <v/>
      </c>
      <c r="E93" s="618" t="str">
        <f>VLOOKUP(788,Sprachindex!$A:$Z,Info!$O$7,FALSE)</f>
        <v>Schiebemuffe</v>
      </c>
      <c r="F93" s="619"/>
      <c r="G93" s="619"/>
      <c r="H93" s="619"/>
      <c r="I93" s="81" t="str">
        <f>VLOOKUP(306,Sprachindex!$A:$Z,Info!$O$7,FALSE)</f>
        <v>Dimension wählen:</v>
      </c>
      <c r="J93" s="631"/>
      <c r="K93" s="632"/>
      <c r="L93" s="76" t="str">
        <f t="shared" si="18"/>
        <v xml:space="preserve"> </v>
      </c>
      <c r="M93" s="405" t="str">
        <f t="shared" si="2"/>
        <v>Stk.</v>
      </c>
      <c r="N93" s="77"/>
      <c r="O93" s="184" t="str">
        <f>IF(ISNUMBER(L93),L93*GV93," ")</f>
        <v xml:space="preserve"> </v>
      </c>
      <c r="R93" s="179"/>
      <c r="S93" s="179"/>
      <c r="T93" s="179"/>
      <c r="U93" s="1"/>
      <c r="V93" s="139" t="e">
        <f t="shared" si="12"/>
        <v>#VALUE!</v>
      </c>
      <c r="W93" s="139">
        <f t="shared" si="13"/>
        <v>0</v>
      </c>
      <c r="X93" s="139" t="str">
        <f>IF(J93=Formeln!G192,"",IF(J93=Formeln!$G$193,1,IF(J93=Formeln!G194,1,IF(J93=Formeln!G195,1,""))))</f>
        <v/>
      </c>
      <c r="Y93" s="139">
        <v>1</v>
      </c>
      <c r="Z93" s="56" t="s">
        <v>2003</v>
      </c>
      <c r="AA93" s="56"/>
      <c r="AB93" s="56"/>
      <c r="AC93" s="56"/>
      <c r="AD93" s="56" t="s">
        <v>2004</v>
      </c>
      <c r="AE93" s="56"/>
      <c r="AF93" s="56"/>
      <c r="AG93" s="56"/>
      <c r="AH93" s="56" t="s">
        <v>2005</v>
      </c>
      <c r="AI93" s="56"/>
      <c r="AJ93" s="59" t="str">
        <f t="shared" si="19"/>
        <v/>
      </c>
      <c r="AK93" s="59">
        <v>80</v>
      </c>
      <c r="AL93" t="s">
        <v>2006</v>
      </c>
      <c r="AM93"/>
      <c r="AN93"/>
      <c r="AO93"/>
      <c r="AP93" t="s">
        <v>2007</v>
      </c>
      <c r="AQ93"/>
      <c r="AR93"/>
      <c r="AS93"/>
      <c r="AT93" t="s">
        <v>2008</v>
      </c>
      <c r="AU93"/>
      <c r="AV93" s="59" t="str">
        <f>IF($O$21=1,AN93,IF($O$21=2,AP93,IF($O$21=3,AO93,IF($O$21=4,AQ93,IF($O$21=5,AR93,IF($O$21=6,AM93,IF($O$21=7,AS93,IF($O$21=8,AT93,IF($O$21=9,AL93,"")))))))))</f>
        <v/>
      </c>
      <c r="AW93" s="59">
        <v>100</v>
      </c>
      <c r="AX93" t="s">
        <v>2009</v>
      </c>
      <c r="AY93"/>
      <c r="AZ93"/>
      <c r="BA93"/>
      <c r="BB93"/>
      <c r="BC93"/>
      <c r="BD93"/>
      <c r="BE93"/>
      <c r="BF93"/>
      <c r="BG93"/>
      <c r="BH93" s="59" t="str">
        <f>IF($O$21=1,AZ93,IF($O$21=2,BB93,IF($O$21=3,BA93,IF($O$21=4,BC93,IF($O$21=5,BD93,IF($O$21=6,AY93,IF($O$21=7,BE93,IF($O$21=8,BF93,IF($O$21=9,AX93,"")))))))))</f>
        <v/>
      </c>
      <c r="BI93" s="59">
        <v>120</v>
      </c>
      <c r="BJ93"/>
      <c r="BK93"/>
      <c r="BL93"/>
      <c r="BM93"/>
      <c r="BN93"/>
      <c r="BO93"/>
      <c r="BP93"/>
      <c r="BQ93"/>
      <c r="BR93"/>
      <c r="BS93"/>
      <c r="BT93" s="126"/>
      <c r="BU93" s="126"/>
      <c r="ES93" s="618" t="str">
        <f>VLOOKUP(788,Sprachindex!$A:$Z,Info!$O$7,FALSE)</f>
        <v>Schiebemuffe</v>
      </c>
      <c r="ET93" s="619"/>
      <c r="EU93" s="619"/>
      <c r="EV93" s="619"/>
      <c r="EW93" s="619"/>
      <c r="EX93" s="323"/>
      <c r="EY93" s="299"/>
      <c r="EZ93" s="316"/>
      <c r="FA93" s="315"/>
      <c r="FB93" s="299"/>
      <c r="FC93" s="316"/>
      <c r="FD93" s="315"/>
      <c r="FE93" s="299"/>
      <c r="FF93" s="316"/>
      <c r="FG93" s="315"/>
      <c r="FH93" s="299"/>
      <c r="FI93" s="316"/>
      <c r="FJ93" s="315">
        <v>52.33</v>
      </c>
      <c r="FK93" s="376" t="s">
        <v>1661</v>
      </c>
      <c r="FL93" s="316">
        <v>49.66</v>
      </c>
      <c r="FM93" s="315"/>
      <c r="FN93" s="299"/>
      <c r="FO93" s="316"/>
      <c r="FP93" s="315">
        <v>52.78</v>
      </c>
      <c r="FQ93" s="377" t="s">
        <v>1662</v>
      </c>
      <c r="FR93" s="316">
        <v>49.66</v>
      </c>
      <c r="FS93" s="315"/>
      <c r="FT93" s="299"/>
      <c r="FU93" s="316"/>
      <c r="FV93" s="315">
        <v>52.33</v>
      </c>
      <c r="FW93" s="378" t="s">
        <v>1663</v>
      </c>
      <c r="FX93" s="316">
        <v>57.19</v>
      </c>
      <c r="FY93" s="315"/>
      <c r="FZ93" s="299"/>
      <c r="GA93" s="316"/>
      <c r="GB93" s="315"/>
      <c r="GC93" s="299"/>
      <c r="GD93" s="316"/>
      <c r="GE93" s="315"/>
      <c r="GF93" s="299"/>
      <c r="GG93" s="316"/>
      <c r="GH93" s="315"/>
      <c r="GI93" s="299"/>
      <c r="GJ93" s="316"/>
      <c r="GK93" s="315"/>
      <c r="GL93" s="299"/>
      <c r="GM93" s="316"/>
      <c r="GN93" s="315"/>
      <c r="GO93" s="299"/>
      <c r="GP93" s="324"/>
      <c r="GR93" s="295" cm="1">
        <f t="array" ref="GR93">_xlfn.IFS($O$21=9,FL93,$O$21=10,"",TRUE,FJ93)</f>
        <v>52.33</v>
      </c>
      <c r="GS93" s="296" cm="1">
        <f t="array" ref="GS93">_xlfn.IFS($O$21=9,FR93,$O$21=10,"",TRUE,FP93)</f>
        <v>52.78</v>
      </c>
      <c r="GT93" s="297" cm="1">
        <f t="array" ref="GT93">_xlfn.IFS($O$21=9,FX93,$O$21=10,"",TRUE,FV93)</f>
        <v>52.33</v>
      </c>
      <c r="GV93" s="306" t="str">
        <f>IF($O$25=2,GR93,IF($O$25=3,GS93,IF($O$25=4,GT93," ")))</f>
        <v xml:space="preserve"> </v>
      </c>
    </row>
    <row r="94" spans="1:204" ht="32.1" customHeight="1">
      <c r="A94" s="103"/>
      <c r="B94" s="76" t="s">
        <v>31</v>
      </c>
      <c r="C94" s="75"/>
      <c r="D94" s="105" t="str">
        <f>IF(J94=Formeln!A293,AJ94,IF(J94=Formeln!A294,AV94,""))</f>
        <v/>
      </c>
      <c r="E94" s="618" t="str">
        <f>VLOOKUP(1439,Sprachindex!$A:$Z,Info!$O$7,FALSE)</f>
        <v>Rohrübergang</v>
      </c>
      <c r="F94" s="619"/>
      <c r="G94" s="619"/>
      <c r="H94" s="619"/>
      <c r="I94" s="81" t="str">
        <f>VLOOKUP(306,Sprachindex!$A:$Z,Info!$O$7,FALSE)</f>
        <v>Dimension wählen:</v>
      </c>
      <c r="J94" s="631"/>
      <c r="K94" s="632"/>
      <c r="L94" s="76" t="str">
        <f t="shared" si="18"/>
        <v xml:space="preserve"> </v>
      </c>
      <c r="M94" s="405" t="str">
        <f t="shared" si="2"/>
        <v>STK</v>
      </c>
      <c r="N94" s="77"/>
      <c r="O94" s="184" t="str">
        <f>IF(ISNUMBER(A94),L94*GV94," ")</f>
        <v xml:space="preserve"> </v>
      </c>
      <c r="R94" s="179"/>
      <c r="S94" s="179"/>
      <c r="T94" s="179"/>
      <c r="U94" s="1"/>
      <c r="V94" s="139" t="e">
        <f t="shared" si="12"/>
        <v>#VALUE!</v>
      </c>
      <c r="W94" s="139">
        <f t="shared" si="13"/>
        <v>0</v>
      </c>
      <c r="X94" s="139" t="str">
        <f>IF(J94=Formeln!A292,"",IF(J94=Formeln!A293,1,IF(J94=Formeln!A294,1,"")))</f>
        <v/>
      </c>
      <c r="Y94" s="139">
        <v>1</v>
      </c>
      <c r="Z94" s="56" t="s">
        <v>2010</v>
      </c>
      <c r="AA94" s="56"/>
      <c r="AB94" s="56"/>
      <c r="AC94" s="56"/>
      <c r="AD94" s="56"/>
      <c r="AE94" s="56"/>
      <c r="AF94" s="56"/>
      <c r="AG94" s="56"/>
      <c r="AH94" s="56"/>
      <c r="AI94" s="56"/>
      <c r="AJ94" s="59" t="str">
        <f t="shared" si="19"/>
        <v/>
      </c>
      <c r="AK94" s="59" t="s">
        <v>2011</v>
      </c>
      <c r="AL94" t="s">
        <v>2012</v>
      </c>
      <c r="AM94"/>
      <c r="AN94"/>
      <c r="AO94"/>
      <c r="AP94"/>
      <c r="AQ94"/>
      <c r="AR94"/>
      <c r="AS94"/>
      <c r="AT94"/>
      <c r="AU94"/>
      <c r="AV94" s="59" t="str">
        <f>IF($O$21=1,AN94,IF($O$21=2,AP94,IF($O$21=3,AO94,IF($O$21=4,AQ94,IF($O$21=5,AR94,IF($O$21=6,AM94,IF($O$21=7,AS94,IF($O$21=8,AT94,IF($O$21=9,AL94,"")))))))))</f>
        <v/>
      </c>
      <c r="AW94" s="59" t="s">
        <v>2013</v>
      </c>
      <c r="AX94"/>
      <c r="AY94"/>
      <c r="AZ94"/>
      <c r="BA94"/>
      <c r="BB94"/>
      <c r="BC94"/>
      <c r="BD94"/>
      <c r="BE94"/>
      <c r="BF94"/>
      <c r="BG94"/>
      <c r="BH94" s="59"/>
      <c r="BI94" s="59"/>
      <c r="BJ94"/>
      <c r="BK94"/>
      <c r="BL94"/>
      <c r="BM94"/>
      <c r="BN94"/>
      <c r="BO94"/>
      <c r="BP94"/>
      <c r="BQ94"/>
      <c r="BR94"/>
      <c r="BS94"/>
      <c r="BT94" s="126"/>
      <c r="BU94" s="126"/>
      <c r="ES94" s="618" t="str">
        <f>VLOOKUP(1439,Sprachindex!$A:$Z,Info!$O$7,FALSE)</f>
        <v>Rohrübergang</v>
      </c>
      <c r="ET94" s="619"/>
      <c r="EU94" s="619"/>
      <c r="EV94" s="619"/>
      <c r="EW94" s="619"/>
      <c r="EX94" s="323"/>
      <c r="EY94" s="299"/>
      <c r="EZ94" s="316"/>
      <c r="FA94" s="315">
        <v>85.84</v>
      </c>
      <c r="FB94" s="299" t="s">
        <v>1396</v>
      </c>
      <c r="FC94" s="316">
        <v>79.87</v>
      </c>
      <c r="FD94" s="350" cm="1">
        <f t="array" ref="FD94">_xlfn.IFS($O$21=9,FC94,$O$21=10,"",TRUE,FA94)</f>
        <v>85.84</v>
      </c>
      <c r="FE94" s="1"/>
      <c r="FF94" s="316"/>
      <c r="FG94" s="315"/>
      <c r="FH94" s="299"/>
      <c r="FI94" s="316">
        <v>115.07</v>
      </c>
      <c r="FJ94" s="315">
        <v>118.52</v>
      </c>
      <c r="FK94" s="299" t="s">
        <v>1397</v>
      </c>
      <c r="FL94" s="316">
        <v>112.89</v>
      </c>
      <c r="FM94" s="350" cm="1">
        <f t="array" ref="FM94">_xlfn.IFS($O$21=9,FL94,$O$21=10,"",TRUE,FJ94)</f>
        <v>118.52</v>
      </c>
      <c r="FN94" s="1"/>
      <c r="FO94" s="316"/>
      <c r="FP94" s="315"/>
      <c r="FQ94" s="299"/>
      <c r="FR94" s="316"/>
      <c r="FS94" s="315"/>
      <c r="FT94" s="299"/>
      <c r="FU94" s="316"/>
      <c r="FV94" s="315"/>
      <c r="FW94" s="299"/>
      <c r="FX94" s="316"/>
      <c r="FY94" s="315"/>
      <c r="FZ94" s="299"/>
      <c r="GA94" s="316"/>
      <c r="GB94" s="315"/>
      <c r="GC94" s="299"/>
      <c r="GD94" s="316"/>
      <c r="GE94" s="315"/>
      <c r="GF94" s="299"/>
      <c r="GG94" s="316"/>
      <c r="GH94" s="315"/>
      <c r="GI94" s="299"/>
      <c r="GJ94" s="316"/>
      <c r="GK94" s="315"/>
      <c r="GL94" s="299"/>
      <c r="GM94" s="316"/>
      <c r="GN94" s="315"/>
      <c r="GO94" s="299"/>
      <c r="GP94" s="324"/>
      <c r="GR94" s="1" cm="1">
        <f t="array" ref="GR94">_xlfn.IFS($O$21=9,FL94,$O$21=10,"",TRUE,FJ94)</f>
        <v>118.52</v>
      </c>
      <c r="GV94" s="306" t="str">
        <f>IF($J$94=FB94,FD94,IF($J$94=FK94,FM94," "))</f>
        <v xml:space="preserve"> </v>
      </c>
    </row>
    <row r="95" spans="1:204" ht="32.1" customHeight="1">
      <c r="A95" s="103"/>
      <c r="B95" s="76" t="str">
        <f>VLOOKUP(878,Sprachindex!$A:$Z,Info!$O$7,FALSE)</f>
        <v>Stk.</v>
      </c>
      <c r="C95" s="75"/>
      <c r="D95" s="75" t="str">
        <f>IF($O$25=2,AJ95,IF($O$25=3,AV95,IF($O$25=4,BH95,IF($O$25=5,BT95,""))))</f>
        <v/>
      </c>
      <c r="E95" s="618" t="str">
        <f>VLOOKUP(741,Sprachindex!$A:$Z,Info!$O$7,FALSE)</f>
        <v>Rohrschelle für Standrohr</v>
      </c>
      <c r="F95" s="619"/>
      <c r="G95" s="619"/>
      <c r="H95" s="619"/>
      <c r="I95" s="619"/>
      <c r="J95" s="681" t="str">
        <f>Formeln!A239</f>
        <v/>
      </c>
      <c r="K95" s="682"/>
      <c r="L95" s="76" t="str">
        <f t="shared" si="18"/>
        <v xml:space="preserve"> </v>
      </c>
      <c r="M95" s="405" t="str">
        <f t="shared" si="2"/>
        <v>Stk.</v>
      </c>
      <c r="N95" s="77"/>
      <c r="O95" s="184" t="str">
        <f>IF(ISNUMBER(A95),L95*GV95," ")</f>
        <v xml:space="preserve"> </v>
      </c>
      <c r="R95" s="179"/>
      <c r="S95" s="179"/>
      <c r="T95" s="179"/>
      <c r="U95" s="1"/>
      <c r="V95" s="139" t="e">
        <f t="shared" si="12"/>
        <v>#VALUE!</v>
      </c>
      <c r="W95" s="139">
        <f t="shared" si="13"/>
        <v>0</v>
      </c>
      <c r="X95" s="139" t="str">
        <f>IF($O$25=2,15,IF($O$25=3,15,IF($O$25=4,15,"")))</f>
        <v/>
      </c>
      <c r="Y95" s="139">
        <v>1</v>
      </c>
      <c r="Z95" s="56" t="s">
        <v>2014</v>
      </c>
      <c r="AA95" s="56" t="s">
        <v>2015</v>
      </c>
      <c r="AB95" s="56" t="s">
        <v>2016</v>
      </c>
      <c r="AC95" s="56" t="s">
        <v>2017</v>
      </c>
      <c r="AD95" s="56" t="s">
        <v>2018</v>
      </c>
      <c r="AE95" s="56" t="s">
        <v>2019</v>
      </c>
      <c r="AF95" s="56" t="s">
        <v>2020</v>
      </c>
      <c r="AG95" s="56" t="s">
        <v>2021</v>
      </c>
      <c r="AH95" s="56" t="s">
        <v>2022</v>
      </c>
      <c r="AI95" s="56"/>
      <c r="AJ95" s="59" t="str">
        <f t="shared" si="19"/>
        <v/>
      </c>
      <c r="AK95" s="59">
        <v>80</v>
      </c>
      <c r="AL95" t="s">
        <v>2023</v>
      </c>
      <c r="AM95" t="s">
        <v>2024</v>
      </c>
      <c r="AN95" t="s">
        <v>2025</v>
      </c>
      <c r="AO95" t="s">
        <v>2026</v>
      </c>
      <c r="AP95" t="s">
        <v>2027</v>
      </c>
      <c r="AQ95" t="s">
        <v>2028</v>
      </c>
      <c r="AR95" t="s">
        <v>2029</v>
      </c>
      <c r="AS95" t="s">
        <v>2030</v>
      </c>
      <c r="AT95" t="s">
        <v>2031</v>
      </c>
      <c r="AU95">
        <v>668330</v>
      </c>
      <c r="AV95" s="59" t="str">
        <f>IF($O$21=1,AN95,IF($O$21=2,AP95,IF($O$21=3,AO95,IF($O$21=4,AQ95,IF($O$21=5,AR95,IF($O$21=6,AM95,IF($O$21=7,AS95,IF($O$21=8,AT95,IF($O$21=9,AL95,IF($O$21=10,AU95,""))))))))))</f>
        <v/>
      </c>
      <c r="AW95" s="59">
        <v>100</v>
      </c>
      <c r="AX95" t="s">
        <v>2032</v>
      </c>
      <c r="AY95" t="s">
        <v>2033</v>
      </c>
      <c r="AZ95" t="s">
        <v>2034</v>
      </c>
      <c r="BA95" t="s">
        <v>2035</v>
      </c>
      <c r="BB95" t="s">
        <v>2036</v>
      </c>
      <c r="BC95" t="s">
        <v>2037</v>
      </c>
      <c r="BD95" t="s">
        <v>2038</v>
      </c>
      <c r="BE95" t="s">
        <v>2039</v>
      </c>
      <c r="BF95" t="s">
        <v>2040</v>
      </c>
      <c r="BG95"/>
      <c r="BH95" s="59" t="str">
        <f>IF($O$21=1,AZ95,IF($O$21=2,BB95,IF($O$21=3,BA95,IF($O$21=4,BC95,IF($O$21=5,BD95,IF($O$21=6,AY95,IF($O$21=7,BE95,IF($O$21=8,BF95,IF($O$21=9,AX95,"")))))))))</f>
        <v/>
      </c>
      <c r="BI95" s="59">
        <v>120</v>
      </c>
      <c r="ES95" s="618" t="str">
        <f>VLOOKUP(741,Sprachindex!$A:$Z,Info!$O$7,FALSE)</f>
        <v>Rohrschelle für Standrohr</v>
      </c>
      <c r="ET95" s="619"/>
      <c r="EU95" s="619"/>
      <c r="EV95" s="619"/>
      <c r="EW95" s="619"/>
      <c r="EX95" s="323"/>
      <c r="EY95" s="299"/>
      <c r="EZ95" s="316"/>
      <c r="FA95" s="315"/>
      <c r="FB95" s="299"/>
      <c r="FC95" s="316"/>
      <c r="FD95" s="315"/>
      <c r="FE95" s="299"/>
      <c r="FF95" s="316"/>
      <c r="FG95" s="315"/>
      <c r="FH95" s="299"/>
      <c r="FI95" s="316"/>
      <c r="FJ95" s="315"/>
      <c r="FK95" s="299"/>
      <c r="FL95" s="316"/>
      <c r="FM95" s="315"/>
      <c r="FN95" s="299"/>
      <c r="FO95" s="316"/>
      <c r="FP95" s="315"/>
      <c r="FQ95" s="299"/>
      <c r="FR95" s="316"/>
      <c r="FS95" s="315"/>
      <c r="FT95" s="299"/>
      <c r="FU95" s="316"/>
      <c r="FV95" s="315"/>
      <c r="FW95" s="299"/>
      <c r="FX95" s="316"/>
      <c r="FY95" s="315"/>
      <c r="FZ95" s="299"/>
      <c r="GA95" s="316"/>
      <c r="GB95" s="315"/>
      <c r="GC95" s="299"/>
      <c r="GD95" s="316"/>
      <c r="GE95" s="315"/>
      <c r="GF95" s="299"/>
      <c r="GG95" s="316"/>
      <c r="GH95" s="315"/>
      <c r="GI95" s="299"/>
      <c r="GJ95" s="316"/>
      <c r="GK95" s="315"/>
      <c r="GL95" s="299"/>
      <c r="GM95" s="316"/>
      <c r="GN95" s="315"/>
      <c r="GO95" s="299"/>
      <c r="GP95" s="324"/>
      <c r="GR95" s="295">
        <v>10.19</v>
      </c>
      <c r="GS95" s="296">
        <f>IF($O$21=10,11.56,11.04)</f>
        <v>11.04</v>
      </c>
      <c r="GT95" s="297">
        <v>11.04</v>
      </c>
      <c r="GV95" s="306" t="str">
        <f>IF($O$25=2,GR95,IF($O$25=3,GS95,IF($O$25=4,GT95," ")))</f>
        <v xml:space="preserve"> </v>
      </c>
    </row>
    <row r="96" spans="1:204" ht="32.1" customHeight="1">
      <c r="A96" s="103"/>
      <c r="B96" s="76" t="str">
        <f>VLOOKUP(878,Sprachindex!$A:$Z,Info!$O$7,FALSE)</f>
        <v>Stk.</v>
      </c>
      <c r="C96" s="75"/>
      <c r="D96" s="75">
        <v>537060</v>
      </c>
      <c r="E96" s="618" t="str">
        <f>VLOOKUP(557,Sprachindex!$A:$Z,Info!$O$7,FALSE)</f>
        <v>Laubfänger (nur in Braun)</v>
      </c>
      <c r="F96" s="619"/>
      <c r="G96" s="619"/>
      <c r="H96" s="619"/>
      <c r="I96" s="619"/>
      <c r="J96" s="681" t="str">
        <f>Formeln!A239</f>
        <v/>
      </c>
      <c r="K96" s="682"/>
      <c r="L96" s="76" t="str">
        <f t="shared" si="18"/>
        <v xml:space="preserve"> </v>
      </c>
      <c r="M96" s="405" t="str">
        <f t="shared" si="2"/>
        <v>Stk.</v>
      </c>
      <c r="N96" s="77"/>
      <c r="O96" s="184" t="str">
        <f>IF(ISNUMBER(A96),L96*GV96," ")</f>
        <v xml:space="preserve"> </v>
      </c>
      <c r="R96" s="179"/>
      <c r="S96" s="179"/>
      <c r="T96" s="179"/>
      <c r="U96" s="1"/>
      <c r="V96" s="139" t="e">
        <f>ROUNDUP($A96/X96,0)*X96</f>
        <v>#VALUE!</v>
      </c>
      <c r="W96" s="139">
        <f t="shared" si="13"/>
        <v>0</v>
      </c>
      <c r="X96" s="139" t="str">
        <f>IF($O$25=0,"",IF($O$25=1,"",IF($O$25=5,"",25)))</f>
        <v/>
      </c>
      <c r="Y96" s="139">
        <v>1</v>
      </c>
      <c r="Z96" s="47" t="s">
        <v>84</v>
      </c>
      <c r="AA96" s="47" t="s">
        <v>99</v>
      </c>
      <c r="AB96" s="47" t="s">
        <v>94</v>
      </c>
      <c r="AC96" s="47" t="s">
        <v>97</v>
      </c>
      <c r="AD96" s="47" t="s">
        <v>95</v>
      </c>
      <c r="AE96" s="47" t="s">
        <v>98</v>
      </c>
      <c r="AF96" s="47" t="s">
        <v>102</v>
      </c>
      <c r="AG96" s="47" t="s">
        <v>103</v>
      </c>
      <c r="AH96" s="47" t="s">
        <v>1459</v>
      </c>
      <c r="AI96" s="47"/>
      <c r="AJ96" s="47"/>
      <c r="AK96" s="59"/>
      <c r="AL96" s="47" t="s">
        <v>84</v>
      </c>
      <c r="AM96" s="47" t="s">
        <v>99</v>
      </c>
      <c r="AN96" s="47" t="s">
        <v>94</v>
      </c>
      <c r="AO96" s="47" t="s">
        <v>97</v>
      </c>
      <c r="AP96" s="47" t="s">
        <v>95</v>
      </c>
      <c r="AQ96" s="47" t="s">
        <v>98</v>
      </c>
      <c r="AR96" s="47" t="s">
        <v>102</v>
      </c>
      <c r="AS96" s="47" t="s">
        <v>103</v>
      </c>
      <c r="AT96" s="47" t="s">
        <v>1459</v>
      </c>
      <c r="AU96" s="47"/>
      <c r="AV96" s="47"/>
      <c r="AW96" s="59"/>
      <c r="AX96" s="47" t="s">
        <v>84</v>
      </c>
      <c r="AY96" s="47" t="s">
        <v>99</v>
      </c>
      <c r="AZ96" s="47" t="s">
        <v>94</v>
      </c>
      <c r="BA96" s="47" t="s">
        <v>97</v>
      </c>
      <c r="BB96" s="47" t="s">
        <v>95</v>
      </c>
      <c r="BC96" s="47" t="s">
        <v>98</v>
      </c>
      <c r="BD96" s="47" t="s">
        <v>102</v>
      </c>
      <c r="BE96" s="47" t="s">
        <v>103</v>
      </c>
      <c r="BF96" s="47" t="s">
        <v>1459</v>
      </c>
      <c r="BG96" s="47"/>
      <c r="BH96" s="47"/>
      <c r="BI96" s="59"/>
      <c r="BJ96" s="47" t="s">
        <v>84</v>
      </c>
      <c r="BK96" s="47" t="s">
        <v>99</v>
      </c>
      <c r="BL96" s="47" t="s">
        <v>94</v>
      </c>
      <c r="BM96" s="47" t="s">
        <v>97</v>
      </c>
      <c r="BN96" s="47" t="s">
        <v>95</v>
      </c>
      <c r="BO96" s="47" t="s">
        <v>98</v>
      </c>
      <c r="BP96" s="47" t="s">
        <v>102</v>
      </c>
      <c r="BQ96" s="47" t="s">
        <v>103</v>
      </c>
      <c r="BR96" s="47" t="s">
        <v>1459</v>
      </c>
      <c r="BS96" s="47"/>
      <c r="BT96" s="47"/>
      <c r="BU96" s="59"/>
      <c r="BV96" s="47" t="s">
        <v>84</v>
      </c>
      <c r="BW96" s="47" t="s">
        <v>99</v>
      </c>
      <c r="BX96" s="47" t="s">
        <v>94</v>
      </c>
      <c r="BY96" s="47" t="s">
        <v>97</v>
      </c>
      <c r="BZ96" s="47" t="s">
        <v>95</v>
      </c>
      <c r="CA96" s="47" t="s">
        <v>98</v>
      </c>
      <c r="CB96" s="47" t="s">
        <v>102</v>
      </c>
      <c r="CC96" s="47" t="s">
        <v>103</v>
      </c>
      <c r="CD96" s="47" t="s">
        <v>1459</v>
      </c>
      <c r="CE96" s="47"/>
      <c r="CF96" s="47"/>
      <c r="CG96" s="59"/>
      <c r="ES96" s="618" t="str">
        <f>VLOOKUP(557,Sprachindex!$A:$Z,Info!$O$7,FALSE)</f>
        <v>Laubfänger (nur in Braun)</v>
      </c>
      <c r="ET96" s="619"/>
      <c r="EU96" s="619"/>
      <c r="EV96" s="619"/>
      <c r="EW96" s="619"/>
      <c r="EX96" s="323"/>
      <c r="EY96" s="299"/>
      <c r="EZ96" s="316"/>
      <c r="FA96" s="315"/>
      <c r="FB96" s="299"/>
      <c r="FC96" s="316"/>
      <c r="FD96" s="315"/>
      <c r="FE96" s="299"/>
      <c r="FF96" s="316"/>
      <c r="FG96" s="315"/>
      <c r="FH96" s="299"/>
      <c r="FI96" s="316"/>
      <c r="FJ96" s="315"/>
      <c r="FK96" s="299"/>
      <c r="FL96" s="316"/>
      <c r="FM96" s="315"/>
      <c r="FN96" s="299"/>
      <c r="FO96" s="316"/>
      <c r="FP96" s="315"/>
      <c r="FQ96" s="299"/>
      <c r="FR96" s="316"/>
      <c r="FS96" s="315"/>
      <c r="FT96" s="299"/>
      <c r="FU96" s="316"/>
      <c r="FV96" s="315"/>
      <c r="FW96" s="299"/>
      <c r="FX96" s="316"/>
      <c r="FY96" s="315"/>
      <c r="FZ96" s="299"/>
      <c r="GA96" s="316"/>
      <c r="GB96" s="315"/>
      <c r="GC96" s="299"/>
      <c r="GD96" s="316"/>
      <c r="GE96" s="315"/>
      <c r="GF96" s="299"/>
      <c r="GG96" s="316"/>
      <c r="GH96" s="315"/>
      <c r="GI96" s="299"/>
      <c r="GJ96" s="316"/>
      <c r="GK96" s="315"/>
      <c r="GL96" s="299"/>
      <c r="GM96" s="316"/>
      <c r="GN96" s="315"/>
      <c r="GO96" s="299"/>
      <c r="GP96" s="324"/>
      <c r="GV96" s="306">
        <v>12.38</v>
      </c>
    </row>
    <row r="97" spans="1:204" ht="32.1" customHeight="1">
      <c r="A97" s="103"/>
      <c r="B97" s="76" t="str">
        <f>VLOOKUP(878,Sprachindex!$A:$Z,Info!$O$7,FALSE)</f>
        <v>Stk.</v>
      </c>
      <c r="C97" s="75"/>
      <c r="D97" s="75" t="str">
        <f>IF($O$25=2,AJ97,IF($O$25=3,AV97,IF($O$25=4,BH97,IF($O$25=5,BT97,""))))</f>
        <v/>
      </c>
      <c r="E97" s="618" t="str">
        <f>VLOOKUP(1008,Sprachindex!$A:$Z,Info!$O$7,FALSE)</f>
        <v>Wasserfangkasten</v>
      </c>
      <c r="F97" s="619"/>
      <c r="G97" s="619"/>
      <c r="H97" s="619"/>
      <c r="I97" s="619"/>
      <c r="J97" s="681" t="str">
        <f>Formeln!A230</f>
        <v/>
      </c>
      <c r="K97" s="682"/>
      <c r="L97" s="76" t="str">
        <f t="shared" si="18"/>
        <v xml:space="preserve"> </v>
      </c>
      <c r="M97" s="405" t="str">
        <f t="shared" si="2"/>
        <v>Stk.</v>
      </c>
      <c r="N97" s="77"/>
      <c r="O97" s="184" t="str">
        <f>IF(ISNUMBER(A97),L97*GV97," ")</f>
        <v xml:space="preserve"> </v>
      </c>
      <c r="R97" s="179"/>
      <c r="S97" s="179"/>
      <c r="T97" s="179"/>
      <c r="U97" s="1"/>
      <c r="V97" s="139" t="e">
        <f t="shared" ref="V97:V101" si="20">ROUNDUP($A97/X97,0)*X97</f>
        <v>#VALUE!</v>
      </c>
      <c r="W97" s="139">
        <f t="shared" si="13"/>
        <v>0</v>
      </c>
      <c r="X97" s="139" t="str">
        <f>IF($O$25=2,2,IF($O$25=3,2,IF($O$25=4,2,IF($O$25=5,2,""))))</f>
        <v/>
      </c>
      <c r="Y97" s="139">
        <v>1</v>
      </c>
      <c r="Z97" s="56" t="s">
        <v>2041</v>
      </c>
      <c r="AA97" s="56" t="s">
        <v>2042</v>
      </c>
      <c r="AB97" s="56" t="s">
        <v>2043</v>
      </c>
      <c r="AC97" s="56" t="s">
        <v>2044</v>
      </c>
      <c r="AD97" s="56" t="s">
        <v>2045</v>
      </c>
      <c r="AE97" s="56" t="s">
        <v>2046</v>
      </c>
      <c r="AF97" s="56" t="s">
        <v>2047</v>
      </c>
      <c r="AG97" s="56" t="s">
        <v>2048</v>
      </c>
      <c r="AH97" s="56" t="s">
        <v>2049</v>
      </c>
      <c r="AI97" s="56"/>
      <c r="AJ97" s="59" t="str">
        <f>IF($O$21=1,AB97,IF($O$21=2,AD97,IF($O$21=3,AC97,IF($O$21=4,AE97,IF($O$21=5,AF97,IF($O$21=6,AA97,IF($O$21=7,AG97,IF($O$21=8,AH97,IF($O$21=9,Z97,"")))))))))</f>
        <v/>
      </c>
      <c r="AK97" s="59">
        <v>80</v>
      </c>
      <c r="AL97" t="s">
        <v>2050</v>
      </c>
      <c r="AM97" t="s">
        <v>2051</v>
      </c>
      <c r="AN97" t="s">
        <v>2052</v>
      </c>
      <c r="AO97" t="s">
        <v>2053</v>
      </c>
      <c r="AP97" t="s">
        <v>2054</v>
      </c>
      <c r="AQ97" t="s">
        <v>2055</v>
      </c>
      <c r="AR97" t="s">
        <v>2056</v>
      </c>
      <c r="AS97" t="s">
        <v>2057</v>
      </c>
      <c r="AT97" t="s">
        <v>2058</v>
      </c>
      <c r="AU97">
        <v>550131</v>
      </c>
      <c r="AV97" s="59" t="str">
        <f>IF($O$21=1,AN97,IF($O$21=2,AP97,IF($O$21=3,AO97,IF($O$21=4,AQ97,IF($O$21=5,AR97,IF($O$21=6,AM97,IF($O$21=7,AS97,IF($O$21=8,AT97,IF($O$21=9,AL97,IF($O$21=10,AU97,""))))))))))</f>
        <v/>
      </c>
      <c r="AW97" s="59">
        <v>100</v>
      </c>
      <c r="AX97" t="s">
        <v>2059</v>
      </c>
      <c r="AY97" t="s">
        <v>2060</v>
      </c>
      <c r="AZ97" t="s">
        <v>2061</v>
      </c>
      <c r="BA97" t="s">
        <v>2062</v>
      </c>
      <c r="BB97" t="s">
        <v>2063</v>
      </c>
      <c r="BC97" t="s">
        <v>2064</v>
      </c>
      <c r="BD97" t="s">
        <v>2065</v>
      </c>
      <c r="BE97" t="s">
        <v>2066</v>
      </c>
      <c r="BF97" t="s">
        <v>2067</v>
      </c>
      <c r="BG97"/>
      <c r="BH97" s="59" t="str">
        <f>IF($O$21=1,AZ97,IF($O$21=2,BB97,IF($O$21=3,BA97,IF($O$21=4,BC97,IF($O$21=5,BD97,IF($O$21=6,AY97,IF($O$21=7,BE97,IF($O$21=8,BF97,IF($O$21=9,AX97,"")))))))))</f>
        <v/>
      </c>
      <c r="BI97" s="59">
        <v>120</v>
      </c>
      <c r="BJ97" t="s">
        <v>2068</v>
      </c>
      <c r="BK97" t="s">
        <v>2069</v>
      </c>
      <c r="BL97" t="s">
        <v>2070</v>
      </c>
      <c r="BM97"/>
      <c r="BN97" t="s">
        <v>2071</v>
      </c>
      <c r="BO97"/>
      <c r="BP97"/>
      <c r="BQ97"/>
      <c r="BR97"/>
      <c r="BS97"/>
      <c r="BT97" s="59" t="str">
        <f>IF($O$21=1,BL97,IF($O$21=2,BN97,IF($O$21=3,BM97,IF($O$21=4,BO97,IF($O$21=5,BP97,IF($O$21=6,BK97,IF($O$21=7,BQ97,IF($O$21=8,BR97,IF($O$21=9,BJ97,"")))))))))</f>
        <v/>
      </c>
      <c r="BU97" s="59">
        <v>150</v>
      </c>
      <c r="ES97" s="618" t="str">
        <f>VLOOKUP(1008,Sprachindex!$A:$Z,Info!$O$7,FALSE)</f>
        <v>Wasserfangkasten</v>
      </c>
      <c r="ET97" s="619"/>
      <c r="EU97" s="619"/>
      <c r="EV97" s="619"/>
      <c r="EW97" s="619"/>
      <c r="EX97" s="323"/>
      <c r="EY97" s="299"/>
      <c r="EZ97" s="316"/>
      <c r="FA97" s="315"/>
      <c r="FB97" s="299"/>
      <c r="FC97" s="316"/>
      <c r="FD97" s="315"/>
      <c r="FE97" s="299"/>
      <c r="FF97" s="316"/>
      <c r="FG97" s="315"/>
      <c r="FH97" s="299"/>
      <c r="FI97" s="316"/>
      <c r="FJ97" s="315">
        <v>196.37</v>
      </c>
      <c r="FK97" s="376" t="s">
        <v>1661</v>
      </c>
      <c r="FL97" s="316">
        <v>189.37</v>
      </c>
      <c r="FM97" s="315"/>
      <c r="FN97" s="299"/>
      <c r="FO97" s="377" t="s">
        <v>1662</v>
      </c>
      <c r="FP97" s="315">
        <v>204.69</v>
      </c>
      <c r="FQ97" s="129">
        <v>204.69</v>
      </c>
      <c r="FR97" s="316">
        <v>197.6</v>
      </c>
      <c r="FS97" s="315"/>
      <c r="FT97" s="299"/>
      <c r="FU97" s="316"/>
      <c r="FV97" s="315">
        <v>210.3</v>
      </c>
      <c r="FW97" s="378" t="s">
        <v>1663</v>
      </c>
      <c r="FX97" s="316">
        <v>203.2</v>
      </c>
      <c r="FY97" s="315"/>
      <c r="FZ97" s="299"/>
      <c r="GA97" s="316"/>
      <c r="GB97" s="315">
        <v>226.4</v>
      </c>
      <c r="GC97" s="379" t="s">
        <v>1664</v>
      </c>
      <c r="GD97" s="316">
        <v>215.81</v>
      </c>
      <c r="GE97" s="315"/>
      <c r="GF97" s="299"/>
      <c r="GG97" s="316"/>
      <c r="GH97" s="315"/>
      <c r="GI97" s="299"/>
      <c r="GJ97" s="316"/>
      <c r="GK97" s="315"/>
      <c r="GL97" s="299"/>
      <c r="GM97" s="316"/>
      <c r="GN97" s="315"/>
      <c r="GO97" s="299"/>
      <c r="GP97" s="324"/>
      <c r="GR97" s="295" cm="1">
        <f t="array" ref="GR97">_xlfn.IFS($O$21=9,FL97,$O$21=10,"",TRUE,FJ97)</f>
        <v>196.37</v>
      </c>
      <c r="GS97" s="296" cm="1">
        <f t="array" ref="GS97">_xlfn.IFS($O$21=9,FR97,$O$21=10,FQ97,TRUE,FP97)</f>
        <v>204.69</v>
      </c>
      <c r="GT97" s="297" cm="1">
        <f t="array" ref="GT97">_xlfn.IFS($O$21=9,FX97,$O$21=10,"",TRUE,FV97)</f>
        <v>210.3</v>
      </c>
      <c r="GU97" s="389" t="str">
        <f>IF(OR($O$21=1,$O$21=2,$O$21=6),GB97,IF($O$21=9,GD97," "))</f>
        <v xml:space="preserve"> </v>
      </c>
      <c r="GV97" s="306" t="str">
        <f>IF($O$25=2,GR97,IF($O$25=3,GS97,IF($O$25=4,GT97,IF($O$25=5,GU97," "))))</f>
        <v xml:space="preserve"> </v>
      </c>
    </row>
    <row r="98" spans="1:204" ht="32.1" customHeight="1">
      <c r="A98" s="103"/>
      <c r="B98" s="76" t="str">
        <f>VLOOKUP(878,Sprachindex!$A:$Z,Info!$O$7,FALSE)</f>
        <v>Stk.</v>
      </c>
      <c r="C98" s="75"/>
      <c r="D98" s="75" t="str">
        <f>IF(ISNUMBER(A98),IF($O$25=3,AJ98," "),"")</f>
        <v/>
      </c>
      <c r="E98" s="618" t="str">
        <f>VLOOKUP(1010,Sprachindex!$A:$Z,Info!$O$7,FALSE)</f>
        <v>Wasserfangkasten rund</v>
      </c>
      <c r="F98" s="619"/>
      <c r="G98" s="619"/>
      <c r="H98" s="619"/>
      <c r="I98" s="619"/>
      <c r="J98" s="681" t="str">
        <f>IF($O$25="","",IF($O$25=1,Formeln!$A$177,IF($O$25=2,Formeln!$A$177,IF($O$25=3,Formeln!$F$194,IF($O$25=4,Formeln!$A$177,IF($O$25=5,Formeln!$A$177,""))))))</f>
        <v/>
      </c>
      <c r="K98" s="682"/>
      <c r="L98" s="76" t="str">
        <f t="shared" si="18"/>
        <v xml:space="preserve"> </v>
      </c>
      <c r="M98" s="405" t="str">
        <f t="shared" si="2"/>
        <v>Stk.</v>
      </c>
      <c r="N98" s="77"/>
      <c r="O98" s="184" t="str">
        <f>IF(ISNUMBER(L98),L98*GV98," ")</f>
        <v xml:space="preserve"> </v>
      </c>
      <c r="R98" s="179"/>
      <c r="S98" s="179"/>
      <c r="T98" s="179"/>
      <c r="U98" s="1"/>
      <c r="V98" s="139" t="e">
        <f t="shared" si="20"/>
        <v>#VALUE!</v>
      </c>
      <c r="W98" s="139">
        <f t="shared" si="13"/>
        <v>0</v>
      </c>
      <c r="X98" s="139" t="str">
        <f>IF($O$25=3,1,"")</f>
        <v/>
      </c>
      <c r="Y98" s="139">
        <v>1</v>
      </c>
      <c r="Z98" s="56" t="s">
        <v>2072</v>
      </c>
      <c r="AA98" s="56" t="s">
        <v>2073</v>
      </c>
      <c r="AB98" s="56" t="s">
        <v>2074</v>
      </c>
      <c r="AC98" s="56"/>
      <c r="AD98" s="56" t="s">
        <v>2075</v>
      </c>
      <c r="AE98" s="56"/>
      <c r="AF98" s="56"/>
      <c r="AG98" s="56"/>
      <c r="AH98" s="56"/>
      <c r="AI98" s="56"/>
      <c r="AJ98" s="59" t="str">
        <f>IF($O$21=1,AB98,IF($O$21=2,AD98,IF($O$21=3,AC98,IF($O$21=4,AE98,IF($O$21=5,AF98,IF($O$21=6,AA98,IF($O$21=7,AG98,IF($O$21=8,AH98,IF($O$21=9,Z98,"")))))))))</f>
        <v/>
      </c>
      <c r="AK98" s="59"/>
      <c r="AL98"/>
      <c r="AM98"/>
      <c r="AN98"/>
      <c r="AO98"/>
      <c r="AP98"/>
      <c r="AQ98"/>
      <c r="AR98"/>
      <c r="AS98"/>
      <c r="AT98"/>
      <c r="AU98"/>
      <c r="AV98" s="59" t="str">
        <f>IF($O$21=1,AN98,IF($O$21=2,AP98,IF($O$21=3,AO98,IF($O$21=4,AQ98,IF($O$21=5,AR98,IF($O$21=6,AM98,IF($O$21=7,AS98,IF($O$21=8,AT98,IF($O$21=9,AL98,"")))))))))</f>
        <v/>
      </c>
      <c r="AW98" s="126"/>
      <c r="AX98"/>
      <c r="AY98"/>
      <c r="AZ98"/>
      <c r="BA98"/>
      <c r="BB98"/>
      <c r="BC98"/>
      <c r="BD98"/>
      <c r="BE98"/>
      <c r="BF98"/>
      <c r="BG98"/>
      <c r="BH98" s="126"/>
      <c r="BI98" s="126"/>
      <c r="BJ98"/>
      <c r="BK98"/>
      <c r="BL98"/>
      <c r="BM98"/>
      <c r="BN98"/>
      <c r="BO98"/>
      <c r="BP98"/>
      <c r="BQ98"/>
      <c r="BR98"/>
      <c r="BS98"/>
      <c r="BT98" s="126"/>
      <c r="BU98" s="126"/>
      <c r="ES98" s="618" t="str">
        <f>VLOOKUP(1010,Sprachindex!$A:$Z,Info!$O$7,FALSE)</f>
        <v>Wasserfangkasten rund</v>
      </c>
      <c r="ET98" s="619"/>
      <c r="EU98" s="619"/>
      <c r="EV98" s="619"/>
      <c r="EW98" s="619"/>
      <c r="EX98" s="323"/>
      <c r="EY98" s="299"/>
      <c r="EZ98" s="316"/>
      <c r="FA98" s="315"/>
      <c r="FB98" s="299"/>
      <c r="FC98" s="316"/>
      <c r="FD98" s="315"/>
      <c r="FE98" s="299"/>
      <c r="FF98" s="316"/>
      <c r="FG98" s="315"/>
      <c r="FH98" s="299"/>
      <c r="FI98" s="316"/>
      <c r="FJ98" s="315"/>
      <c r="FK98" s="299"/>
      <c r="FL98" s="316"/>
      <c r="FM98" s="315"/>
      <c r="FN98" s="299"/>
      <c r="FO98" s="316"/>
      <c r="FP98" s="315">
        <v>231.44</v>
      </c>
      <c r="FQ98" s="377" t="s">
        <v>1662</v>
      </c>
      <c r="FR98" s="316">
        <v>224.23</v>
      </c>
      <c r="FS98" s="315"/>
      <c r="FT98" s="299"/>
      <c r="FU98" s="316"/>
      <c r="FV98" s="315"/>
      <c r="FW98" s="299"/>
      <c r="FX98" s="316"/>
      <c r="FY98" s="315"/>
      <c r="FZ98" s="299"/>
      <c r="GA98" s="316"/>
      <c r="GB98" s="315"/>
      <c r="GC98" s="299"/>
      <c r="GD98" s="316"/>
      <c r="GE98" s="315"/>
      <c r="GF98" s="299"/>
      <c r="GG98" s="316"/>
      <c r="GH98" s="315"/>
      <c r="GI98" s="299"/>
      <c r="GJ98" s="316"/>
      <c r="GK98" s="315"/>
      <c r="GL98" s="299"/>
      <c r="GM98" s="316"/>
      <c r="GN98" s="315"/>
      <c r="GO98" s="299"/>
      <c r="GP98" s="324"/>
      <c r="GS98" s="296" t="str">
        <f>IF(OR($O$21=1,$O$21=2,$O$21=6),FP98,IF($O$21=9,FR98," "))</f>
        <v xml:space="preserve"> </v>
      </c>
      <c r="GV98" s="306" t="str">
        <f>IF($O$25=3,GS98," ")</f>
        <v xml:space="preserve"> </v>
      </c>
    </row>
    <row r="99" spans="1:204" ht="32.1" customHeight="1">
      <c r="A99" s="103"/>
      <c r="B99" s="76" t="str">
        <f>VLOOKUP(878,Sprachindex!$A:$Z,Info!$O$7,FALSE)</f>
        <v>Stk.</v>
      </c>
      <c r="C99" s="75"/>
      <c r="D99" s="75" t="str">
        <f>IF($O$25=2,BH99,IF($O$25=3,AJ99,IF($O$25=4,AV99,"")))</f>
        <v/>
      </c>
      <c r="E99" s="618" t="str">
        <f>VLOOKUP(850,Sprachindex!$A:$Z,Info!$O$7,FALSE)</f>
        <v>Speiereinmündung</v>
      </c>
      <c r="F99" s="619"/>
      <c r="G99" s="619"/>
      <c r="H99" s="619"/>
      <c r="I99" s="619"/>
      <c r="J99" s="681" t="str">
        <f>IF(O25=0,"",IF(O25=2,Formeln!F193,IF(O25=3,Formeln!F194,IF(O25=4,Formeln!F195,Formeln!A177))))</f>
        <v/>
      </c>
      <c r="K99" s="682"/>
      <c r="L99" s="76" t="str">
        <f t="shared" si="18"/>
        <v xml:space="preserve"> </v>
      </c>
      <c r="M99" s="405" t="str">
        <f t="shared" si="2"/>
        <v>Stk.</v>
      </c>
      <c r="N99" s="77"/>
      <c r="O99" s="184" t="str">
        <f>IF(ISNUMBER(A99),L99*GV99," ")</f>
        <v xml:space="preserve"> </v>
      </c>
      <c r="R99" s="179"/>
      <c r="S99" s="179"/>
      <c r="T99" s="179"/>
      <c r="U99" s="1"/>
      <c r="V99" s="139" t="e">
        <f t="shared" si="20"/>
        <v>#VALUE!</v>
      </c>
      <c r="W99" s="139">
        <f t="shared" si="13"/>
        <v>0</v>
      </c>
      <c r="X99" s="139" t="str">
        <f>IF($O$25=2,1,IF($O$25=3,1,IF($O$25=4,1,"")))</f>
        <v/>
      </c>
      <c r="Y99" s="139">
        <v>1</v>
      </c>
      <c r="Z99" s="56" t="s">
        <v>2076</v>
      </c>
      <c r="AA99" s="56" t="s">
        <v>2077</v>
      </c>
      <c r="AB99" s="56" t="s">
        <v>2078</v>
      </c>
      <c r="AC99" s="56" t="s">
        <v>2079</v>
      </c>
      <c r="AD99" s="56" t="s">
        <v>2080</v>
      </c>
      <c r="AE99" s="56" t="s">
        <v>2081</v>
      </c>
      <c r="AF99" s="56" t="s">
        <v>2082</v>
      </c>
      <c r="AG99" s="56" t="s">
        <v>2083</v>
      </c>
      <c r="AH99" s="56" t="s">
        <v>2084</v>
      </c>
      <c r="AI99" s="56"/>
      <c r="AJ99" s="59" t="str">
        <f>IF($O$21=1,AB99,IF($O$21=2,AD99,IF($O$21=3,AC99,IF($O$21=4,AE99,IF($O$21=5,AF99,IF($O$21=6,AA99,IF($O$21=7,AG99,IF($O$21=8,AH99,IF($O$21=9,Z99,"")))))))))</f>
        <v/>
      </c>
      <c r="AK99" s="59">
        <v>100</v>
      </c>
      <c r="AL99" t="s">
        <v>2085</v>
      </c>
      <c r="AM99"/>
      <c r="AN99"/>
      <c r="AO99"/>
      <c r="AP99" t="s">
        <v>2086</v>
      </c>
      <c r="AQ99"/>
      <c r="AR99"/>
      <c r="AS99"/>
      <c r="AT99"/>
      <c r="AU99"/>
      <c r="AV99" s="59" t="str">
        <f>IF($O$21=1,AN99,IF($O$21=2,AP99,IF($O$21=3,AO99,IF($O$21=4,AQ99,IF($O$21=5,AR99,IF($O$21=6,AM99,IF($O$21=7,AS99,IF($O$21=8,AT99,IF($O$21=9,AL99,"")))))))))</f>
        <v/>
      </c>
      <c r="AW99" s="59">
        <v>120</v>
      </c>
      <c r="AX99" t="s">
        <v>2087</v>
      </c>
      <c r="AY99"/>
      <c r="AZ99"/>
      <c r="BA99"/>
      <c r="BB99"/>
      <c r="BC99"/>
      <c r="BD99"/>
      <c r="BE99"/>
      <c r="BF99"/>
      <c r="BG99"/>
      <c r="BH99" s="59" t="str">
        <f>IF($O$21=1,AZ99,IF($O$21=2,BB99,IF($O$21=3,BA99,IF($O$21=4,BC99,IF($O$21=5,BD99,IF($O$21=6,AY99,IF($O$21=7,BE99,IF($O$21=8,BF99,IF($O$21=9,AX99,"")))))))))</f>
        <v/>
      </c>
      <c r="BI99" s="59">
        <v>80</v>
      </c>
      <c r="ES99" s="618" t="str">
        <f>VLOOKUP(850,Sprachindex!$A:$Z,Info!$O$7,FALSE)</f>
        <v>Speiereinmündung</v>
      </c>
      <c r="ET99" s="619"/>
      <c r="EU99" s="619"/>
      <c r="EV99" s="619"/>
      <c r="EW99" s="619"/>
      <c r="EX99" s="323"/>
      <c r="EY99" s="299"/>
      <c r="EZ99" s="316"/>
      <c r="FA99" s="315"/>
      <c r="FB99" s="299"/>
      <c r="FC99" s="316"/>
      <c r="FD99" s="315"/>
      <c r="FE99" s="299"/>
      <c r="FF99" s="316"/>
      <c r="FG99" s="315"/>
      <c r="FH99" s="299"/>
      <c r="FI99" s="316"/>
      <c r="FJ99" s="315">
        <v>236.6</v>
      </c>
      <c r="FK99" s="376" t="s">
        <v>1661</v>
      </c>
      <c r="FL99" s="316">
        <v>228.56</v>
      </c>
      <c r="FM99" s="315"/>
      <c r="FN99" s="299"/>
      <c r="FO99" s="316"/>
      <c r="FP99" s="315">
        <v>242.05</v>
      </c>
      <c r="FQ99" s="377" t="s">
        <v>1662</v>
      </c>
      <c r="FR99" s="316">
        <v>232.47</v>
      </c>
      <c r="FS99" s="315"/>
      <c r="FT99" s="299"/>
      <c r="FU99" s="316"/>
      <c r="FV99" s="315">
        <v>299.01</v>
      </c>
      <c r="FW99" s="378" t="s">
        <v>1663</v>
      </c>
      <c r="FX99" s="316">
        <v>286.95999999999998</v>
      </c>
      <c r="FY99" s="315"/>
      <c r="FZ99" s="299"/>
      <c r="GA99" s="316"/>
      <c r="GB99" s="315"/>
      <c r="GC99" s="299"/>
      <c r="GD99" s="316"/>
      <c r="GE99" s="315"/>
      <c r="GF99" s="299"/>
      <c r="GG99" s="316"/>
      <c r="GH99" s="315"/>
      <c r="GI99" s="299"/>
      <c r="GJ99" s="316"/>
      <c r="GK99" s="315"/>
      <c r="GL99" s="299"/>
      <c r="GM99" s="316"/>
      <c r="GN99" s="315"/>
      <c r="GO99" s="299"/>
      <c r="GP99" s="324"/>
      <c r="GR99" s="295" cm="1">
        <f t="array" ref="GR99">_xlfn.IFS($O$21=9,FL99,$O$21=10,"",TRUE,FJ99)</f>
        <v>236.6</v>
      </c>
      <c r="GS99" s="296" cm="1">
        <f t="array" ref="GS99">_xlfn.IFS($O$21=9,FR99,$O$21=10,"",TRUE,FP99)</f>
        <v>242.05</v>
      </c>
      <c r="GT99" s="297" cm="1">
        <f t="array" ref="GT99">_xlfn.IFS($O$21=9,FX99,$O$21=10,"",TRUE,FV99)</f>
        <v>299.01</v>
      </c>
      <c r="GV99" s="306" t="str">
        <f>IF($O$25=2,GR99,IF($O$25=3,GS99,IF($O$25=4,GT99," ")))</f>
        <v xml:space="preserve"> </v>
      </c>
    </row>
    <row r="100" spans="1:204" ht="32.1" customHeight="1">
      <c r="A100" s="103"/>
      <c r="B100" s="76" t="str">
        <f>VLOOKUP(878,Sprachindex!$A:$Z,Info!$O$7,FALSE)</f>
        <v>Stk.</v>
      </c>
      <c r="C100" s="75"/>
      <c r="D100" s="75" t="str">
        <f>IF(J100=Formeln!A267,AJ100,IF(J100=Formeln!A268,AV100,""))</f>
        <v/>
      </c>
      <c r="E100" s="618" t="str">
        <f>VLOOKUP(654,Sprachindex!$A:$Z,Info!$O$7,FALSE)</f>
        <v>Patentniete</v>
      </c>
      <c r="F100" s="619"/>
      <c r="G100" s="619"/>
      <c r="H100" s="619"/>
      <c r="I100" s="81" t="str">
        <f>VLOOKUP(306,Sprachindex!$A:$Z,Info!$O$7,FALSE)</f>
        <v>Dimension wählen:</v>
      </c>
      <c r="J100" s="631"/>
      <c r="K100" s="706"/>
      <c r="L100" s="76" t="str">
        <f t="shared" si="18"/>
        <v xml:space="preserve"> </v>
      </c>
      <c r="M100" s="405" t="str">
        <f t="shared" si="2"/>
        <v>Stk.</v>
      </c>
      <c r="N100" s="77"/>
      <c r="O100" s="184" t="str">
        <f>IF(ISNUMBER(A100),L100*GV100," ")</f>
        <v xml:space="preserve"> </v>
      </c>
      <c r="R100" s="179"/>
      <c r="S100" s="179"/>
      <c r="T100" s="179"/>
      <c r="U100" s="1"/>
      <c r="V100" s="139" t="e">
        <f t="shared" si="20"/>
        <v>#VALUE!</v>
      </c>
      <c r="W100" s="139">
        <f t="shared" si="13"/>
        <v>0</v>
      </c>
      <c r="X100" s="139" t="str">
        <f>IF($J100=Formeln!$A$267,1000,IF($J100=Formeln!$A$268,500,""))</f>
        <v/>
      </c>
      <c r="Y100" s="139">
        <v>1</v>
      </c>
      <c r="Z100" s="56" t="s">
        <v>1469</v>
      </c>
      <c r="AA100" s="56" t="s">
        <v>1470</v>
      </c>
      <c r="AB100" s="56" t="s">
        <v>1471</v>
      </c>
      <c r="AC100" s="56" t="s">
        <v>1472</v>
      </c>
      <c r="AD100" s="56" t="s">
        <v>1473</v>
      </c>
      <c r="AE100" s="56" t="s">
        <v>1475</v>
      </c>
      <c r="AF100" s="56" t="s">
        <v>1476</v>
      </c>
      <c r="AG100" s="56" t="s">
        <v>1477</v>
      </c>
      <c r="AH100" s="56" t="s">
        <v>1478</v>
      </c>
      <c r="AI100" s="56"/>
      <c r="AJ100" s="59" t="str">
        <f>IF($O$21=1,AB100,IF($O$21=2,AD100,IF($O$21=3,AC100,IF($O$21=4,AE100,IF($O$21=5,AF100,IF($O$21=6,AA100,IF($O$21=7,AG100,IF($O$21=8,AH100,IF($O$21=9,Z100,"")))))))))</f>
        <v/>
      </c>
      <c r="AK100" s="59" t="s">
        <v>1481</v>
      </c>
      <c r="AL100" t="s">
        <v>1482</v>
      </c>
      <c r="AM100" s="57"/>
      <c r="AN100" s="57"/>
      <c r="AO100" s="57"/>
      <c r="AP100" s="57"/>
      <c r="AQ100" s="57"/>
      <c r="AR100" s="57"/>
      <c r="AS100" s="57"/>
      <c r="AT100" s="57"/>
      <c r="AU100" s="57"/>
      <c r="AV100" s="59" t="str">
        <f>IF($O$21=1,AN100,IF($O$21=2,AP100,IF($O$21=3,AO100,IF($O$21=4,AQ100,IF($O$21=5,AR100,IF($O$21=6,AM100,IF($O$21=7,AS100,IF($O$21=8,AT100,IF($O$21=9,AL100,"")))))))))</f>
        <v/>
      </c>
      <c r="AW100" s="59" t="s">
        <v>1483</v>
      </c>
      <c r="ES100" s="618" t="str">
        <f>VLOOKUP(654,Sprachindex!$A:$Z,Info!$O$7,FALSE)</f>
        <v>Patentniete</v>
      </c>
      <c r="ET100" s="619"/>
      <c r="EU100" s="619"/>
      <c r="EV100" s="619"/>
      <c r="EW100" s="619"/>
      <c r="EX100" s="323"/>
      <c r="EY100" s="299"/>
      <c r="FA100" s="316">
        <v>0.19</v>
      </c>
      <c r="FB100" s="591" t="s">
        <v>2088</v>
      </c>
      <c r="FC100" s="315">
        <v>0.15</v>
      </c>
      <c r="FE100" s="299"/>
      <c r="FF100" s="316"/>
      <c r="FH100" s="593" t="s">
        <v>2089</v>
      </c>
      <c r="FI100" s="315">
        <v>0.19</v>
      </c>
      <c r="FK100" s="299"/>
      <c r="FL100" s="316"/>
      <c r="FM100" s="315"/>
      <c r="FN100" s="299"/>
      <c r="FO100" s="316"/>
      <c r="FP100" s="315"/>
      <c r="FQ100" s="299"/>
      <c r="FR100" s="316"/>
      <c r="FS100" s="315"/>
      <c r="FT100" s="299"/>
      <c r="FU100" s="316"/>
      <c r="FV100" s="315"/>
      <c r="FW100" s="299"/>
      <c r="FX100" s="316"/>
      <c r="FY100" s="315"/>
      <c r="FZ100" s="299"/>
      <c r="GA100" s="316"/>
      <c r="GB100" s="315"/>
      <c r="GC100" s="299"/>
      <c r="GD100" s="316"/>
      <c r="GE100" s="315"/>
      <c r="GF100" s="299"/>
      <c r="GG100" s="316"/>
      <c r="GH100" s="315"/>
      <c r="GI100" s="299"/>
      <c r="GJ100" s="316"/>
      <c r="GK100" s="315"/>
      <c r="GL100" s="299"/>
      <c r="GM100" s="316"/>
      <c r="GN100" s="315"/>
      <c r="GO100" s="299"/>
      <c r="GP100" s="324"/>
      <c r="GR100" s="393" cm="1">
        <f t="array" ref="GR100">_xlfn.IFS($O$21=9,FC100,$O$21=10,"",TRUE,FA100)</f>
        <v>0.19</v>
      </c>
      <c r="GS100" s="394" t="str">
        <f>IF($O$21=9,FI100," ")</f>
        <v xml:space="preserve"> </v>
      </c>
      <c r="GV100" s="306" t="str">
        <f>IF($J$100=FB100,GR100,IF($J$100=FH100,GS100," "))</f>
        <v xml:space="preserve"> </v>
      </c>
    </row>
    <row r="101" spans="1:204" ht="32.1" customHeight="1">
      <c r="A101" s="103"/>
      <c r="B101" s="76" t="str">
        <f>VLOOKUP(1512,Sprachindex!$A:$Z,Info!$O$7,FALSE)</f>
        <v>lfm</v>
      </c>
      <c r="C101" s="75"/>
      <c r="D101" s="75" t="str">
        <f>AJ101</f>
        <v/>
      </c>
      <c r="E101" s="618" t="str">
        <f>VLOOKUP(147,Sprachindex!$A:$Z,Info!$O$7,FALSE)</f>
        <v>Ablaufkette (5 mm)</v>
      </c>
      <c r="F101" s="619"/>
      <c r="G101" s="619"/>
      <c r="H101" s="619"/>
      <c r="I101" s="619"/>
      <c r="J101" s="681"/>
      <c r="K101" s="682"/>
      <c r="L101" s="76" t="str">
        <f t="shared" si="18"/>
        <v xml:space="preserve"> </v>
      </c>
      <c r="M101" s="405" t="str">
        <f t="shared" si="2"/>
        <v>lfm</v>
      </c>
      <c r="N101" s="77"/>
      <c r="O101" s="184" t="str">
        <f>IF(ISNUMBER(A101),L101*GV101," ")</f>
        <v xml:space="preserve"> </v>
      </c>
      <c r="R101" s="179"/>
      <c r="S101" s="179"/>
      <c r="T101" s="179"/>
      <c r="U101" s="1"/>
      <c r="V101" s="139">
        <f t="shared" si="20"/>
        <v>0</v>
      </c>
      <c r="W101" s="139">
        <f t="shared" si="13"/>
        <v>0</v>
      </c>
      <c r="X101" s="139">
        <v>1</v>
      </c>
      <c r="Y101" s="139">
        <v>1</v>
      </c>
      <c r="Z101" s="56" t="s">
        <v>2090</v>
      </c>
      <c r="AA101" s="56" t="s">
        <v>2091</v>
      </c>
      <c r="AB101" s="56" t="s">
        <v>2092</v>
      </c>
      <c r="AC101" s="56" t="s">
        <v>2093</v>
      </c>
      <c r="AD101" s="56" t="s">
        <v>2094</v>
      </c>
      <c r="AE101" s="56" t="s">
        <v>2095</v>
      </c>
      <c r="AF101" s="56" t="s">
        <v>2096</v>
      </c>
      <c r="AG101" s="56" t="s">
        <v>2097</v>
      </c>
      <c r="AH101" s="56" t="s">
        <v>2098</v>
      </c>
      <c r="AI101" s="56"/>
      <c r="AJ101" s="59" t="str">
        <f>IF($O$21=1,AB101,IF($O$21=2,AD101,IF($O$21=3,AC101,IF($O$21=4,AE101,IF($O$21=5,AF101,IF($O$21=6,AA101,IF($O$21=7,AG101,IF($O$21=8,AH101,IF($O$21=9,Z101,"")))))))))</f>
        <v/>
      </c>
      <c r="AK101" s="59" t="s">
        <v>2099</v>
      </c>
      <c r="ES101" s="618" t="str">
        <f>VLOOKUP(147,Sprachindex!$A:$Z,Info!$O$7,FALSE)</f>
        <v>Ablaufkette (5 mm)</v>
      </c>
      <c r="ET101" s="619"/>
      <c r="EU101" s="619"/>
      <c r="EV101" s="619"/>
      <c r="EW101" s="619"/>
      <c r="EX101" s="323"/>
      <c r="EY101" s="299"/>
      <c r="EZ101" s="316"/>
      <c r="FA101" s="315">
        <v>21.32</v>
      </c>
      <c r="FB101" s="299"/>
      <c r="FC101" s="316">
        <v>19.62</v>
      </c>
      <c r="FD101" s="315"/>
      <c r="FE101" s="299"/>
      <c r="FF101" s="316"/>
      <c r="FG101" s="315"/>
      <c r="FH101" s="299"/>
      <c r="FI101" s="316"/>
      <c r="FJ101" s="315"/>
      <c r="FK101" s="299"/>
      <c r="FL101" s="316"/>
      <c r="FM101" s="315"/>
      <c r="FN101" s="299"/>
      <c r="FO101" s="316"/>
      <c r="FP101" s="315"/>
      <c r="FQ101" s="299"/>
      <c r="FR101" s="316"/>
      <c r="FS101" s="315"/>
      <c r="FT101" s="299"/>
      <c r="FU101" s="316"/>
      <c r="FV101" s="315"/>
      <c r="FW101" s="299"/>
      <c r="FX101" s="316"/>
      <c r="FY101" s="315"/>
      <c r="FZ101" s="299"/>
      <c r="GA101" s="316"/>
      <c r="GB101" s="315"/>
      <c r="GC101" s="299"/>
      <c r="GD101" s="316"/>
      <c r="GE101" s="315"/>
      <c r="GF101" s="299"/>
      <c r="GG101" s="316"/>
      <c r="GH101" s="315"/>
      <c r="GI101" s="299"/>
      <c r="GJ101" s="316"/>
      <c r="GK101" s="315"/>
      <c r="GL101" s="299"/>
      <c r="GM101" s="316"/>
      <c r="GN101" s="315"/>
      <c r="GO101" s="299"/>
      <c r="GP101" s="324"/>
      <c r="GV101" s="306" cm="1">
        <f t="array" ref="GV101">_xlfn.IFS($O$21=9,FC101,$O$21=10,"",TRUE,FA101)</f>
        <v>21.32</v>
      </c>
    </row>
    <row r="102" spans="1:204" ht="32.1" customHeight="1">
      <c r="A102" s="103"/>
      <c r="B102" s="76" t="str">
        <f>VLOOKUP(1512,Sprachindex!$A:$Z,Info!$O$7,FALSE)</f>
        <v>lfm</v>
      </c>
      <c r="C102" s="75"/>
      <c r="D102" s="75">
        <v>580001</v>
      </c>
      <c r="E102" s="618" t="str">
        <f>VLOOKUP(304,Sprachindex!$A:$Z,Info!$O$7,FALSE)</f>
        <v>Dila</v>
      </c>
      <c r="F102" s="619"/>
      <c r="G102" s="619"/>
      <c r="H102" s="619"/>
      <c r="I102" s="619"/>
      <c r="J102" s="681" t="str">
        <f>VLOOKUP(122,Sprachindex!$A:$Z,Info!$O$7,FALSE)</f>
        <v>6.000 × 375 mm</v>
      </c>
      <c r="K102" s="682"/>
      <c r="L102" s="76" t="str">
        <f>IF(A102=""," ",IF($O$11=1,$V102,IF($O$11=2,W102,0)))</f>
        <v xml:space="preserve"> </v>
      </c>
      <c r="M102" s="405" t="str">
        <f t="shared" ref="M102:M114" si="21">B102</f>
        <v>lfm</v>
      </c>
      <c r="N102" s="77"/>
      <c r="O102" s="184" t="str">
        <f>IF(ISNUMBER(A102),L102*GV102," ")</f>
        <v xml:space="preserve"> </v>
      </c>
      <c r="R102" s="179"/>
      <c r="S102" s="179"/>
      <c r="T102" s="179"/>
      <c r="U102" s="1"/>
      <c r="V102" s="139">
        <f>ROUNDUP($A102/6,0)*6</f>
        <v>0</v>
      </c>
      <c r="W102" s="139">
        <f>ROUNDUP($A102,0)</f>
        <v>0</v>
      </c>
      <c r="X102" s="139"/>
      <c r="Y102" s="139"/>
      <c r="Z102" s="47" t="s">
        <v>84</v>
      </c>
      <c r="AA102" s="47" t="s">
        <v>99</v>
      </c>
      <c r="AB102" s="47" t="s">
        <v>94</v>
      </c>
      <c r="AC102" s="47" t="s">
        <v>97</v>
      </c>
      <c r="AD102" s="47" t="s">
        <v>95</v>
      </c>
      <c r="AE102" s="47" t="s">
        <v>98</v>
      </c>
      <c r="AF102" s="47" t="s">
        <v>102</v>
      </c>
      <c r="AG102" s="47" t="s">
        <v>103</v>
      </c>
      <c r="AH102" s="47" t="s">
        <v>1459</v>
      </c>
      <c r="AI102" s="47"/>
      <c r="AJ102" s="47"/>
      <c r="AK102" s="59"/>
      <c r="AL102" s="47" t="s">
        <v>84</v>
      </c>
      <c r="AM102" s="47" t="s">
        <v>99</v>
      </c>
      <c r="AN102" s="47" t="s">
        <v>94</v>
      </c>
      <c r="AO102" s="47" t="s">
        <v>97</v>
      </c>
      <c r="AP102" s="47" t="s">
        <v>95</v>
      </c>
      <c r="AQ102" s="47" t="s">
        <v>98</v>
      </c>
      <c r="AR102" s="47" t="s">
        <v>102</v>
      </c>
      <c r="AS102" s="47" t="s">
        <v>103</v>
      </c>
      <c r="AT102" s="47" t="s">
        <v>1459</v>
      </c>
      <c r="AU102" s="47"/>
      <c r="AV102" s="47"/>
      <c r="AW102" s="59"/>
      <c r="AX102" s="47" t="s">
        <v>84</v>
      </c>
      <c r="AY102" s="47" t="s">
        <v>99</v>
      </c>
      <c r="AZ102" s="47" t="s">
        <v>94</v>
      </c>
      <c r="BA102" s="47" t="s">
        <v>97</v>
      </c>
      <c r="BB102" s="47" t="s">
        <v>95</v>
      </c>
      <c r="BC102" s="47" t="s">
        <v>98</v>
      </c>
      <c r="BD102" s="47" t="s">
        <v>102</v>
      </c>
      <c r="BE102" s="47" t="s">
        <v>103</v>
      </c>
      <c r="BF102" s="47" t="s">
        <v>1459</v>
      </c>
      <c r="BG102" s="47"/>
      <c r="BH102" s="47"/>
      <c r="BI102" s="59"/>
      <c r="BJ102" s="47" t="s">
        <v>84</v>
      </c>
      <c r="BK102" s="47" t="s">
        <v>99</v>
      </c>
      <c r="BL102" s="47" t="s">
        <v>94</v>
      </c>
      <c r="BM102" s="47" t="s">
        <v>97</v>
      </c>
      <c r="BN102" s="47" t="s">
        <v>95</v>
      </c>
      <c r="BO102" s="47" t="s">
        <v>98</v>
      </c>
      <c r="BP102" s="47" t="s">
        <v>102</v>
      </c>
      <c r="BQ102" s="47" t="s">
        <v>103</v>
      </c>
      <c r="BR102" s="47" t="s">
        <v>1459</v>
      </c>
      <c r="BS102" s="47"/>
      <c r="BT102" s="47"/>
      <c r="BU102" s="59"/>
      <c r="ES102" s="618" t="str">
        <f>VLOOKUP(304,Sprachindex!$A:$Z,Info!$O$7,FALSE)</f>
        <v>Dila</v>
      </c>
      <c r="ET102" s="619"/>
      <c r="EU102" s="619"/>
      <c r="EV102" s="619"/>
      <c r="EW102" s="619"/>
      <c r="EX102" s="323"/>
      <c r="EY102" s="299"/>
      <c r="EZ102" s="316"/>
      <c r="FA102" s="315"/>
      <c r="FB102" s="299"/>
      <c r="FC102" s="316"/>
      <c r="FD102" s="315"/>
      <c r="FE102" s="299"/>
      <c r="FF102" s="316"/>
      <c r="FG102" s="315"/>
      <c r="FH102" s="299"/>
      <c r="FI102" s="316"/>
      <c r="FJ102" s="315"/>
      <c r="FK102" s="299"/>
      <c r="FL102" s="316"/>
      <c r="FM102" s="315"/>
      <c r="FN102" s="299"/>
      <c r="FO102" s="316"/>
      <c r="FP102" s="315"/>
      <c r="FQ102" s="299"/>
      <c r="FR102" s="316"/>
      <c r="FS102" s="315"/>
      <c r="FT102" s="299"/>
      <c r="FU102" s="316"/>
      <c r="FV102" s="315"/>
      <c r="FW102" s="299"/>
      <c r="FX102" s="316"/>
      <c r="FY102" s="315"/>
      <c r="FZ102" s="299"/>
      <c r="GA102" s="316"/>
      <c r="GB102" s="315"/>
      <c r="GC102" s="299"/>
      <c r="GD102" s="316"/>
      <c r="GE102" s="315"/>
      <c r="GF102" s="299"/>
      <c r="GG102" s="316"/>
      <c r="GH102" s="315"/>
      <c r="GI102" s="299"/>
      <c r="GJ102" s="316"/>
      <c r="GK102" s="315"/>
      <c r="GL102" s="299"/>
      <c r="GM102" s="316"/>
      <c r="GN102" s="315"/>
      <c r="GO102" s="299"/>
      <c r="GP102" s="324"/>
      <c r="GV102" s="306">
        <f>IF($O$21=10,"",104.34)</f>
        <v>104.34</v>
      </c>
    </row>
    <row r="103" spans="1:204" ht="32.1" customHeight="1">
      <c r="A103" s="103"/>
      <c r="B103" s="76" t="str">
        <f>VLOOKUP(878,Sprachindex!$A:$Z,Info!$O$7,FALSE)</f>
        <v>Stk.</v>
      </c>
      <c r="C103" s="75"/>
      <c r="D103" s="76" t="str">
        <f>IF($O$24=1,AJ103,IF($O$24=2,AV103,IF($O$24=3,BH103,IF($O$24=4,BT103,""))))</f>
        <v/>
      </c>
      <c r="E103" s="618" t="str">
        <f>VLOOKUP(457,Sprachindex!$A:$Z,Info!$O$7,FALSE)</f>
        <v>Hängerinnen-Dila mit Wulst und Blende</v>
      </c>
      <c r="F103" s="619"/>
      <c r="G103" s="619"/>
      <c r="H103" s="619"/>
      <c r="I103" s="619"/>
      <c r="J103" s="681" t="str">
        <f>Formeln!A183</f>
        <v/>
      </c>
      <c r="K103" s="682"/>
      <c r="L103" s="76" t="str">
        <f t="shared" ref="L103:L114" si="22">IF(OR(A103="",X103="",Y103="")," ",IF($O$11=1,$V103,IF($O$11=2,W103,0)))</f>
        <v xml:space="preserve"> </v>
      </c>
      <c r="M103" s="405" t="str">
        <f t="shared" si="21"/>
        <v>Stk.</v>
      </c>
      <c r="N103" s="77"/>
      <c r="O103" s="184" t="str">
        <f>IF(ISNUMBER(L103),L103*GV103," ")</f>
        <v xml:space="preserve"> </v>
      </c>
      <c r="R103" s="179"/>
      <c r="S103" s="179"/>
      <c r="T103" s="179"/>
      <c r="U103" s="1"/>
      <c r="V103" s="139" t="e">
        <f>ROUNDUP($A103/$X103,0)*$X103</f>
        <v>#VALUE!</v>
      </c>
      <c r="W103" s="139">
        <f t="shared" ref="W103:W110" si="23">ROUNDUP($A103/Y103,0)*Y103</f>
        <v>0</v>
      </c>
      <c r="X103" s="139" t="str">
        <f>IF($O$24=0,"",IF($O$24=5,"",6))</f>
        <v/>
      </c>
      <c r="Y103" s="139">
        <v>1</v>
      </c>
      <c r="Z103" s="479">
        <v>547057</v>
      </c>
      <c r="AA103" s="479">
        <v>547052</v>
      </c>
      <c r="AB103" s="479">
        <v>547050</v>
      </c>
      <c r="AC103" s="479">
        <v>547055</v>
      </c>
      <c r="AD103" s="479">
        <v>547051</v>
      </c>
      <c r="AE103" s="479">
        <v>547056</v>
      </c>
      <c r="AF103" s="479">
        <v>547054</v>
      </c>
      <c r="AG103" s="479">
        <v>547049</v>
      </c>
      <c r="AH103" s="479">
        <v>547016</v>
      </c>
      <c r="AI103" s="479"/>
      <c r="AJ103" s="61" t="str">
        <f>IF($O$21=1,AB103,IF($O$21=2,AD103,IF($O$21=3,AC103,IF($O$21=4,AE103,IF($O$21=5,AF103,IF($O$21=6,AA103,IF($O$21=7,AG103,IF($O$21=8,AH103,IF($O$21=9,Z103,"")))))))))</f>
        <v/>
      </c>
      <c r="AK103" s="61" t="s">
        <v>1503</v>
      </c>
      <c r="AL103" s="62">
        <v>547047</v>
      </c>
      <c r="AM103" s="62">
        <v>547042</v>
      </c>
      <c r="AN103" s="62">
        <v>547040</v>
      </c>
      <c r="AO103" s="62">
        <v>547045</v>
      </c>
      <c r="AP103" s="62">
        <v>547041</v>
      </c>
      <c r="AQ103" s="62">
        <v>547046</v>
      </c>
      <c r="AR103" s="62">
        <v>547044</v>
      </c>
      <c r="AS103" s="62">
        <v>547048</v>
      </c>
      <c r="AT103" s="62">
        <v>547015</v>
      </c>
      <c r="AU103" s="62"/>
      <c r="AV103" s="61" t="str">
        <f>IF($O$21=1,AN103,IF($O$21=2,AP103,IF($O$21=3,AO103,IF($O$21=4,AQ103,IF($O$21=5,AR103,IF($O$21=6,AM103,IF($O$21=7,AS103,IF($O$21=8,AT103,IF($O$21=9,AL103,"")))))))))</f>
        <v/>
      </c>
      <c r="AW103" s="61" t="s">
        <v>1504</v>
      </c>
      <c r="AX103" s="62">
        <v>547031</v>
      </c>
      <c r="AY103" s="62">
        <v>547022</v>
      </c>
      <c r="AZ103" s="62">
        <v>547020</v>
      </c>
      <c r="BA103" s="62">
        <v>547024</v>
      </c>
      <c r="BB103" s="62">
        <v>547021</v>
      </c>
      <c r="BC103" s="62">
        <v>547030</v>
      </c>
      <c r="BD103" s="62">
        <v>547023</v>
      </c>
      <c r="BE103" s="62">
        <v>547028</v>
      </c>
      <c r="BF103" s="62">
        <v>547032</v>
      </c>
      <c r="BG103" s="62">
        <v>547034</v>
      </c>
      <c r="BH103" s="61" t="str">
        <f>IF($O$21=1,AZ103,IF($O$21=2,BB103,IF($O$21=3,BA103,IF($O$21=4,BC103,IF($O$21=5,BD103,IF($O$21=6,AY103,IF($O$21=7,BE103,IF($O$21=8,BF103,IF($O$21=9,AX103,IF($O$21=10,BG103,""))))))))))</f>
        <v/>
      </c>
      <c r="BI103" s="61" t="s">
        <v>1505</v>
      </c>
      <c r="BJ103" s="62">
        <v>547038</v>
      </c>
      <c r="BK103" s="62">
        <v>547037</v>
      </c>
      <c r="BL103" s="62">
        <v>547035</v>
      </c>
      <c r="BM103" s="63"/>
      <c r="BN103" s="62">
        <v>547036</v>
      </c>
      <c r="BO103" s="63"/>
      <c r="BP103" s="62">
        <v>547090</v>
      </c>
      <c r="BQ103" s="62"/>
      <c r="BR103" s="62">
        <v>547093</v>
      </c>
      <c r="BS103" s="62"/>
      <c r="BT103" s="61" t="str">
        <f>IF($O$21=1,BL103,IF($O$21=2,BN103,IF($O$21=3,BM103,IF($O$21=4,BO103,IF($O$21=5,BP103,IF($O$21=6,BK103,IF($O$21=7,BQ103,IF($O$21=8,BR103,IF($O$21=9,BJ103,"")))))))))</f>
        <v/>
      </c>
      <c r="BU103" s="61" t="s">
        <v>1506</v>
      </c>
      <c r="ES103" s="618" t="str">
        <f>VLOOKUP(457,Sprachindex!$A:$Z,Info!$O$7,FALSE)</f>
        <v>Hängerinnen-Dila mit Wulst und Blende</v>
      </c>
      <c r="ET103" s="619"/>
      <c r="EU103" s="619"/>
      <c r="EV103" s="619"/>
      <c r="EW103" s="619"/>
      <c r="EX103" s="323"/>
      <c r="EY103" s="299"/>
      <c r="EZ103" s="316"/>
      <c r="FA103" s="305">
        <v>36.81</v>
      </c>
      <c r="FB103" s="299"/>
      <c r="FD103" s="315"/>
      <c r="FE103" s="299"/>
      <c r="FF103" s="316"/>
      <c r="FG103" s="315"/>
      <c r="FH103" s="299"/>
      <c r="FI103" s="316"/>
      <c r="FJ103" s="395">
        <v>40.96</v>
      </c>
      <c r="FK103" s="299"/>
      <c r="FM103" s="315"/>
      <c r="FN103" s="299"/>
      <c r="FO103" s="316"/>
      <c r="FP103" s="315"/>
      <c r="FQ103" s="299"/>
      <c r="FR103" s="316"/>
      <c r="FS103" s="342">
        <v>44.56</v>
      </c>
      <c r="FT103" s="341">
        <v>49.02</v>
      </c>
      <c r="FV103" s="315"/>
      <c r="FW103" s="299"/>
      <c r="FX103" s="316"/>
      <c r="FY103" s="315"/>
      <c r="FZ103" s="299"/>
      <c r="GA103" s="316"/>
      <c r="GB103" s="345">
        <v>52.43</v>
      </c>
      <c r="GC103" s="299"/>
      <c r="GD103" s="316"/>
      <c r="GE103" s="315"/>
      <c r="GF103" s="299"/>
      <c r="GG103" s="316"/>
      <c r="GH103" s="315"/>
      <c r="GI103" s="299"/>
      <c r="GJ103" s="316"/>
      <c r="GK103" s="315"/>
      <c r="GL103" s="299"/>
      <c r="GM103" s="316"/>
      <c r="GN103" s="315"/>
      <c r="GO103" s="299"/>
      <c r="GP103" s="324"/>
      <c r="GQ103" s="305">
        <f>IF($O$21=10,"",FA103)</f>
        <v>36.81</v>
      </c>
      <c r="GR103" s="304">
        <f>IF($O$21=10,"",FJ103)</f>
        <v>40.96</v>
      </c>
      <c r="GS103" s="303">
        <f>IF($O$21=10,FT103,FS103)</f>
        <v>44.56</v>
      </c>
      <c r="GT103" s="302">
        <f>IF($O$21=10,"",GD103)</f>
        <v>0</v>
      </c>
      <c r="GV103" s="314" t="str">
        <f>IF($O$24=1,GQ103,IF($O$24=2,GR103,IF($O$24=3,GS103,IF($O$24=4,GT103," "))))</f>
        <v xml:space="preserve"> </v>
      </c>
    </row>
    <row r="104" spans="1:204" ht="32.1" customHeight="1">
      <c r="A104" s="103"/>
      <c r="B104" s="76" t="str">
        <f>VLOOKUP(878,Sprachindex!$A:$Z,Info!$O$7,FALSE)</f>
        <v>Stk.</v>
      </c>
      <c r="C104" s="75"/>
      <c r="D104" s="76" t="str">
        <f>IF($O$24=1,AJ104,IF($O$24=3,AV104,IF($O$24=4,BH104,"")))</f>
        <v/>
      </c>
      <c r="E104" s="618" t="str">
        <f>VLOOKUP(517,Sprachindex!$A:$Z,Info!$O$7,FALSE)</f>
        <v>Kastenrinnen-Dila mit Wulst und Blende</v>
      </c>
      <c r="F104" s="619"/>
      <c r="G104" s="619"/>
      <c r="H104" s="619"/>
      <c r="I104" s="619"/>
      <c r="J104" s="681" t="str">
        <f>Formeln!A189</f>
        <v/>
      </c>
      <c r="K104" s="682"/>
      <c r="L104" s="76" t="str">
        <f t="shared" si="22"/>
        <v xml:space="preserve"> </v>
      </c>
      <c r="M104" s="405" t="str">
        <f t="shared" si="21"/>
        <v>Stk.</v>
      </c>
      <c r="N104" s="77"/>
      <c r="O104" s="184" t="str">
        <f>IF(ISNUMBER(L104),L104*GV104," ")</f>
        <v xml:space="preserve"> </v>
      </c>
      <c r="R104" s="179"/>
      <c r="S104" s="179"/>
      <c r="T104" s="179"/>
      <c r="U104" s="1"/>
      <c r="V104" s="139" t="e">
        <f t="shared" ref="V104:V111" si="24">ROUNDUP($A104/X104,0)*X104</f>
        <v>#VALUE!</v>
      </c>
      <c r="W104" s="139">
        <f t="shared" si="23"/>
        <v>0</v>
      </c>
      <c r="X104" s="139" t="str">
        <f>IF($O$24=1,6,IF($O$24=3,6,IF($O$24=2,"",IF($O$24=4,6,""))))</f>
        <v/>
      </c>
      <c r="Y104" s="139">
        <v>1</v>
      </c>
      <c r="Z104" s="479">
        <v>547083</v>
      </c>
      <c r="AA104" s="479">
        <v>547082</v>
      </c>
      <c r="AB104" s="479">
        <v>547080</v>
      </c>
      <c r="AC104" s="480"/>
      <c r="AD104" s="479">
        <v>547081</v>
      </c>
      <c r="AE104" s="464"/>
      <c r="AF104" s="464"/>
      <c r="AG104" s="464"/>
      <c r="AH104" s="479">
        <v>547088</v>
      </c>
      <c r="AI104" s="479"/>
      <c r="AJ104" s="61" t="str">
        <f>IF($O$21=1,AB104,IF($O$21=2,AD104,IF($O$21=3,AC104,IF($O$21=4,AE104,IF($O$21=5,AF104,IF($O$21=6,AA104,IF($O$21=7,AG104,IF($O$21=8,AH104,IF($O$21=9,Z104,"")))))))))</f>
        <v/>
      </c>
      <c r="AK104" s="61" t="s">
        <v>1503</v>
      </c>
      <c r="AL104" s="62">
        <v>547066</v>
      </c>
      <c r="AM104" s="62">
        <v>547062</v>
      </c>
      <c r="AN104" s="62">
        <v>547060</v>
      </c>
      <c r="AO104" s="62">
        <v>547065</v>
      </c>
      <c r="AP104" s="62">
        <v>547061</v>
      </c>
      <c r="AQ104" s="62">
        <v>547067</v>
      </c>
      <c r="AR104" s="62">
        <v>547064</v>
      </c>
      <c r="AS104" s="62">
        <v>547068</v>
      </c>
      <c r="AT104" s="62">
        <v>547085</v>
      </c>
      <c r="AU104" s="62">
        <v>547074</v>
      </c>
      <c r="AV104" s="61" t="str">
        <f>IF($O$21=1,AN104,IF($O$21=2,AP104,IF($O$21=3,AO104,IF($O$21=4,AQ104,IF($O$21=5,AR104,IF($O$21=6,AM104,IF($O$21=7,AS104,IF($O$21=8,AT104,IF($O$21=9,AL104,IF($O$21=10,AU104,""))))))))))</f>
        <v/>
      </c>
      <c r="AW104" s="61" t="s">
        <v>1505</v>
      </c>
      <c r="AX104" s="62">
        <v>547073</v>
      </c>
      <c r="AY104" s="62">
        <v>547072</v>
      </c>
      <c r="AZ104" s="62">
        <v>547070</v>
      </c>
      <c r="BA104" s="63"/>
      <c r="BB104" s="62">
        <v>547071</v>
      </c>
      <c r="BC104" s="63"/>
      <c r="BD104" s="62">
        <v>547095</v>
      </c>
      <c r="BE104" s="63"/>
      <c r="BF104" s="62">
        <v>547098</v>
      </c>
      <c r="BG104" s="62"/>
      <c r="BH104" s="61" t="str">
        <f>IF($O$21=1,AZ104,IF($O$21=2,BB104,IF($O$21=3,BA104,IF($O$21=4,BC104,IF($O$21=5,BD104,IF($O$21=6,AY104,IF($O$21=7,BE104,IF($O$21=8,BF104,IF($O$21=9,AX104,"")))))))))</f>
        <v/>
      </c>
      <c r="BI104" s="61" t="s">
        <v>1506</v>
      </c>
      <c r="ES104" s="618" t="str">
        <f>VLOOKUP(517,Sprachindex!$A:$Z,Info!$O$7,FALSE)</f>
        <v>Kastenrinnen-Dila mit Wulst und Blende</v>
      </c>
      <c r="ET104" s="619"/>
      <c r="EU104" s="619"/>
      <c r="EV104" s="619"/>
      <c r="EW104" s="619"/>
      <c r="EX104" s="323"/>
      <c r="EY104" s="299"/>
      <c r="EZ104" s="316"/>
      <c r="FA104" s="305">
        <v>36.81</v>
      </c>
      <c r="FB104" s="299"/>
      <c r="FD104" s="315"/>
      <c r="FE104" s="299"/>
      <c r="FF104" s="316"/>
      <c r="FG104" s="315"/>
      <c r="FH104" s="299"/>
      <c r="FI104" s="316"/>
      <c r="FJ104" s="315"/>
      <c r="FK104" s="299"/>
      <c r="FL104" s="316"/>
      <c r="FM104" s="315"/>
      <c r="FN104" s="299"/>
      <c r="FO104" s="316"/>
      <c r="FP104" s="315"/>
      <c r="FQ104" s="299"/>
      <c r="FR104" s="316"/>
      <c r="FS104" s="342">
        <v>44.56</v>
      </c>
      <c r="FT104" s="342">
        <v>49.02</v>
      </c>
      <c r="FV104" s="315"/>
      <c r="FW104" s="299"/>
      <c r="FX104" s="316"/>
      <c r="FY104" s="315"/>
      <c r="FZ104" s="299"/>
      <c r="GA104" s="316"/>
      <c r="GB104" s="346">
        <v>52.43</v>
      </c>
      <c r="GC104" s="299"/>
      <c r="GE104" s="315"/>
      <c r="GF104" s="299"/>
      <c r="GG104" s="316"/>
      <c r="GH104" s="315"/>
      <c r="GI104" s="299"/>
      <c r="GJ104" s="316"/>
      <c r="GK104" s="315"/>
      <c r="GL104" s="299"/>
      <c r="GM104" s="316"/>
      <c r="GN104" s="315"/>
      <c r="GO104" s="299"/>
      <c r="GP104" s="324"/>
      <c r="GQ104" s="305" t="str">
        <f>IF(OR($O$21=1,$O$21=2,$O$21=6,$O$21=8,$O$21=9),FA104,"")</f>
        <v/>
      </c>
      <c r="GS104" s="303">
        <f>IF($O$21=10,FT104,FS104)</f>
        <v>44.56</v>
      </c>
      <c r="GT104" s="302" t="str">
        <f>IF(OR($O$21=1,$O$21=2,$O$21=6,$O$21=5,$O$21=8,$O$21=9),GB104,"")</f>
        <v/>
      </c>
      <c r="GV104" s="314" t="str">
        <f>IF($O$24=1,GQ104,IF($O$24=3,GS104,IF($O$24=4,GT104," ")))</f>
        <v xml:space="preserve"> </v>
      </c>
    </row>
    <row r="105" spans="1:204" ht="32.1" customHeight="1">
      <c r="A105" s="103"/>
      <c r="B105" s="76" t="str">
        <f>VLOOKUP(878,Sprachindex!$A:$Z,Info!$O$7,FALSE)</f>
        <v>Stk.</v>
      </c>
      <c r="C105" s="75"/>
      <c r="D105" s="76" t="str">
        <f>IF($O$24=1,AJ105,IF($O$24=2,AV105,IF($O$24=3,BH105,IF($O$24=4,BT105,""))))</f>
        <v/>
      </c>
      <c r="E105" s="618" t="str">
        <f>VLOOKUP(458,Sprachindex!$A:$Z,Info!$O$7,FALSE)</f>
        <v>Hängerinnen-Dila ohne Wulst und Blende</v>
      </c>
      <c r="F105" s="619"/>
      <c r="G105" s="619"/>
      <c r="H105" s="619"/>
      <c r="I105" s="619"/>
      <c r="J105" s="681" t="str">
        <f>Formeln!A183</f>
        <v/>
      </c>
      <c r="K105" s="682"/>
      <c r="L105" s="76" t="str">
        <f t="shared" si="22"/>
        <v xml:space="preserve"> </v>
      </c>
      <c r="M105" s="405" t="str">
        <f t="shared" si="21"/>
        <v>Stk.</v>
      </c>
      <c r="N105" s="77"/>
      <c r="O105" s="184" t="str">
        <f>IF(ISNUMBER(L105),L105*GV105," ")</f>
        <v xml:space="preserve"> </v>
      </c>
      <c r="R105" s="179"/>
      <c r="S105" s="179"/>
      <c r="T105" s="179"/>
      <c r="U105" s="1"/>
      <c r="V105" s="139" t="e">
        <f t="shared" si="24"/>
        <v>#VALUE!</v>
      </c>
      <c r="W105" s="139">
        <f t="shared" si="23"/>
        <v>0</v>
      </c>
      <c r="X105" s="139" t="str">
        <f>IF($O$24=0,"",IF($O$24=5,"",6))</f>
        <v/>
      </c>
      <c r="Y105" s="139">
        <v>1</v>
      </c>
      <c r="Z105" s="56" t="s">
        <v>2100</v>
      </c>
      <c r="AA105" s="464"/>
      <c r="AB105" s="464"/>
      <c r="AC105" s="464"/>
      <c r="AD105" s="464"/>
      <c r="AE105" s="464"/>
      <c r="AF105" s="464"/>
      <c r="AG105" s="464"/>
      <c r="AH105" s="464"/>
      <c r="AI105" s="464"/>
      <c r="AJ105" s="61" t="str">
        <f>IF($O$21=1,AB105,IF($O$21=2,AD105,IF($O$21=3,AC105,IF($O$21=4,AE105,IF($O$21=5,AF105,IF($O$21=6,AA105,IF($O$21=7,AG105,IF($O$21=8,AH105,IF($O$21=9,Z105,IF($O$21=10,AI105,""))))))))))</f>
        <v/>
      </c>
      <c r="AK105" s="61" t="s">
        <v>1507</v>
      </c>
      <c r="AL105" t="s">
        <v>2101</v>
      </c>
      <c r="AV105" s="61" t="str">
        <f>IF($O$21=1,AN105,IF($O$21=2,AP105,IF($O$21=3,AO105,IF($O$21=4,AQ105,IF($O$21=5,AR105,IF($O$21=6,AM105,IF($O$21=7,AS105,IF($O$21=8,AT105,IF($O$21=9,AL105,IF($O$21=10,AU105,""))))))))))</f>
        <v/>
      </c>
      <c r="AW105" s="61" t="s">
        <v>1508</v>
      </c>
      <c r="AX105" t="s">
        <v>2102</v>
      </c>
      <c r="BH105" s="61" t="str">
        <f>IF($O$21=1,AZ105,IF($O$21=2,BB105,IF($O$21=3,BA105,IF($O$21=4,BC105,IF($O$21=5,BD105,IF($O$21=6,AY105,IF($O$21=7,BE105,IF($O$21=8,BF105,IF($O$21=9,AX105,IF($O$21=10,BG105,""))))))))))</f>
        <v/>
      </c>
      <c r="BI105" s="61" t="s">
        <v>1509</v>
      </c>
      <c r="BJ105" t="s">
        <v>2103</v>
      </c>
      <c r="BT105" s="61" t="str">
        <f>IF($O$21=1,BL105,IF($O$21=2,BN105,IF($O$21=3,BM105,IF($O$21=4,BO105,IF($O$21=5,BP105,IF($O$21=6,BK105,IF($O$21=7,BQ105,IF($O$21=8,BR105,IF($O$21=9,BJ105,IF($O$21=10,BS105,""))))))))))</f>
        <v/>
      </c>
      <c r="BU105" s="61" t="s">
        <v>1510</v>
      </c>
      <c r="ES105" s="618" t="str">
        <f>VLOOKUP(458,Sprachindex!$A:$Z,Info!$O$7,FALSE)</f>
        <v>Hängerinnen-Dila ohne Wulst und Blende</v>
      </c>
      <c r="ET105" s="619"/>
      <c r="EU105" s="619"/>
      <c r="EV105" s="619"/>
      <c r="EW105" s="619"/>
      <c r="EX105" s="323"/>
      <c r="EY105" s="299"/>
      <c r="EZ105" s="316"/>
      <c r="FA105" s="315"/>
      <c r="FB105" s="299"/>
      <c r="FC105" s="316"/>
      <c r="FD105" s="315"/>
      <c r="FE105" s="299"/>
      <c r="FF105" s="316"/>
      <c r="FG105" s="315"/>
      <c r="FH105" s="299"/>
      <c r="FI105" s="316"/>
      <c r="FJ105" s="315"/>
      <c r="FK105" s="299"/>
      <c r="FL105" s="316"/>
      <c r="FM105" s="315"/>
      <c r="FN105" s="299"/>
      <c r="FO105" s="316"/>
      <c r="FP105" s="315"/>
      <c r="FQ105" s="299"/>
      <c r="FR105" s="316"/>
      <c r="FS105" s="315"/>
      <c r="FT105" s="299"/>
      <c r="FU105" s="316"/>
      <c r="FV105" s="315"/>
      <c r="FW105" s="299"/>
      <c r="FX105" s="316"/>
      <c r="FY105" s="315"/>
      <c r="FZ105" s="299"/>
      <c r="GA105" s="316"/>
      <c r="GB105" s="315"/>
      <c r="GC105" s="299"/>
      <c r="GD105" s="316"/>
      <c r="GE105" s="315"/>
      <c r="GF105" s="299"/>
      <c r="GG105" s="316"/>
      <c r="GH105" s="315"/>
      <c r="GI105" s="299"/>
      <c r="GJ105" s="316"/>
      <c r="GK105" s="315"/>
      <c r="GL105" s="299"/>
      <c r="GM105" s="316"/>
      <c r="GN105" s="315"/>
      <c r="GO105" s="299"/>
      <c r="GP105" s="324"/>
      <c r="GQ105" s="305">
        <v>22.24</v>
      </c>
      <c r="GR105" s="304">
        <v>25.33</v>
      </c>
      <c r="GS105" s="303">
        <v>30.89</v>
      </c>
      <c r="GT105" s="302">
        <v>37.82</v>
      </c>
      <c r="GV105" s="314" t="str">
        <f>IF($O$24=1,GQ105,IF($O$24=2,GR105,IF($O$24=3,GS105,IF($O$24=4,GT105," "))))</f>
        <v xml:space="preserve"> </v>
      </c>
    </row>
    <row r="106" spans="1:204" ht="32.1" customHeight="1">
      <c r="A106" s="103"/>
      <c r="B106" s="76" t="str">
        <f>VLOOKUP(878,Sprachindex!$A:$Z,Info!$O$7,FALSE)</f>
        <v>Stk.</v>
      </c>
      <c r="C106" s="75"/>
      <c r="D106" s="76" t="str">
        <f>IF($O$24=1,AJ106,IF($O$24=3,AV106,IF($O$24=4,BH106,"")))</f>
        <v/>
      </c>
      <c r="E106" s="618" t="str">
        <f>VLOOKUP(518,Sprachindex!$A:$Z,Info!$O$7,FALSE)</f>
        <v>Kastenrinnen-Dila ohne Wulst und Blende</v>
      </c>
      <c r="F106" s="619"/>
      <c r="G106" s="619"/>
      <c r="H106" s="619"/>
      <c r="I106" s="619"/>
      <c r="J106" s="681" t="str">
        <f>Formeln!A189</f>
        <v/>
      </c>
      <c r="K106" s="682"/>
      <c r="L106" s="76" t="str">
        <f t="shared" si="22"/>
        <v xml:space="preserve"> </v>
      </c>
      <c r="M106" s="405" t="str">
        <f t="shared" si="21"/>
        <v>Stk.</v>
      </c>
      <c r="N106" s="77"/>
      <c r="O106" s="184" t="str">
        <f>IF(ISNUMBER(L106),L106*GV106," ")</f>
        <v xml:space="preserve"> </v>
      </c>
      <c r="R106" s="179"/>
      <c r="S106" s="179"/>
      <c r="T106" s="179"/>
      <c r="U106" s="1"/>
      <c r="V106" s="139" t="e">
        <f t="shared" si="24"/>
        <v>#VALUE!</v>
      </c>
      <c r="W106" s="139">
        <f t="shared" si="23"/>
        <v>0</v>
      </c>
      <c r="X106" s="139" t="str">
        <f>IF($O$24=1,6,IF($O$24=2,"",IF($O$24=3,6,IF($O$24=4,6,""))))</f>
        <v/>
      </c>
      <c r="Y106" s="139">
        <v>1</v>
      </c>
      <c r="Z106" s="56" t="s">
        <v>2104</v>
      </c>
      <c r="AA106" s="464"/>
      <c r="AB106" s="464"/>
      <c r="AC106" s="464"/>
      <c r="AD106" s="464"/>
      <c r="AE106" s="464"/>
      <c r="AF106" s="464"/>
      <c r="AG106" s="464"/>
      <c r="AH106" s="464"/>
      <c r="AI106" s="464"/>
      <c r="AJ106" s="61" t="str">
        <f>IF($O$21=1,AB106,IF($O$21=2,AD106,IF($O$21=3,AC106,IF($O$21=4,AE106,IF($O$21=5,AF106,IF($O$21=6,AA106,IF($O$21=7,AG106,IF($O$21=8,AH106,IF($O$21=9,Z106,IF($O$21=10,AI106,""))))))))))</f>
        <v/>
      </c>
      <c r="AK106" s="61" t="s">
        <v>1507</v>
      </c>
      <c r="AL106" t="s">
        <v>2105</v>
      </c>
      <c r="AV106" s="61" t="str">
        <f>IF($O$21=1,AN106,IF($O$21=2,AP106,IF($O$21=3,AO106,IF($O$21=4,AQ106,IF($O$21=5,AR106,IF($O$21=6,AM106,IF($O$21=7,AS106,IF($O$21=8,AT106,IF($O$21=9,AL106,IF($O$21=10,AU106,""))))))))))</f>
        <v/>
      </c>
      <c r="AW106" s="61" t="s">
        <v>1509</v>
      </c>
      <c r="AX106" t="s">
        <v>2106</v>
      </c>
      <c r="BH106" s="61" t="str">
        <f>IF($O$21=1,AZ106,IF($O$21=2,BB106,IF($O$21=3,BA106,IF($O$21=4,BC106,IF($O$21=5,BD106,IF($O$21=6,AY106,IF($O$21=7,BE106,IF($O$21=8,BF106,IF($O$21=9,AX106,IF($O$21=10,BG106,""))))))))))</f>
        <v/>
      </c>
      <c r="BI106" s="61" t="s">
        <v>1510</v>
      </c>
      <c r="ES106" s="618" t="str">
        <f>VLOOKUP(518,Sprachindex!$A:$Z,Info!$O$7,FALSE)</f>
        <v>Kastenrinnen-Dila ohne Wulst und Blende</v>
      </c>
      <c r="ET106" s="619"/>
      <c r="EU106" s="619"/>
      <c r="EV106" s="619"/>
      <c r="EW106" s="619"/>
      <c r="EX106" s="323"/>
      <c r="EY106" s="299"/>
      <c r="EZ106" s="316"/>
      <c r="FA106" s="347">
        <v>22.24</v>
      </c>
      <c r="FB106" s="299"/>
      <c r="FC106" s="316"/>
      <c r="FD106" s="315"/>
      <c r="FE106" s="299"/>
      <c r="FF106" s="316"/>
      <c r="FG106" s="315"/>
      <c r="FH106" s="299"/>
      <c r="FI106" s="316"/>
      <c r="FJ106" s="315"/>
      <c r="FK106" s="299"/>
      <c r="FL106" s="316"/>
      <c r="FM106" s="315"/>
      <c r="FN106" s="299"/>
      <c r="FO106" s="316"/>
      <c r="FP106" s="315"/>
      <c r="FQ106" s="299"/>
      <c r="FR106" s="316"/>
      <c r="FS106" s="340">
        <v>30.89</v>
      </c>
      <c r="FT106" s="299"/>
      <c r="FU106" s="316"/>
      <c r="FV106" s="315"/>
      <c r="FW106" s="299"/>
      <c r="FX106" s="316"/>
      <c r="FY106" s="315"/>
      <c r="FZ106" s="299"/>
      <c r="GA106" s="316"/>
      <c r="GB106" s="345">
        <v>37.82</v>
      </c>
      <c r="GC106" s="299"/>
      <c r="GD106" s="316"/>
      <c r="GE106" s="315"/>
      <c r="GF106" s="299"/>
      <c r="GG106" s="316"/>
      <c r="GH106" s="315"/>
      <c r="GI106" s="299"/>
      <c r="GJ106" s="316"/>
      <c r="GK106" s="315"/>
      <c r="GL106" s="299"/>
      <c r="GM106" s="316"/>
      <c r="GN106" s="315"/>
      <c r="GO106" s="299"/>
      <c r="GP106" s="324"/>
      <c r="GQ106" s="305">
        <v>22.24</v>
      </c>
      <c r="GS106" s="303">
        <v>30.89</v>
      </c>
      <c r="GT106" s="302">
        <v>37.82</v>
      </c>
      <c r="GV106" s="314" t="str">
        <f>IF($O$24=1,GQ106,IF($O$24=3,GS106,IF($O$24=4,GT106," ")))</f>
        <v xml:space="preserve"> </v>
      </c>
    </row>
    <row r="107" spans="1:204" ht="32.1" customHeight="1">
      <c r="A107" s="103"/>
      <c r="B107" s="76" t="str">
        <f>VLOOKUP(878,Sprachindex!$A:$Z,Info!$O$7,FALSE)</f>
        <v>Stk.</v>
      </c>
      <c r="C107" s="75"/>
      <c r="D107" s="75" t="str">
        <f>AJ107</f>
        <v/>
      </c>
      <c r="E107" s="618" t="str">
        <f>VLOOKUP(1877,Sprachindex!$A:$Z,Info!$O$7,FALSE)</f>
        <v>Ausbesserungslack</v>
      </c>
      <c r="F107" s="619"/>
      <c r="G107" s="619"/>
      <c r="H107" s="619"/>
      <c r="I107" s="619"/>
      <c r="J107" s="681" t="str">
        <f>VLOOKUP(1878,Sprachindex!$A:$Z,Info!$O$7,FALSE)</f>
        <v>12 ml</v>
      </c>
      <c r="K107" s="682"/>
      <c r="L107" s="76" t="str">
        <f t="shared" si="22"/>
        <v xml:space="preserve"> </v>
      </c>
      <c r="M107" s="405" t="str">
        <f t="shared" si="21"/>
        <v>Stk.</v>
      </c>
      <c r="N107" s="77"/>
      <c r="O107" s="184" t="str">
        <f t="shared" ref="O107:O114" si="25">IF(ISNUMBER(A107),L107*GV107," ")</f>
        <v xml:space="preserve"> </v>
      </c>
      <c r="R107" s="179"/>
      <c r="S107" s="179"/>
      <c r="T107" s="179"/>
      <c r="U107" s="1"/>
      <c r="V107" s="139">
        <f t="shared" si="24"/>
        <v>0</v>
      </c>
      <c r="W107" s="139">
        <f t="shared" si="23"/>
        <v>0</v>
      </c>
      <c r="X107" s="139">
        <v>1</v>
      </c>
      <c r="Y107" s="139">
        <v>1</v>
      </c>
      <c r="Z107" s="56"/>
      <c r="AA107" s="56" t="s">
        <v>1514</v>
      </c>
      <c r="AB107" s="56" t="s">
        <v>1511</v>
      </c>
      <c r="AC107" s="56"/>
      <c r="AD107" s="56">
        <v>430150</v>
      </c>
      <c r="AE107" s="56" t="s">
        <v>2107</v>
      </c>
      <c r="AF107" s="56" t="s">
        <v>2108</v>
      </c>
      <c r="AG107" s="56"/>
      <c r="AH107" s="56"/>
      <c r="AI107" s="56"/>
      <c r="AJ107" s="59" t="str">
        <f>IF($O$21=1,AB107,IF($O$21=2,AD107,IF($O$21=3,AC107,IF($O$21=4,AE107,IF($O$21=5,AF107,IF($O$21=6,AA107,IF($O$21=7,AG107,IF($O$21=8,AH107,IF($O$21=9,Z107,"")))))))))</f>
        <v/>
      </c>
      <c r="AK107" s="61"/>
      <c r="AL107"/>
      <c r="AV107" s="59"/>
      <c r="AW107" s="61"/>
      <c r="AX107"/>
      <c r="BH107" s="59"/>
      <c r="BI107" s="61"/>
      <c r="ES107" s="618" t="str">
        <f>VLOOKUP(1877,Sprachindex!$A:$Z,Info!$O$7,FALSE)</f>
        <v>Ausbesserungslack</v>
      </c>
      <c r="ET107" s="619"/>
      <c r="EU107" s="619"/>
      <c r="EV107" s="619"/>
      <c r="EW107" s="619"/>
      <c r="EX107" s="323"/>
      <c r="EY107" s="299"/>
      <c r="EZ107" s="316"/>
      <c r="FA107" s="315"/>
      <c r="FB107" s="299"/>
      <c r="FC107" s="316"/>
      <c r="FD107" s="315"/>
      <c r="FE107" s="299"/>
      <c r="FF107" s="316"/>
      <c r="FG107" s="315"/>
      <c r="FH107" s="299"/>
      <c r="FI107" s="316"/>
      <c r="FJ107" s="315"/>
      <c r="FK107" s="299"/>
      <c r="FL107" s="316"/>
      <c r="FM107" s="315"/>
      <c r="FN107" s="299"/>
      <c r="FO107" s="316"/>
      <c r="FP107" s="315"/>
      <c r="FQ107" s="299"/>
      <c r="FR107" s="316"/>
      <c r="FS107" s="315"/>
      <c r="FT107" s="299"/>
      <c r="FU107" s="316"/>
      <c r="FV107" s="315"/>
      <c r="FW107" s="299"/>
      <c r="FX107" s="316"/>
      <c r="FY107" s="315"/>
      <c r="FZ107" s="299"/>
      <c r="GA107" s="316"/>
      <c r="GB107" s="315"/>
      <c r="GC107" s="299"/>
      <c r="GD107" s="316"/>
      <c r="GE107" s="315"/>
      <c r="GF107" s="299"/>
      <c r="GG107" s="316"/>
      <c r="GH107" s="315"/>
      <c r="GI107" s="299"/>
      <c r="GJ107" s="316"/>
      <c r="GK107" s="315"/>
      <c r="GL107" s="299"/>
      <c r="GM107" s="316"/>
      <c r="GN107" s="315"/>
      <c r="GO107" s="299"/>
      <c r="GP107" s="324"/>
      <c r="GQ107" s="122"/>
      <c r="GV107" s="306">
        <v>6.19</v>
      </c>
    </row>
    <row r="108" spans="1:204" ht="32.1" customHeight="1">
      <c r="A108" s="103"/>
      <c r="B108" s="76" t="str">
        <f>VLOOKUP(878,Sprachindex!$A:$Z,Info!$O$7,FALSE)</f>
        <v>Stk.</v>
      </c>
      <c r="C108" s="75"/>
      <c r="D108" s="75" t="str">
        <f>IF(ISNUMBER(A108),AJ108,"")</f>
        <v/>
      </c>
      <c r="E108" s="618" t="str">
        <f>VLOOKUP(1879,Sprachindex!$A:$Z,Info!$O$7,FALSE)</f>
        <v>Ausbesserungsstift</v>
      </c>
      <c r="F108" s="619"/>
      <c r="G108" s="619"/>
      <c r="H108" s="619"/>
      <c r="I108" s="619"/>
      <c r="J108" s="681" t="str">
        <f>VLOOKUP(1880,Sprachindex!$A:$Z,Info!$O$7,FALSE)</f>
        <v>11 ml</v>
      </c>
      <c r="K108" s="682"/>
      <c r="L108" s="76" t="str">
        <f t="shared" si="22"/>
        <v xml:space="preserve"> </v>
      </c>
      <c r="M108" s="405" t="str">
        <f t="shared" si="21"/>
        <v>Stk.</v>
      </c>
      <c r="N108" s="77"/>
      <c r="O108" s="184" t="str">
        <f t="shared" si="25"/>
        <v xml:space="preserve"> </v>
      </c>
      <c r="R108" s="179"/>
      <c r="S108" s="179"/>
      <c r="T108" s="179"/>
      <c r="U108" s="1"/>
      <c r="V108" s="139">
        <f t="shared" si="24"/>
        <v>0</v>
      </c>
      <c r="W108" s="139">
        <f t="shared" si="23"/>
        <v>0</v>
      </c>
      <c r="X108" s="139">
        <v>1</v>
      </c>
      <c r="Y108" s="139">
        <v>1</v>
      </c>
      <c r="Z108" s="56"/>
      <c r="AA108" s="56" t="s">
        <v>1520</v>
      </c>
      <c r="AB108" s="56" t="s">
        <v>1517</v>
      </c>
      <c r="AC108" s="56"/>
      <c r="AD108" s="56" t="s">
        <v>1518</v>
      </c>
      <c r="AE108" s="56" t="s">
        <v>2109</v>
      </c>
      <c r="AF108" s="56"/>
      <c r="AG108" s="56"/>
      <c r="AH108" s="56">
        <v>430210</v>
      </c>
      <c r="AI108" s="56"/>
      <c r="AJ108" s="59" t="str">
        <f>IF($O$21=1,AB108,IF($O$21=2,AD108,IF($O$21=3,AC108,IF($O$21=4,AE108,IF($O$21=5,AF108,IF($O$21=6,AA108,IF($O$21=7,AG108,IF($O$21=8,AH108,IF($O$21=9,Z108,"")))))))))</f>
        <v/>
      </c>
      <c r="AK108" s="61"/>
      <c r="AL108"/>
      <c r="AV108" s="59"/>
      <c r="AW108" s="61"/>
      <c r="AX108"/>
      <c r="BH108" s="59"/>
      <c r="BI108" s="61"/>
      <c r="ES108" s="618" t="str">
        <f>VLOOKUP(1879,Sprachindex!$A:$Z,Info!$O$7,FALSE)</f>
        <v>Ausbesserungsstift</v>
      </c>
      <c r="ET108" s="619"/>
      <c r="EU108" s="619"/>
      <c r="EV108" s="619"/>
      <c r="EW108" s="619"/>
      <c r="EX108" s="323"/>
      <c r="EY108" s="299"/>
      <c r="EZ108" s="316"/>
      <c r="FA108" s="315"/>
      <c r="FB108" s="299"/>
      <c r="FC108" s="316"/>
      <c r="FD108" s="315"/>
      <c r="FE108" s="299"/>
      <c r="FF108" s="316"/>
      <c r="FG108" s="315"/>
      <c r="FH108" s="299"/>
      <c r="FI108" s="316"/>
      <c r="FJ108" s="315"/>
      <c r="FK108" s="299"/>
      <c r="FL108" s="316"/>
      <c r="FM108" s="315"/>
      <c r="FN108" s="299"/>
      <c r="FO108" s="316"/>
      <c r="FP108" s="315"/>
      <c r="FQ108" s="299"/>
      <c r="FR108" s="316"/>
      <c r="FS108" s="315"/>
      <c r="FT108" s="299"/>
      <c r="FU108" s="316"/>
      <c r="FV108" s="315"/>
      <c r="FW108" s="299"/>
      <c r="FX108" s="316"/>
      <c r="FY108" s="315"/>
      <c r="FZ108" s="299"/>
      <c r="GA108" s="316"/>
      <c r="GB108" s="315"/>
      <c r="GC108" s="299"/>
      <c r="GD108" s="316"/>
      <c r="GE108" s="315"/>
      <c r="GF108" s="299"/>
      <c r="GG108" s="316"/>
      <c r="GH108" s="315"/>
      <c r="GI108" s="299"/>
      <c r="GJ108" s="316"/>
      <c r="GK108" s="315"/>
      <c r="GL108" s="299"/>
      <c r="GM108" s="316"/>
      <c r="GN108" s="315"/>
      <c r="GO108" s="299"/>
      <c r="GP108" s="324"/>
      <c r="GQ108" s="122"/>
      <c r="GV108" s="306">
        <v>14.75</v>
      </c>
    </row>
    <row r="109" spans="1:204" ht="32.1" customHeight="1">
      <c r="A109" s="103"/>
      <c r="B109" s="76" t="str">
        <f>VLOOKUP(878,Sprachindex!$A:$Z,Info!$O$7,FALSE)</f>
        <v>Stk.</v>
      </c>
      <c r="C109" s="75"/>
      <c r="D109" s="75">
        <v>425002</v>
      </c>
      <c r="E109" s="618" t="str">
        <f>VLOOKUP(167,Sprachindex!$A:$Z,Info!$O$7,FALSE)</f>
        <v>Aluminiumlötstäbe</v>
      </c>
      <c r="F109" s="619"/>
      <c r="G109" s="619"/>
      <c r="H109" s="619"/>
      <c r="I109" s="619"/>
      <c r="J109" s="681" t="str">
        <f>VLOOKUP(75,Sprachindex!$A:$Z,Info!$O$7,FALSE)</f>
        <v>250 g</v>
      </c>
      <c r="K109" s="682"/>
      <c r="L109" s="76" t="str">
        <f t="shared" si="22"/>
        <v xml:space="preserve"> </v>
      </c>
      <c r="M109" s="405" t="str">
        <f t="shared" si="21"/>
        <v>Stk.</v>
      </c>
      <c r="N109" s="77"/>
      <c r="O109" s="184" t="str">
        <f t="shared" si="25"/>
        <v xml:space="preserve"> </v>
      </c>
      <c r="R109" s="179"/>
      <c r="S109" s="179"/>
      <c r="T109" s="179"/>
      <c r="U109" s="1"/>
      <c r="V109" s="139">
        <f t="shared" si="24"/>
        <v>0</v>
      </c>
      <c r="W109" s="139">
        <f t="shared" si="23"/>
        <v>0</v>
      </c>
      <c r="X109" s="139">
        <v>1</v>
      </c>
      <c r="Y109" s="139">
        <v>1</v>
      </c>
      <c r="ES109" s="618" t="str">
        <f>VLOOKUP(167,Sprachindex!$A:$Z,Info!$O$7,FALSE)</f>
        <v>Aluminiumlötstäbe</v>
      </c>
      <c r="ET109" s="619"/>
      <c r="EU109" s="619"/>
      <c r="EV109" s="619"/>
      <c r="EW109" s="619"/>
      <c r="EX109" s="323"/>
      <c r="EY109" s="299"/>
      <c r="EZ109" s="316"/>
      <c r="FA109" s="315"/>
      <c r="FB109" s="299"/>
      <c r="FC109" s="316"/>
      <c r="FD109" s="315"/>
      <c r="FE109" s="299"/>
      <c r="FF109" s="316"/>
      <c r="FG109" s="315"/>
      <c r="FH109" s="299"/>
      <c r="FI109" s="316"/>
      <c r="FJ109" s="315"/>
      <c r="FK109" s="299"/>
      <c r="FL109" s="316"/>
      <c r="FM109" s="315"/>
      <c r="FN109" s="299"/>
      <c r="FO109" s="316"/>
      <c r="FP109" s="315"/>
      <c r="FQ109" s="299"/>
      <c r="FR109" s="316"/>
      <c r="FS109" s="315"/>
      <c r="FT109" s="299"/>
      <c r="FU109" s="316"/>
      <c r="FV109" s="315"/>
      <c r="FW109" s="299"/>
      <c r="FX109" s="316"/>
      <c r="FY109" s="315"/>
      <c r="FZ109" s="299"/>
      <c r="GA109" s="316"/>
      <c r="GB109" s="315"/>
      <c r="GC109" s="299"/>
      <c r="GD109" s="316"/>
      <c r="GE109" s="315"/>
      <c r="GF109" s="299"/>
      <c r="GG109" s="316"/>
      <c r="GH109" s="315"/>
      <c r="GI109" s="299"/>
      <c r="GJ109" s="316"/>
      <c r="GK109" s="315"/>
      <c r="GL109" s="299"/>
      <c r="GM109" s="316"/>
      <c r="GN109" s="315"/>
      <c r="GO109" s="299"/>
      <c r="GP109" s="324"/>
      <c r="GQ109" s="122"/>
      <c r="GV109" s="306">
        <v>149.97</v>
      </c>
    </row>
    <row r="110" spans="1:204" ht="32.1" customHeight="1">
      <c r="A110" s="103"/>
      <c r="B110" s="76" t="str">
        <f>VLOOKUP(878,Sprachindex!$A:$Z,Info!$O$7,FALSE)</f>
        <v>Stk.</v>
      </c>
      <c r="C110" s="75"/>
      <c r="D110" s="75">
        <v>420006</v>
      </c>
      <c r="E110" s="618" t="str">
        <f>VLOOKUP(838,Sprachindex!$A:$Z,Info!$O$7,FALSE)</f>
        <v>Spezialsilikon</v>
      </c>
      <c r="F110" s="619"/>
      <c r="G110" s="619"/>
      <c r="H110" s="619"/>
      <c r="I110" s="619"/>
      <c r="J110" s="681" t="str">
        <f>VLOOKUP(86,Sprachindex!$A:$Z,Info!$O$7,FALSE)</f>
        <v>300 ml</v>
      </c>
      <c r="K110" s="682"/>
      <c r="L110" s="76" t="str">
        <f t="shared" si="22"/>
        <v xml:space="preserve"> </v>
      </c>
      <c r="M110" s="405" t="str">
        <f t="shared" si="21"/>
        <v>Stk.</v>
      </c>
      <c r="N110" s="77"/>
      <c r="O110" s="184" t="str">
        <f t="shared" si="25"/>
        <v xml:space="preserve"> </v>
      </c>
      <c r="R110" s="179"/>
      <c r="S110" s="179"/>
      <c r="T110" s="179"/>
      <c r="U110" s="1"/>
      <c r="V110" s="139">
        <f t="shared" si="24"/>
        <v>0</v>
      </c>
      <c r="W110" s="139">
        <f t="shared" si="23"/>
        <v>0</v>
      </c>
      <c r="X110" s="139">
        <v>1</v>
      </c>
      <c r="Y110" s="139">
        <v>1</v>
      </c>
      <c r="ES110" s="618" t="str">
        <f>VLOOKUP(838,Sprachindex!$A:$Z,Info!$O$7,FALSE)</f>
        <v>Spezialsilikon</v>
      </c>
      <c r="ET110" s="619"/>
      <c r="EU110" s="619"/>
      <c r="EV110" s="619"/>
      <c r="EW110" s="619"/>
      <c r="EX110" s="323"/>
      <c r="EY110" s="299"/>
      <c r="EZ110" s="316"/>
      <c r="FA110" s="315"/>
      <c r="FB110" s="299"/>
      <c r="FC110" s="316"/>
      <c r="FD110" s="315"/>
      <c r="FE110" s="299"/>
      <c r="FF110" s="316"/>
      <c r="FG110" s="315"/>
      <c r="FH110" s="299"/>
      <c r="FI110" s="316"/>
      <c r="FJ110" s="315"/>
      <c r="FK110" s="299"/>
      <c r="FL110" s="316"/>
      <c r="FM110" s="315"/>
      <c r="FN110" s="299"/>
      <c r="FO110" s="316"/>
      <c r="FP110" s="315"/>
      <c r="FQ110" s="299"/>
      <c r="FR110" s="316"/>
      <c r="FS110" s="315"/>
      <c r="FT110" s="299"/>
      <c r="FU110" s="316"/>
      <c r="FV110" s="315"/>
      <c r="FW110" s="299"/>
      <c r="FX110" s="316"/>
      <c r="FY110" s="315"/>
      <c r="FZ110" s="299"/>
      <c r="GA110" s="316"/>
      <c r="GB110" s="315"/>
      <c r="GC110" s="299"/>
      <c r="GD110" s="316"/>
      <c r="GE110" s="315"/>
      <c r="GF110" s="299"/>
      <c r="GG110" s="316"/>
      <c r="GH110" s="315"/>
      <c r="GI110" s="299"/>
      <c r="GJ110" s="316"/>
      <c r="GK110" s="315"/>
      <c r="GL110" s="299"/>
      <c r="GM110" s="316"/>
      <c r="GN110" s="315"/>
      <c r="GO110" s="299"/>
      <c r="GP110" s="324"/>
      <c r="GQ110" s="122"/>
      <c r="GV110" s="306">
        <v>10.41</v>
      </c>
    </row>
    <row r="111" spans="1:204" ht="32.1" customHeight="1">
      <c r="A111" s="103"/>
      <c r="B111" s="76" t="str">
        <f>VLOOKUP(878,Sprachindex!$A:$Z,Info!$O$7,FALSE)</f>
        <v>Stk.</v>
      </c>
      <c r="C111" s="75"/>
      <c r="D111" s="75">
        <v>420501</v>
      </c>
      <c r="E111" s="618" t="str">
        <f>VLOOKUP(851,Sprachindex!$A:$Z,Info!$O$7,FALSE)</f>
        <v>Spezialkleber</v>
      </c>
      <c r="F111" s="619"/>
      <c r="G111" s="619"/>
      <c r="H111" s="619"/>
      <c r="I111" s="619"/>
      <c r="J111" s="681"/>
      <c r="K111" s="682"/>
      <c r="L111" s="76" t="str">
        <f t="shared" si="22"/>
        <v xml:space="preserve"> </v>
      </c>
      <c r="M111" s="405" t="str">
        <f t="shared" si="21"/>
        <v>Stk.</v>
      </c>
      <c r="N111" s="77"/>
      <c r="O111" s="184" t="str">
        <f t="shared" si="25"/>
        <v xml:space="preserve"> </v>
      </c>
      <c r="R111" s="179"/>
      <c r="S111" s="179"/>
      <c r="T111" s="179"/>
      <c r="U111" s="129"/>
      <c r="V111" s="139">
        <f t="shared" si="24"/>
        <v>0</v>
      </c>
      <c r="W111" s="139">
        <f>ROUNDUP($A111,0)</f>
        <v>0</v>
      </c>
      <c r="X111" s="139">
        <v>24</v>
      </c>
      <c r="Y111" s="139">
        <v>1</v>
      </c>
      <c r="ES111" s="618" t="str">
        <f>VLOOKUP(851,Sprachindex!$A:$Z,Info!$O$7,FALSE)</f>
        <v>Spezialkleber</v>
      </c>
      <c r="ET111" s="619"/>
      <c r="EU111" s="619"/>
      <c r="EV111" s="619"/>
      <c r="EW111" s="619"/>
      <c r="EX111" s="323"/>
      <c r="EY111" s="299"/>
      <c r="EZ111" s="316"/>
      <c r="FA111" s="315"/>
      <c r="FB111" s="299"/>
      <c r="FC111" s="316"/>
      <c r="FD111" s="315"/>
      <c r="FE111" s="299"/>
      <c r="FF111" s="316"/>
      <c r="FG111" s="315"/>
      <c r="FH111" s="299"/>
      <c r="FI111" s="316"/>
      <c r="FJ111" s="315"/>
      <c r="FK111" s="299"/>
      <c r="FL111" s="316"/>
      <c r="FM111" s="315"/>
      <c r="FN111" s="299"/>
      <c r="FO111" s="316"/>
      <c r="FP111" s="315"/>
      <c r="FQ111" s="299"/>
      <c r="FR111" s="316"/>
      <c r="FS111" s="315"/>
      <c r="FT111" s="299"/>
      <c r="FU111" s="316"/>
      <c r="FV111" s="315"/>
      <c r="FW111" s="299"/>
      <c r="FX111" s="316"/>
      <c r="FY111" s="315"/>
      <c r="FZ111" s="299"/>
      <c r="GA111" s="316"/>
      <c r="GB111" s="315"/>
      <c r="GC111" s="299"/>
      <c r="GD111" s="316"/>
      <c r="GE111" s="315"/>
      <c r="GF111" s="299"/>
      <c r="GG111" s="316"/>
      <c r="GH111" s="315"/>
      <c r="GI111" s="299"/>
      <c r="GJ111" s="316"/>
      <c r="GK111" s="315"/>
      <c r="GL111" s="299"/>
      <c r="GM111" s="316"/>
      <c r="GN111" s="315"/>
      <c r="GO111" s="299"/>
      <c r="GP111" s="324"/>
      <c r="GQ111" s="122"/>
      <c r="GV111" s="306">
        <v>40.299999999999997</v>
      </c>
    </row>
    <row r="112" spans="1:204" ht="32.1" customHeight="1">
      <c r="A112" s="103"/>
      <c r="B112" s="76" t="str">
        <f>VLOOKUP(821,Sprachindex!$A:$Z,Info!$O$7,FALSE)</f>
        <v>Set</v>
      </c>
      <c r="C112" s="78"/>
      <c r="D112" s="75">
        <v>420500</v>
      </c>
      <c r="E112" s="618" t="str">
        <f>VLOOKUP(852,Sprachindex!$A:$Z,Info!$O$7,FALSE)</f>
        <v>Spezialkleberset</v>
      </c>
      <c r="F112" s="619"/>
      <c r="G112" s="619"/>
      <c r="H112" s="619"/>
      <c r="I112" s="619"/>
      <c r="J112" s="681"/>
      <c r="K112" s="682"/>
      <c r="L112" s="76" t="str">
        <f t="shared" si="22"/>
        <v xml:space="preserve"> </v>
      </c>
      <c r="M112" s="405" t="str">
        <f t="shared" si="21"/>
        <v>Set</v>
      </c>
      <c r="N112" s="77"/>
      <c r="O112" s="184" t="str">
        <f t="shared" si="25"/>
        <v xml:space="preserve"> </v>
      </c>
      <c r="R112" s="179"/>
      <c r="S112" s="179"/>
      <c r="T112" s="179"/>
      <c r="U112" s="129"/>
      <c r="V112" s="139">
        <f>ROUNDUP($A112,0)</f>
        <v>0</v>
      </c>
      <c r="W112" s="139">
        <f>ROUNDUP($A112,0)</f>
        <v>0</v>
      </c>
      <c r="X112" s="139">
        <v>1</v>
      </c>
      <c r="Y112" s="139">
        <v>1</v>
      </c>
      <c r="Z112" s="47" t="s">
        <v>32</v>
      </c>
      <c r="AA112" s="47" t="s">
        <v>33</v>
      </c>
      <c r="AB112" s="47" t="s">
        <v>34</v>
      </c>
      <c r="AC112" s="47" t="s">
        <v>35</v>
      </c>
      <c r="AD112" s="47" t="s">
        <v>36</v>
      </c>
      <c r="AE112" s="47" t="s">
        <v>38</v>
      </c>
      <c r="AF112" s="47" t="s">
        <v>39</v>
      </c>
      <c r="AG112" s="47" t="s">
        <v>40</v>
      </c>
      <c r="AH112" s="47" t="s">
        <v>41</v>
      </c>
      <c r="AI112" s="47"/>
      <c r="AJ112" s="47" t="s">
        <v>34</v>
      </c>
      <c r="AK112" s="47" t="s">
        <v>35</v>
      </c>
      <c r="AL112" s="47" t="s">
        <v>36</v>
      </c>
      <c r="AM112" s="47" t="s">
        <v>37</v>
      </c>
      <c r="AN112" s="47" t="s">
        <v>38</v>
      </c>
      <c r="AO112" s="47" t="s">
        <v>39</v>
      </c>
      <c r="AP112" s="47" t="s">
        <v>40</v>
      </c>
      <c r="ES112" s="618" t="str">
        <f>VLOOKUP(852,Sprachindex!$A:$Z,Info!$O$7,FALSE)</f>
        <v>Spezialkleberset</v>
      </c>
      <c r="ET112" s="619"/>
      <c r="EU112" s="619"/>
      <c r="EV112" s="619"/>
      <c r="EW112" s="619"/>
      <c r="EX112" s="323"/>
      <c r="EY112" s="299"/>
      <c r="EZ112" s="316"/>
      <c r="FA112" s="315"/>
      <c r="FB112" s="299"/>
      <c r="FC112" s="316"/>
      <c r="FD112" s="315"/>
      <c r="FE112" s="299"/>
      <c r="FF112" s="316"/>
      <c r="FG112" s="315"/>
      <c r="FH112" s="299"/>
      <c r="FI112" s="316"/>
      <c r="FJ112" s="315"/>
      <c r="FK112" s="299"/>
      <c r="FL112" s="316"/>
      <c r="FM112" s="315"/>
      <c r="FN112" s="299"/>
      <c r="FO112" s="316"/>
      <c r="FP112" s="315"/>
      <c r="FQ112" s="299"/>
      <c r="FR112" s="316"/>
      <c r="FS112" s="315"/>
      <c r="FT112" s="299"/>
      <c r="FU112" s="316"/>
      <c r="FV112" s="315"/>
      <c r="FW112" s="299"/>
      <c r="FX112" s="316"/>
      <c r="FY112" s="315"/>
      <c r="FZ112" s="299"/>
      <c r="GA112" s="316"/>
      <c r="GB112" s="315"/>
      <c r="GC112" s="299"/>
      <c r="GD112" s="316"/>
      <c r="GE112" s="315"/>
      <c r="GF112" s="299"/>
      <c r="GG112" s="316"/>
      <c r="GH112" s="315"/>
      <c r="GI112" s="299"/>
      <c r="GJ112" s="316"/>
      <c r="GK112" s="315"/>
      <c r="GL112" s="299"/>
      <c r="GM112" s="316"/>
      <c r="GN112" s="315"/>
      <c r="GO112" s="299"/>
      <c r="GP112" s="324"/>
      <c r="GQ112" s="122"/>
      <c r="GV112" s="306">
        <v>55.18</v>
      </c>
    </row>
    <row r="113" spans="1:204" ht="32.1" customHeight="1">
      <c r="A113" s="103"/>
      <c r="B113" s="76" t="str">
        <f>VLOOKUP(878,Sprachindex!$A:$Z,Info!$O$7,FALSE)</f>
        <v>Stk.</v>
      </c>
      <c r="C113" s="75"/>
      <c r="D113" s="75">
        <v>420028</v>
      </c>
      <c r="E113" s="618" t="str">
        <f>VLOOKUP(723,Sprachindex!$A:$Z,Info!$O$7,FALSE)</f>
        <v>Rinnenwulstöffner</v>
      </c>
      <c r="F113" s="619"/>
      <c r="G113" s="619"/>
      <c r="H113" s="619"/>
      <c r="I113" s="619"/>
      <c r="J113" s="681"/>
      <c r="K113" s="682"/>
      <c r="L113" s="76" t="str">
        <f t="shared" si="22"/>
        <v xml:space="preserve"> </v>
      </c>
      <c r="M113" s="405" t="str">
        <f t="shared" si="21"/>
        <v>Stk.</v>
      </c>
      <c r="N113" s="77"/>
      <c r="O113" s="184" t="str">
        <f t="shared" si="25"/>
        <v xml:space="preserve"> </v>
      </c>
      <c r="R113" s="179"/>
      <c r="S113" s="179"/>
      <c r="T113" s="179"/>
      <c r="U113" s="1"/>
      <c r="V113" s="139">
        <f>ROUNDUP($A113/X113,0)*X113</f>
        <v>0</v>
      </c>
      <c r="W113" s="139">
        <f>ROUNDUP($A113/Y113,0)*Y113</f>
        <v>0</v>
      </c>
      <c r="X113" s="139">
        <v>1</v>
      </c>
      <c r="Y113" s="139">
        <v>1</v>
      </c>
      <c r="Z113" s="117"/>
      <c r="AA113" s="117"/>
      <c r="AB113" s="117"/>
      <c r="AC113" s="117"/>
      <c r="AD113" s="117"/>
      <c r="AE113" s="117"/>
      <c r="AF113" s="117"/>
      <c r="AG113" s="117"/>
      <c r="AH113" s="117"/>
      <c r="AI113" s="117"/>
      <c r="AJ113" s="117"/>
      <c r="AK113" s="117"/>
      <c r="AL113" s="117"/>
      <c r="AM113" s="117"/>
      <c r="AN113" s="117"/>
      <c r="ES113" s="618" t="str">
        <f>VLOOKUP(723,Sprachindex!$A:$Z,Info!$O$7,FALSE)</f>
        <v>Rinnenwulstöffner</v>
      </c>
      <c r="ET113" s="619"/>
      <c r="EU113" s="619"/>
      <c r="EV113" s="619"/>
      <c r="EW113" s="619"/>
      <c r="EX113" s="323"/>
      <c r="EY113" s="299"/>
      <c r="EZ113" s="316"/>
      <c r="FA113" s="315"/>
      <c r="FB113" s="299"/>
      <c r="FC113" s="316"/>
      <c r="FD113" s="315"/>
      <c r="FE113" s="299"/>
      <c r="FF113" s="316"/>
      <c r="FG113" s="315"/>
      <c r="FH113" s="299"/>
      <c r="FI113" s="316"/>
      <c r="FJ113" s="315"/>
      <c r="FK113" s="299"/>
      <c r="FL113" s="316"/>
      <c r="FM113" s="315"/>
      <c r="FN113" s="299"/>
      <c r="FO113" s="316"/>
      <c r="FP113" s="315"/>
      <c r="FQ113" s="299"/>
      <c r="FR113" s="316"/>
      <c r="FS113" s="315"/>
      <c r="FT113" s="299"/>
      <c r="FU113" s="316"/>
      <c r="FV113" s="315"/>
      <c r="FW113" s="299"/>
      <c r="FX113" s="316"/>
      <c r="FY113" s="315"/>
      <c r="FZ113" s="299"/>
      <c r="GA113" s="316"/>
      <c r="GB113" s="315"/>
      <c r="GC113" s="299"/>
      <c r="GD113" s="316"/>
      <c r="GE113" s="315"/>
      <c r="GF113" s="299"/>
      <c r="GG113" s="316"/>
      <c r="GH113" s="315"/>
      <c r="GI113" s="299"/>
      <c r="GJ113" s="316"/>
      <c r="GK113" s="315"/>
      <c r="GL113" s="299"/>
      <c r="GM113" s="316"/>
      <c r="GN113" s="315"/>
      <c r="GO113" s="299"/>
      <c r="GP113" s="324"/>
      <c r="GQ113" s="122"/>
      <c r="GV113" s="306">
        <v>74.45</v>
      </c>
    </row>
    <row r="114" spans="1:204" ht="32.1" customHeight="1" thickBot="1">
      <c r="A114" s="103"/>
      <c r="B114" s="76" t="str">
        <f>VLOOKUP(878,Sprachindex!$A:$Z,Info!$O$7,FALSE)</f>
        <v>Stk.</v>
      </c>
      <c r="C114" s="75"/>
      <c r="D114" s="75">
        <v>420546</v>
      </c>
      <c r="E114" s="618" t="str">
        <f>VLOOKUP(575,Sprachindex!$A:$Z,Info!$O$7,FALSE)</f>
        <v>Leitersicherung</v>
      </c>
      <c r="F114" s="619"/>
      <c r="G114" s="619"/>
      <c r="H114" s="619"/>
      <c r="I114" s="619"/>
      <c r="J114" s="681"/>
      <c r="K114" s="682"/>
      <c r="L114" s="76" t="str">
        <f t="shared" si="22"/>
        <v xml:space="preserve"> </v>
      </c>
      <c r="M114" s="405" t="str">
        <f t="shared" si="21"/>
        <v>Stk.</v>
      </c>
      <c r="N114" s="77"/>
      <c r="O114" s="184" t="str">
        <f t="shared" si="25"/>
        <v xml:space="preserve"> </v>
      </c>
      <c r="R114" s="179"/>
      <c r="S114" s="179"/>
      <c r="T114" s="179"/>
      <c r="U114" s="1"/>
      <c r="V114" s="151">
        <f>ROUNDUP($A114/X114,0)*X114</f>
        <v>0</v>
      </c>
      <c r="W114" s="151">
        <f>ROUNDUP($A114/Y114,0)*Y114</f>
        <v>0</v>
      </c>
      <c r="X114" s="151">
        <v>1</v>
      </c>
      <c r="Y114" s="151">
        <v>1</v>
      </c>
      <c r="Z114" s="117"/>
      <c r="AA114" s="117"/>
      <c r="AB114" s="117"/>
      <c r="AC114" s="117"/>
      <c r="AD114" s="117"/>
      <c r="AE114" s="117"/>
      <c r="AF114" s="117"/>
      <c r="AG114" s="117"/>
      <c r="AH114" s="117"/>
      <c r="AI114" s="117"/>
      <c r="AJ114" s="117"/>
      <c r="AK114" s="117"/>
      <c r="AL114" s="117"/>
      <c r="AM114" s="117"/>
      <c r="AN114" s="117"/>
      <c r="ES114" s="618" t="str">
        <f>VLOOKUP(575,Sprachindex!$A:$Z,Info!$O$7,FALSE)</f>
        <v>Leitersicherung</v>
      </c>
      <c r="ET114" s="619"/>
      <c r="EU114" s="619"/>
      <c r="EV114" s="619"/>
      <c r="EW114" s="619"/>
      <c r="EX114" s="325"/>
      <c r="EY114" s="320"/>
      <c r="EZ114" s="321"/>
      <c r="FA114" s="319"/>
      <c r="FB114" s="320"/>
      <c r="FC114" s="321"/>
      <c r="FD114" s="319"/>
      <c r="FE114" s="320"/>
      <c r="FF114" s="321"/>
      <c r="FG114" s="319"/>
      <c r="FH114" s="320"/>
      <c r="FI114" s="321"/>
      <c r="FJ114" s="319"/>
      <c r="FK114" s="320"/>
      <c r="FL114" s="321"/>
      <c r="FM114" s="319"/>
      <c r="FN114" s="320"/>
      <c r="FO114" s="321"/>
      <c r="FP114" s="319"/>
      <c r="FQ114" s="320"/>
      <c r="FR114" s="321"/>
      <c r="FS114" s="319"/>
      <c r="FT114" s="320"/>
      <c r="FU114" s="321"/>
      <c r="FV114" s="319"/>
      <c r="FW114" s="320"/>
      <c r="FX114" s="321"/>
      <c r="FY114" s="319"/>
      <c r="FZ114" s="320"/>
      <c r="GA114" s="321"/>
      <c r="GB114" s="319"/>
      <c r="GC114" s="320"/>
      <c r="GD114" s="321"/>
      <c r="GE114" s="319"/>
      <c r="GF114" s="320"/>
      <c r="GG114" s="321"/>
      <c r="GH114" s="319"/>
      <c r="GI114" s="320"/>
      <c r="GJ114" s="321"/>
      <c r="GK114" s="319"/>
      <c r="GL114" s="320"/>
      <c r="GM114" s="321"/>
      <c r="GN114" s="319"/>
      <c r="GO114" s="320"/>
      <c r="GP114" s="326"/>
      <c r="GQ114" s="122"/>
      <c r="GV114" s="306">
        <v>114.23</v>
      </c>
    </row>
    <row r="115" spans="1:204" ht="32.1" customHeight="1" thickTop="1">
      <c r="A115" s="146"/>
      <c r="B115" s="98"/>
      <c r="C115" s="98"/>
      <c r="D115" s="98"/>
      <c r="E115" s="648"/>
      <c r="F115" s="649"/>
      <c r="G115" s="649"/>
      <c r="H115" s="649"/>
      <c r="I115" s="649"/>
      <c r="J115" s="649"/>
      <c r="K115" s="650"/>
      <c r="L115" s="98"/>
      <c r="M115" s="399"/>
      <c r="N115" s="77"/>
      <c r="O115" s="68"/>
      <c r="P115" s="68"/>
      <c r="Q115" s="68"/>
      <c r="R115" s="68"/>
      <c r="S115" s="68"/>
      <c r="T115" s="68"/>
      <c r="U115" s="1"/>
      <c r="V115" s="8"/>
      <c r="W115" s="8"/>
      <c r="EV115" s="129"/>
      <c r="FS115" s="1"/>
    </row>
    <row r="116" spans="1:204" ht="32.1" customHeight="1">
      <c r="A116" s="103"/>
      <c r="B116" s="98"/>
      <c r="C116" s="98"/>
      <c r="D116" s="98"/>
      <c r="E116" s="648"/>
      <c r="F116" s="649"/>
      <c r="G116" s="649"/>
      <c r="H116" s="649"/>
      <c r="I116" s="649"/>
      <c r="J116" s="649"/>
      <c r="K116" s="650"/>
      <c r="L116" s="98"/>
      <c r="M116" s="399"/>
      <c r="N116" s="77"/>
      <c r="O116" s="68"/>
      <c r="P116" s="68"/>
      <c r="Q116" s="68"/>
      <c r="R116" s="68"/>
      <c r="S116" s="68"/>
      <c r="T116" s="68"/>
      <c r="U116" s="1"/>
      <c r="V116" s="8"/>
      <c r="W116" s="8"/>
      <c r="EV116" s="129"/>
      <c r="FS116" s="1"/>
    </row>
    <row r="117" spans="1:204" ht="32.1" customHeight="1" thickBot="1">
      <c r="A117" s="143"/>
      <c r="B117" s="144"/>
      <c r="C117" s="144"/>
      <c r="D117" s="144"/>
      <c r="E117" s="651"/>
      <c r="F117" s="652"/>
      <c r="G117" s="652"/>
      <c r="H117" s="652"/>
      <c r="I117" s="652"/>
      <c r="J117" s="652"/>
      <c r="K117" s="653"/>
      <c r="L117" s="144"/>
      <c r="M117" s="400"/>
      <c r="N117" s="145"/>
      <c r="O117" s="68"/>
      <c r="P117" s="68"/>
      <c r="Q117" s="68"/>
      <c r="R117" s="68"/>
      <c r="S117" s="68"/>
      <c r="T117" s="68"/>
      <c r="U117" s="1"/>
      <c r="V117" s="8"/>
      <c r="W117" s="8"/>
      <c r="EV117" s="129"/>
      <c r="FS117" s="1"/>
    </row>
    <row r="118" spans="1:204" ht="15" customHeight="1">
      <c r="A118" s="67"/>
      <c r="B118" s="67"/>
      <c r="C118" s="67"/>
      <c r="D118" s="641"/>
      <c r="E118" s="641"/>
      <c r="F118" s="641"/>
      <c r="G118" s="641"/>
      <c r="H118" s="641"/>
      <c r="I118" s="641"/>
      <c r="J118" s="641"/>
      <c r="K118" s="641"/>
      <c r="L118" s="641"/>
      <c r="M118" s="641"/>
      <c r="N118" s="641"/>
      <c r="O118" s="68"/>
      <c r="P118" s="68"/>
      <c r="Q118" s="68"/>
      <c r="R118" s="68"/>
      <c r="S118" s="68"/>
      <c r="T118" s="68"/>
      <c r="EV118" s="129"/>
      <c r="FS118" s="1"/>
    </row>
    <row r="119" spans="1:204" ht="17.399999999999999">
      <c r="A119" s="67"/>
      <c r="B119" s="67"/>
      <c r="C119" s="84" t="str">
        <f>VLOOKUP(1035,Sprachindex!$A:$Z,Info!$O$7,FALSE)</f>
        <v>Zusatzvermerk:</v>
      </c>
      <c r="D119" s="642"/>
      <c r="E119" s="642"/>
      <c r="F119" s="642"/>
      <c r="G119" s="642"/>
      <c r="H119" s="642"/>
      <c r="I119" s="642"/>
      <c r="J119" s="642"/>
      <c r="K119" s="642"/>
      <c r="L119" s="642"/>
      <c r="M119" s="642"/>
      <c r="N119" s="642"/>
      <c r="O119" s="180">
        <f>SUM(O36:O117)</f>
        <v>0</v>
      </c>
      <c r="P119" s="68"/>
      <c r="Q119" s="68"/>
      <c r="R119" s="68"/>
      <c r="S119" s="68"/>
      <c r="T119" s="68"/>
      <c r="EV119" s="129"/>
      <c r="FS119" s="1"/>
    </row>
    <row r="120" spans="1:204" ht="17.399999999999999">
      <c r="A120" s="67"/>
      <c r="B120" s="67"/>
      <c r="C120" s="67"/>
      <c r="D120" s="643"/>
      <c r="E120" s="643"/>
      <c r="F120" s="643"/>
      <c r="G120" s="643"/>
      <c r="H120" s="643"/>
      <c r="I120" s="643"/>
      <c r="J120" s="643"/>
      <c r="K120" s="643"/>
      <c r="L120" s="643"/>
      <c r="M120" s="643"/>
      <c r="N120" s="643"/>
      <c r="O120" s="68"/>
      <c r="P120" s="68"/>
      <c r="Q120" s="68"/>
      <c r="R120" s="68"/>
      <c r="S120" s="68"/>
      <c r="T120" s="68"/>
      <c r="EV120" s="129"/>
      <c r="FS120" s="1"/>
    </row>
    <row r="121" spans="1:204" ht="17.399999999999999">
      <c r="A121" s="67"/>
      <c r="B121" s="67"/>
      <c r="C121" s="67"/>
      <c r="D121" s="642"/>
      <c r="E121" s="642"/>
      <c r="F121" s="642"/>
      <c r="G121" s="642"/>
      <c r="H121" s="642"/>
      <c r="I121" s="642"/>
      <c r="J121" s="642"/>
      <c r="K121" s="642"/>
      <c r="L121" s="642"/>
      <c r="M121" s="642"/>
      <c r="N121" s="642"/>
      <c r="O121" s="68"/>
      <c r="P121" s="68"/>
      <c r="Q121" s="68"/>
      <c r="R121" s="68"/>
      <c r="S121" s="68"/>
      <c r="T121" s="68"/>
      <c r="EV121" s="129"/>
      <c r="FS121" s="1"/>
    </row>
    <row r="122" spans="1:204" ht="17.399999999999999">
      <c r="A122" s="67"/>
      <c r="B122" s="67"/>
      <c r="C122" s="67"/>
      <c r="D122" s="643"/>
      <c r="E122" s="643"/>
      <c r="F122" s="643"/>
      <c r="G122" s="643"/>
      <c r="H122" s="643"/>
      <c r="I122" s="643"/>
      <c r="J122" s="643"/>
      <c r="K122" s="643"/>
      <c r="L122" s="643"/>
      <c r="M122" s="643"/>
      <c r="N122" s="643"/>
      <c r="O122" s="68"/>
      <c r="P122" s="68"/>
      <c r="Q122" s="68"/>
      <c r="R122" s="68"/>
      <c r="S122" s="68"/>
      <c r="T122" s="68"/>
      <c r="EV122" s="129"/>
      <c r="FS122" s="1"/>
    </row>
    <row r="123" spans="1:204" ht="17.399999999999999">
      <c r="A123" s="67"/>
      <c r="B123" s="67"/>
      <c r="C123" s="67"/>
      <c r="D123" s="642"/>
      <c r="E123" s="642"/>
      <c r="F123" s="642"/>
      <c r="G123" s="642"/>
      <c r="H123" s="642"/>
      <c r="I123" s="642"/>
      <c r="J123" s="642"/>
      <c r="K123" s="642"/>
      <c r="L123" s="642"/>
      <c r="M123" s="642"/>
      <c r="N123" s="642"/>
      <c r="O123" s="68"/>
      <c r="P123" s="68"/>
      <c r="Q123" s="68"/>
      <c r="R123" s="68"/>
      <c r="S123" s="68"/>
      <c r="T123" s="68"/>
      <c r="EV123" s="129"/>
      <c r="FS123" s="1"/>
    </row>
    <row r="124" spans="1:204" ht="17.399999999999999">
      <c r="A124" s="67"/>
      <c r="B124" s="67"/>
      <c r="C124" s="67"/>
      <c r="D124" s="67"/>
      <c r="E124" s="67"/>
      <c r="F124" s="67"/>
      <c r="G124" s="67"/>
      <c r="H124" s="67"/>
      <c r="I124" s="67"/>
      <c r="J124" s="67"/>
      <c r="K124" s="67"/>
      <c r="L124" s="67"/>
      <c r="M124" s="67"/>
      <c r="N124" s="67"/>
      <c r="O124" s="68"/>
      <c r="P124" s="68"/>
      <c r="Q124" s="68"/>
      <c r="R124" s="68"/>
      <c r="S124" s="68"/>
      <c r="T124" s="68"/>
      <c r="EV124" s="129"/>
      <c r="FS124" s="1"/>
    </row>
    <row r="125" spans="1:204" ht="17.399999999999999">
      <c r="A125" s="67"/>
      <c r="B125" s="67"/>
      <c r="C125" s="67"/>
      <c r="D125" s="67"/>
      <c r="E125" s="67"/>
      <c r="F125" s="67"/>
      <c r="G125" s="67"/>
      <c r="H125" s="67"/>
      <c r="I125" s="67"/>
      <c r="J125" s="67"/>
      <c r="K125" s="67"/>
      <c r="L125" s="67"/>
      <c r="M125" s="67"/>
      <c r="N125" s="67"/>
      <c r="O125" s="68"/>
      <c r="P125" s="68"/>
      <c r="Q125" s="68"/>
      <c r="R125" s="68"/>
      <c r="S125" s="68"/>
      <c r="T125" s="68"/>
      <c r="EV125" s="129"/>
      <c r="FS125" s="1"/>
    </row>
    <row r="126" spans="1:204" ht="17.399999999999999">
      <c r="A126" s="85" t="str">
        <f>VLOOKUP(2097,Sprachindex!$A:$Z,Info!$O$7,FALSE)</f>
        <v>Produkttechnik</v>
      </c>
      <c r="B126" s="86"/>
      <c r="C126" s="86"/>
      <c r="D126" s="646"/>
      <c r="E126" s="646"/>
      <c r="F126" s="646"/>
      <c r="G126" s="646"/>
      <c r="H126" s="646"/>
      <c r="I126" s="646"/>
      <c r="J126" s="646"/>
      <c r="K126" s="87" t="str">
        <f>VLOOKUP(856,Sprachindex!$A:$Z,Info!$O$7,FALSE)</f>
        <v>Stand:</v>
      </c>
      <c r="L126" s="644">
        <f>Info!M59</f>
        <v>45728</v>
      </c>
      <c r="M126" s="644"/>
      <c r="N126" s="645"/>
      <c r="O126" s="68"/>
      <c r="P126" s="68"/>
      <c r="Q126" s="68"/>
      <c r="R126" s="68"/>
      <c r="S126" s="68"/>
      <c r="T126" s="68"/>
      <c r="EV126" s="129"/>
      <c r="FS126" s="1"/>
    </row>
    <row r="127" spans="1:204" ht="17.399999999999999">
      <c r="A127" s="67"/>
      <c r="B127" s="67"/>
      <c r="C127" s="67"/>
      <c r="D127" s="67"/>
      <c r="E127" s="67"/>
      <c r="F127" s="67"/>
      <c r="G127" s="67"/>
      <c r="H127" s="67"/>
      <c r="I127" s="67"/>
      <c r="J127" s="67"/>
      <c r="K127" s="67"/>
      <c r="L127" s="67"/>
      <c r="M127" s="67"/>
      <c r="N127" s="67"/>
      <c r="O127" s="68"/>
      <c r="P127" s="68"/>
      <c r="Q127" s="68"/>
      <c r="R127" s="68"/>
      <c r="S127" s="68"/>
      <c r="T127" s="68"/>
      <c r="EV127" s="129"/>
      <c r="FS127" s="1"/>
    </row>
    <row r="128" spans="1:204">
      <c r="EV128" s="129"/>
      <c r="FS128" s="1"/>
    </row>
    <row r="129" spans="152:175">
      <c r="EV129" s="129"/>
      <c r="FS129" s="1"/>
    </row>
  </sheetData>
  <sheetProtection algorithmName="SHA-512" hashValue="xmGfXtbAEgXFrOqy1OV03EWjfoTL3zi2F4EijonMvVVmHFXljgYwnph/zTZhRPVHXRksiUVCZG7tl71Hu77ErA==" saltValue="KWTHy4Nus1DDZMJpE4ZHBw==" spinCount="100000" sheet="1" objects="1" scenarios="1" selectLockedCells="1" autoFilter="0"/>
  <protectedRanges>
    <protectedRange password="DEBF" sqref="V115:W117" name="darf vom Benutzer nicht verändert werden_1_5"/>
    <protectedRange password="DEBF" sqref="V18" name="darf vom Benutzer nicht verändert werden_1_5_3"/>
    <protectedRange password="DEBF" sqref="Y36:Y37 X36:X41 X43:X45" name="darf vom Benutzer nicht verändert werden_1_12_1"/>
    <protectedRange password="DEBF" sqref="V36:W37" name="darf vom Benutzer nicht verändert werden_1_2_2_1"/>
    <protectedRange password="DEBF" sqref="V38:V39 W39 V40:W41 V43:W49" name="darf vom Benutzer nicht verändert werden_1_2_3"/>
    <protectedRange password="DEBF" sqref="W38" name="darf vom Benutzer nicht verändert werden_1_2_4"/>
    <protectedRange password="DEBF" sqref="X42" name="darf vom Benutzer nicht verändert werden_1_12_3"/>
    <protectedRange password="DEBF" sqref="V42:W42" name="darf vom Benutzer nicht verändert werden_1_2_3_5"/>
    <protectedRange password="DEBF" sqref="V50:W50" name="darf vom Benutzer nicht verändert werden_1_5_1"/>
    <protectedRange password="DEBF" sqref="V51:W51" name="darf vom Benutzer nicht verändert werden_1_5_5"/>
    <protectedRange password="DEBF" sqref="V52:W52" name="darf vom Benutzer nicht verändert werden_1_2_3_1"/>
    <protectedRange password="DEBF" sqref="X53:Y54" name="darf vom Benutzer nicht verändert werden_1_12"/>
    <protectedRange password="DEBF" sqref="V53:W54" name="darf vom Benutzer nicht verändert werden_1_2_2"/>
    <protectedRange password="DEBF" sqref="V55:W55" name="darf vom Benutzer nicht verändert werden_1_2_3_2"/>
    <protectedRange password="DEBF" sqref="V56:W59" name="darf vom Benutzer nicht verändert werden_1_2_3_3"/>
    <protectedRange password="DEBF" sqref="V63:W63" name="darf vom Benutzer nicht verändert werden_1_2_2_2"/>
    <protectedRange password="DEBF" sqref="V60:W62 V92:W92 V64:W69" name="darf vom Benutzer nicht verändert werden_1_2_3_4"/>
    <protectedRange password="DEBF" sqref="V78:W91 V93:W96 V70:W76" name="darf vom Benutzer nicht verändert werden_1_2_1"/>
    <protectedRange password="DEBF" sqref="V77:W77" name="darf vom Benutzer nicht verändert werden_1_2_6"/>
    <protectedRange password="DEBF" sqref="X77" name="darf vom Benutzer nicht verändert werden_1_12_1_1"/>
    <protectedRange password="DEBF" sqref="V102:W102" name="darf vom Benutzer nicht verändert werden_1_2_3_6"/>
    <protectedRange password="DEBF" sqref="V103:W110 V113:W114 V97:W101" name="darf vom Benutzer nicht verändert werden_1_2_1_1"/>
    <protectedRange password="DEBF" sqref="V111:W112" name="darf vom Benutzer nicht verändert werden_1_5_4"/>
  </protectedRanges>
  <autoFilter ref="A34:A117" xr:uid="{00000000-0009-0000-0000-00000B000000}"/>
  <mergeCells count="290">
    <mergeCell ref="E39:I39"/>
    <mergeCell ref="J39:K39"/>
    <mergeCell ref="E43:I43"/>
    <mergeCell ref="E42:I42"/>
    <mergeCell ref="J42:K42"/>
    <mergeCell ref="B34:E34"/>
    <mergeCell ref="E35:K35"/>
    <mergeCell ref="E40:H40"/>
    <mergeCell ref="J40:K40"/>
    <mergeCell ref="J43:K43"/>
    <mergeCell ref="J37:K37"/>
    <mergeCell ref="E36:I36"/>
    <mergeCell ref="E37:I37"/>
    <mergeCell ref="V34:W34"/>
    <mergeCell ref="X34:Y34"/>
    <mergeCell ref="E41:H41"/>
    <mergeCell ref="J49:K49"/>
    <mergeCell ref="J47:K47"/>
    <mergeCell ref="J58:K58"/>
    <mergeCell ref="J66:K66"/>
    <mergeCell ref="J79:K79"/>
    <mergeCell ref="J80:K80"/>
    <mergeCell ref="J41:K41"/>
    <mergeCell ref="J36:K36"/>
    <mergeCell ref="J78:K78"/>
    <mergeCell ref="E49:I49"/>
    <mergeCell ref="E48:I48"/>
    <mergeCell ref="E75:I75"/>
    <mergeCell ref="E73:I73"/>
    <mergeCell ref="J45:K45"/>
    <mergeCell ref="E55:I55"/>
    <mergeCell ref="J67:K67"/>
    <mergeCell ref="E74:H74"/>
    <mergeCell ref="E72:H72"/>
    <mergeCell ref="E61:I61"/>
    <mergeCell ref="E60:I60"/>
    <mergeCell ref="E62:H62"/>
    <mergeCell ref="B24:B27"/>
    <mergeCell ref="C24:E24"/>
    <mergeCell ref="C30:E30"/>
    <mergeCell ref="C25:E25"/>
    <mergeCell ref="C31:E31"/>
    <mergeCell ref="C26:E26"/>
    <mergeCell ref="C32:E32"/>
    <mergeCell ref="C27:E27"/>
    <mergeCell ref="C11:E11"/>
    <mergeCell ref="C13:E13"/>
    <mergeCell ref="C10:E10"/>
    <mergeCell ref="C9:E9"/>
    <mergeCell ref="C18:E18"/>
    <mergeCell ref="C21:E21"/>
    <mergeCell ref="C20:E20"/>
    <mergeCell ref="C19:E19"/>
    <mergeCell ref="E98:I98"/>
    <mergeCell ref="E52:I52"/>
    <mergeCell ref="E50:I50"/>
    <mergeCell ref="E56:I56"/>
    <mergeCell ref="E57:I57"/>
    <mergeCell ref="C14:E14"/>
    <mergeCell ref="C15:E15"/>
    <mergeCell ref="E78:I78"/>
    <mergeCell ref="E47:I47"/>
    <mergeCell ref="E80:I80"/>
    <mergeCell ref="E46:I46"/>
    <mergeCell ref="E44:I44"/>
    <mergeCell ref="E83:I83"/>
    <mergeCell ref="E92:I92"/>
    <mergeCell ref="E94:H94"/>
    <mergeCell ref="E93:H93"/>
    <mergeCell ref="E38:H38"/>
    <mergeCell ref="E59:I59"/>
    <mergeCell ref="J72:K72"/>
    <mergeCell ref="J57:K57"/>
    <mergeCell ref="J38:K38"/>
    <mergeCell ref="J73:K73"/>
    <mergeCell ref="J70:K70"/>
    <mergeCell ref="J48:K48"/>
    <mergeCell ref="J52:K52"/>
    <mergeCell ref="J50:K50"/>
    <mergeCell ref="J46:K46"/>
    <mergeCell ref="J44:K44"/>
    <mergeCell ref="E70:H70"/>
    <mergeCell ref="J77:K77"/>
    <mergeCell ref="E53:I53"/>
    <mergeCell ref="E54:I54"/>
    <mergeCell ref="J59:K59"/>
    <mergeCell ref="J74:K74"/>
    <mergeCell ref="J53:K53"/>
    <mergeCell ref="J71:K71"/>
    <mergeCell ref="E71:I71"/>
    <mergeCell ref="E77:H77"/>
    <mergeCell ref="E69:I69"/>
    <mergeCell ref="E58:I58"/>
    <mergeCell ref="E68:I68"/>
    <mergeCell ref="E67:I67"/>
    <mergeCell ref="E66:I66"/>
    <mergeCell ref="E65:I65"/>
    <mergeCell ref="E64:I64"/>
    <mergeCell ref="E63:I63"/>
    <mergeCell ref="J68:K68"/>
    <mergeCell ref="J69:K69"/>
    <mergeCell ref="J75:K75"/>
    <mergeCell ref="J76:K76"/>
    <mergeCell ref="J65:K65"/>
    <mergeCell ref="J54:K54"/>
    <mergeCell ref="E51:I51"/>
    <mergeCell ref="J51:K51"/>
    <mergeCell ref="J55:K55"/>
    <mergeCell ref="J56:K56"/>
    <mergeCell ref="J62:K62"/>
    <mergeCell ref="J63:K63"/>
    <mergeCell ref="J64:K64"/>
    <mergeCell ref="J60:K60"/>
    <mergeCell ref="J61:K61"/>
    <mergeCell ref="J81:K81"/>
    <mergeCell ref="J83:K83"/>
    <mergeCell ref="E109:I109"/>
    <mergeCell ref="E106:I106"/>
    <mergeCell ref="E105:I105"/>
    <mergeCell ref="E89:I89"/>
    <mergeCell ref="E88:I88"/>
    <mergeCell ref="E87:I87"/>
    <mergeCell ref="E85:I85"/>
    <mergeCell ref="E84:I84"/>
    <mergeCell ref="E82:I82"/>
    <mergeCell ref="E81:I81"/>
    <mergeCell ref="E86:I86"/>
    <mergeCell ref="J82:K82"/>
    <mergeCell ref="E96:I96"/>
    <mergeCell ref="J86:K86"/>
    <mergeCell ref="J84:K84"/>
    <mergeCell ref="J96:K96"/>
    <mergeCell ref="J97:K97"/>
    <mergeCell ref="E45:I45"/>
    <mergeCell ref="E79:I79"/>
    <mergeCell ref="E76:I76"/>
    <mergeCell ref="D126:J126"/>
    <mergeCell ref="E117:K117"/>
    <mergeCell ref="J101:K101"/>
    <mergeCell ref="J102:K102"/>
    <mergeCell ref="J103:K103"/>
    <mergeCell ref="J104:K104"/>
    <mergeCell ref="E104:I104"/>
    <mergeCell ref="J98:K98"/>
    <mergeCell ref="E113:I113"/>
    <mergeCell ref="E114:I114"/>
    <mergeCell ref="J105:K105"/>
    <mergeCell ref="J106:K106"/>
    <mergeCell ref="J109:K109"/>
    <mergeCell ref="J99:K99"/>
    <mergeCell ref="J100:K100"/>
    <mergeCell ref="E103:I103"/>
    <mergeCell ref="E102:I102"/>
    <mergeCell ref="E101:I101"/>
    <mergeCell ref="J113:K113"/>
    <mergeCell ref="J114:K114"/>
    <mergeCell ref="E107:I107"/>
    <mergeCell ref="E116:K116"/>
    <mergeCell ref="E115:K115"/>
    <mergeCell ref="J107:K107"/>
    <mergeCell ref="J85:K85"/>
    <mergeCell ref="J87:K87"/>
    <mergeCell ref="J88:K88"/>
    <mergeCell ref="J89:K89"/>
    <mergeCell ref="J90:K90"/>
    <mergeCell ref="J91:K91"/>
    <mergeCell ref="J95:K95"/>
    <mergeCell ref="J93:K93"/>
    <mergeCell ref="J94:K94"/>
    <mergeCell ref="J92:K92"/>
    <mergeCell ref="E108:I108"/>
    <mergeCell ref="J108:K108"/>
    <mergeCell ref="E112:I112"/>
    <mergeCell ref="E111:I111"/>
    <mergeCell ref="J111:K111"/>
    <mergeCell ref="J112:K112"/>
    <mergeCell ref="E90:I90"/>
    <mergeCell ref="E95:I95"/>
    <mergeCell ref="E91:I91"/>
    <mergeCell ref="E99:I99"/>
    <mergeCell ref="E97:I97"/>
    <mergeCell ref="J110:K110"/>
    <mergeCell ref="E110:I110"/>
    <mergeCell ref="E100:H100"/>
    <mergeCell ref="ES36:EW36"/>
    <mergeCell ref="ES37:EW37"/>
    <mergeCell ref="ES38:EV38"/>
    <mergeCell ref="ES39:EW39"/>
    <mergeCell ref="ES40:EV40"/>
    <mergeCell ref="ES41:EV41"/>
    <mergeCell ref="ES42:EW42"/>
    <mergeCell ref="ES43:EW43"/>
    <mergeCell ref="ES44:EW44"/>
    <mergeCell ref="ES61:EW61"/>
    <mergeCell ref="ES62:EV62"/>
    <mergeCell ref="ES45:EW45"/>
    <mergeCell ref="ES46:EW46"/>
    <mergeCell ref="ES47:EW47"/>
    <mergeCell ref="ES48:EW48"/>
    <mergeCell ref="ES49:EW49"/>
    <mergeCell ref="ES50:EW50"/>
    <mergeCell ref="ES51:EW51"/>
    <mergeCell ref="ES52:EW52"/>
    <mergeCell ref="ES53:EW53"/>
    <mergeCell ref="ES71:EW71"/>
    <mergeCell ref="ES111:EW111"/>
    <mergeCell ref="ES112:EW112"/>
    <mergeCell ref="ES113:EW113"/>
    <mergeCell ref="ES114:EW114"/>
    <mergeCell ref="ES99:EW99"/>
    <mergeCell ref="ES100:EW100"/>
    <mergeCell ref="ES101:EW101"/>
    <mergeCell ref="ES102:EW102"/>
    <mergeCell ref="ES103:EW103"/>
    <mergeCell ref="ES104:EW104"/>
    <mergeCell ref="ES105:EW105"/>
    <mergeCell ref="ES106:EW106"/>
    <mergeCell ref="ES109:EW109"/>
    <mergeCell ref="ES110:EW110"/>
    <mergeCell ref="GH31:GP32"/>
    <mergeCell ref="ES87:EW87"/>
    <mergeCell ref="ES88:EW88"/>
    <mergeCell ref="ES89:EW89"/>
    <mergeCell ref="ES107:EW107"/>
    <mergeCell ref="ES90:EW90"/>
    <mergeCell ref="ES91:EW91"/>
    <mergeCell ref="ES92:EW92"/>
    <mergeCell ref="ES93:EW93"/>
    <mergeCell ref="ES94:EW94"/>
    <mergeCell ref="ES95:EW95"/>
    <mergeCell ref="ES96:EW96"/>
    <mergeCell ref="ES97:EW97"/>
    <mergeCell ref="ES98:EW98"/>
    <mergeCell ref="ES72:EV72"/>
    <mergeCell ref="ES73:EW73"/>
    <mergeCell ref="ES74:EV74"/>
    <mergeCell ref="ES75:EW75"/>
    <mergeCell ref="ES76:EW76"/>
    <mergeCell ref="ES77:EW77"/>
    <mergeCell ref="ES78:EW78"/>
    <mergeCell ref="ES79:EW79"/>
    <mergeCell ref="ES80:EW80"/>
    <mergeCell ref="ES63:EW63"/>
    <mergeCell ref="D118:N119"/>
    <mergeCell ref="D120:N121"/>
    <mergeCell ref="D122:N123"/>
    <mergeCell ref="L126:N126"/>
    <mergeCell ref="EX72:EZ72"/>
    <mergeCell ref="FD72:FF72"/>
    <mergeCell ref="FJ72:FL72"/>
    <mergeCell ref="FP31:FX32"/>
    <mergeCell ref="FY31:GG32"/>
    <mergeCell ref="EX31:FF32"/>
    <mergeCell ref="FG31:FO32"/>
    <mergeCell ref="EX33:EZ34"/>
    <mergeCell ref="FA33:FC34"/>
    <mergeCell ref="FD33:FF34"/>
    <mergeCell ref="FG33:FI34"/>
    <mergeCell ref="FJ33:FL34"/>
    <mergeCell ref="FM33:FO34"/>
    <mergeCell ref="ES81:EW81"/>
    <mergeCell ref="ES82:EW82"/>
    <mergeCell ref="ES83:EW83"/>
    <mergeCell ref="ES84:EW84"/>
    <mergeCell ref="ES85:EW85"/>
    <mergeCell ref="ES86:EW86"/>
    <mergeCell ref="ES108:EW108"/>
    <mergeCell ref="GN33:GP34"/>
    <mergeCell ref="GK33:GM34"/>
    <mergeCell ref="GH33:GJ34"/>
    <mergeCell ref="GE33:GG34"/>
    <mergeCell ref="GB33:GD34"/>
    <mergeCell ref="FY33:GA34"/>
    <mergeCell ref="FV33:FX34"/>
    <mergeCell ref="FS33:FU34"/>
    <mergeCell ref="FP33:FR34"/>
    <mergeCell ref="ES64:EW64"/>
    <mergeCell ref="ES65:EW65"/>
    <mergeCell ref="ES66:EW66"/>
    <mergeCell ref="ES67:EW67"/>
    <mergeCell ref="ES68:EW68"/>
    <mergeCell ref="ES69:EW69"/>
    <mergeCell ref="ES70:EV70"/>
    <mergeCell ref="ES54:EW54"/>
    <mergeCell ref="ES55:EW55"/>
    <mergeCell ref="ES56:EW56"/>
    <mergeCell ref="ES57:EW57"/>
    <mergeCell ref="ES58:EW58"/>
    <mergeCell ref="ES59:EW59"/>
    <mergeCell ref="ES60:EW60"/>
  </mergeCells>
  <conditionalFormatting sqref="A36:A117">
    <cfRule type="cellIs" dxfId="292" priority="66" operator="equal">
      <formula>0</formula>
    </cfRule>
  </conditionalFormatting>
  <conditionalFormatting sqref="A44:N45 A58:N59 A68:N68 A78:N78 A83:N84 A88:N88 A91:N92 A93:E94 J93:N94 A98:N99 A105:N108">
    <cfRule type="expression" dxfId="289" priority="4">
      <formula>$O$21=10</formula>
    </cfRule>
  </conditionalFormatting>
  <conditionalFormatting sqref="B38 D38:K38">
    <cfRule type="expression" dxfId="288" priority="129">
      <formula>$O$24=5</formula>
    </cfRule>
  </conditionalFormatting>
  <conditionalFormatting sqref="B40 D40:K40">
    <cfRule type="expression" dxfId="286" priority="127">
      <formula>OR($O$24=5,$O$24=1)</formula>
    </cfRule>
  </conditionalFormatting>
  <conditionalFormatting sqref="B87 D87:K87">
    <cfRule type="expression" dxfId="259" priority="78">
      <formula>OR($O$25=1,$O$25=5)</formula>
    </cfRule>
  </conditionalFormatting>
  <conditionalFormatting sqref="B89 D89:K89">
    <cfRule type="expression" dxfId="256" priority="98">
      <formula>$O$25=5</formula>
    </cfRule>
  </conditionalFormatting>
  <conditionalFormatting sqref="B115:E117">
    <cfRule type="cellIs" dxfId="244" priority="200" operator="equal">
      <formula>0</formula>
    </cfRule>
  </conditionalFormatting>
  <conditionalFormatting sqref="C30:C31 C32:E32">
    <cfRule type="cellIs" dxfId="243" priority="155" operator="equal">
      <formula>""</formula>
    </cfRule>
  </conditionalFormatting>
  <conditionalFormatting sqref="C9:E11">
    <cfRule type="cellIs" dxfId="242" priority="400" operator="equal">
      <formula>""</formula>
    </cfRule>
  </conditionalFormatting>
  <conditionalFormatting sqref="C13:E15">
    <cfRule type="cellIs" dxfId="241" priority="397" operator="equal">
      <formula>""</formula>
    </cfRule>
  </conditionalFormatting>
  <conditionalFormatting sqref="C18:E21">
    <cfRule type="cellIs" dxfId="240" priority="393" operator="equal">
      <formula>""</formula>
    </cfRule>
  </conditionalFormatting>
  <conditionalFormatting sqref="C24:E27">
    <cfRule type="cellIs" dxfId="239" priority="156" operator="equal">
      <formula>""</formula>
    </cfRule>
  </conditionalFormatting>
  <conditionalFormatting sqref="D50">
    <cfRule type="expression" dxfId="238" priority="1">
      <formula>$O$21=10</formula>
    </cfRule>
  </conditionalFormatting>
  <conditionalFormatting sqref="D52">
    <cfRule type="expression" dxfId="237" priority="2">
      <formula>$O$21=10</formula>
    </cfRule>
  </conditionalFormatting>
  <conditionalFormatting sqref="E93 J93:K93 B93:B94">
    <cfRule type="cellIs" dxfId="231" priority="160" operator="equal">
      <formula>""</formula>
    </cfRule>
  </conditionalFormatting>
  <conditionalFormatting sqref="I13">
    <cfRule type="expression" dxfId="230" priority="179">
      <formula>$O$13=1</formula>
    </cfRule>
    <cfRule type="expression" dxfId="229" priority="176">
      <formula>$O$13=2</formula>
    </cfRule>
  </conditionalFormatting>
  <conditionalFormatting sqref="J94">
    <cfRule type="cellIs" dxfId="228" priority="77" operator="equal">
      <formula>""</formula>
    </cfRule>
  </conditionalFormatting>
  <conditionalFormatting sqref="J87:K87">
    <cfRule type="cellIs" dxfId="219" priority="261" operator="equal">
      <formula>""</formula>
    </cfRule>
  </conditionalFormatting>
  <conditionalFormatting sqref="K18">
    <cfRule type="expression" dxfId="215" priority="369">
      <formula>$O$21=13</formula>
    </cfRule>
  </conditionalFormatting>
  <conditionalFormatting sqref="L13">
    <cfRule type="expression" dxfId="214" priority="178">
      <formula>$O$13=2</formula>
    </cfRule>
    <cfRule type="expression" dxfId="213" priority="80">
      <formula>$O$13=1</formula>
    </cfRule>
  </conditionalFormatting>
  <conditionalFormatting sqref="L19">
    <cfRule type="expression" dxfId="212" priority="419">
      <formula>$O$21=14</formula>
    </cfRule>
  </conditionalFormatting>
  <conditionalFormatting sqref="L115:N117">
    <cfRule type="cellIs" dxfId="211" priority="276" operator="equal">
      <formula>0</formula>
    </cfRule>
  </conditionalFormatting>
  <conditionalFormatting sqref="AK75">
    <cfRule type="dataBar" priority="195">
      <dataBar>
        <cfvo type="min"/>
        <cfvo type="max"/>
        <color rgb="FF638EC6"/>
      </dataBar>
      <extLst>
        <ext xmlns:x14="http://schemas.microsoft.com/office/spreadsheetml/2009/9/main" uri="{B025F937-C7B1-47D3-B67F-A62EFF666E3E}">
          <x14:id>{2CCE344C-485F-4998-B0D1-CDB0A1796DD0}</x14:id>
        </ext>
      </extLst>
    </cfRule>
  </conditionalFormatting>
  <conditionalFormatting sqref="ES38:EW38">
    <cfRule type="expression" dxfId="206" priority="57">
      <formula>$O$24=5</formula>
    </cfRule>
  </conditionalFormatting>
  <conditionalFormatting sqref="ES40:EW40">
    <cfRule type="expression" dxfId="204" priority="55">
      <formula>OR($O$24=5,$O$24=1)</formula>
    </cfRule>
  </conditionalFormatting>
  <conditionalFormatting sqref="ES87:EW87">
    <cfRule type="expression" dxfId="175" priority="11">
      <formula>OR($O$25=1,$O$25=5)</formula>
    </cfRule>
  </conditionalFormatting>
  <conditionalFormatting sqref="ES89:EW89">
    <cfRule type="expression" dxfId="172" priority="26">
      <formula>$O$25=5</formula>
    </cfRule>
  </conditionalFormatting>
  <conditionalFormatting sqref="ES93:EW94">
    <cfRule type="cellIs" dxfId="168" priority="10" operator="equal">
      <formula>""</formula>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shapeId="1107" r:id="rId5">
          <objectPr defaultSize="0" autoPict="0" r:id="rId6">
            <anchor moveWithCells="1" sizeWithCells="1">
              <from>
                <xdr:col>2</xdr:col>
                <xdr:colOff>182880</xdr:colOff>
                <xdr:row>51</xdr:row>
                <xdr:rowOff>68580</xdr:rowOff>
              </from>
              <to>
                <xdr:col>2</xdr:col>
                <xdr:colOff>601980</xdr:colOff>
                <xdr:row>51</xdr:row>
                <xdr:rowOff>350520</xdr:rowOff>
              </to>
            </anchor>
          </objectPr>
        </oleObject>
      </mc:Choice>
      <mc:Fallback>
        <oleObject shapeId="1107" r:id="rId5"/>
      </mc:Fallback>
    </mc:AlternateContent>
    <mc:AlternateContent xmlns:mc="http://schemas.openxmlformats.org/markup-compatibility/2006">
      <mc:Choice Requires="x14">
        <oleObject shapeId="1110" r:id="rId7">
          <objectPr defaultSize="0" autoPict="0" r:id="rId8">
            <anchor moveWithCells="1" sizeWithCells="1">
              <from>
                <xdr:col>2</xdr:col>
                <xdr:colOff>182880</xdr:colOff>
                <xdr:row>102</xdr:row>
                <xdr:rowOff>68580</xdr:rowOff>
              </from>
              <to>
                <xdr:col>2</xdr:col>
                <xdr:colOff>601980</xdr:colOff>
                <xdr:row>102</xdr:row>
                <xdr:rowOff>350520</xdr:rowOff>
              </to>
            </anchor>
          </objectPr>
        </oleObject>
      </mc:Choice>
      <mc:Fallback>
        <oleObject shapeId="1110" r:id="rId7"/>
      </mc:Fallback>
    </mc:AlternateContent>
  </oleObjects>
  <mc:AlternateContent xmlns:mc="http://schemas.openxmlformats.org/markup-compatibility/2006">
    <mc:Choice Requires="x14">
      <controls>
        <mc:AlternateContent xmlns:mc="http://schemas.openxmlformats.org/markup-compatibility/2006">
          <mc:Choice Requires="x14">
            <control shapeId="1031" r:id="rId9" name="Group Box 7">
              <controlPr defaultSize="0" print="0" autoFill="0" autoPict="0" altText="">
                <anchor moveWithCells="1">
                  <from>
                    <xdr:col>5</xdr:col>
                    <xdr:colOff>563880</xdr:colOff>
                    <xdr:row>8</xdr:row>
                    <xdr:rowOff>0</xdr:rowOff>
                  </from>
                  <to>
                    <xdr:col>13</xdr:col>
                    <xdr:colOff>655320</xdr:colOff>
                    <xdr:row>9</xdr:row>
                    <xdr:rowOff>0</xdr:rowOff>
                  </to>
                </anchor>
              </controlPr>
            </control>
          </mc:Choice>
        </mc:AlternateContent>
        <mc:AlternateContent xmlns:mc="http://schemas.openxmlformats.org/markup-compatibility/2006">
          <mc:Choice Requires="x14">
            <control shapeId="1033" r:id="rId10" name="Group Box 9">
              <controlPr defaultSize="0" print="0" autoFill="0" autoPict="0" altText="">
                <anchor moveWithCells="1">
                  <from>
                    <xdr:col>5</xdr:col>
                    <xdr:colOff>563880</xdr:colOff>
                    <xdr:row>14</xdr:row>
                    <xdr:rowOff>0</xdr:rowOff>
                  </from>
                  <to>
                    <xdr:col>13</xdr:col>
                    <xdr:colOff>655320</xdr:colOff>
                    <xdr:row>21</xdr:row>
                    <xdr:rowOff>0</xdr:rowOff>
                  </to>
                </anchor>
              </controlPr>
            </control>
          </mc:Choice>
        </mc:AlternateContent>
        <mc:AlternateContent xmlns:mc="http://schemas.openxmlformats.org/markup-compatibility/2006">
          <mc:Choice Requires="x14">
            <control shapeId="1080" r:id="rId11" name="Group Box 56">
              <controlPr defaultSize="0" print="0" autoFill="0" autoPict="0">
                <anchor moveWithCells="1">
                  <from>
                    <xdr:col>5</xdr:col>
                    <xdr:colOff>571500</xdr:colOff>
                    <xdr:row>12</xdr:row>
                    <xdr:rowOff>0</xdr:rowOff>
                  </from>
                  <to>
                    <xdr:col>13</xdr:col>
                    <xdr:colOff>655320</xdr:colOff>
                    <xdr:row>13</xdr:row>
                    <xdr:rowOff>0</xdr:rowOff>
                  </to>
                </anchor>
              </controlPr>
            </control>
          </mc:Choice>
        </mc:AlternateContent>
        <mc:AlternateContent xmlns:mc="http://schemas.openxmlformats.org/markup-compatibility/2006">
          <mc:Choice Requires="x14">
            <control shapeId="1088" r:id="rId12" name="Option Button 6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091" r:id="rId13" name="Option Button 67">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1092" r:id="rId14" name="Option Button 68">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1094" r:id="rId15" name="Option Button 70">
              <controlPr defaultSize="0" autoFill="0" autoLine="0" autoPict="0" altText="">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1095" r:id="rId16" name="Option Button 71">
              <controlPr defaultSize="0" autoFill="0" autoLine="0" autoPict="0" altText="">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1096" r:id="rId17" name="Option Button 72">
              <controlPr defaultSize="0" autoFill="0" autoLine="0" autoPict="0" altText="">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1098" r:id="rId18" name="Option Button 74">
              <controlPr defaultSize="0" autoFill="0" autoLine="0" autoPict="0" altText="">
                <anchor moveWithCells="1">
                  <from>
                    <xdr:col>7</xdr:col>
                    <xdr:colOff>678180</xdr:colOff>
                    <xdr:row>15</xdr:row>
                    <xdr:rowOff>30480</xdr:rowOff>
                  </from>
                  <to>
                    <xdr:col>8</xdr:col>
                    <xdr:colOff>822960</xdr:colOff>
                    <xdr:row>16</xdr:row>
                    <xdr:rowOff>0</xdr:rowOff>
                  </to>
                </anchor>
              </controlPr>
            </control>
          </mc:Choice>
        </mc:AlternateContent>
        <mc:AlternateContent xmlns:mc="http://schemas.openxmlformats.org/markup-compatibility/2006">
          <mc:Choice Requires="x14">
            <control shapeId="1099" r:id="rId19" name="Option Button 75">
              <controlPr defaultSize="0" autoFill="0" autoLine="0" autoPict="0" altText="">
                <anchor moveWithCells="1">
                  <from>
                    <xdr:col>7</xdr:col>
                    <xdr:colOff>678180</xdr:colOff>
                    <xdr:row>16</xdr:row>
                    <xdr:rowOff>30480</xdr:rowOff>
                  </from>
                  <to>
                    <xdr:col>8</xdr:col>
                    <xdr:colOff>822960</xdr:colOff>
                    <xdr:row>17</xdr:row>
                    <xdr:rowOff>0</xdr:rowOff>
                  </to>
                </anchor>
              </controlPr>
            </control>
          </mc:Choice>
        </mc:AlternateContent>
        <mc:AlternateContent xmlns:mc="http://schemas.openxmlformats.org/markup-compatibility/2006">
          <mc:Choice Requires="x14">
            <control shapeId="1102" r:id="rId20" name="Option Button 78">
              <controlPr defaultSize="0" autoFill="0" autoLine="0" autoPict="0" altText="">
                <anchor moveWithCells="1">
                  <from>
                    <xdr:col>7</xdr:col>
                    <xdr:colOff>678180</xdr:colOff>
                    <xdr:row>17</xdr:row>
                    <xdr:rowOff>30480</xdr:rowOff>
                  </from>
                  <to>
                    <xdr:col>8</xdr:col>
                    <xdr:colOff>822960</xdr:colOff>
                    <xdr:row>18</xdr:row>
                    <xdr:rowOff>0</xdr:rowOff>
                  </to>
                </anchor>
              </controlPr>
            </control>
          </mc:Choice>
        </mc:AlternateContent>
        <mc:AlternateContent xmlns:mc="http://schemas.openxmlformats.org/markup-compatibility/2006">
          <mc:Choice Requires="x14">
            <control shapeId="1103" r:id="rId21" name="Option Button 79">
              <controlPr defaultSize="0" autoFill="0" autoLine="0" autoPict="0" altText="">
                <anchor moveWithCells="1">
                  <from>
                    <xdr:col>7</xdr:col>
                    <xdr:colOff>678180</xdr:colOff>
                    <xdr:row>18</xdr:row>
                    <xdr:rowOff>30480</xdr:rowOff>
                  </from>
                  <to>
                    <xdr:col>8</xdr:col>
                    <xdr:colOff>822960</xdr:colOff>
                    <xdr:row>19</xdr:row>
                    <xdr:rowOff>0</xdr:rowOff>
                  </to>
                </anchor>
              </controlPr>
            </control>
          </mc:Choice>
        </mc:AlternateContent>
        <mc:AlternateContent xmlns:mc="http://schemas.openxmlformats.org/markup-compatibility/2006">
          <mc:Choice Requires="x14">
            <control shapeId="1112" r:id="rId22" name="Group Box 88">
              <controlPr defaultSize="0" print="0" autoFill="0" autoPict="0" altText="">
                <anchor moveWithCells="1">
                  <from>
                    <xdr:col>5</xdr:col>
                    <xdr:colOff>563880</xdr:colOff>
                    <xdr:row>23</xdr:row>
                    <xdr:rowOff>0</xdr:rowOff>
                  </from>
                  <to>
                    <xdr:col>7</xdr:col>
                    <xdr:colOff>762000</xdr:colOff>
                    <xdr:row>29</xdr:row>
                    <xdr:rowOff>106680</xdr:rowOff>
                  </to>
                </anchor>
              </controlPr>
            </control>
          </mc:Choice>
        </mc:AlternateContent>
        <mc:AlternateContent xmlns:mc="http://schemas.openxmlformats.org/markup-compatibility/2006">
          <mc:Choice Requires="x14">
            <control shapeId="1123" r:id="rId23" name="Option Button 99">
              <controlPr defaultSize="0" autoFill="0" autoLine="0" autoPict="0" altText="">
                <anchor moveWithCells="1">
                  <from>
                    <xdr:col>5</xdr:col>
                    <xdr:colOff>563880</xdr:colOff>
                    <xdr:row>24</xdr:row>
                    <xdr:rowOff>7620</xdr:rowOff>
                  </from>
                  <to>
                    <xdr:col>6</xdr:col>
                    <xdr:colOff>335280</xdr:colOff>
                    <xdr:row>24</xdr:row>
                    <xdr:rowOff>182880</xdr:rowOff>
                  </to>
                </anchor>
              </controlPr>
            </control>
          </mc:Choice>
        </mc:AlternateContent>
        <mc:AlternateContent xmlns:mc="http://schemas.openxmlformats.org/markup-compatibility/2006">
          <mc:Choice Requires="x14">
            <control shapeId="1138" r:id="rId24" name="Group Box 114">
              <controlPr defaultSize="0" print="0" autoFill="0" autoPict="0" altText="">
                <anchor moveWithCells="1">
                  <from>
                    <xdr:col>8</xdr:col>
                    <xdr:colOff>678180</xdr:colOff>
                    <xdr:row>22</xdr:row>
                    <xdr:rowOff>175260</xdr:rowOff>
                  </from>
                  <to>
                    <xdr:col>12</xdr:col>
                    <xdr:colOff>68580</xdr:colOff>
                    <xdr:row>29</xdr:row>
                    <xdr:rowOff>121920</xdr:rowOff>
                  </to>
                </anchor>
              </controlPr>
            </control>
          </mc:Choice>
        </mc:AlternateContent>
        <mc:AlternateContent xmlns:mc="http://schemas.openxmlformats.org/markup-compatibility/2006">
          <mc:Choice Requires="x14">
            <control shapeId="1139" r:id="rId25" name="Option Button 115">
              <controlPr defaultSize="0" autoFill="0" autoLine="0" autoPict="0" altText="">
                <anchor moveWithCells="1">
                  <from>
                    <xdr:col>8</xdr:col>
                    <xdr:colOff>762000</xdr:colOff>
                    <xdr:row>24</xdr:row>
                    <xdr:rowOff>22860</xdr:rowOff>
                  </from>
                  <to>
                    <xdr:col>9</xdr:col>
                    <xdr:colOff>312420</xdr:colOff>
                    <xdr:row>25</xdr:row>
                    <xdr:rowOff>0</xdr:rowOff>
                  </to>
                </anchor>
              </controlPr>
            </control>
          </mc:Choice>
        </mc:AlternateContent>
        <mc:AlternateContent xmlns:mc="http://schemas.openxmlformats.org/markup-compatibility/2006">
          <mc:Choice Requires="x14">
            <control shapeId="1156" r:id="rId26" name="Option Button 132">
              <controlPr locked="0" defaultSize="0" autoFill="0" autoLine="0" autoPict="0" altText="">
                <anchor moveWithCells="1">
                  <from>
                    <xdr:col>5</xdr:col>
                    <xdr:colOff>563880</xdr:colOff>
                    <xdr:row>25</xdr:row>
                    <xdr:rowOff>7620</xdr:rowOff>
                  </from>
                  <to>
                    <xdr:col>6</xdr:col>
                    <xdr:colOff>335280</xdr:colOff>
                    <xdr:row>25</xdr:row>
                    <xdr:rowOff>182880</xdr:rowOff>
                  </to>
                </anchor>
              </controlPr>
            </control>
          </mc:Choice>
        </mc:AlternateContent>
        <mc:AlternateContent xmlns:mc="http://schemas.openxmlformats.org/markup-compatibility/2006">
          <mc:Choice Requires="x14">
            <control shapeId="1157" r:id="rId27" name="Option Button 133">
              <controlPr defaultSize="0" autoFill="0" autoLine="0" autoPict="0" altText="">
                <anchor moveWithCells="1">
                  <from>
                    <xdr:col>8</xdr:col>
                    <xdr:colOff>762000</xdr:colOff>
                    <xdr:row>26</xdr:row>
                    <xdr:rowOff>22860</xdr:rowOff>
                  </from>
                  <to>
                    <xdr:col>9</xdr:col>
                    <xdr:colOff>312420</xdr:colOff>
                    <xdr:row>27</xdr:row>
                    <xdr:rowOff>0</xdr:rowOff>
                  </to>
                </anchor>
              </controlPr>
            </control>
          </mc:Choice>
        </mc:AlternateContent>
        <mc:AlternateContent xmlns:mc="http://schemas.openxmlformats.org/markup-compatibility/2006">
          <mc:Choice Requires="x14">
            <control shapeId="1158" r:id="rId28" name="Option Button 134">
              <controlPr defaultSize="0" autoFill="0" autoLine="0" autoPict="0" altText="">
                <anchor moveWithCells="1">
                  <from>
                    <xdr:col>5</xdr:col>
                    <xdr:colOff>563880</xdr:colOff>
                    <xdr:row>26</xdr:row>
                    <xdr:rowOff>7620</xdr:rowOff>
                  </from>
                  <to>
                    <xdr:col>6</xdr:col>
                    <xdr:colOff>335280</xdr:colOff>
                    <xdr:row>26</xdr:row>
                    <xdr:rowOff>182880</xdr:rowOff>
                  </to>
                </anchor>
              </controlPr>
            </control>
          </mc:Choice>
        </mc:AlternateContent>
        <mc:AlternateContent xmlns:mc="http://schemas.openxmlformats.org/markup-compatibility/2006">
          <mc:Choice Requires="x14">
            <control shapeId="1159" r:id="rId29" name="Option Button 135">
              <controlPr defaultSize="0" autoFill="0" autoLine="0" autoPict="0" altText="">
                <anchor moveWithCells="1">
                  <from>
                    <xdr:col>8</xdr:col>
                    <xdr:colOff>762000</xdr:colOff>
                    <xdr:row>26</xdr:row>
                    <xdr:rowOff>22860</xdr:rowOff>
                  </from>
                  <to>
                    <xdr:col>9</xdr:col>
                    <xdr:colOff>312420</xdr:colOff>
                    <xdr:row>27</xdr:row>
                    <xdr:rowOff>0</xdr:rowOff>
                  </to>
                </anchor>
              </controlPr>
            </control>
          </mc:Choice>
        </mc:AlternateContent>
        <mc:AlternateContent xmlns:mc="http://schemas.openxmlformats.org/markup-compatibility/2006">
          <mc:Choice Requires="x14">
            <control shapeId="1160" r:id="rId30" name="Option Button 136">
              <controlPr defaultSize="0" autoFill="0" autoLine="0" autoPict="0" altText="">
                <anchor moveWithCells="1">
                  <from>
                    <xdr:col>5</xdr:col>
                    <xdr:colOff>563880</xdr:colOff>
                    <xdr:row>27</xdr:row>
                    <xdr:rowOff>0</xdr:rowOff>
                  </from>
                  <to>
                    <xdr:col>6</xdr:col>
                    <xdr:colOff>335280</xdr:colOff>
                    <xdr:row>27</xdr:row>
                    <xdr:rowOff>182880</xdr:rowOff>
                  </to>
                </anchor>
              </controlPr>
            </control>
          </mc:Choice>
        </mc:AlternateContent>
        <mc:AlternateContent xmlns:mc="http://schemas.openxmlformats.org/markup-compatibility/2006">
          <mc:Choice Requires="x14">
            <control shapeId="1161" r:id="rId31" name="Option Button 137">
              <controlPr defaultSize="0" autoFill="0" autoLine="0" autoPict="0" altText="">
                <anchor moveWithCells="1">
                  <from>
                    <xdr:col>8</xdr:col>
                    <xdr:colOff>762000</xdr:colOff>
                    <xdr:row>27</xdr:row>
                    <xdr:rowOff>7620</xdr:rowOff>
                  </from>
                  <to>
                    <xdr:col>9</xdr:col>
                    <xdr:colOff>312420</xdr:colOff>
                    <xdr:row>28</xdr:row>
                    <xdr:rowOff>0</xdr:rowOff>
                  </to>
                </anchor>
              </controlPr>
            </control>
          </mc:Choice>
        </mc:AlternateContent>
        <mc:AlternateContent xmlns:mc="http://schemas.openxmlformats.org/markup-compatibility/2006">
          <mc:Choice Requires="x14">
            <control shapeId="1162" r:id="rId32" name="Option Button 138">
              <controlPr defaultSize="0" autoFill="0" autoLine="0" autoPict="0" altText="">
                <anchor moveWithCells="1">
                  <from>
                    <xdr:col>5</xdr:col>
                    <xdr:colOff>563880</xdr:colOff>
                    <xdr:row>28</xdr:row>
                    <xdr:rowOff>0</xdr:rowOff>
                  </from>
                  <to>
                    <xdr:col>6</xdr:col>
                    <xdr:colOff>335280</xdr:colOff>
                    <xdr:row>28</xdr:row>
                    <xdr:rowOff>182880</xdr:rowOff>
                  </to>
                </anchor>
              </controlPr>
            </control>
          </mc:Choice>
        </mc:AlternateContent>
        <mc:AlternateContent xmlns:mc="http://schemas.openxmlformats.org/markup-compatibility/2006">
          <mc:Choice Requires="x14">
            <control shapeId="1163" r:id="rId33" name="Option Button 139">
              <controlPr defaultSize="0" autoFill="0" autoLine="0" autoPict="0" altText="">
                <anchor moveWithCells="1">
                  <from>
                    <xdr:col>8</xdr:col>
                    <xdr:colOff>762000</xdr:colOff>
                    <xdr:row>28</xdr:row>
                    <xdr:rowOff>7620</xdr:rowOff>
                  </from>
                  <to>
                    <xdr:col>9</xdr:col>
                    <xdr:colOff>312420</xdr:colOff>
                    <xdr:row>29</xdr:row>
                    <xdr:rowOff>0</xdr:rowOff>
                  </to>
                </anchor>
              </controlPr>
            </control>
          </mc:Choice>
        </mc:AlternateContent>
        <mc:AlternateContent xmlns:mc="http://schemas.openxmlformats.org/markup-compatibility/2006">
          <mc:Choice Requires="x14">
            <control shapeId="1164" r:id="rId34" name="Option Button 140">
              <controlPr defaultSize="0" autoFill="0" autoLine="0" autoPict="0">
                <anchor moveWithCells="1">
                  <from>
                    <xdr:col>7</xdr:col>
                    <xdr:colOff>678180</xdr:colOff>
                    <xdr:row>12</xdr:row>
                    <xdr:rowOff>30480</xdr:rowOff>
                  </from>
                  <to>
                    <xdr:col>10</xdr:col>
                    <xdr:colOff>289560</xdr:colOff>
                    <xdr:row>12</xdr:row>
                    <xdr:rowOff>182880</xdr:rowOff>
                  </to>
                </anchor>
              </controlPr>
            </control>
          </mc:Choice>
        </mc:AlternateContent>
        <mc:AlternateContent xmlns:mc="http://schemas.openxmlformats.org/markup-compatibility/2006">
          <mc:Choice Requires="x14">
            <control shapeId="1165" r:id="rId35" name="Option Button 14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183" r:id="rId36" name="Group Box 159">
              <controlPr defaultSize="0" print="0" autoFill="0" autoPict="0">
                <anchor moveWithCells="1">
                  <from>
                    <xdr:col>5</xdr:col>
                    <xdr:colOff>571500</xdr:colOff>
                    <xdr:row>10</xdr:row>
                    <xdr:rowOff>0</xdr:rowOff>
                  </from>
                  <to>
                    <xdr:col>13</xdr:col>
                    <xdr:colOff>655320</xdr:colOff>
                    <xdr:row>11</xdr:row>
                    <xdr:rowOff>0</xdr:rowOff>
                  </to>
                </anchor>
              </controlPr>
            </control>
          </mc:Choice>
        </mc:AlternateContent>
        <mc:AlternateContent xmlns:mc="http://schemas.openxmlformats.org/markup-compatibility/2006">
          <mc:Choice Requires="x14">
            <control shapeId="1184" r:id="rId37" name="Option Button 16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185" r:id="rId38" name="Option Button 16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1187" r:id="rId39" name="Option Button 163">
              <controlPr defaultSize="0" autoFill="0" autoLine="0" autoPict="0" altText="">
                <anchor moveWithCells="1">
                  <from>
                    <xdr:col>7</xdr:col>
                    <xdr:colOff>678180</xdr:colOff>
                    <xdr:row>19</xdr:row>
                    <xdr:rowOff>30480</xdr:rowOff>
                  </from>
                  <to>
                    <xdr:col>8</xdr:col>
                    <xdr:colOff>822960</xdr:colOff>
                    <xdr:row>20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0" id="{A7297632-029A-475B-A437-D7E223EC6049}">
            <xm:f>$J$37=Formeln!$A$177</xm:f>
            <x14:dxf>
              <font>
                <color theme="0" tint="-0.34998626667073579"/>
              </font>
            </x14:dxf>
          </x14:cfRule>
          <xm:sqref>A38:A114 A37:B37 D37:K37</xm:sqref>
        </x14:conditionalFormatting>
        <x14:conditionalFormatting xmlns:xm="http://schemas.microsoft.com/office/excel/2006/main">
          <x14:cfRule type="expression" priority="131" id="{71489F02-7EBC-40B4-B2A2-6B2FB3FA743E}">
            <xm:f>$J$36=Formeln!$A$177</xm:f>
            <x14:dxf>
              <font>
                <color theme="0" tint="-0.34998626667073579"/>
              </font>
            </x14:dxf>
          </x14:cfRule>
          <xm:sqref>A36:B36 D36:K36</xm:sqref>
        </x14:conditionalFormatting>
        <x14:conditionalFormatting xmlns:xm="http://schemas.microsoft.com/office/excel/2006/main">
          <x14:cfRule type="expression" priority="128" id="{21F3188A-C5C9-4217-A3AE-3094FB3902C2}">
            <xm:f>$J$39=Formeln!$A$177</xm:f>
            <x14:dxf>
              <font>
                <color theme="0" tint="-0.34998626667073579"/>
              </font>
            </x14:dxf>
          </x14:cfRule>
          <xm:sqref>B39 D39:K39</xm:sqref>
        </x14:conditionalFormatting>
        <x14:conditionalFormatting xmlns:xm="http://schemas.microsoft.com/office/excel/2006/main">
          <x14:cfRule type="expression" priority="126" id="{BEEAC939-9ADB-4D6D-8BB6-00B5D2CDD18A}">
            <xm:f>$J$41=Formeln!$A$177</xm:f>
            <x14:dxf>
              <font>
                <color theme="0" tint="-0.34998626667073579"/>
              </font>
            </x14:dxf>
          </x14:cfRule>
          <xm:sqref>B41 D41:K41</xm:sqref>
        </x14:conditionalFormatting>
        <x14:conditionalFormatting xmlns:xm="http://schemas.microsoft.com/office/excel/2006/main">
          <x14:cfRule type="expression" priority="125" id="{C5BB3AC2-B3B6-4F0B-8B80-6C05152EB296}">
            <xm:f>$J$43=Formeln!$A$177</xm:f>
            <x14:dxf>
              <font>
                <color theme="0" tint="-0.34998626667073579"/>
              </font>
            </x14:dxf>
          </x14:cfRule>
          <xm:sqref>B43 D43:K43</xm:sqref>
        </x14:conditionalFormatting>
        <x14:conditionalFormatting xmlns:xm="http://schemas.microsoft.com/office/excel/2006/main">
          <x14:cfRule type="expression" priority="124" id="{7832B2F1-6BDA-4F9F-921F-4DEB8D8FA496}">
            <xm:f>$J$44=Formeln!$A$177</xm:f>
            <x14:dxf>
              <font>
                <color theme="0" tint="-0.34998626667073579"/>
              </font>
            </x14:dxf>
          </x14:cfRule>
          <xm:sqref>B44 D44:K44</xm:sqref>
        </x14:conditionalFormatting>
        <x14:conditionalFormatting xmlns:xm="http://schemas.microsoft.com/office/excel/2006/main">
          <x14:cfRule type="expression" priority="123" id="{BF94CED9-3E79-41A4-B15B-4786AE4EDC34}">
            <xm:f>$J$45=Formeln!$A$177</xm:f>
            <x14:dxf>
              <font>
                <color theme="0" tint="-0.34998626667073579"/>
              </font>
            </x14:dxf>
          </x14:cfRule>
          <xm:sqref>B45 D45:K45</xm:sqref>
        </x14:conditionalFormatting>
        <x14:conditionalFormatting xmlns:xm="http://schemas.microsoft.com/office/excel/2006/main">
          <x14:cfRule type="expression" priority="122" id="{FEE87D52-EE1E-49AE-BF2C-6824B621EC32}">
            <xm:f>$J$46=Formeln!$A$177</xm:f>
            <x14:dxf>
              <font>
                <color theme="0" tint="-0.34998626667073579"/>
              </font>
            </x14:dxf>
          </x14:cfRule>
          <xm:sqref>B46 D46:K46</xm:sqref>
        </x14:conditionalFormatting>
        <x14:conditionalFormatting xmlns:xm="http://schemas.microsoft.com/office/excel/2006/main">
          <x14:cfRule type="expression" priority="121" id="{4716234F-DAC6-4FCD-B720-77BD483DB8ED}">
            <xm:f>$J$47=Formeln!$A$177</xm:f>
            <x14:dxf>
              <font>
                <color theme="0" tint="-0.34998626667073579"/>
              </font>
            </x14:dxf>
          </x14:cfRule>
          <xm:sqref>B47 D47:K47 J48:K48</xm:sqref>
        </x14:conditionalFormatting>
        <x14:conditionalFormatting xmlns:xm="http://schemas.microsoft.com/office/excel/2006/main">
          <x14:cfRule type="expression" priority="119" id="{3CBA8DC8-F6F5-4468-9659-70B8EE241F5A}">
            <xm:f>$J$49=Formeln!$A$177</xm:f>
            <x14:dxf>
              <font>
                <color theme="0" tint="-0.34998626667073579"/>
              </font>
            </x14:dxf>
          </x14:cfRule>
          <xm:sqref>B49 D49:K49</xm:sqref>
        </x14:conditionalFormatting>
        <x14:conditionalFormatting xmlns:xm="http://schemas.microsoft.com/office/excel/2006/main">
          <x14:cfRule type="expression" priority="118" id="{18DDD663-D245-4061-A47A-643BF1B8B9ED}">
            <xm:f>$J$53=Formeln!$A$177</xm:f>
            <x14:dxf>
              <font>
                <color theme="0" tint="-0.34998626667073579"/>
              </font>
            </x14:dxf>
          </x14:cfRule>
          <xm:sqref>B53 D53:K53</xm:sqref>
        </x14:conditionalFormatting>
        <x14:conditionalFormatting xmlns:xm="http://schemas.microsoft.com/office/excel/2006/main">
          <x14:cfRule type="expression" priority="117" id="{965C31CD-F7C0-4EB6-87C7-E4F4F52F742A}">
            <xm:f>$J$54=Formeln!$A$177</xm:f>
            <x14:dxf>
              <font>
                <color theme="0" tint="-0.34998626667073579"/>
              </font>
            </x14:dxf>
          </x14:cfRule>
          <xm:sqref>B54 E54:K54</xm:sqref>
        </x14:conditionalFormatting>
        <x14:conditionalFormatting xmlns:xm="http://schemas.microsoft.com/office/excel/2006/main">
          <x14:cfRule type="expression" priority="116" id="{E75BE902-472C-4172-B878-ED030E549A53}">
            <xm:f>$J$55=Formeln!$A$177</xm:f>
            <x14:dxf>
              <font>
                <color theme="0" tint="-0.34998626667073579"/>
              </font>
            </x14:dxf>
          </x14:cfRule>
          <xm:sqref>B55 D55:K55</xm:sqref>
        </x14:conditionalFormatting>
        <x14:conditionalFormatting xmlns:xm="http://schemas.microsoft.com/office/excel/2006/main">
          <x14:cfRule type="expression" priority="115" id="{D9944D2B-71D5-4C7C-8395-A8815B43367F}">
            <xm:f>$J$56=Formeln!$A$177</xm:f>
            <x14:dxf>
              <font>
                <color theme="0" tint="-0.34998626667073579"/>
              </font>
            </x14:dxf>
          </x14:cfRule>
          <xm:sqref>B56 D56:K56</xm:sqref>
        </x14:conditionalFormatting>
        <x14:conditionalFormatting xmlns:xm="http://schemas.microsoft.com/office/excel/2006/main">
          <x14:cfRule type="expression" priority="114" id="{D6570B61-89AB-4920-AE8A-EB4AA6F421B9}">
            <xm:f>$J$57=Formeln!$A$177</xm:f>
            <x14:dxf>
              <font>
                <color theme="0" tint="-0.34998626667073579"/>
              </font>
            </x14:dxf>
          </x14:cfRule>
          <xm:sqref>B57 D57:K57</xm:sqref>
        </x14:conditionalFormatting>
        <x14:conditionalFormatting xmlns:xm="http://schemas.microsoft.com/office/excel/2006/main">
          <x14:cfRule type="expression" priority="113" id="{8440FB34-B238-4D13-B32C-ECD43025CB56}">
            <xm:f>$J$58=Formeln!$A$177</xm:f>
            <x14:dxf>
              <font>
                <color theme="0" tint="-0.34998626667073579"/>
              </font>
            </x14:dxf>
          </x14:cfRule>
          <xm:sqref>B58 D58:K58</xm:sqref>
        </x14:conditionalFormatting>
        <x14:conditionalFormatting xmlns:xm="http://schemas.microsoft.com/office/excel/2006/main">
          <x14:cfRule type="expression" priority="112" id="{9383F9C6-1A74-457A-848D-447CBA765484}">
            <xm:f>$J$59=Formeln!$A$177</xm:f>
            <x14:dxf>
              <font>
                <color theme="0" tint="-0.34998626667073579"/>
              </font>
            </x14:dxf>
          </x14:cfRule>
          <xm:sqref>B59 D59:K59</xm:sqref>
        </x14:conditionalFormatting>
        <x14:conditionalFormatting xmlns:xm="http://schemas.microsoft.com/office/excel/2006/main">
          <x14:cfRule type="expression" priority="111" id="{F9538138-C7E7-4553-AFC8-0BE4ACFE86F5}">
            <xm:f>$J$60=Formeln!$A$177</xm:f>
            <x14:dxf>
              <font>
                <color theme="0" tint="-0.34998626667073579"/>
              </font>
            </x14:dxf>
          </x14:cfRule>
          <xm:sqref>B60 D60:K60</xm:sqref>
        </x14:conditionalFormatting>
        <x14:conditionalFormatting xmlns:xm="http://schemas.microsoft.com/office/excel/2006/main">
          <x14:cfRule type="expression" priority="110" id="{AB50E477-A525-41CA-901E-63C7B3C56FEC}">
            <xm:f>$J$61=Formeln!$A$177</xm:f>
            <x14:dxf>
              <font>
                <color theme="0" tint="-0.34998626667073579"/>
              </font>
            </x14:dxf>
          </x14:cfRule>
          <xm:sqref>B61 D61:K61</xm:sqref>
        </x14:conditionalFormatting>
        <x14:conditionalFormatting xmlns:xm="http://schemas.microsoft.com/office/excel/2006/main">
          <x14:cfRule type="expression" priority="109" id="{C238ECFA-031C-4CB9-A9CD-B28DACC974E9}">
            <xm:f>$J$62=Formeln!$A$177</xm:f>
            <x14:dxf>
              <font>
                <color theme="0" tint="-0.34998626667073579"/>
              </font>
            </x14:dxf>
          </x14:cfRule>
          <xm:sqref>B62 D62:K62</xm:sqref>
        </x14:conditionalFormatting>
        <x14:conditionalFormatting xmlns:xm="http://schemas.microsoft.com/office/excel/2006/main">
          <x14:cfRule type="expression" priority="107" id="{49C09583-FA36-4E75-9E3F-5F8C01094E2B}">
            <xm:f>$J$68=Formeln!$A$177</xm:f>
            <x14:dxf>
              <font>
                <color theme="0" tint="-0.34998626667073579"/>
              </font>
            </x14:dxf>
          </x14:cfRule>
          <xm:sqref>B68</xm:sqref>
        </x14:conditionalFormatting>
        <x14:conditionalFormatting xmlns:xm="http://schemas.microsoft.com/office/excel/2006/main">
          <x14:cfRule type="expression" priority="83" id="{147ED8EB-41B1-4659-B21F-A3BC8D7D4A5B}">
            <xm:f>$J$69=Formeln!$A$177</xm:f>
            <x14:dxf>
              <font>
                <color theme="0" tint="-0.34998626667073579"/>
              </font>
            </x14:dxf>
          </x14:cfRule>
          <xm:sqref>B69 D69:K69</xm:sqref>
        </x14:conditionalFormatting>
        <x14:conditionalFormatting xmlns:xm="http://schemas.microsoft.com/office/excel/2006/main">
          <x14:cfRule type="expression" priority="106" id="{9B614231-3FFC-4B03-9007-260EDE6DC280}">
            <xm:f>$J$80=Formeln!$A$177</xm:f>
            <x14:dxf>
              <font>
                <color theme="0" tint="-0.34998626667073579"/>
              </font>
            </x14:dxf>
          </x14:cfRule>
          <xm:sqref>B80 D80:K80</xm:sqref>
        </x14:conditionalFormatting>
        <x14:conditionalFormatting xmlns:xm="http://schemas.microsoft.com/office/excel/2006/main">
          <x14:cfRule type="expression" priority="105" id="{359AE584-DD33-472C-AB0F-64913465B0D5}">
            <xm:f>$J$81=Formeln!$A$177</xm:f>
            <x14:dxf>
              <font>
                <color theme="0" tint="-0.34998626667073579"/>
              </font>
            </x14:dxf>
          </x14:cfRule>
          <xm:sqref>B81 D81:K81</xm:sqref>
        </x14:conditionalFormatting>
        <x14:conditionalFormatting xmlns:xm="http://schemas.microsoft.com/office/excel/2006/main">
          <x14:cfRule type="expression" priority="84" id="{78C8ECB1-DDA4-4FF5-8C32-0A67883D32B2}">
            <xm:f>$J$82=Formeln!$A$177</xm:f>
            <x14:dxf>
              <font>
                <color theme="0" tint="-0.34998626667073579"/>
              </font>
            </x14:dxf>
          </x14:cfRule>
          <xm:sqref>B82 D82:K82</xm:sqref>
        </x14:conditionalFormatting>
        <x14:conditionalFormatting xmlns:xm="http://schemas.microsoft.com/office/excel/2006/main">
          <x14:cfRule type="expression" priority="104" id="{C2C3A87D-83AB-4B63-B09C-09583EFD6B2C}">
            <xm:f>$J$83=Formeln!$A$177</xm:f>
            <x14:dxf>
              <font>
                <color theme="0" tint="-0.34998626667073579"/>
              </font>
            </x14:dxf>
          </x14:cfRule>
          <xm:sqref>B83 D83:K83</xm:sqref>
        </x14:conditionalFormatting>
        <x14:conditionalFormatting xmlns:xm="http://schemas.microsoft.com/office/excel/2006/main">
          <x14:cfRule type="expression" priority="103" id="{EF0B7A3A-F268-476D-B518-7CE29A0E869F}">
            <xm:f>$J$84=Formeln!$A$177</xm:f>
            <x14:dxf>
              <font>
                <color theme="0" tint="-0.34998626667073579"/>
              </font>
            </x14:dxf>
          </x14:cfRule>
          <xm:sqref>B84 D84:K84</xm:sqref>
        </x14:conditionalFormatting>
        <x14:conditionalFormatting xmlns:xm="http://schemas.microsoft.com/office/excel/2006/main">
          <x14:cfRule type="expression" priority="102" id="{51320D22-53E4-46A0-8E87-EAA10C38FE5F}">
            <xm:f>$J$85=Formeln!$A$177</xm:f>
            <x14:dxf>
              <font>
                <color theme="0" tint="-0.34998626667073579"/>
              </font>
            </x14:dxf>
          </x14:cfRule>
          <xm:sqref>B85 D85:K85</xm:sqref>
        </x14:conditionalFormatting>
        <x14:conditionalFormatting xmlns:xm="http://schemas.microsoft.com/office/excel/2006/main">
          <x14:cfRule type="expression" priority="101" id="{A9EAE49A-C23B-44A2-81E7-C654B6AB71BB}">
            <xm:f>$J$86=Formeln!$A$177</xm:f>
            <x14:dxf>
              <font>
                <color theme="0" tint="-0.34998626667073579"/>
              </font>
            </x14:dxf>
          </x14:cfRule>
          <xm:sqref>B86 D86:K86</xm:sqref>
        </x14:conditionalFormatting>
        <x14:conditionalFormatting xmlns:xm="http://schemas.microsoft.com/office/excel/2006/main">
          <x14:cfRule type="expression" priority="100" id="{733DE0F4-DC5A-490D-870A-01F82078341B}">
            <xm:f>$J$87=Formeln!$A$177</xm:f>
            <x14:dxf>
              <font>
                <color theme="0" tint="-0.34998626667073579"/>
              </font>
            </x14:dxf>
          </x14:cfRule>
          <xm:sqref>B87 D87:K87</xm:sqref>
        </x14:conditionalFormatting>
        <x14:conditionalFormatting xmlns:xm="http://schemas.microsoft.com/office/excel/2006/main">
          <x14:cfRule type="expression" priority="99" id="{B65FCF3D-38A7-43B7-85A9-BD670FB1EA4F}">
            <xm:f>$J$88=Formeln!$A$177</xm:f>
            <x14:dxf>
              <font>
                <color theme="0" tint="-0.34998626667073579"/>
              </font>
            </x14:dxf>
          </x14:cfRule>
          <xm:sqref>B88 D88:K88</xm:sqref>
        </x14:conditionalFormatting>
        <x14:conditionalFormatting xmlns:xm="http://schemas.microsoft.com/office/excel/2006/main">
          <x14:cfRule type="expression" priority="96" id="{7B8AA3E3-104C-41F1-A1E0-FCE6BD18E07E}">
            <xm:f>$J$90=Formeln!$A$177</xm:f>
            <x14:dxf>
              <font>
                <color theme="0" tint="-0.34998626667073579"/>
              </font>
            </x14:dxf>
          </x14:cfRule>
          <xm:sqref>B90 D90:K90</xm:sqref>
        </x14:conditionalFormatting>
        <x14:conditionalFormatting xmlns:xm="http://schemas.microsoft.com/office/excel/2006/main">
          <x14:cfRule type="expression" priority="95" id="{C5ED3874-7FB4-4F49-A3E7-A01A0ECD3192}">
            <xm:f>$J$91=Formeln!$A$177</xm:f>
            <x14:dxf>
              <font>
                <color theme="0" tint="-0.34998626667073579"/>
              </font>
            </x14:dxf>
          </x14:cfRule>
          <xm:sqref>B91 D91:K91</xm:sqref>
        </x14:conditionalFormatting>
        <x14:conditionalFormatting xmlns:xm="http://schemas.microsoft.com/office/excel/2006/main">
          <x14:cfRule type="expression" priority="94" id="{4C35F7B6-1101-4837-AA8E-4230C1D6E344}">
            <xm:f>$J$95=Formeln!$A$177</xm:f>
            <x14:dxf>
              <font>
                <color theme="0" tint="-0.34998626667073579"/>
              </font>
            </x14:dxf>
          </x14:cfRule>
          <xm:sqref>B95 D95:K95</xm:sqref>
        </x14:conditionalFormatting>
        <x14:conditionalFormatting xmlns:xm="http://schemas.microsoft.com/office/excel/2006/main">
          <x14:cfRule type="expression" priority="93" id="{94B72B97-3438-41D1-9D6D-F062AA95A79F}">
            <xm:f>$J$96=Formeln!$A$177</xm:f>
            <x14:dxf>
              <font>
                <color theme="0" tint="-0.34998626667073579"/>
              </font>
            </x14:dxf>
          </x14:cfRule>
          <xm:sqref>B96 D96:K96</xm:sqref>
        </x14:conditionalFormatting>
        <x14:conditionalFormatting xmlns:xm="http://schemas.microsoft.com/office/excel/2006/main">
          <x14:cfRule type="expression" priority="92" id="{143585D9-A433-4034-8B2F-9D446B2473B2}">
            <xm:f>$J$97=Formeln!$A$177</xm:f>
            <x14:dxf>
              <font>
                <color theme="0" tint="-0.34998626667073579"/>
              </font>
            </x14:dxf>
          </x14:cfRule>
          <xm:sqref>B97 D97:K97</xm:sqref>
        </x14:conditionalFormatting>
        <x14:conditionalFormatting xmlns:xm="http://schemas.microsoft.com/office/excel/2006/main">
          <x14:cfRule type="expression" priority="91" id="{B9B26701-0E7C-44D9-B9B0-344D9845A903}">
            <xm:f>$J$98=Formeln!$A$177</xm:f>
            <x14:dxf>
              <font>
                <color theme="0" tint="-0.34998626667073579"/>
              </font>
            </x14:dxf>
          </x14:cfRule>
          <xm:sqref>B98 D98:K98</xm:sqref>
        </x14:conditionalFormatting>
        <x14:conditionalFormatting xmlns:xm="http://schemas.microsoft.com/office/excel/2006/main">
          <x14:cfRule type="expression" priority="90" id="{CF4FF2FF-D930-46CC-BE72-1DFDB2F45E31}">
            <xm:f>$J$99=Formeln!$A$177</xm:f>
            <x14:dxf>
              <font>
                <color theme="0" tint="-0.34998626667073579"/>
              </font>
            </x14:dxf>
          </x14:cfRule>
          <xm:sqref>B99 D99:K99</xm:sqref>
        </x14:conditionalFormatting>
        <x14:conditionalFormatting xmlns:xm="http://schemas.microsoft.com/office/excel/2006/main">
          <x14:cfRule type="expression" priority="89" id="{EDE3979E-E68D-429C-839B-395F0D7B07D5}">
            <xm:f>$J$103=Formeln!$A$177</xm:f>
            <x14:dxf>
              <font>
                <color theme="0" tint="-0.34998626667073579"/>
              </font>
            </x14:dxf>
          </x14:cfRule>
          <xm:sqref>B103 D103:K103</xm:sqref>
        </x14:conditionalFormatting>
        <x14:conditionalFormatting xmlns:xm="http://schemas.microsoft.com/office/excel/2006/main">
          <x14:cfRule type="expression" priority="88" id="{9D04698F-A851-4A3B-B639-6F19203AB03E}">
            <xm:f>$J$104=Formeln!$A$177</xm:f>
            <x14:dxf>
              <font>
                <color theme="0" tint="-0.34998626667073579"/>
              </font>
            </x14:dxf>
          </x14:cfRule>
          <xm:sqref>B104 D104:K104</xm:sqref>
        </x14:conditionalFormatting>
        <x14:conditionalFormatting xmlns:xm="http://schemas.microsoft.com/office/excel/2006/main">
          <x14:cfRule type="expression" priority="86" id="{75ED521F-416A-4309-BFE9-336DC7FD2C20}">
            <xm:f>$J$105=Formeln!$A$177</xm:f>
            <x14:dxf>
              <font>
                <color theme="0" tint="-0.34998626667073579"/>
              </font>
            </x14:dxf>
          </x14:cfRule>
          <xm:sqref>B105 D105:K105</xm:sqref>
        </x14:conditionalFormatting>
        <x14:conditionalFormatting xmlns:xm="http://schemas.microsoft.com/office/excel/2006/main">
          <x14:cfRule type="expression" priority="65" id="{6A64F2EA-C183-43DB-8B96-0F1E6690AAC8}">
            <xm:f>$J$106=Formeln!$A$177</xm:f>
            <x14:dxf>
              <font>
                <color theme="0" tint="-0.34998626667073579"/>
              </font>
            </x14:dxf>
          </x14:cfRule>
          <xm:sqref>B106:B108 E107:I108</xm:sqref>
        </x14:conditionalFormatting>
        <x14:conditionalFormatting xmlns:xm="http://schemas.microsoft.com/office/excel/2006/main">
          <x14:cfRule type="expression" priority="81" id="{FF3C8476-8C64-4D88-B9D4-967F560DCBD2}">
            <xm:f>$J$53=Formeln!$A$177</xm:f>
            <x14:dxf>
              <font>
                <color theme="0" tint="-0.34998626667073579"/>
              </font>
            </x14:dxf>
          </x14:cfRule>
          <xm:sqref>D54</xm:sqref>
        </x14:conditionalFormatting>
        <x14:conditionalFormatting xmlns:xm="http://schemas.microsoft.com/office/excel/2006/main">
          <x14:cfRule type="expression" priority="76" id="{5D3D5CF1-B8C0-4179-B4A3-C22258B5DD62}">
            <xm:f>$J$91=Formeln!$A$177</xm:f>
            <x14:dxf>
              <font>
                <color theme="0" tint="-0.34998626667073579"/>
              </font>
            </x14:dxf>
          </x14:cfRule>
          <xm:sqref>D93</xm:sqref>
        </x14:conditionalFormatting>
        <x14:conditionalFormatting xmlns:xm="http://schemas.microsoft.com/office/excel/2006/main">
          <x14:cfRule type="expression" priority="71" id="{08BD8935-78AB-4827-9B12-7FCFD918A5D6}">
            <xm:f>$J$83=Formeln!$A$177</xm:f>
            <x14:dxf>
              <font>
                <color theme="0" tint="-0.34998626667073579"/>
              </font>
            </x14:dxf>
          </x14:cfRule>
          <xm:sqref>D92:I92</xm:sqref>
        </x14:conditionalFormatting>
        <x14:conditionalFormatting xmlns:xm="http://schemas.microsoft.com/office/excel/2006/main">
          <x14:cfRule type="expression" priority="85" id="{E8846115-FC9A-47DD-BFED-18BF23748C2A}">
            <xm:f>$J$68=Formeln!$A$177</xm:f>
            <x14:dxf>
              <font>
                <color theme="0" tint="-0.34998626667073579"/>
              </font>
            </x14:dxf>
          </x14:cfRule>
          <xm:sqref>D68:K68 B92</xm:sqref>
        </x14:conditionalFormatting>
        <x14:conditionalFormatting xmlns:xm="http://schemas.microsoft.com/office/excel/2006/main">
          <x14:cfRule type="expression" priority="87" id="{991ABCC2-87CF-470F-81AE-22893866445D}">
            <xm:f>$J$106=Formeln!$A$177</xm:f>
            <x14:dxf>
              <font>
                <color theme="0" tint="-0.34998626667073579"/>
              </font>
            </x14:dxf>
          </x14:cfRule>
          <xm:sqref>D106:K106</xm:sqref>
        </x14:conditionalFormatting>
        <x14:conditionalFormatting xmlns:xm="http://schemas.microsoft.com/office/excel/2006/main">
          <x14:cfRule type="expression" priority="255" id="{8C3F2971-5A23-4535-8B30-E5FA2FB25512}">
            <xm:f>$J$38=Formeln!$A$1</xm:f>
            <x14:dxf>
              <fill>
                <patternFill>
                  <bgColor theme="0" tint="-0.14996795556505021"/>
                </patternFill>
              </fill>
            </x14:dxf>
          </x14:cfRule>
          <xm:sqref>J38:K38</xm:sqref>
        </x14:conditionalFormatting>
        <x14:conditionalFormatting xmlns:xm="http://schemas.microsoft.com/office/excel/2006/main">
          <x14:cfRule type="expression" priority="254" id="{91F71A24-3623-49FB-8519-1A8867BB8B14}">
            <xm:f>$J$40=Formeln!$A$1</xm:f>
            <x14:dxf>
              <fill>
                <patternFill>
                  <bgColor theme="0" tint="-0.14996795556505021"/>
                </patternFill>
              </fill>
            </x14:dxf>
          </x14:cfRule>
          <xm:sqref>J40:K40</xm:sqref>
        </x14:conditionalFormatting>
        <x14:conditionalFormatting xmlns:xm="http://schemas.microsoft.com/office/excel/2006/main">
          <x14:cfRule type="expression" priority="8" id="{A95D6D3E-68F5-42D7-8EDE-B5AD04598597}">
            <xm:f>$J$69=Formeln!$A$177</xm:f>
            <x14:dxf>
              <font>
                <color theme="0" tint="-0.34998626667073579"/>
              </font>
            </x14:dxf>
          </x14:cfRule>
          <xm:sqref>J67:K67</xm:sqref>
        </x14:conditionalFormatting>
        <x14:conditionalFormatting xmlns:xm="http://schemas.microsoft.com/office/excel/2006/main">
          <x14:cfRule type="expression" priority="168" id="{7042C878-54FD-48B3-8E67-1722AB3E733B}">
            <xm:f>$J$70=Formeln!$A$1</xm:f>
            <x14:dxf>
              <fill>
                <patternFill>
                  <bgColor theme="0" tint="-0.14996795556505021"/>
                </patternFill>
              </fill>
            </x14:dxf>
          </x14:cfRule>
          <xm:sqref>J70:K70 J72</xm:sqref>
        </x14:conditionalFormatting>
        <x14:conditionalFormatting xmlns:xm="http://schemas.microsoft.com/office/excel/2006/main">
          <x14:cfRule type="expression" priority="167" id="{A8C9E1D5-9E24-4709-AB41-E53DCA36D4BD}">
            <xm:f>$J$72=Formeln!$A$1</xm:f>
            <x14:dxf>
              <fill>
                <patternFill>
                  <bgColor theme="0" tint="-0.14996795556505021"/>
                </patternFill>
              </fill>
            </x14:dxf>
          </x14:cfRule>
          <xm:sqref>J72:K72</xm:sqref>
        </x14:conditionalFormatting>
        <x14:conditionalFormatting xmlns:xm="http://schemas.microsoft.com/office/excel/2006/main">
          <x14:cfRule type="expression" priority="248" id="{D9B77599-2A0D-434D-A62B-95AE6D30D9DF}">
            <xm:f>$J$74=Formeln!$A$1</xm:f>
            <x14:dxf>
              <fill>
                <patternFill>
                  <bgColor theme="0" tint="-0.14996795556505021"/>
                </patternFill>
              </fill>
            </x14:dxf>
          </x14:cfRule>
          <xm:sqref>J74:K74</xm:sqref>
        </x14:conditionalFormatting>
        <x14:conditionalFormatting xmlns:xm="http://schemas.microsoft.com/office/excel/2006/main">
          <x14:cfRule type="expression" priority="3" id="{BC650406-3A22-4F36-B615-A1D439BBE8F5}">
            <xm:f>$J$77=Formeln!$A$1</xm:f>
            <x14:dxf>
              <fill>
                <patternFill>
                  <bgColor theme="0" tint="-0.14996795556505021"/>
                </patternFill>
              </fill>
            </x14:dxf>
          </x14:cfRule>
          <xm:sqref>J77:K77</xm:sqref>
        </x14:conditionalFormatting>
        <x14:conditionalFormatting xmlns:xm="http://schemas.microsoft.com/office/excel/2006/main">
          <x14:cfRule type="expression" priority="82" id="{7356F648-D6B3-4A24-8D22-35B553410BDF}">
            <xm:f>$J$79=Formeln!$A$177</xm:f>
            <x14:dxf>
              <font>
                <color theme="0" tint="-0.34998626667073579"/>
              </font>
            </x14:dxf>
          </x14:cfRule>
          <xm:sqref>J79:K79</xm:sqref>
        </x14:conditionalFormatting>
        <x14:conditionalFormatting xmlns:xm="http://schemas.microsoft.com/office/excel/2006/main">
          <x14:cfRule type="expression" priority="247" id="{EA9F1C99-4D3D-4CDE-B566-7A9A25819B16}">
            <xm:f>$J$89=Formeln!$A$1</xm:f>
            <x14:dxf>
              <fill>
                <patternFill>
                  <bgColor theme="0" tint="-0.14996795556505021"/>
                </patternFill>
              </fill>
            </x14:dxf>
          </x14:cfRule>
          <xm:sqref>J89:K89</xm:sqref>
        </x14:conditionalFormatting>
        <x14:conditionalFormatting xmlns:xm="http://schemas.microsoft.com/office/excel/2006/main">
          <x14:cfRule type="expression" priority="246" id="{3AB3A3D6-F198-40F5-BF18-CD300C8E03D7}">
            <xm:f>$J$100=Formeln!$A$1</xm:f>
            <x14:dxf>
              <fill>
                <patternFill>
                  <bgColor theme="0" tint="-0.14996795556505021"/>
                </patternFill>
              </fill>
            </x14:dxf>
          </x14:cfRule>
          <xm:sqref>J100:K100</xm:sqref>
        </x14:conditionalFormatting>
        <x14:conditionalFormatting xmlns:xm="http://schemas.microsoft.com/office/excel/2006/main">
          <x14:cfRule type="expression" priority="74" id="{2E61C0F6-6F6F-46FE-947B-E0896994D016}">
            <xm:f>$J$68=Formeln!$A$177</xm:f>
            <x14:dxf>
              <font>
                <color theme="0" tint="-0.34998626667073579"/>
              </font>
            </x14:dxf>
          </x14:cfRule>
          <xm:sqref>J92:O92</xm:sqref>
        </x14:conditionalFormatting>
        <x14:conditionalFormatting xmlns:xm="http://schemas.microsoft.com/office/excel/2006/main">
          <x14:cfRule type="expression" priority="62" id="{B829B512-5D88-4627-8B4F-703E37E0C88A}">
            <xm:f>Info!$V$7=8</xm:f>
            <x14:dxf>
              <font>
                <color theme="1"/>
              </font>
              <border>
                <left style="thin">
                  <color auto="1"/>
                </left>
                <right style="thin">
                  <color auto="1"/>
                </right>
                <top style="thin">
                  <color auto="1"/>
                </top>
                <bottom style="thin">
                  <color auto="1"/>
                </bottom>
                <vertical/>
                <horizontal/>
              </border>
            </x14:dxf>
          </x14:cfRule>
          <xm:sqref>O35:O114</xm:sqref>
        </x14:conditionalFormatting>
        <x14:conditionalFormatting xmlns:xm="http://schemas.microsoft.com/office/excel/2006/main">
          <x14:cfRule type="expression" priority="61" id="{CA76B460-0EE0-4DCA-86B5-5945A0FD47BF}">
            <xm:f>Info!$V$7=8</xm:f>
            <x14:dxf>
              <font>
                <color theme="1"/>
              </font>
              <border>
                <bottom style="thin">
                  <color auto="1"/>
                </bottom>
              </border>
            </x14:dxf>
          </x14:cfRule>
          <xm:sqref>O119</xm:sqref>
        </x14:conditionalFormatting>
        <x14:conditionalFormatting xmlns:xm="http://schemas.microsoft.com/office/excel/2006/main">
          <x14:cfRule type="dataBar" id="{2CCE344C-485F-4998-B0D1-CDB0A1796DD0}">
            <x14:dataBar minLength="0" maxLength="100" gradient="0">
              <x14:cfvo type="autoMin"/>
              <x14:cfvo type="autoMax"/>
              <x14:negativeFillColor rgb="FFFF0000"/>
              <x14:axisColor rgb="FF000000"/>
            </x14:dataBar>
          </x14:cfRule>
          <xm:sqref>AK75</xm:sqref>
        </x14:conditionalFormatting>
        <x14:conditionalFormatting xmlns:xm="http://schemas.microsoft.com/office/excel/2006/main">
          <x14:cfRule type="expression" priority="59" id="{6D4F940D-6704-479A-9581-9BEDB7AFE744}">
            <xm:f>$J$36=Formeln!$A$177</xm:f>
            <x14:dxf>
              <font>
                <color theme="0" tint="-0.34998626667073579"/>
              </font>
            </x14:dxf>
          </x14:cfRule>
          <xm:sqref>ES36:EW36</xm:sqref>
        </x14:conditionalFormatting>
        <x14:conditionalFormatting xmlns:xm="http://schemas.microsoft.com/office/excel/2006/main">
          <x14:cfRule type="expression" priority="58" id="{41BECCB9-3C7B-44CC-86F0-5D71851E5AD7}">
            <xm:f>$J$37=Formeln!$A$177</xm:f>
            <x14:dxf>
              <font>
                <color theme="0" tint="-0.34998626667073579"/>
              </font>
            </x14:dxf>
          </x14:cfRule>
          <xm:sqref>ES37:EW37</xm:sqref>
        </x14:conditionalFormatting>
        <x14:conditionalFormatting xmlns:xm="http://schemas.microsoft.com/office/excel/2006/main">
          <x14:cfRule type="expression" priority="56" id="{F984C208-E0DB-472C-91F1-5579C651E2BC}">
            <xm:f>$J$39=Formeln!$A$177</xm:f>
            <x14:dxf>
              <font>
                <color theme="0" tint="-0.34998626667073579"/>
              </font>
            </x14:dxf>
          </x14:cfRule>
          <xm:sqref>ES39:EW39</xm:sqref>
        </x14:conditionalFormatting>
        <x14:conditionalFormatting xmlns:xm="http://schemas.microsoft.com/office/excel/2006/main">
          <x14:cfRule type="expression" priority="54" id="{ECB1C152-E70C-4AE3-A214-512BCE66777D}">
            <xm:f>$J$41=Formeln!$A$177</xm:f>
            <x14:dxf>
              <font>
                <color theme="0" tint="-0.34998626667073579"/>
              </font>
            </x14:dxf>
          </x14:cfRule>
          <xm:sqref>ES41:EW41</xm:sqref>
        </x14:conditionalFormatting>
        <x14:conditionalFormatting xmlns:xm="http://schemas.microsoft.com/office/excel/2006/main">
          <x14:cfRule type="expression" priority="53" id="{1813E519-D7B6-4633-905E-BA73300AD9FE}">
            <xm:f>$J$43=Formeln!$A$177</xm:f>
            <x14:dxf>
              <font>
                <color theme="0" tint="-0.34998626667073579"/>
              </font>
            </x14:dxf>
          </x14:cfRule>
          <xm:sqref>ES43:EW43</xm:sqref>
        </x14:conditionalFormatting>
        <x14:conditionalFormatting xmlns:xm="http://schemas.microsoft.com/office/excel/2006/main">
          <x14:cfRule type="expression" priority="52" id="{F47897D2-23D0-4D84-BC95-CF32A3BB8C97}">
            <xm:f>$J$44=Formeln!$A$177</xm:f>
            <x14:dxf>
              <font>
                <color theme="0" tint="-0.34998626667073579"/>
              </font>
            </x14:dxf>
          </x14:cfRule>
          <xm:sqref>ES44:EW44</xm:sqref>
        </x14:conditionalFormatting>
        <x14:conditionalFormatting xmlns:xm="http://schemas.microsoft.com/office/excel/2006/main">
          <x14:cfRule type="expression" priority="51" id="{5FA81113-420A-43DB-8D5A-CFDD2C22A1AB}">
            <xm:f>$J$45=Formeln!$A$177</xm:f>
            <x14:dxf>
              <font>
                <color theme="0" tint="-0.34998626667073579"/>
              </font>
            </x14:dxf>
          </x14:cfRule>
          <xm:sqref>ES45:EW45</xm:sqref>
        </x14:conditionalFormatting>
        <x14:conditionalFormatting xmlns:xm="http://schemas.microsoft.com/office/excel/2006/main">
          <x14:cfRule type="expression" priority="50" id="{40C63C1E-A561-41B4-842F-B3653495DC0D}">
            <xm:f>$J$46=Formeln!$A$177</xm:f>
            <x14:dxf>
              <font>
                <color theme="0" tint="-0.34998626667073579"/>
              </font>
            </x14:dxf>
          </x14:cfRule>
          <xm:sqref>ES46:EW46</xm:sqref>
        </x14:conditionalFormatting>
        <x14:conditionalFormatting xmlns:xm="http://schemas.microsoft.com/office/excel/2006/main">
          <x14:cfRule type="expression" priority="49" id="{B6F4B9CE-9E7D-4134-8258-586FCFF5A444}">
            <xm:f>$J$47=Formeln!$A$177</xm:f>
            <x14:dxf>
              <font>
                <color theme="0" tint="-0.34998626667073579"/>
              </font>
            </x14:dxf>
          </x14:cfRule>
          <xm:sqref>ES47:EW47</xm:sqref>
        </x14:conditionalFormatting>
        <x14:conditionalFormatting xmlns:xm="http://schemas.microsoft.com/office/excel/2006/main">
          <x14:cfRule type="expression" priority="48" id="{68715050-5F1A-49B9-B158-278D76EF6A34}">
            <xm:f>$J$48=Formeln!$A$177</xm:f>
            <x14:dxf>
              <font>
                <color theme="0" tint="-0.34998626667073579"/>
              </font>
            </x14:dxf>
          </x14:cfRule>
          <xm:sqref>ES48:EW48</xm:sqref>
        </x14:conditionalFormatting>
        <x14:conditionalFormatting xmlns:xm="http://schemas.microsoft.com/office/excel/2006/main">
          <x14:cfRule type="expression" priority="47" id="{B278DF54-3FD3-4896-A720-4A5F86A31F35}">
            <xm:f>$J$49=Formeln!$A$177</xm:f>
            <x14:dxf>
              <font>
                <color theme="0" tint="-0.34998626667073579"/>
              </font>
            </x14:dxf>
          </x14:cfRule>
          <xm:sqref>ES49:EW49</xm:sqref>
        </x14:conditionalFormatting>
        <x14:conditionalFormatting xmlns:xm="http://schemas.microsoft.com/office/excel/2006/main">
          <x14:cfRule type="expression" priority="46" id="{068D56C6-EA64-45F0-ACD3-72FBD7479ECE}">
            <xm:f>$J$53=Formeln!$A$177</xm:f>
            <x14:dxf>
              <font>
                <color theme="0" tint="-0.34998626667073579"/>
              </font>
            </x14:dxf>
          </x14:cfRule>
          <xm:sqref>ES53:EW53</xm:sqref>
        </x14:conditionalFormatting>
        <x14:conditionalFormatting xmlns:xm="http://schemas.microsoft.com/office/excel/2006/main">
          <x14:cfRule type="expression" priority="45" id="{0BCA52AD-7CC2-4FAA-9976-4D767FE82F53}">
            <xm:f>$J$54=Formeln!$A$177</xm:f>
            <x14:dxf>
              <font>
                <color theme="0" tint="-0.34998626667073579"/>
              </font>
            </x14:dxf>
          </x14:cfRule>
          <xm:sqref>ES54:EW54</xm:sqref>
        </x14:conditionalFormatting>
        <x14:conditionalFormatting xmlns:xm="http://schemas.microsoft.com/office/excel/2006/main">
          <x14:cfRule type="expression" priority="44" id="{1EE43C12-1BFE-4959-B6CB-215C0BDB5B12}">
            <xm:f>$J$55=Formeln!$A$177</xm:f>
            <x14:dxf>
              <font>
                <color theme="0" tint="-0.34998626667073579"/>
              </font>
            </x14:dxf>
          </x14:cfRule>
          <xm:sqref>ES55:EW55</xm:sqref>
        </x14:conditionalFormatting>
        <x14:conditionalFormatting xmlns:xm="http://schemas.microsoft.com/office/excel/2006/main">
          <x14:cfRule type="expression" priority="43" id="{BE8CD71F-0FC8-44B7-85C8-F68E2AF5471F}">
            <xm:f>$J$56=Formeln!$A$177</xm:f>
            <x14:dxf>
              <font>
                <color theme="0" tint="-0.34998626667073579"/>
              </font>
            </x14:dxf>
          </x14:cfRule>
          <xm:sqref>ES56:EW56</xm:sqref>
        </x14:conditionalFormatting>
        <x14:conditionalFormatting xmlns:xm="http://schemas.microsoft.com/office/excel/2006/main">
          <x14:cfRule type="expression" priority="42" id="{D3060B3C-9CC1-4C0B-8AE6-761A9A5C7003}">
            <xm:f>$J$57=Formeln!$A$177</xm:f>
            <x14:dxf>
              <font>
                <color theme="0" tint="-0.34998626667073579"/>
              </font>
            </x14:dxf>
          </x14:cfRule>
          <xm:sqref>ES57:EW57</xm:sqref>
        </x14:conditionalFormatting>
        <x14:conditionalFormatting xmlns:xm="http://schemas.microsoft.com/office/excel/2006/main">
          <x14:cfRule type="expression" priority="41" id="{2D3D3B53-7DC3-40E1-9167-8B034DD35FAC}">
            <xm:f>$J$58=Formeln!$A$177</xm:f>
            <x14:dxf>
              <font>
                <color theme="0" tint="-0.34998626667073579"/>
              </font>
            </x14:dxf>
          </x14:cfRule>
          <xm:sqref>ES58:EW58</xm:sqref>
        </x14:conditionalFormatting>
        <x14:conditionalFormatting xmlns:xm="http://schemas.microsoft.com/office/excel/2006/main">
          <x14:cfRule type="expression" priority="40" id="{7110F77B-BBAB-4EB3-A7A5-4AAB00F075F0}">
            <xm:f>$J$59=Formeln!$A$177</xm:f>
            <x14:dxf>
              <font>
                <color theme="0" tint="-0.34998626667073579"/>
              </font>
            </x14:dxf>
          </x14:cfRule>
          <xm:sqref>ES59:EW59</xm:sqref>
        </x14:conditionalFormatting>
        <x14:conditionalFormatting xmlns:xm="http://schemas.microsoft.com/office/excel/2006/main">
          <x14:cfRule type="expression" priority="39" id="{AE627290-378A-43AC-B3A3-4A855CF49311}">
            <xm:f>$J$60=Formeln!$A$177</xm:f>
            <x14:dxf>
              <font>
                <color theme="0" tint="-0.34998626667073579"/>
              </font>
            </x14:dxf>
          </x14:cfRule>
          <xm:sqref>ES60:EW60</xm:sqref>
        </x14:conditionalFormatting>
        <x14:conditionalFormatting xmlns:xm="http://schemas.microsoft.com/office/excel/2006/main">
          <x14:cfRule type="expression" priority="38" id="{62CCCB3B-DDE6-4BFD-AF02-517F7C36B11E}">
            <xm:f>$J$61=Formeln!$A$177</xm:f>
            <x14:dxf>
              <font>
                <color theme="0" tint="-0.34998626667073579"/>
              </font>
            </x14:dxf>
          </x14:cfRule>
          <xm:sqref>ES61:EW61</xm:sqref>
        </x14:conditionalFormatting>
        <x14:conditionalFormatting xmlns:xm="http://schemas.microsoft.com/office/excel/2006/main">
          <x14:cfRule type="expression" priority="37" id="{2FB7BA0A-1BB2-4DC2-9A0D-81844DCEA592}">
            <xm:f>$J$62=Formeln!$A$177</xm:f>
            <x14:dxf>
              <font>
                <color theme="0" tint="-0.34998626667073579"/>
              </font>
            </x14:dxf>
          </x14:cfRule>
          <xm:sqref>ES62:EW62</xm:sqref>
        </x14:conditionalFormatting>
        <x14:conditionalFormatting xmlns:xm="http://schemas.microsoft.com/office/excel/2006/main">
          <x14:cfRule type="expression" priority="36" id="{3E62A6FA-1E1C-4A30-A2F1-770F0306D79C}">
            <xm:f>$J$67=Formeln!$A$177</xm:f>
            <x14:dxf>
              <font>
                <color theme="0" tint="-0.34998626667073579"/>
              </font>
            </x14:dxf>
          </x14:cfRule>
          <xm:sqref>ES67:EW67</xm:sqref>
        </x14:conditionalFormatting>
        <x14:conditionalFormatting xmlns:xm="http://schemas.microsoft.com/office/excel/2006/main">
          <x14:cfRule type="expression" priority="35" id="{78FF224F-26FB-44F2-B6FD-A5463280D1A8}">
            <xm:f>$J$68=Formeln!$A$177</xm:f>
            <x14:dxf>
              <font>
                <color theme="0" tint="-0.34998626667073579"/>
              </font>
            </x14:dxf>
          </x14:cfRule>
          <xm:sqref>ES68:EW68</xm:sqref>
        </x14:conditionalFormatting>
        <x14:conditionalFormatting xmlns:xm="http://schemas.microsoft.com/office/excel/2006/main">
          <x14:cfRule type="expression" priority="12" id="{C62C8F33-7F2B-49A2-B963-B9270547F4E6}">
            <xm:f>$J$69=Formeln!$A$177</xm:f>
            <x14:dxf>
              <font>
                <color theme="0" tint="-0.34998626667073579"/>
              </font>
            </x14:dxf>
          </x14:cfRule>
          <xm:sqref>ES69:EW69</xm:sqref>
        </x14:conditionalFormatting>
        <x14:conditionalFormatting xmlns:xm="http://schemas.microsoft.com/office/excel/2006/main">
          <x14:cfRule type="expression" priority="34" id="{AC4F44AA-C005-45E5-82AF-C7AC75E8C730}">
            <xm:f>$J$80=Formeln!$A$177</xm:f>
            <x14:dxf>
              <font>
                <color theme="0" tint="-0.34998626667073579"/>
              </font>
            </x14:dxf>
          </x14:cfRule>
          <xm:sqref>ES80:EW80</xm:sqref>
        </x14:conditionalFormatting>
        <x14:conditionalFormatting xmlns:xm="http://schemas.microsoft.com/office/excel/2006/main">
          <x14:cfRule type="expression" priority="33" id="{C107FBB9-D952-43B2-9198-7E95F37FE425}">
            <xm:f>$J$81=Formeln!$A$177</xm:f>
            <x14:dxf>
              <font>
                <color theme="0" tint="-0.34998626667073579"/>
              </font>
            </x14:dxf>
          </x14:cfRule>
          <xm:sqref>ES81:EW81</xm:sqref>
        </x14:conditionalFormatting>
        <x14:conditionalFormatting xmlns:xm="http://schemas.microsoft.com/office/excel/2006/main">
          <x14:cfRule type="expression" priority="13" id="{1C5A5081-3436-4896-BE26-22DFA8D02A54}">
            <xm:f>$J$82=Formeln!$A$177</xm:f>
            <x14:dxf>
              <font>
                <color theme="0" tint="-0.34998626667073579"/>
              </font>
            </x14:dxf>
          </x14:cfRule>
          <xm:sqref>ES82:EW82</xm:sqref>
        </x14:conditionalFormatting>
        <x14:conditionalFormatting xmlns:xm="http://schemas.microsoft.com/office/excel/2006/main">
          <x14:cfRule type="expression" priority="32" id="{080A25E2-F0C9-4162-A458-CB3CE89B2DBF}">
            <xm:f>$J$83=Formeln!$A$177</xm:f>
            <x14:dxf>
              <font>
                <color theme="0" tint="-0.34998626667073579"/>
              </font>
            </x14:dxf>
          </x14:cfRule>
          <xm:sqref>ES83:EW83</xm:sqref>
        </x14:conditionalFormatting>
        <x14:conditionalFormatting xmlns:xm="http://schemas.microsoft.com/office/excel/2006/main">
          <x14:cfRule type="expression" priority="31" id="{0867385F-DFBC-4902-9C32-821C37D8A8C8}">
            <xm:f>$J$84=Formeln!$A$177</xm:f>
            <x14:dxf>
              <font>
                <color theme="0" tint="-0.34998626667073579"/>
              </font>
            </x14:dxf>
          </x14:cfRule>
          <xm:sqref>ES84:EW84</xm:sqref>
        </x14:conditionalFormatting>
        <x14:conditionalFormatting xmlns:xm="http://schemas.microsoft.com/office/excel/2006/main">
          <x14:cfRule type="expression" priority="30" id="{97EEAC9B-D6C0-4618-8BED-AE22707096EA}">
            <xm:f>$J$85=Formeln!$A$177</xm:f>
            <x14:dxf>
              <font>
                <color theme="0" tint="-0.34998626667073579"/>
              </font>
            </x14:dxf>
          </x14:cfRule>
          <xm:sqref>ES85:EW85</xm:sqref>
        </x14:conditionalFormatting>
        <x14:conditionalFormatting xmlns:xm="http://schemas.microsoft.com/office/excel/2006/main">
          <x14:cfRule type="expression" priority="29" id="{B30DE683-0D42-4B0D-AB45-12D1A7FF4A2B}">
            <xm:f>$J$86=Formeln!$A$177</xm:f>
            <x14:dxf>
              <font>
                <color theme="0" tint="-0.34998626667073579"/>
              </font>
            </x14:dxf>
          </x14:cfRule>
          <xm:sqref>ES86:EW86</xm:sqref>
        </x14:conditionalFormatting>
        <x14:conditionalFormatting xmlns:xm="http://schemas.microsoft.com/office/excel/2006/main">
          <x14:cfRule type="expression" priority="28" id="{C0182A86-B341-46BA-A896-63B466F0D2BA}">
            <xm:f>$J$87=Formeln!$A$177</xm:f>
            <x14:dxf>
              <font>
                <color theme="0" tint="-0.34998626667073579"/>
              </font>
            </x14:dxf>
          </x14:cfRule>
          <xm:sqref>ES87:EW87</xm:sqref>
        </x14:conditionalFormatting>
        <x14:conditionalFormatting xmlns:xm="http://schemas.microsoft.com/office/excel/2006/main">
          <x14:cfRule type="expression" priority="27" id="{8833E8C6-5A2C-43D1-8B83-67F491A792E2}">
            <xm:f>$J$88=Formeln!$A$177</xm:f>
            <x14:dxf>
              <font>
                <color theme="0" tint="-0.34998626667073579"/>
              </font>
            </x14:dxf>
          </x14:cfRule>
          <xm:sqref>ES88:EW88</xm:sqref>
        </x14:conditionalFormatting>
        <x14:conditionalFormatting xmlns:xm="http://schemas.microsoft.com/office/excel/2006/main">
          <x14:cfRule type="expression" priority="25" id="{74EEF252-0AF5-40F5-8866-B14C4F9D5E8E}">
            <xm:f>$J$90=Formeln!$A$177</xm:f>
            <x14:dxf>
              <font>
                <color theme="0" tint="-0.34998626667073579"/>
              </font>
            </x14:dxf>
          </x14:cfRule>
          <xm:sqref>ES90:EW90</xm:sqref>
        </x14:conditionalFormatting>
        <x14:conditionalFormatting xmlns:xm="http://schemas.microsoft.com/office/excel/2006/main">
          <x14:cfRule type="expression" priority="24" id="{2B687ACA-F073-40FE-AC64-1506C175A1CD}">
            <xm:f>$J$91=Formeln!$A$177</xm:f>
            <x14:dxf>
              <font>
                <color theme="0" tint="-0.34998626667073579"/>
              </font>
            </x14:dxf>
          </x14:cfRule>
          <xm:sqref>ES91:EW91</xm:sqref>
        </x14:conditionalFormatting>
        <x14:conditionalFormatting xmlns:xm="http://schemas.microsoft.com/office/excel/2006/main">
          <x14:cfRule type="expression" priority="9" id="{82623A5F-D6DB-49F0-912C-E6B0B17CD6CF}">
            <xm:f>$J$83=Formeln!$A$177</xm:f>
            <x14:dxf>
              <font>
                <color theme="0" tint="-0.34998626667073579"/>
              </font>
            </x14:dxf>
          </x14:cfRule>
          <xm:sqref>ES92:EW92</xm:sqref>
        </x14:conditionalFormatting>
        <x14:conditionalFormatting xmlns:xm="http://schemas.microsoft.com/office/excel/2006/main">
          <x14:cfRule type="expression" priority="23" id="{DB95352B-A80E-4E0F-A37F-4ED66E4153BF}">
            <xm:f>$J$95=Formeln!$A$177</xm:f>
            <x14:dxf>
              <font>
                <color theme="0" tint="-0.34998626667073579"/>
              </font>
            </x14:dxf>
          </x14:cfRule>
          <xm:sqref>ES95:EW95</xm:sqref>
        </x14:conditionalFormatting>
        <x14:conditionalFormatting xmlns:xm="http://schemas.microsoft.com/office/excel/2006/main">
          <x14:cfRule type="expression" priority="22" id="{CAA8AFC0-2A1F-452F-8F13-4CF1538BD17C}">
            <xm:f>$J$96=Formeln!$A$177</xm:f>
            <x14:dxf>
              <font>
                <color theme="0" tint="-0.34998626667073579"/>
              </font>
            </x14:dxf>
          </x14:cfRule>
          <xm:sqref>ES96:EW96</xm:sqref>
        </x14:conditionalFormatting>
        <x14:conditionalFormatting xmlns:xm="http://schemas.microsoft.com/office/excel/2006/main">
          <x14:cfRule type="expression" priority="21" id="{304C6D8B-1959-4FAB-885F-209833A6A973}">
            <xm:f>$J$97=Formeln!$A$177</xm:f>
            <x14:dxf>
              <font>
                <color theme="0" tint="-0.34998626667073579"/>
              </font>
            </x14:dxf>
          </x14:cfRule>
          <xm:sqref>ES97:EW97</xm:sqref>
        </x14:conditionalFormatting>
        <x14:conditionalFormatting xmlns:xm="http://schemas.microsoft.com/office/excel/2006/main">
          <x14:cfRule type="expression" priority="20" id="{3B4378B6-62AC-4823-B4D7-366D1CE48A5A}">
            <xm:f>$J$98=Formeln!$A$177</xm:f>
            <x14:dxf>
              <font>
                <color theme="0" tint="-0.34998626667073579"/>
              </font>
            </x14:dxf>
          </x14:cfRule>
          <xm:sqref>ES98:EW98</xm:sqref>
        </x14:conditionalFormatting>
        <x14:conditionalFormatting xmlns:xm="http://schemas.microsoft.com/office/excel/2006/main">
          <x14:cfRule type="expression" priority="19" id="{A3870FE7-7CD4-4417-84F7-904CDBBD5314}">
            <xm:f>$J$99=Formeln!$A$177</xm:f>
            <x14:dxf>
              <font>
                <color theme="0" tint="-0.34998626667073579"/>
              </font>
            </x14:dxf>
          </x14:cfRule>
          <xm:sqref>ES99:EW99</xm:sqref>
        </x14:conditionalFormatting>
        <x14:conditionalFormatting xmlns:xm="http://schemas.microsoft.com/office/excel/2006/main">
          <x14:cfRule type="expression" priority="18" id="{2C7AF286-F3FC-4629-99CC-6233A8576227}">
            <xm:f>$J$103=Formeln!$A$177</xm:f>
            <x14:dxf>
              <font>
                <color theme="0" tint="-0.34998626667073579"/>
              </font>
            </x14:dxf>
          </x14:cfRule>
          <xm:sqref>ES103:EW103</xm:sqref>
        </x14:conditionalFormatting>
        <x14:conditionalFormatting xmlns:xm="http://schemas.microsoft.com/office/excel/2006/main">
          <x14:cfRule type="expression" priority="17" id="{6C5329F0-10BA-42DF-88CA-085D9E4DF428}">
            <xm:f>$J$104=Formeln!$A$177</xm:f>
            <x14:dxf>
              <font>
                <color theme="0" tint="-0.34998626667073579"/>
              </font>
            </x14:dxf>
          </x14:cfRule>
          <xm:sqref>ES104:EW104</xm:sqref>
        </x14:conditionalFormatting>
        <x14:conditionalFormatting xmlns:xm="http://schemas.microsoft.com/office/excel/2006/main">
          <x14:cfRule type="expression" priority="15" id="{D981D269-1101-4209-BA4A-DE90B8E40CDE}">
            <xm:f>$J$105=Formeln!$A$177</xm:f>
            <x14:dxf>
              <font>
                <color theme="0" tint="-0.34998626667073579"/>
              </font>
            </x14:dxf>
          </x14:cfRule>
          <xm:sqref>ES105:EW105</xm:sqref>
        </x14:conditionalFormatting>
        <x14:conditionalFormatting xmlns:xm="http://schemas.microsoft.com/office/excel/2006/main">
          <x14:cfRule type="expression" priority="16" id="{B10E76F6-A163-46BF-87C5-BE6A7B303844}">
            <xm:f>$J$106=Formeln!$A$177</xm:f>
            <x14:dxf>
              <font>
                <color theme="0" tint="-0.34998626667073579"/>
              </font>
            </x14:dxf>
          </x14:cfRule>
          <xm:sqref>ES106:EW108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B00-000001000000}">
          <x14:formula1>
            <xm:f>Formeln!$A$159:$A$161</xm:f>
          </x14:formula1>
          <xm:sqref>J74:K74</xm:sqref>
        </x14:dataValidation>
        <x14:dataValidation type="list" allowBlank="1" showInputMessage="1" showErrorMessage="1" xr:uid="{00000000-0002-0000-0B00-000002000000}">
          <x14:formula1>
            <xm:f>Formeln!$E$178:$E$180</xm:f>
          </x14:formula1>
          <xm:sqref>J40:K40</xm:sqref>
        </x14:dataValidation>
        <x14:dataValidation type="list" allowBlank="1" showInputMessage="1" showErrorMessage="1" xr:uid="{00000000-0002-0000-0B00-000003000000}">
          <x14:formula1>
            <xm:f>Formeln!$E$167:$E$170</xm:f>
          </x14:formula1>
          <xm:sqref>J38:K38</xm:sqref>
        </x14:dataValidation>
        <x14:dataValidation type="list" allowBlank="1" showInputMessage="1" showErrorMessage="1" xr:uid="{00000000-0002-0000-0B00-000004000000}">
          <x14:formula1>
            <xm:f>Formeln!$A$242:$A$245</xm:f>
          </x14:formula1>
          <xm:sqref>J87:K87</xm:sqref>
        </x14:dataValidation>
        <x14:dataValidation type="list" allowBlank="1" showInputMessage="1" showErrorMessage="1" xr:uid="{00000000-0002-0000-0B00-000005000000}">
          <x14:formula1>
            <xm:f>Formeln!$A$257:$A$259</xm:f>
          </x14:formula1>
          <xm:sqref>J89:K89</xm:sqref>
        </x14:dataValidation>
        <x14:dataValidation type="list" allowBlank="1" showInputMessage="1" showErrorMessage="1" xr:uid="{00000000-0002-0000-0B00-000006000000}">
          <x14:formula1>
            <xm:f>Formeln!$A$266:$A$268</xm:f>
          </x14:formula1>
          <xm:sqref>J100:K100</xm:sqref>
        </x14:dataValidation>
        <x14:dataValidation type="list" allowBlank="1" showInputMessage="1" showErrorMessage="1" xr:uid="{00000000-0002-0000-0B00-000008000000}">
          <x14:formula1>
            <xm:f>Formeln!$A$280:$A$283</xm:f>
          </x14:formula1>
          <xm:sqref>J72:K72</xm:sqref>
        </x14:dataValidation>
        <x14:dataValidation type="list" allowBlank="1" showInputMessage="1" showErrorMessage="1" xr:uid="{00000000-0002-0000-0B00-000009000000}">
          <x14:formula1>
            <xm:f>Formeln!$G$192:$G$195</xm:f>
          </x14:formula1>
          <xm:sqref>J93:K93</xm:sqref>
        </x14:dataValidation>
        <x14:dataValidation type="list" allowBlank="1" showInputMessage="1" showErrorMessage="1" xr:uid="{00000000-0002-0000-0B00-00000A000000}">
          <x14:formula1>
            <xm:f>Formeln!$A$292:$A$294</xm:f>
          </x14:formula1>
          <xm:sqref>J94:K94</xm:sqref>
        </x14:dataValidation>
        <x14:dataValidation type="list" allowBlank="1" showInputMessage="1" showErrorMessage="1" xr:uid="{67C298FF-21AF-451F-9BD3-645854DA789D}">
          <x14:formula1>
            <xm:f>Formeln!$G$194:$G$196</xm:f>
          </x14:formula1>
          <xm:sqref>J77:K77</xm:sqref>
        </x14:dataValidation>
        <x14:dataValidation type="list" allowBlank="1" showInputMessage="1" showErrorMessage="1" xr:uid="{00000000-0002-0000-0B00-000000000000}">
          <x14:formula1>
            <xm:f>Formeln!$B$151:$B$155</xm:f>
          </x14:formula1>
          <xm:sqref>J70:K70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1"/>
  <dimension ref="A1:GV141"/>
  <sheetViews>
    <sheetView showGridLines="0" zoomScale="90" zoomScaleNormal="9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88671875" style="1" customWidth="1"/>
    <col min="15" max="15" width="14.6640625" style="5" customWidth="1"/>
    <col min="16" max="16" width="7.109375" style="5" customWidth="1"/>
    <col min="17" max="17" width="9.5546875" style="129" hidden="1" customWidth="1"/>
    <col min="18" max="18" width="9.6640625" style="5" hidden="1" customWidth="1"/>
    <col min="19" max="19" width="8.6640625" style="5" hidden="1" customWidth="1"/>
    <col min="20" max="20" width="13.109375" style="5" hidden="1" customWidth="1"/>
    <col min="21" max="21" width="7.109375" style="5" hidden="1" customWidth="1"/>
    <col min="22" max="22" width="7.33203125" style="5" hidden="1" customWidth="1"/>
    <col min="23" max="23" width="15.109375" style="5" hidden="1" customWidth="1"/>
    <col min="24" max="24" width="11.77734375" style="5" hidden="1" customWidth="1"/>
    <col min="25" max="27" width="7.109375" style="5" hidden="1" customWidth="1"/>
    <col min="28" max="28" width="9.6640625" style="5" hidden="1" customWidth="1"/>
    <col min="29" max="29" width="30.6640625" style="9" hidden="1" customWidth="1"/>
    <col min="30" max="30" width="26" style="9" hidden="1" customWidth="1"/>
    <col min="31" max="31" width="26" style="1" hidden="1" customWidth="1"/>
    <col min="32" max="50" width="8.6640625" style="1" hidden="1" customWidth="1"/>
    <col min="51" max="51" width="11.44140625" style="1" hidden="1" customWidth="1"/>
    <col min="52" max="16384" width="8.6640625" style="1" hidden="1"/>
  </cols>
  <sheetData>
    <row r="1" spans="1:31" ht="28.2">
      <c r="N1" s="2" t="str">
        <f>VLOOKUP(272,Sprachindex!$A:$Z,Info!$O$7,FALSE)</f>
        <v>Dachrinnensysteme</v>
      </c>
    </row>
    <row r="2" spans="1:31" ht="28.2">
      <c r="D2" s="18"/>
      <c r="N2" s="2" t="str">
        <f>VLOOKUP(693,Sprachindex!$A:$Z,Info!$O$7,FALSE)</f>
        <v>QUADRATROHR</v>
      </c>
    </row>
    <row r="3" spans="1:31" ht="15" customHeight="1"/>
    <row r="4" spans="1:31" ht="17.25" customHeight="1">
      <c r="A4" s="67"/>
      <c r="B4" s="67"/>
      <c r="C4" s="67"/>
      <c r="D4" s="67"/>
      <c r="E4" s="67"/>
      <c r="F4" s="67"/>
      <c r="G4" s="67"/>
      <c r="H4" s="66"/>
      <c r="I4" s="66"/>
      <c r="J4" s="66"/>
      <c r="K4" s="66"/>
      <c r="L4" s="66"/>
      <c r="M4" s="66"/>
      <c r="N4" s="66"/>
      <c r="O4" s="68"/>
      <c r="P4" s="68"/>
      <c r="Q4" s="88"/>
      <c r="R4" s="68"/>
      <c r="S4" s="68"/>
      <c r="T4" s="68"/>
      <c r="U4" s="68"/>
      <c r="V4" s="68"/>
      <c r="W4" s="68"/>
      <c r="X4" s="68"/>
      <c r="Y4" s="68"/>
      <c r="Z4" s="68"/>
      <c r="AA4" s="68"/>
      <c r="AB4" s="68"/>
      <c r="AE4" s="3"/>
    </row>
    <row r="5" spans="1:31" ht="17.25" customHeight="1">
      <c r="A5" s="67"/>
      <c r="B5" s="67"/>
      <c r="C5" s="67"/>
      <c r="D5" s="67"/>
      <c r="E5" s="67"/>
      <c r="F5" s="67"/>
      <c r="G5" s="67"/>
      <c r="H5" s="66"/>
      <c r="I5" s="66"/>
      <c r="J5" s="66"/>
      <c r="K5" s="66"/>
      <c r="L5" s="66"/>
      <c r="M5" s="66"/>
      <c r="N5" s="66"/>
      <c r="O5" s="68"/>
      <c r="P5" s="68"/>
      <c r="Q5" s="88"/>
      <c r="R5" s="68"/>
      <c r="S5" s="68"/>
      <c r="T5" s="68"/>
      <c r="U5" s="68"/>
      <c r="V5" s="68"/>
      <c r="W5" s="68"/>
      <c r="X5" s="68"/>
      <c r="Y5" s="68"/>
      <c r="Z5" s="68"/>
      <c r="AA5" s="68"/>
      <c r="AB5" s="68"/>
      <c r="AE5" s="3"/>
    </row>
    <row r="6" spans="1:31" ht="17.25" customHeight="1">
      <c r="A6" s="67"/>
      <c r="B6" s="67"/>
      <c r="C6" s="67"/>
      <c r="D6" s="67"/>
      <c r="E6" s="67"/>
      <c r="F6" s="67"/>
      <c r="G6" s="67"/>
      <c r="H6" s="66"/>
      <c r="I6" s="66"/>
      <c r="J6" s="66"/>
      <c r="K6" s="66"/>
      <c r="L6" s="66"/>
      <c r="M6" s="66"/>
      <c r="N6" s="66"/>
      <c r="O6" s="68">
        <v>0</v>
      </c>
      <c r="P6" s="68"/>
      <c r="Q6" s="88"/>
      <c r="R6" s="68"/>
      <c r="S6" s="68"/>
      <c r="T6" s="68"/>
      <c r="U6" s="68"/>
      <c r="V6" s="68"/>
      <c r="W6" s="68"/>
      <c r="X6" s="68"/>
      <c r="Y6" s="68"/>
      <c r="Z6" s="68"/>
      <c r="AA6" s="68"/>
      <c r="AB6" s="68"/>
      <c r="AE6" s="3"/>
    </row>
    <row r="7" spans="1:31" ht="17.25" customHeight="1">
      <c r="A7" s="67"/>
      <c r="B7" s="67"/>
      <c r="C7" s="67"/>
      <c r="D7" s="67"/>
      <c r="E7" s="67"/>
      <c r="F7" s="67"/>
      <c r="G7" s="67"/>
      <c r="H7" s="66"/>
      <c r="I7" s="66"/>
      <c r="J7" s="66"/>
      <c r="K7" s="66"/>
      <c r="L7" s="66"/>
      <c r="M7" s="66"/>
      <c r="N7" s="66"/>
      <c r="O7" s="68"/>
      <c r="P7" s="68"/>
      <c r="Q7" s="88"/>
      <c r="R7" s="68"/>
      <c r="S7" s="68"/>
      <c r="T7" s="68"/>
      <c r="U7" s="68"/>
      <c r="V7" s="68"/>
      <c r="W7" s="68"/>
      <c r="X7" s="68"/>
      <c r="Y7" s="68"/>
      <c r="Z7" s="68"/>
      <c r="AA7" s="68"/>
      <c r="AB7" s="68"/>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88"/>
      <c r="R8" s="68"/>
      <c r="S8" s="68"/>
      <c r="T8" s="68"/>
      <c r="U8" s="68"/>
      <c r="V8" s="68"/>
      <c r="W8" s="68"/>
      <c r="X8" s="68"/>
      <c r="Y8" s="68"/>
      <c r="Z8" s="68"/>
      <c r="AA8" s="68"/>
      <c r="AB8" s="68"/>
      <c r="AD8" s="10"/>
    </row>
    <row r="9" spans="1:31" ht="15" customHeight="1">
      <c r="A9" s="67"/>
      <c r="B9" s="71" t="str">
        <f>VLOOKUP(622,Sprachindex!$A:$Z,Info!$O$7,FALSE)</f>
        <v>Name:</v>
      </c>
      <c r="C9" s="615"/>
      <c r="D9" s="616"/>
      <c r="E9" s="617"/>
      <c r="F9" s="67"/>
      <c r="G9" s="82" t="str">
        <f>VLOOKUP(638,Sprachindex!$A:$Z,Info!$O$7,FALSE)</f>
        <v>Oberfläche:</v>
      </c>
      <c r="H9" s="67"/>
      <c r="I9" s="68"/>
      <c r="J9" s="66"/>
      <c r="K9" s="67"/>
      <c r="L9" s="66" t="str">
        <f>VLOOKUP(433,Sprachindex!$A:$Z,Info!$O$7,FALSE)</f>
        <v>glatt</v>
      </c>
      <c r="M9" s="67"/>
      <c r="N9" s="67"/>
      <c r="O9" s="94">
        <v>1</v>
      </c>
      <c r="P9" s="94"/>
      <c r="Q9" s="70"/>
      <c r="R9" s="94"/>
      <c r="S9" s="94"/>
      <c r="T9" s="94"/>
      <c r="U9" s="94"/>
      <c r="V9" s="94"/>
      <c r="W9" s="94"/>
      <c r="X9" s="94"/>
      <c r="Y9" s="94"/>
      <c r="Z9" s="94"/>
      <c r="AA9" s="94"/>
      <c r="AB9" s="94"/>
      <c r="AC9" s="11"/>
      <c r="AE9" s="4"/>
    </row>
    <row r="10" spans="1:31" ht="15" customHeight="1">
      <c r="A10" s="67"/>
      <c r="B10" s="71" t="str">
        <f>VLOOKUP(884,Sprachindex!$A:$Z,Info!$O$7,FALSE)</f>
        <v>Straße:</v>
      </c>
      <c r="C10" s="615"/>
      <c r="D10" s="616"/>
      <c r="E10" s="617"/>
      <c r="F10" s="67"/>
      <c r="G10" s="67"/>
      <c r="H10" s="67"/>
      <c r="I10" s="67"/>
      <c r="J10" s="68">
        <v>1</v>
      </c>
      <c r="K10" s="67"/>
      <c r="L10" s="67"/>
      <c r="M10" s="67"/>
      <c r="N10" s="67"/>
      <c r="O10" s="68"/>
      <c r="P10" s="68"/>
      <c r="Q10" s="88"/>
      <c r="R10" s="68"/>
      <c r="S10" s="68"/>
      <c r="T10" s="68"/>
      <c r="U10" s="68"/>
      <c r="V10" s="68"/>
      <c r="W10" s="68"/>
      <c r="X10" s="68"/>
      <c r="Y10" s="68"/>
      <c r="Z10" s="68"/>
      <c r="AA10" s="68"/>
      <c r="AB10" s="68"/>
      <c r="AE10" s="4"/>
    </row>
    <row r="11" spans="1:31"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70"/>
      <c r="R11" s="94"/>
      <c r="S11" s="94"/>
      <c r="T11" s="94"/>
      <c r="U11" s="94"/>
      <c r="V11" s="94"/>
      <c r="W11" s="94"/>
      <c r="X11" s="94"/>
      <c r="Y11" s="94"/>
      <c r="Z11" s="94"/>
      <c r="AA11" s="94"/>
      <c r="AB11" s="94"/>
      <c r="AC11" s="11"/>
      <c r="AE11" s="4"/>
    </row>
    <row r="12" spans="1:31" ht="15" customHeight="1">
      <c r="A12" s="67"/>
      <c r="B12" s="67"/>
      <c r="C12" s="67"/>
      <c r="D12" s="67"/>
      <c r="E12" s="67"/>
      <c r="F12" s="67"/>
      <c r="G12" s="67"/>
      <c r="H12" s="67"/>
      <c r="I12" s="71"/>
      <c r="J12" s="68">
        <v>1</v>
      </c>
      <c r="K12" s="67"/>
      <c r="L12" s="67"/>
      <c r="M12" s="67"/>
      <c r="N12" s="67"/>
      <c r="O12" s="68"/>
      <c r="P12" s="68"/>
      <c r="Q12" s="88"/>
      <c r="R12" s="68"/>
      <c r="S12" s="68"/>
      <c r="T12" s="68"/>
      <c r="U12" s="68"/>
      <c r="V12" s="68"/>
      <c r="W12" s="68"/>
      <c r="X12" s="68"/>
      <c r="Y12" s="68"/>
      <c r="Z12" s="68"/>
      <c r="AA12" s="68"/>
      <c r="AB12" s="68"/>
    </row>
    <row r="13" spans="1:31"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c r="P13" s="94"/>
      <c r="Q13" s="70"/>
      <c r="R13" s="94"/>
      <c r="S13" s="94"/>
      <c r="T13" s="94"/>
      <c r="U13" s="94"/>
      <c r="V13" s="94"/>
      <c r="W13" s="94"/>
      <c r="X13" s="94"/>
      <c r="Y13" s="94"/>
      <c r="Z13" s="94"/>
      <c r="AA13" s="94"/>
      <c r="AB13" s="94"/>
      <c r="AC13" s="12"/>
      <c r="AE13" s="4"/>
    </row>
    <row r="14" spans="1:31" ht="15" customHeight="1">
      <c r="A14" s="67"/>
      <c r="B14" s="71" t="str">
        <f>VLOOKUP(901,Sprachindex!$A:$Z,Info!$O$7,FALSE)</f>
        <v>Telefon:</v>
      </c>
      <c r="C14" s="615"/>
      <c r="D14" s="616"/>
      <c r="E14" s="617"/>
      <c r="F14" s="67"/>
      <c r="G14" s="67"/>
      <c r="H14" s="67"/>
      <c r="I14" s="67"/>
      <c r="J14" s="67"/>
      <c r="K14" s="67"/>
      <c r="L14" s="67"/>
      <c r="M14" s="67"/>
      <c r="N14" s="67"/>
      <c r="O14" s="68"/>
      <c r="P14" s="68"/>
      <c r="Q14" s="88"/>
      <c r="R14" s="68"/>
      <c r="S14" s="68"/>
      <c r="T14" s="68"/>
      <c r="U14" s="68"/>
      <c r="V14" s="68"/>
      <c r="W14" s="68"/>
      <c r="X14" s="68"/>
      <c r="Y14" s="68"/>
      <c r="Z14" s="68"/>
      <c r="AA14" s="68"/>
      <c r="AB14" s="68"/>
      <c r="AE14" s="4"/>
    </row>
    <row r="15" spans="1:31"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68"/>
      <c r="P15" s="68"/>
      <c r="Q15" s="88"/>
      <c r="R15" s="68"/>
      <c r="T15" s="68"/>
      <c r="U15" s="68"/>
      <c r="V15" s="68"/>
      <c r="W15" s="68"/>
      <c r="X15" s="68"/>
      <c r="Y15" s="68"/>
      <c r="Z15" s="68"/>
      <c r="AA15" s="68"/>
      <c r="AB15" s="68"/>
      <c r="AE15" s="4"/>
    </row>
    <row r="16" spans="1:31" ht="15" customHeight="1">
      <c r="A16" s="67"/>
      <c r="B16" s="67"/>
      <c r="C16" s="67"/>
      <c r="D16" s="67"/>
      <c r="E16" s="67"/>
      <c r="F16" s="67"/>
      <c r="G16" s="67" t="str">
        <f>VLOOKUP(24,Sprachindex!$A:$Z,Info!$O$7,FALSE)</f>
        <v>01 Braun</v>
      </c>
      <c r="J16" s="67"/>
      <c r="K16" s="66"/>
      <c r="L16" s="67"/>
      <c r="M16" s="67"/>
      <c r="N16" s="67"/>
      <c r="O16" s="68"/>
      <c r="P16" s="68"/>
      <c r="Q16" s="88"/>
      <c r="R16" s="68"/>
      <c r="S16" s="68"/>
      <c r="T16" s="68"/>
      <c r="U16" s="68"/>
      <c r="V16" s="68"/>
      <c r="W16" s="68"/>
      <c r="X16" s="68"/>
      <c r="Y16" s="68"/>
      <c r="Z16" s="68"/>
      <c r="AA16" s="68"/>
      <c r="AB16" s="68"/>
    </row>
    <row r="17" spans="1:72" ht="15" customHeight="1">
      <c r="A17" s="83" t="str">
        <f>VLOOKUP(580,Sprachindex!$A:$Z,Info!$O$7,FALSE)</f>
        <v>Lieferadresse:</v>
      </c>
      <c r="B17" s="67"/>
      <c r="C17" s="67"/>
      <c r="D17" s="67"/>
      <c r="E17" s="67"/>
      <c r="F17" s="67"/>
      <c r="G17" s="67" t="str">
        <f>VLOOKUP(26,Sprachindex!$A:$Z,Info!$O$7,FALSE)</f>
        <v>02 Anthrazit</v>
      </c>
      <c r="H17" s="67"/>
      <c r="I17" s="66"/>
      <c r="J17" s="67"/>
      <c r="K17" s="99"/>
      <c r="L17" s="67"/>
      <c r="M17" s="67"/>
      <c r="N17" s="67"/>
      <c r="O17" s="68"/>
      <c r="P17" s="68"/>
      <c r="Q17" s="88"/>
      <c r="R17" s="68"/>
      <c r="S17" s="68"/>
      <c r="T17" s="68"/>
      <c r="U17" s="68"/>
      <c r="V17" s="68"/>
      <c r="W17" s="68"/>
      <c r="X17" s="68"/>
      <c r="Y17" s="68"/>
      <c r="Z17" s="68"/>
      <c r="AA17" s="68"/>
      <c r="AB17" s="68"/>
      <c r="AD17" s="10"/>
    </row>
    <row r="18" spans="1:72" ht="15" customHeight="1">
      <c r="A18" s="67"/>
      <c r="B18" s="71" t="str">
        <f>VLOOKUP(622,Sprachindex!$A:$Z,Info!$O$7,FALSE)</f>
        <v>Name:</v>
      </c>
      <c r="C18" s="615"/>
      <c r="D18" s="616"/>
      <c r="E18" s="617"/>
      <c r="F18" s="67"/>
      <c r="G18" s="66" t="str">
        <f>VLOOKUP(36,Sprachindex!$A:$Z,Info!$O$7,FALSE)</f>
        <v>07 Hellgrau</v>
      </c>
      <c r="H18" s="67"/>
      <c r="I18" s="66"/>
      <c r="J18" s="67"/>
      <c r="K18" s="91"/>
      <c r="L18" s="67"/>
      <c r="M18" s="67"/>
      <c r="N18" s="67"/>
      <c r="O18" s="90"/>
      <c r="P18" s="90"/>
      <c r="Q18" s="84"/>
      <c r="R18" s="90"/>
      <c r="S18" s="90"/>
      <c r="T18" s="90"/>
      <c r="U18" s="90"/>
      <c r="V18" s="90"/>
      <c r="W18" s="90"/>
      <c r="X18" s="90"/>
      <c r="Y18" s="90"/>
      <c r="Z18" s="90"/>
      <c r="AA18" s="90"/>
      <c r="AB18" s="90"/>
      <c r="AE18" s="4"/>
      <c r="BB18"/>
      <c r="BC18"/>
      <c r="BD18"/>
      <c r="BE18"/>
    </row>
    <row r="19" spans="1:72" ht="15" customHeight="1">
      <c r="A19" s="67"/>
      <c r="B19" s="71" t="str">
        <f>VLOOKUP(540,Sprachindex!$A:$Z,Info!$O$7,FALSE)</f>
        <v>Kommission:</v>
      </c>
      <c r="C19" s="615"/>
      <c r="D19" s="616"/>
      <c r="E19" s="617"/>
      <c r="F19" s="67"/>
      <c r="G19" s="66" t="str">
        <f>VLOOKUP(52,Sprachindex!$A:$Z,Info!$O$7,FALSE)</f>
        <v>12 Silbermetallic</v>
      </c>
      <c r="H19" s="67"/>
      <c r="I19" s="66"/>
      <c r="J19" s="67"/>
      <c r="K19" s="67"/>
      <c r="L19" s="99"/>
      <c r="M19" s="67"/>
      <c r="N19" s="67"/>
      <c r="O19" s="68"/>
      <c r="P19" s="68"/>
      <c r="Q19" s="88"/>
      <c r="R19" s="68"/>
      <c r="S19" s="68"/>
      <c r="T19" s="68"/>
      <c r="U19" s="68"/>
      <c r="V19" s="68"/>
      <c r="W19" s="68"/>
      <c r="X19" s="68"/>
      <c r="Y19" s="68"/>
      <c r="Z19" s="68"/>
      <c r="AA19" s="68"/>
      <c r="AB19" s="68"/>
      <c r="AE19" s="4"/>
      <c r="BB19"/>
      <c r="BC19"/>
      <c r="BD19"/>
      <c r="BE19"/>
    </row>
    <row r="20" spans="1:72" ht="15" customHeight="1">
      <c r="A20" s="67"/>
      <c r="B20" s="71" t="str">
        <f>VLOOKUP(884,Sprachindex!$A:$Z,Info!$O$7,FALSE)</f>
        <v>Straße:</v>
      </c>
      <c r="C20" s="615"/>
      <c r="D20" s="616"/>
      <c r="E20" s="617"/>
      <c r="F20" s="67"/>
      <c r="G20" s="67" t="str">
        <f>VLOOKUP(54,Sprachindex!$A:$Z,Info!$O$7,FALSE)</f>
        <v>13 Naturblank</v>
      </c>
      <c r="H20" s="67"/>
      <c r="J20" s="67"/>
      <c r="K20" s="67"/>
      <c r="L20" s="67"/>
      <c r="M20" s="67"/>
      <c r="N20" s="67"/>
      <c r="O20" s="68"/>
      <c r="P20" s="68"/>
      <c r="Q20" s="88"/>
      <c r="R20" s="68"/>
      <c r="S20" s="68"/>
      <c r="T20" s="68"/>
      <c r="U20" s="68"/>
      <c r="V20" s="68"/>
      <c r="W20" s="179"/>
      <c r="AB20" s="68"/>
      <c r="AE20" s="4"/>
    </row>
    <row r="21" spans="1:72" ht="15" customHeight="1">
      <c r="A21" s="67"/>
      <c r="B21" s="71" t="str">
        <f>VLOOKUP(641,Sprachindex!$A:$Z,Info!$O$7,FALSE)</f>
        <v>Ort:</v>
      </c>
      <c r="C21" s="615"/>
      <c r="D21" s="616"/>
      <c r="E21" s="617"/>
      <c r="F21" s="67"/>
      <c r="G21" s="67"/>
      <c r="H21" s="67"/>
      <c r="J21" s="67"/>
      <c r="K21" s="67"/>
      <c r="L21" s="67"/>
      <c r="M21" s="67"/>
      <c r="N21" s="67"/>
      <c r="O21" s="94">
        <v>0</v>
      </c>
      <c r="P21" s="94"/>
      <c r="Q21" s="70"/>
      <c r="R21" s="94"/>
      <c r="S21" s="94"/>
      <c r="T21" s="94"/>
      <c r="U21" s="94"/>
      <c r="V21" s="94"/>
      <c r="W21" s="179"/>
      <c r="AB21" s="94"/>
      <c r="AE21" s="4"/>
    </row>
    <row r="22" spans="1:72" ht="15" customHeight="1">
      <c r="A22" s="67"/>
      <c r="B22" s="71"/>
      <c r="C22" s="67"/>
      <c r="D22" s="67"/>
      <c r="E22" s="67"/>
      <c r="F22" s="67"/>
      <c r="G22" s="67"/>
      <c r="H22" s="67"/>
      <c r="I22" s="67"/>
      <c r="J22" s="67"/>
      <c r="K22" s="67"/>
      <c r="L22" s="67"/>
      <c r="M22" s="67"/>
      <c r="N22" s="67"/>
      <c r="O22" s="94"/>
      <c r="P22" s="94"/>
      <c r="Q22" s="70"/>
      <c r="R22" s="94"/>
      <c r="S22" s="94"/>
      <c r="T22" s="94"/>
      <c r="U22" s="94"/>
      <c r="V22" s="94"/>
      <c r="W22" s="94"/>
      <c r="X22" s="94"/>
      <c r="Y22" s="94"/>
      <c r="Z22" s="94"/>
      <c r="AA22" s="94"/>
      <c r="AB22" s="94"/>
      <c r="AE22" s="4"/>
    </row>
    <row r="23" spans="1:72"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88"/>
      <c r="R23" s="68"/>
      <c r="S23" s="68"/>
      <c r="T23" s="68"/>
      <c r="U23" s="68"/>
      <c r="V23" s="68"/>
      <c r="W23" s="68"/>
      <c r="X23" s="68"/>
      <c r="Y23" s="68"/>
      <c r="Z23" s="68"/>
      <c r="AA23" s="68"/>
      <c r="AB23" s="68"/>
      <c r="AC23" s="52"/>
      <c r="AD23" s="52"/>
      <c r="AE23" s="14"/>
    </row>
    <row r="24" spans="1:72" s="5" customFormat="1" ht="15" customHeight="1">
      <c r="A24" s="1"/>
      <c r="B24" s="640" t="str">
        <f>VLOOKUP(1430,Sprachindex!$A:$Z,Info!$O$7,FALSE)</f>
        <v>Beschreibung</v>
      </c>
      <c r="C24" s="615"/>
      <c r="D24" s="616"/>
      <c r="E24" s="617"/>
      <c r="F24" s="67"/>
      <c r="G24" s="83"/>
      <c r="H24" s="71" t="str">
        <f>VLOOKUP(1429,Sprachindex!$A:$Z,Info!$O$7,FALSE)</f>
        <v>Bearbeiter:</v>
      </c>
      <c r="I24" s="415"/>
      <c r="J24" s="67"/>
      <c r="K24" s="67"/>
      <c r="L24" s="67"/>
      <c r="M24" s="67"/>
      <c r="N24" s="67"/>
      <c r="O24" s="68"/>
      <c r="P24" s="68"/>
      <c r="Q24" s="88"/>
      <c r="R24" s="68"/>
      <c r="S24" s="68"/>
      <c r="T24" s="68"/>
      <c r="U24" s="68"/>
      <c r="V24" s="68"/>
      <c r="W24" s="68"/>
      <c r="X24" s="68"/>
      <c r="Y24" s="68"/>
      <c r="Z24" s="68"/>
      <c r="AA24" s="68"/>
      <c r="AB24" s="68"/>
      <c r="AC24" s="52"/>
      <c r="AD24" s="52"/>
      <c r="AE24" s="14"/>
    </row>
    <row r="25" spans="1:72" s="5" customFormat="1" ht="15" customHeight="1">
      <c r="A25" s="1"/>
      <c r="B25" s="640"/>
      <c r="C25" s="615"/>
      <c r="D25" s="616"/>
      <c r="E25" s="617"/>
      <c r="F25" s="67"/>
      <c r="G25" s="83"/>
      <c r="H25" s="71" t="str">
        <f>VLOOKUP(2243,Sprachindex!$A:$Z,Info!$O$7,FALSE)</f>
        <v>Projekt-ID:</v>
      </c>
      <c r="I25" s="415"/>
      <c r="J25" s="67"/>
      <c r="K25" s="67"/>
      <c r="L25" s="67"/>
      <c r="M25" s="67"/>
      <c r="N25" s="67"/>
      <c r="O25" s="68"/>
      <c r="P25" s="68"/>
      <c r="Q25" s="88"/>
      <c r="R25" s="68"/>
      <c r="S25" s="179" t="s">
        <v>1530</v>
      </c>
      <c r="V25" s="179" t="s">
        <v>1532</v>
      </c>
      <c r="Y25" s="179" t="s">
        <v>1531</v>
      </c>
      <c r="Z25" s="189" t="str">
        <f>IF(J31="600 mm",1,IF(J31="1.500 mm",2,IF(J31="3.000 mm",3,"")))</f>
        <v/>
      </c>
      <c r="AA25" s="68"/>
      <c r="AB25" s="68"/>
      <c r="AC25" s="52"/>
      <c r="AD25" s="52"/>
      <c r="AE25" s="14"/>
    </row>
    <row r="26" spans="1:72" s="5" customFormat="1" ht="15" customHeight="1">
      <c r="A26" s="1"/>
      <c r="B26" s="640"/>
      <c r="C26" s="615"/>
      <c r="D26" s="616"/>
      <c r="E26" s="617"/>
      <c r="F26" s="67"/>
      <c r="G26" s="83"/>
      <c r="H26" s="71" t="str">
        <f>VLOOKUP(286,Sprachindex!$A:$Z,Info!$O$7,FALSE)</f>
        <v>Datum:</v>
      </c>
      <c r="I26" s="483">
        <f ca="1">TODAY()</f>
        <v>45770</v>
      </c>
      <c r="J26" s="67"/>
      <c r="K26" s="67"/>
      <c r="L26" s="67"/>
      <c r="M26" s="67"/>
      <c r="N26" s="67"/>
      <c r="O26" s="68"/>
      <c r="P26" s="68"/>
      <c r="Q26" s="88"/>
      <c r="R26" s="68"/>
      <c r="S26" s="179" t="s">
        <v>1530</v>
      </c>
      <c r="V26" s="179" t="s">
        <v>1532</v>
      </c>
      <c r="Y26" s="179" t="s">
        <v>1531</v>
      </c>
      <c r="Z26" s="189" t="str">
        <f>IF(J32="600 mm",1,IF(J32="1.500 mm",2,IF(J32="3.000 mm",3,"")))</f>
        <v/>
      </c>
      <c r="AA26" s="68"/>
      <c r="AB26" s="68"/>
      <c r="AC26" s="52"/>
      <c r="AD26" s="52"/>
      <c r="AE26" s="14"/>
    </row>
    <row r="27" spans="1:72" s="5" customFormat="1" ht="15" customHeight="1">
      <c r="A27" s="1"/>
      <c r="B27" s="640"/>
      <c r="C27" s="615"/>
      <c r="D27" s="616"/>
      <c r="E27" s="617"/>
      <c r="F27" s="67"/>
      <c r="L27" s="67"/>
      <c r="M27" s="67"/>
      <c r="N27" s="67"/>
      <c r="O27" s="68"/>
      <c r="P27" s="68"/>
      <c r="Q27" s="88"/>
      <c r="R27" s="68"/>
      <c r="S27" s="68"/>
      <c r="T27" s="68"/>
      <c r="U27" s="68"/>
      <c r="V27" s="68"/>
      <c r="W27" s="68"/>
      <c r="X27" s="68"/>
      <c r="Y27" s="68"/>
      <c r="Z27" s="68"/>
      <c r="AA27" s="68"/>
      <c r="AB27" s="68"/>
      <c r="AC27" s="52"/>
      <c r="AD27" s="52"/>
      <c r="AE27" s="14"/>
    </row>
    <row r="28" spans="1:72" ht="15" customHeight="1">
      <c r="A28" s="67"/>
      <c r="B28" s="71"/>
      <c r="C28" s="67"/>
      <c r="D28" s="67"/>
      <c r="E28" s="67"/>
      <c r="F28" s="67"/>
      <c r="G28" s="67"/>
      <c r="H28" s="67"/>
      <c r="I28" s="67"/>
      <c r="J28" s="67"/>
      <c r="K28" s="67"/>
      <c r="L28" s="67"/>
      <c r="M28" s="67"/>
      <c r="N28" s="67"/>
      <c r="O28" s="68"/>
      <c r="P28" s="68"/>
      <c r="Q28" s="88"/>
      <c r="R28" s="68"/>
      <c r="S28" s="68"/>
      <c r="T28" s="68"/>
      <c r="U28" s="68"/>
      <c r="V28" s="68"/>
      <c r="W28" s="68"/>
      <c r="X28" s="68"/>
      <c r="Y28" s="68"/>
      <c r="Z28" s="68"/>
      <c r="AA28" s="68"/>
      <c r="AB28" s="68"/>
      <c r="AE28" s="4"/>
      <c r="AH28"/>
      <c r="AI28"/>
      <c r="AJ28"/>
      <c r="AK28"/>
      <c r="AL28"/>
      <c r="AM28"/>
      <c r="AN28"/>
      <c r="AO28"/>
      <c r="AP28"/>
      <c r="AQ28"/>
      <c r="AR28"/>
      <c r="AS28"/>
      <c r="AU28"/>
      <c r="AV28"/>
      <c r="AW28"/>
      <c r="AX28"/>
      <c r="AY28"/>
      <c r="AZ28"/>
      <c r="BA28"/>
      <c r="BB28"/>
      <c r="BC28"/>
      <c r="BD28"/>
      <c r="BE28"/>
      <c r="BF28"/>
      <c r="BH28"/>
      <c r="BI28"/>
      <c r="BJ28"/>
      <c r="BK28"/>
      <c r="BL28"/>
      <c r="BM28"/>
      <c r="BN28"/>
      <c r="BO28"/>
      <c r="BP28"/>
      <c r="BQ28"/>
      <c r="BR28"/>
      <c r="BS28"/>
    </row>
    <row r="29" spans="1:72" ht="15" customHeight="1" thickBot="1">
      <c r="A29" s="95" t="str">
        <f>VLOOKUP(392,Sprachindex!$A:$Z,Info!$O$7,FALSE)</f>
        <v>Filter:</v>
      </c>
      <c r="B29" s="633"/>
      <c r="C29" s="633"/>
      <c r="D29" s="633"/>
      <c r="E29" s="633"/>
      <c r="F29" s="67"/>
      <c r="G29" s="67"/>
      <c r="H29" s="67"/>
      <c r="I29" s="67"/>
      <c r="J29" s="67"/>
      <c r="K29" s="67"/>
      <c r="L29" s="67"/>
      <c r="M29" s="67"/>
      <c r="N29" s="67"/>
      <c r="O29" s="68"/>
      <c r="P29" s="68"/>
      <c r="Q29" s="88"/>
      <c r="R29" s="68"/>
      <c r="S29" s="68"/>
      <c r="T29" s="68"/>
      <c r="U29" s="68"/>
      <c r="V29" s="68"/>
      <c r="W29" s="68"/>
      <c r="X29" s="68"/>
      <c r="Y29" s="68"/>
      <c r="Z29" s="68"/>
      <c r="AA29" s="68"/>
      <c r="AB29" s="68"/>
      <c r="AD29" s="627" t="s">
        <v>25</v>
      </c>
      <c r="AE29" s="627"/>
      <c r="AF29" s="627" t="s">
        <v>397</v>
      </c>
      <c r="AG29" s="627"/>
      <c r="BG29" s="481" t="s">
        <v>1524</v>
      </c>
      <c r="BT29" s="54" t="s">
        <v>1525</v>
      </c>
    </row>
    <row r="30" spans="1:72" ht="35.1" customHeight="1" thickBot="1">
      <c r="A30" s="401" t="str">
        <f>VLOOKUP(598,Sprachindex!$A:$Z,Info!$O$7,FALSE)</f>
        <v>Menge</v>
      </c>
      <c r="B30" s="74" t="str">
        <f>VLOOKUP(332,Sprachindex!$A:$Z,Info!$O$7,FALSE)</f>
        <v>Einheit</v>
      </c>
      <c r="C30" s="74" t="str">
        <f>VLOOKUP(136,Sprachindex!$A:$Z,Info!$O$7,FALSE)</f>
        <v>Abbildung</v>
      </c>
      <c r="D30" s="74" t="str">
        <f>VLOOKUP(177,Sprachindex!$A:$Z,Info!$O$7,FALSE)</f>
        <v>Artikel-Nr.</v>
      </c>
      <c r="E30" s="668" t="str">
        <f>VLOOKUP(234,Sprachindex!$A:$Z,Info!$O$7,FALSE)</f>
        <v>Bezeichnung</v>
      </c>
      <c r="F30" s="669"/>
      <c r="G30" s="669"/>
      <c r="H30" s="669"/>
      <c r="I30" s="669"/>
      <c r="J30" s="669"/>
      <c r="K30" s="670"/>
      <c r="L30" s="74" t="str">
        <f>VLOOKUP(903,Sprachindex!$A:$Z,Info!$O$7,FALSE)</f>
        <v>Total</v>
      </c>
      <c r="M30" s="404" t="str">
        <f>VLOOKUP(332,Sprachindex!$A:$Z,Info!$O$7,FALSE)</f>
        <v>Einheit</v>
      </c>
      <c r="N30" s="72" t="str">
        <f>VLOOKUP(377,Sprachindex!$A:$Z,Info!$O$7,FALSE)</f>
        <v>Eventual</v>
      </c>
      <c r="O30" s="183" t="str">
        <f>VLOOKUP(1786,Sprachindex!$A:$Z,Info!$O$7,FALSE)</f>
        <v>Preis</v>
      </c>
      <c r="R30" s="105" t="s">
        <v>29</v>
      </c>
      <c r="S30" s="105" t="s">
        <v>84</v>
      </c>
      <c r="T30" s="209"/>
      <c r="U30" s="209"/>
      <c r="V30" s="209"/>
      <c r="W30" s="209"/>
      <c r="X30" s="209"/>
      <c r="Y30" s="209"/>
      <c r="Z30" s="209"/>
      <c r="AA30" s="209"/>
      <c r="AB30" s="179"/>
      <c r="AC30" s="1"/>
      <c r="AD30" s="150" t="s">
        <v>30</v>
      </c>
      <c r="AE30" s="150" t="s">
        <v>31</v>
      </c>
      <c r="AF30" s="150" t="s">
        <v>30</v>
      </c>
      <c r="AG30" s="150" t="s">
        <v>31</v>
      </c>
      <c r="AH30" s="148" t="s">
        <v>2110</v>
      </c>
      <c r="AI30" s="148" t="s">
        <v>2111</v>
      </c>
      <c r="AJ30" s="148" t="s">
        <v>2112</v>
      </c>
      <c r="AK30" s="148" t="s">
        <v>2113</v>
      </c>
      <c r="AL30" s="148" t="s">
        <v>2114</v>
      </c>
      <c r="AM30" s="148"/>
      <c r="AO30" s="148" t="s">
        <v>2110</v>
      </c>
      <c r="AP30" s="148" t="s">
        <v>2111</v>
      </c>
      <c r="AQ30" s="148" t="s">
        <v>2112</v>
      </c>
      <c r="AR30" s="148" t="s">
        <v>2113</v>
      </c>
      <c r="AS30" s="148" t="s">
        <v>2114</v>
      </c>
      <c r="AV30" s="148" t="s">
        <v>2110</v>
      </c>
      <c r="AW30" s="29" t="s">
        <v>2111</v>
      </c>
      <c r="AX30" s="29" t="s">
        <v>2112</v>
      </c>
      <c r="AY30" s="29" t="s">
        <v>2113</v>
      </c>
      <c r="AZ30" s="29" t="s">
        <v>2114</v>
      </c>
    </row>
    <row r="31" spans="1:72" ht="32.1" customHeight="1">
      <c r="A31" s="92"/>
      <c r="B31" s="74" t="str">
        <f>VLOOKUP(1512,Sprachindex!$A:$Z,Info!$O$7,FALSE)</f>
        <v>lfm</v>
      </c>
      <c r="C31" s="97"/>
      <c r="D31" s="73" t="str">
        <f>IF(J31=Formeln!B143,AM31,IF(J31=Formeln!B144,AT31,IF(J31=Formeln!B145,BA31,"")))</f>
        <v/>
      </c>
      <c r="E31" s="665" t="str">
        <f>VLOOKUP(1881,Sprachindex!$A:$Z,Info!$O$7,FALSE)</f>
        <v>Quadratrohr 80 mm</v>
      </c>
      <c r="F31" s="666"/>
      <c r="G31" s="666"/>
      <c r="H31" s="726" t="str">
        <f>VLOOKUP(739,Sprachindex!$A:$Z,Info!$O$7,FALSE)</f>
        <v>Rohrlänge wählen:</v>
      </c>
      <c r="I31" s="727"/>
      <c r="J31" s="767"/>
      <c r="K31" s="768"/>
      <c r="L31" s="74" t="str">
        <f>IF(OR(A31="",AF31="",AG31="")," ",IF($O$11=1,AD31,IF($O$11=2,AE31,0)))</f>
        <v xml:space="preserve"> </v>
      </c>
      <c r="M31" s="398" t="str">
        <f>B31</f>
        <v>lfm</v>
      </c>
      <c r="N31" s="403"/>
      <c r="O31" s="184" t="str">
        <f>IF(ISNUMBER(A31),$L31*Q31, "")</f>
        <v/>
      </c>
      <c r="Q31" s="88" t="b">
        <f>IF(J31=S26,IF(OR($O$21=2,$O$21=3,$O$21=4),R31,IF($O$21=5,S31," ")),IF(J31=V26,IF(OR($O$21=2,$O$21=3,$O$21=4),U31,IF($O$21=5,V31," ")),IF(J31=Y26,IF(OR($O$21=2,$O$21=3,$O$21=4),X31,IF($O$21=5,Y31," ")))))</f>
        <v>0</v>
      </c>
      <c r="R31" s="213">
        <v>43.67</v>
      </c>
      <c r="S31" s="213">
        <v>42.55</v>
      </c>
      <c r="T31" s="209"/>
      <c r="U31" s="213">
        <v>48.76</v>
      </c>
      <c r="V31" s="213">
        <v>48.04</v>
      </c>
      <c r="W31" s="129"/>
      <c r="X31" s="213">
        <v>65.459999999999994</v>
      </c>
      <c r="Y31" s="213">
        <v>50.73</v>
      </c>
      <c r="Z31" s="209"/>
      <c r="AA31" s="209"/>
      <c r="AB31" s="179"/>
      <c r="AC31" s="1"/>
      <c r="AD31" s="139" t="e">
        <f t="shared" ref="AD31:AD64" si="0">ROUNDUP($A31/AF31,0)*AF31</f>
        <v>#VALUE!</v>
      </c>
      <c r="AE31" s="139" t="e">
        <f>ROUNDUP($A31/AG$31,0)*AG$31</f>
        <v>#VALUE!</v>
      </c>
      <c r="AF31" s="139" t="str">
        <f>IF($J$31=Z31,"",IF($J$31=Y25,0.6,IF($J$31=V25,1.5,IF($J$31=S25,3,""))))</f>
        <v/>
      </c>
      <c r="AG31" s="139" t="str">
        <f>IF($J$31=Formeln!$B$142,"",IF($J$31=Formeln!$B$143,0.6,IF($J$31=Formeln!$B$144,1.5,IF($J$31=Formeln!$B$145,3,""))))</f>
        <v/>
      </c>
      <c r="AH31" s="1" t="s">
        <v>2349</v>
      </c>
      <c r="AI31" s="148" t="s">
        <v>2115</v>
      </c>
      <c r="AJ31" s="56" t="s">
        <v>2116</v>
      </c>
      <c r="AK31" s="56" t="s">
        <v>2117</v>
      </c>
      <c r="AL31" s="56" t="s">
        <v>2118</v>
      </c>
      <c r="AM31" s="54" t="e" vm="2">
        <f>VLOOKUP(AH31,AH31:AL31,$O$21,FALSE)</f>
        <v>#VALUE!</v>
      </c>
      <c r="AN31" s="54" t="s">
        <v>1523</v>
      </c>
      <c r="AO31" s="1" t="s">
        <v>2349</v>
      </c>
      <c r="AP31" s="56">
        <v>151121</v>
      </c>
      <c r="AQ31" s="56">
        <v>151122</v>
      </c>
      <c r="AR31" s="56">
        <v>151123</v>
      </c>
      <c r="AS31" s="56">
        <v>151120</v>
      </c>
      <c r="AT31" s="54" t="e" vm="2">
        <f>VLOOKUP(AO31,AO31:AS31,$O$21,FALSE)</f>
        <v>#VALUE!</v>
      </c>
      <c r="AU31" s="54" t="s">
        <v>1524</v>
      </c>
      <c r="AV31" s="1" t="s">
        <v>2349</v>
      </c>
      <c r="AW31" s="56">
        <v>1151101</v>
      </c>
      <c r="AX31" s="56">
        <v>151102</v>
      </c>
      <c r="AY31" s="56">
        <v>151103</v>
      </c>
      <c r="AZ31" s="56">
        <v>151100</v>
      </c>
      <c r="BA31" s="54" t="e" vm="2">
        <f>VLOOKUP(AV31,AV31:AZ31,$O$21,FALSE)</f>
        <v>#VALUE!</v>
      </c>
      <c r="BB31" s="54" t="s">
        <v>1525</v>
      </c>
    </row>
    <row r="32" spans="1:72" ht="32.1" customHeight="1">
      <c r="A32" s="103"/>
      <c r="B32" s="76" t="str">
        <f>VLOOKUP(1512,Sprachindex!$A:$Z,Info!$O$7,FALSE)</f>
        <v>lfm</v>
      </c>
      <c r="C32" s="75"/>
      <c r="D32" s="75" t="str">
        <f>IF(J32=Formeln!B143,AM32,IF(J32=Formeln!B144,AT32,IF(J32=Formeln!B145,BA32,"")))</f>
        <v/>
      </c>
      <c r="E32" s="618" t="str">
        <f>VLOOKUP(1882,Sprachindex!$A:$Z,Info!$O$7,FALSE)</f>
        <v>Quadratrohr 100 mm</v>
      </c>
      <c r="F32" s="619"/>
      <c r="G32" s="619"/>
      <c r="H32" s="721" t="str">
        <f>VLOOKUP(739,Sprachindex!$A:$Z,Info!$O$7,FALSE)</f>
        <v>Rohrlänge wählen:</v>
      </c>
      <c r="I32" s="722"/>
      <c r="J32" s="624"/>
      <c r="K32" s="625"/>
      <c r="L32" s="76" t="str">
        <f>IF(OR(A32="",AF32="",AG32="")," ",IF($O$11=1,AD32,IF($O$11=2,AE32,0)))</f>
        <v xml:space="preserve"> </v>
      </c>
      <c r="M32" s="399" t="str">
        <f t="shared" ref="M32:M66" si="1">B32</f>
        <v>lfm</v>
      </c>
      <c r="N32" s="77"/>
      <c r="O32" s="184" t="str">
        <f>IF(ISNUMBER(A32),$L32*Q32, "")</f>
        <v/>
      </c>
      <c r="Q32" s="88" t="b">
        <f>IF(J32=S26,IF(OR($O$21=2,$O$21=3,$O$21=4),R32,IF($O$21=5,S32," ")),IF(J32=V26,IF(OR($O$21=2,$O$21=3,$O$21=4),U32,IF($O$21=5,V32," ")),IF(J32=Y26,IF(OR($O$21=2,$O$21=3,$O$21=4),X32,IF($O$21=5,Y32," ")))))</f>
        <v>0</v>
      </c>
      <c r="R32" s="213">
        <v>53.57</v>
      </c>
      <c r="S32" s="213">
        <v>52.59</v>
      </c>
      <c r="T32" s="129"/>
      <c r="U32" s="213">
        <v>56.83</v>
      </c>
      <c r="V32" s="213">
        <v>55.9</v>
      </c>
      <c r="W32" s="129"/>
      <c r="X32" s="213">
        <v>77.13</v>
      </c>
      <c r="Y32" s="213">
        <v>59.79</v>
      </c>
      <c r="Z32" s="209"/>
      <c r="AA32" s="209"/>
      <c r="AB32" s="179"/>
      <c r="AC32" s="1"/>
      <c r="AD32" s="139" t="e">
        <f t="shared" si="0"/>
        <v>#VALUE!</v>
      </c>
      <c r="AE32" s="139" t="e">
        <f>ROUNDUP($A32/AG$32,0)*AG$32</f>
        <v>#VALUE!</v>
      </c>
      <c r="AF32" s="139" t="str">
        <f>IF($J$32=Formeln!$B$142,"",IF($J$32=Formeln!$B$143,0.6,IF($J$32=Formeln!$B$144,1.5,IF($J$32=Formeln!$B$145,3,""))))</f>
        <v/>
      </c>
      <c r="AG32" s="139" t="str">
        <f>IF($J$32=Formeln!$B$142,"",IF($J$32=Formeln!$B$143,0.6,IF($J$32=Formeln!$B$144,1.5,IF($J$32=Formeln!$B$145,3,""))))</f>
        <v/>
      </c>
      <c r="AH32" s="56" t="s">
        <v>2119</v>
      </c>
      <c r="AI32" s="148" t="s">
        <v>2120</v>
      </c>
      <c r="AJ32" s="56" t="s">
        <v>2121</v>
      </c>
      <c r="AK32" s="56" t="s">
        <v>2122</v>
      </c>
      <c r="AL32" s="56" t="s">
        <v>2123</v>
      </c>
      <c r="AM32" s="54" t="e" vm="2">
        <f>VLOOKUP(AH32,AH32:AL32,$O$21,FALSE)</f>
        <v>#VALUE!</v>
      </c>
      <c r="AN32" s="54" t="s">
        <v>1523</v>
      </c>
      <c r="AO32" s="56">
        <v>150121</v>
      </c>
      <c r="AP32" s="56">
        <v>150122</v>
      </c>
      <c r="AQ32" s="56">
        <v>150123</v>
      </c>
      <c r="AR32" s="56">
        <v>150125</v>
      </c>
      <c r="AS32" s="56">
        <v>150120</v>
      </c>
      <c r="AT32" s="54" t="e" vm="2">
        <f>VLOOKUP(AO32,AO32:AS32,$O$21,FALSE)</f>
        <v>#VALUE!</v>
      </c>
      <c r="AU32" s="54" t="s">
        <v>1524</v>
      </c>
      <c r="AV32" s="56">
        <v>150101</v>
      </c>
      <c r="AW32" s="56">
        <v>150102</v>
      </c>
      <c r="AX32" s="56">
        <v>150103</v>
      </c>
      <c r="AY32" s="56">
        <v>150105</v>
      </c>
      <c r="AZ32" s="56">
        <v>150100</v>
      </c>
      <c r="BA32" s="54" t="e" vm="2">
        <f>VLOOKUP(AV32,AV32:AZ32,$O$21,FALSE)</f>
        <v>#VALUE!</v>
      </c>
      <c r="BB32" s="54" t="s">
        <v>1525</v>
      </c>
    </row>
    <row r="33" spans="1:58" ht="32.1" customHeight="1">
      <c r="A33" s="103"/>
      <c r="B33" s="76" t="str">
        <f>VLOOKUP(878,Sprachindex!$A:$Z,Info!$O$7,FALSE)</f>
        <v>Stk.</v>
      </c>
      <c r="C33" s="101"/>
      <c r="D33" s="75">
        <v>150050</v>
      </c>
      <c r="E33" s="723" t="str">
        <f>VLOOKUP(453,Sprachindex!$A:$Z,Info!$O$7,FALSE)</f>
        <v>Halteklemme</v>
      </c>
      <c r="F33" s="724"/>
      <c r="G33" s="724"/>
      <c r="H33" s="724"/>
      <c r="I33" s="724"/>
      <c r="J33" s="724"/>
      <c r="K33" s="725"/>
      <c r="L33" s="76" t="str">
        <f>IF(OR(A33="",AF33="",AG33="")," ",IF($O$11=1,AD33,IF($O$11=2,AE33,0)))</f>
        <v xml:space="preserve"> </v>
      </c>
      <c r="M33" s="399" t="str">
        <f t="shared" si="1"/>
        <v>Stk.</v>
      </c>
      <c r="N33" s="77"/>
      <c r="O33" s="184" t="str">
        <f>IF(ISNUMBER(A33),$L33*Q33, "")</f>
        <v/>
      </c>
      <c r="Q33" s="129">
        <f>R33</f>
        <v>13.4</v>
      </c>
      <c r="R33" s="213">
        <v>13.4</v>
      </c>
      <c r="S33" s="209"/>
      <c r="T33" s="209"/>
      <c r="U33" s="209"/>
      <c r="V33" s="209"/>
      <c r="W33" s="209"/>
      <c r="X33" s="209"/>
      <c r="Y33" s="209"/>
      <c r="Z33" s="209"/>
      <c r="AA33" s="209"/>
      <c r="AB33" s="179"/>
      <c r="AC33" s="1"/>
      <c r="AD33" s="139">
        <f t="shared" si="0"/>
        <v>0</v>
      </c>
      <c r="AE33" s="139">
        <f t="shared" ref="AE33:AE59" si="2">ROUNDUP($A33/AG33,0)*AG33</f>
        <v>0</v>
      </c>
      <c r="AF33" s="139">
        <v>1</v>
      </c>
      <c r="AG33" s="139">
        <v>1</v>
      </c>
      <c r="AH33"/>
      <c r="AQ33"/>
    </row>
    <row r="34" spans="1:58" ht="32.1" customHeight="1">
      <c r="A34" s="103"/>
      <c r="B34" s="76" t="str">
        <f>VLOOKUP(878,Sprachindex!$A:$Z,Info!$O$7,FALSE)</f>
        <v>Stk.</v>
      </c>
      <c r="C34" s="101"/>
      <c r="D34" s="75">
        <v>150051</v>
      </c>
      <c r="E34" s="723" t="str">
        <f>VLOOKUP(240,Sprachindex!$A:$Z,Info!$O$7,FALSE)</f>
        <v>Blitzschutzklemme</v>
      </c>
      <c r="F34" s="724"/>
      <c r="G34" s="724"/>
      <c r="H34" s="724"/>
      <c r="I34" s="724"/>
      <c r="J34" s="724"/>
      <c r="K34" s="725"/>
      <c r="L34" s="76" t="str">
        <f t="shared" ref="L34:L59" si="3">IF(OR(A34="",AF34="",AG34="")," ",IF($O$11=1,AD34,IF($O$11=2,AE34,0)))</f>
        <v xml:space="preserve"> </v>
      </c>
      <c r="M34" s="399" t="str">
        <f t="shared" si="1"/>
        <v>Stk.</v>
      </c>
      <c r="N34" s="77"/>
      <c r="O34" s="184" t="str">
        <f>IF(ISNUMBER(A34),$L34*Q34, "")</f>
        <v/>
      </c>
      <c r="Q34" s="129">
        <f>R34</f>
        <v>28.58</v>
      </c>
      <c r="R34" s="182">
        <v>28.58</v>
      </c>
      <c r="S34" s="179"/>
      <c r="T34" s="209"/>
      <c r="U34" s="209"/>
      <c r="V34" s="209"/>
      <c r="W34" s="209"/>
      <c r="X34" s="209"/>
      <c r="Y34" s="209"/>
      <c r="Z34" s="209"/>
      <c r="AA34" s="179"/>
      <c r="AB34" s="179"/>
      <c r="AC34" s="1"/>
      <c r="AD34" s="139">
        <f t="shared" si="0"/>
        <v>0</v>
      </c>
      <c r="AE34" s="139">
        <f t="shared" si="2"/>
        <v>0</v>
      </c>
      <c r="AF34" s="139">
        <v>1</v>
      </c>
      <c r="AG34" s="139">
        <v>1</v>
      </c>
      <c r="AH34" s="148" t="s">
        <v>2110</v>
      </c>
      <c r="AI34" s="148" t="s">
        <v>2111</v>
      </c>
      <c r="AJ34" s="148" t="s">
        <v>2112</v>
      </c>
      <c r="AK34" s="148" t="s">
        <v>2113</v>
      </c>
      <c r="AL34" s="148" t="s">
        <v>2114</v>
      </c>
      <c r="AM34" s="148"/>
      <c r="AO34" s="29" t="s">
        <v>2110</v>
      </c>
      <c r="AP34" s="29" t="s">
        <v>2111</v>
      </c>
      <c r="AQ34" s="29" t="s">
        <v>2112</v>
      </c>
      <c r="AR34" s="29" t="s">
        <v>2113</v>
      </c>
      <c r="AS34" s="29" t="s">
        <v>2114</v>
      </c>
      <c r="AV34" s="148" t="s">
        <v>2110</v>
      </c>
      <c r="AW34" s="29" t="s">
        <v>2111</v>
      </c>
      <c r="AX34" s="29" t="s">
        <v>2112</v>
      </c>
      <c r="AY34" s="29" t="s">
        <v>2113</v>
      </c>
      <c r="AZ34" s="29" t="s">
        <v>2114</v>
      </c>
    </row>
    <row r="35" spans="1:58" ht="32.1" customHeight="1">
      <c r="A35" s="103"/>
      <c r="B35" s="76" t="str">
        <f>VLOOKUP(878,Sprachindex!$A:$Z,Info!$O$7,FALSE)</f>
        <v>Stk.</v>
      </c>
      <c r="C35" s="101"/>
      <c r="D35" s="75" t="str">
        <f>IF(ISNUMBER(A35),AM35,"")</f>
        <v/>
      </c>
      <c r="E35" s="618" t="str">
        <f>VLOOKUP(1883,Sprachindex!$A:$Z,Info!$O$7,FALSE)</f>
        <v>Quadratrohrbogen 80 mm, 72°, lang</v>
      </c>
      <c r="F35" s="619"/>
      <c r="G35" s="619"/>
      <c r="H35" s="619"/>
      <c r="I35" s="619"/>
      <c r="J35" s="619"/>
      <c r="K35" s="620"/>
      <c r="L35" s="76" t="str">
        <f t="shared" ref="L35" si="4">IF(OR(A35="",AF35="",AG35="")," ",IF($O$11=1,AD35,IF($O$11=2,AE35,0)))</f>
        <v xml:space="preserve"> </v>
      </c>
      <c r="M35" s="399" t="str">
        <f t="shared" si="1"/>
        <v>Stk.</v>
      </c>
      <c r="N35" s="77"/>
      <c r="O35" s="184" t="str">
        <f t="shared" ref="O35:O66" si="5">IF(ISNUMBER(A35),$L35*Q35, "")</f>
        <v/>
      </c>
      <c r="Q35" s="129" t="str">
        <f>IF(OR($O$21=2,$O$21=3,$O$21=4),R35,IF($O$21=5,S35," "))</f>
        <v xml:space="preserve"> </v>
      </c>
      <c r="R35" s="182">
        <v>94.12</v>
      </c>
      <c r="S35" s="182">
        <v>85.68</v>
      </c>
      <c r="T35" s="179"/>
      <c r="U35" s="179"/>
      <c r="V35" s="179"/>
      <c r="W35" s="179"/>
      <c r="X35" s="179"/>
      <c r="Y35" s="179"/>
      <c r="Z35" s="179"/>
      <c r="AA35" s="179"/>
      <c r="AB35" s="179"/>
      <c r="AC35" s="1"/>
      <c r="AD35" s="139">
        <f t="shared" si="0"/>
        <v>0</v>
      </c>
      <c r="AE35" s="139">
        <f t="shared" si="2"/>
        <v>0</v>
      </c>
      <c r="AF35" s="139">
        <v>1</v>
      </c>
      <c r="AG35" s="139">
        <v>1</v>
      </c>
      <c r="AH35" s="56" t="s">
        <v>2349</v>
      </c>
      <c r="AI35" s="56">
        <v>151201</v>
      </c>
      <c r="AJ35" s="56">
        <v>151202</v>
      </c>
      <c r="AK35" s="56">
        <v>151203</v>
      </c>
      <c r="AL35" s="56">
        <v>151200</v>
      </c>
      <c r="AM35" s="54" t="e" vm="2">
        <f>VLOOKUP(AH35,AH35:AL35,$O$21,FALSE)</f>
        <v>#VALUE!</v>
      </c>
      <c r="AN35" s="54"/>
      <c r="AQ35"/>
    </row>
    <row r="36" spans="1:58" ht="32.1" customHeight="1">
      <c r="A36" s="103"/>
      <c r="B36" s="76" t="str">
        <f>VLOOKUP(878,Sprachindex!$A:$Z,Info!$O$7,FALSE)</f>
        <v>Stk.</v>
      </c>
      <c r="C36" s="101"/>
      <c r="D36" s="75" t="str">
        <f t="shared" ref="D36:D42" si="6">IF(ISNUMBER(A36),AM36,"")</f>
        <v/>
      </c>
      <c r="E36" s="618" t="str">
        <f>VLOOKUP(1884,Sprachindex!$A:$Z,Info!$O$7,FALSE)</f>
        <v>Quadratrohrbogen 100 mm, 72°, lang</v>
      </c>
      <c r="F36" s="619"/>
      <c r="G36" s="619"/>
      <c r="H36" s="619"/>
      <c r="I36" s="619"/>
      <c r="J36" s="619"/>
      <c r="K36" s="620"/>
      <c r="L36" s="76" t="str">
        <f t="shared" si="3"/>
        <v xml:space="preserve"> </v>
      </c>
      <c r="M36" s="399" t="str">
        <f t="shared" si="1"/>
        <v>Stk.</v>
      </c>
      <c r="N36" s="77"/>
      <c r="O36" s="184" t="str">
        <f t="shared" si="5"/>
        <v/>
      </c>
      <c r="Q36" s="129" t="str">
        <f>IF(OR($O$21=1,$O$21=2,$O$21=3,$O$21=4),R36,IF($O$21=5,S36," "))</f>
        <v xml:space="preserve"> </v>
      </c>
      <c r="R36" s="182">
        <v>111.14</v>
      </c>
      <c r="S36" s="182">
        <v>110.21</v>
      </c>
      <c r="T36" s="179"/>
      <c r="U36" s="179"/>
      <c r="V36" s="179"/>
      <c r="W36" s="179"/>
      <c r="X36" s="179"/>
      <c r="Y36" s="179"/>
      <c r="Z36" s="179"/>
      <c r="AA36" s="179"/>
      <c r="AB36" s="179"/>
      <c r="AC36" s="1"/>
      <c r="AD36" s="139">
        <f t="shared" si="0"/>
        <v>0</v>
      </c>
      <c r="AE36" s="139">
        <f t="shared" si="2"/>
        <v>0</v>
      </c>
      <c r="AF36" s="139">
        <v>1</v>
      </c>
      <c r="AG36" s="139">
        <v>1</v>
      </c>
      <c r="AH36" s="56">
        <v>150201</v>
      </c>
      <c r="AI36" s="56">
        <v>150202</v>
      </c>
      <c r="AJ36" s="56">
        <v>150204</v>
      </c>
      <c r="AK36" s="56">
        <v>150205</v>
      </c>
      <c r="AL36" s="56">
        <v>150200</v>
      </c>
      <c r="AM36" s="54" t="e" vm="2">
        <f t="shared" ref="AM36:AM52" si="7">VLOOKUP(AH36,AH36:AL36,$O$21,FALSE)</f>
        <v>#VALUE!</v>
      </c>
      <c r="AN36" s="54"/>
      <c r="AQ36"/>
    </row>
    <row r="37" spans="1:58" ht="32.1" customHeight="1">
      <c r="A37" s="103"/>
      <c r="B37" s="76" t="str">
        <f>VLOOKUP(878,Sprachindex!$A:$Z,Info!$O$7,FALSE)</f>
        <v>Stk.</v>
      </c>
      <c r="C37" s="75"/>
      <c r="D37" s="75" t="str">
        <f t="shared" si="6"/>
        <v/>
      </c>
      <c r="E37" s="618" t="str">
        <f>VLOOKUP(1885,Sprachindex!$A:$Z,Info!$O$7,FALSE)</f>
        <v>Quadratrohrbogen 80 mm, 72°, kurz</v>
      </c>
      <c r="F37" s="619"/>
      <c r="G37" s="619"/>
      <c r="H37" s="619"/>
      <c r="I37" s="619"/>
      <c r="J37" s="619"/>
      <c r="K37" s="620"/>
      <c r="L37" s="76" t="str">
        <f t="shared" ref="L37" si="8">IF(OR(A37="",AF37="",AG37="")," ",IF($O$11=1,AD37,IF($O$11=2,AE37,0)))</f>
        <v xml:space="preserve"> </v>
      </c>
      <c r="M37" s="399" t="str">
        <f t="shared" si="1"/>
        <v>Stk.</v>
      </c>
      <c r="N37" s="77"/>
      <c r="O37" s="184" t="str">
        <f t="shared" si="5"/>
        <v/>
      </c>
      <c r="Q37" s="129" t="str">
        <f>IF(OR($O$21=2,$O$21=3,$O$21=4),R37,IF($O$21=5,S37," "))</f>
        <v xml:space="preserve"> </v>
      </c>
      <c r="R37" s="182">
        <v>71.02</v>
      </c>
      <c r="S37" s="182">
        <v>66.55</v>
      </c>
      <c r="T37" s="179"/>
      <c r="U37" s="179"/>
      <c r="V37" s="179"/>
      <c r="W37" s="179"/>
      <c r="X37" s="179"/>
      <c r="Y37" s="179"/>
      <c r="Z37" s="179"/>
      <c r="AA37" s="179"/>
      <c r="AB37" s="179"/>
      <c r="AC37" s="1"/>
      <c r="AD37" s="139">
        <f t="shared" si="0"/>
        <v>0</v>
      </c>
      <c r="AE37" s="139">
        <f t="shared" si="2"/>
        <v>0</v>
      </c>
      <c r="AF37" s="139">
        <v>1</v>
      </c>
      <c r="AG37" s="139">
        <v>1</v>
      </c>
      <c r="AH37" s="56" t="s">
        <v>2349</v>
      </c>
      <c r="AI37" s="56">
        <v>151261</v>
      </c>
      <c r="AJ37" s="56">
        <v>151262</v>
      </c>
      <c r="AK37" s="56">
        <v>151263</v>
      </c>
      <c r="AL37" s="56">
        <v>151260</v>
      </c>
      <c r="AM37" s="54" t="e" vm="2">
        <f t="shared" si="7"/>
        <v>#VALUE!</v>
      </c>
      <c r="AN37" s="54"/>
    </row>
    <row r="38" spans="1:58" ht="32.1" customHeight="1">
      <c r="A38" s="103"/>
      <c r="B38" s="76" t="str">
        <f>VLOOKUP(878,Sprachindex!$A:$Z,Info!$O$7,FALSE)</f>
        <v>Stk.</v>
      </c>
      <c r="C38" s="75"/>
      <c r="D38" s="75" t="str">
        <f t="shared" si="6"/>
        <v/>
      </c>
      <c r="E38" s="618" t="str">
        <f>VLOOKUP(1886,Sprachindex!$A:$Z,Info!$O$7,FALSE)</f>
        <v>Quadratrohrbogen 100 mm, 72°, kurz</v>
      </c>
      <c r="F38" s="619"/>
      <c r="G38" s="619"/>
      <c r="H38" s="619"/>
      <c r="I38" s="619"/>
      <c r="J38" s="619"/>
      <c r="K38" s="620"/>
      <c r="L38" s="76" t="str">
        <f t="shared" si="3"/>
        <v xml:space="preserve"> </v>
      </c>
      <c r="M38" s="399" t="str">
        <f t="shared" si="1"/>
        <v>Stk.</v>
      </c>
      <c r="N38" s="77"/>
      <c r="O38" s="184" t="str">
        <f t="shared" si="5"/>
        <v/>
      </c>
      <c r="Q38" s="129" t="str">
        <f>IF(OR($O$21=1,$O$21=2,$O$21=3,$O$21=4),R38,IF($O$21=5,S38," "))</f>
        <v xml:space="preserve"> </v>
      </c>
      <c r="R38" s="182">
        <v>76.760000000000005</v>
      </c>
      <c r="S38" s="182">
        <v>75.84</v>
      </c>
      <c r="T38" s="179"/>
      <c r="U38" s="179"/>
      <c r="V38" s="179"/>
      <c r="W38" s="179"/>
      <c r="X38" s="179"/>
      <c r="Y38" s="179"/>
      <c r="Z38" s="179"/>
      <c r="AA38" s="179"/>
      <c r="AB38" s="179"/>
      <c r="AC38" s="1"/>
      <c r="AD38" s="139">
        <f t="shared" si="0"/>
        <v>0</v>
      </c>
      <c r="AE38" s="139">
        <f t="shared" si="2"/>
        <v>0</v>
      </c>
      <c r="AF38" s="139">
        <v>1</v>
      </c>
      <c r="AG38" s="139">
        <v>1</v>
      </c>
      <c r="AH38" s="56">
        <v>150261</v>
      </c>
      <c r="AI38" s="56">
        <v>150262</v>
      </c>
      <c r="AJ38" s="56">
        <v>150263</v>
      </c>
      <c r="AK38" s="56">
        <v>150265</v>
      </c>
      <c r="AL38" s="56">
        <v>150260</v>
      </c>
      <c r="AM38" s="54" t="e" vm="2">
        <f t="shared" si="7"/>
        <v>#VALUE!</v>
      </c>
      <c r="AN38" s="54"/>
    </row>
    <row r="39" spans="1:58" ht="32.1" customHeight="1">
      <c r="A39" s="103"/>
      <c r="B39" s="76" t="str">
        <f>VLOOKUP(878,Sprachindex!$A:$Z,Info!$O$7,FALSE)</f>
        <v>Stk.</v>
      </c>
      <c r="C39" s="75"/>
      <c r="D39" s="75" t="str">
        <f t="shared" si="6"/>
        <v/>
      </c>
      <c r="E39" s="618" t="str">
        <f>VLOOKUP(1887,Sprachindex!$A:$Z,Info!$O$7,FALSE)</f>
        <v>Quadratrohr 80 mm, Wasserfangkasten</v>
      </c>
      <c r="F39" s="619"/>
      <c r="G39" s="619"/>
      <c r="H39" s="619"/>
      <c r="I39" s="619"/>
      <c r="J39" s="619"/>
      <c r="K39" s="620"/>
      <c r="L39" s="76" t="str">
        <f t="shared" ref="L39" si="9">IF(OR(A39="",AF39="",AG39="")," ",IF($O$11=1,AD39,IF($O$11=2,AE39,0)))</f>
        <v xml:space="preserve"> </v>
      </c>
      <c r="M39" s="399" t="str">
        <f t="shared" si="1"/>
        <v>Stk.</v>
      </c>
      <c r="N39" s="77"/>
      <c r="O39" s="184" t="str">
        <f t="shared" si="5"/>
        <v/>
      </c>
      <c r="Q39" s="129" t="str">
        <f>IF(OR($O$21=2,$O$21=3,$O$21=4),R39,IF($O$21=5,S39," "))</f>
        <v xml:space="preserve"> </v>
      </c>
      <c r="R39" s="182">
        <v>236.9</v>
      </c>
      <c r="S39" s="182">
        <v>232.16</v>
      </c>
      <c r="T39" s="179"/>
      <c r="U39" s="179"/>
      <c r="V39" s="179"/>
      <c r="W39" s="179"/>
      <c r="X39" s="179"/>
      <c r="Z39" s="179"/>
      <c r="AA39" s="179"/>
      <c r="AB39" s="179"/>
      <c r="AC39" s="1"/>
      <c r="AD39" s="139">
        <f t="shared" si="0"/>
        <v>0</v>
      </c>
      <c r="AE39" s="139">
        <f t="shared" si="2"/>
        <v>0</v>
      </c>
      <c r="AF39" s="139">
        <v>1</v>
      </c>
      <c r="AG39" s="139">
        <v>1</v>
      </c>
      <c r="AH39" s="56" t="s">
        <v>2349</v>
      </c>
      <c r="AI39" s="56">
        <v>151301</v>
      </c>
      <c r="AJ39" s="56">
        <v>151302</v>
      </c>
      <c r="AK39" s="56">
        <v>151303</v>
      </c>
      <c r="AL39" s="56">
        <v>151300</v>
      </c>
      <c r="AM39" s="54" t="e" vm="2">
        <f t="shared" si="7"/>
        <v>#VALUE!</v>
      </c>
      <c r="AN39" s="54"/>
    </row>
    <row r="40" spans="1:58" ht="32.1" customHeight="1">
      <c r="A40" s="103"/>
      <c r="B40" s="76" t="str">
        <f>VLOOKUP(878,Sprachindex!$A:$Z,Info!$O$7,FALSE)</f>
        <v>Stk.</v>
      </c>
      <c r="C40" s="75"/>
      <c r="D40" s="75" t="str">
        <f t="shared" si="6"/>
        <v/>
      </c>
      <c r="E40" s="618" t="str">
        <f>VLOOKUP(1888,Sprachindex!$A:$Z,Info!$O$7,FALSE)</f>
        <v>Quadratrohr 100 mm, Wasserfangkasten</v>
      </c>
      <c r="F40" s="619"/>
      <c r="G40" s="619"/>
      <c r="H40" s="619"/>
      <c r="I40" s="619"/>
      <c r="J40" s="619"/>
      <c r="K40" s="620"/>
      <c r="L40" s="76" t="str">
        <f t="shared" si="3"/>
        <v xml:space="preserve"> </v>
      </c>
      <c r="M40" s="399" t="str">
        <f t="shared" si="1"/>
        <v>Stk.</v>
      </c>
      <c r="N40" s="77"/>
      <c r="O40" s="184" t="str">
        <f t="shared" si="5"/>
        <v/>
      </c>
      <c r="Q40" s="129" t="str">
        <f>IF(OR($O$21=1,$O$21=2,$O$21=3,$O$21=4),R40,IF($O$21=5,S40," "))</f>
        <v xml:space="preserve"> </v>
      </c>
      <c r="R40" s="182">
        <v>237.31</v>
      </c>
      <c r="S40" s="182">
        <v>228.04</v>
      </c>
      <c r="T40" s="179"/>
      <c r="U40" s="179"/>
      <c r="V40" s="179"/>
      <c r="W40" s="179"/>
      <c r="X40" s="179"/>
      <c r="Y40" s="179"/>
      <c r="Z40" s="179"/>
      <c r="AA40" s="179"/>
      <c r="AB40" s="179"/>
      <c r="AC40" s="1"/>
      <c r="AD40" s="139">
        <f t="shared" si="0"/>
        <v>0</v>
      </c>
      <c r="AE40" s="139">
        <f t="shared" si="2"/>
        <v>0</v>
      </c>
      <c r="AF40" s="139">
        <v>1</v>
      </c>
      <c r="AG40" s="139">
        <v>1</v>
      </c>
      <c r="AH40" s="56">
        <v>150301</v>
      </c>
      <c r="AI40" s="56">
        <v>150302</v>
      </c>
      <c r="AJ40" s="56">
        <v>150303</v>
      </c>
      <c r="AK40" s="56">
        <v>150305</v>
      </c>
      <c r="AL40" s="56">
        <v>150300</v>
      </c>
      <c r="AM40" s="54" t="e" vm="2">
        <f t="shared" si="7"/>
        <v>#VALUE!</v>
      </c>
      <c r="AN40" s="54"/>
    </row>
    <row r="41" spans="1:58" ht="32.1" customHeight="1">
      <c r="A41" s="103"/>
      <c r="B41" s="76" t="str">
        <f>VLOOKUP(878,Sprachindex!$A:$Z,Info!$O$7,FALSE)</f>
        <v>Stk.</v>
      </c>
      <c r="C41" s="75"/>
      <c r="D41" s="75" t="str">
        <f t="shared" si="6"/>
        <v/>
      </c>
      <c r="E41" s="618" t="str">
        <f>VLOOKUP(1893,Sprachindex!$A:$Z,Info!$O$7,FALSE)</f>
        <v>Quadratrohr 80 mm, Muffe</v>
      </c>
      <c r="F41" s="619"/>
      <c r="G41" s="619"/>
      <c r="H41" s="619"/>
      <c r="I41" s="619"/>
      <c r="J41" s="766" t="s">
        <v>2124</v>
      </c>
      <c r="K41" s="682"/>
      <c r="L41" s="76" t="str">
        <f t="shared" ref="L41:L42" si="10">IF(OR(A41="",AF41="",AG41="")," ",IF($O$11=1,AD41,IF($O$11=2,AE41,0)))</f>
        <v xml:space="preserve"> </v>
      </c>
      <c r="M41" s="399" t="str">
        <f t="shared" si="1"/>
        <v>Stk.</v>
      </c>
      <c r="N41" s="77"/>
      <c r="O41" s="184" t="str">
        <f t="shared" si="5"/>
        <v/>
      </c>
      <c r="Q41" s="129" t="str">
        <f>IF(OR($O$21=2,$O$21=3,$O$21=4),R41,IF($O$21=5,S41," "))</f>
        <v xml:space="preserve"> </v>
      </c>
      <c r="R41" s="182">
        <v>102.21</v>
      </c>
      <c r="S41" s="182">
        <v>95.9</v>
      </c>
      <c r="T41" s="179"/>
      <c r="U41" s="179"/>
      <c r="V41" s="179"/>
      <c r="W41" s="179"/>
      <c r="X41" s="179"/>
      <c r="Y41" s="179"/>
      <c r="Z41" s="179"/>
      <c r="AA41" s="179"/>
      <c r="AB41" s="179"/>
      <c r="AC41" s="1"/>
      <c r="AD41" s="139">
        <f t="shared" si="0"/>
        <v>0</v>
      </c>
      <c r="AE41" s="139">
        <f t="shared" si="2"/>
        <v>0</v>
      </c>
      <c r="AF41" s="139">
        <v>1</v>
      </c>
      <c r="AG41" s="139">
        <v>1</v>
      </c>
      <c r="AH41" t="s">
        <v>2349</v>
      </c>
      <c r="AI41" s="56">
        <v>151381</v>
      </c>
      <c r="AJ41" s="56">
        <v>151382</v>
      </c>
      <c r="AK41" s="56">
        <v>151383</v>
      </c>
      <c r="AL41" s="56">
        <v>151380</v>
      </c>
      <c r="AM41" s="54" t="e" vm="2">
        <f t="shared" si="7"/>
        <v>#VALUE!</v>
      </c>
      <c r="AN41" s="54"/>
    </row>
    <row r="42" spans="1:58" ht="32.1" customHeight="1">
      <c r="A42" s="103"/>
      <c r="B42" s="76" t="str">
        <f>VLOOKUP(878,Sprachindex!$A:$Z,Info!$O$7,FALSE)</f>
        <v>Stk.</v>
      </c>
      <c r="C42" s="75"/>
      <c r="D42" s="75" t="str">
        <f t="shared" si="6"/>
        <v/>
      </c>
      <c r="E42" s="618" t="str">
        <f>VLOOKUP(1893,Sprachindex!$A:$Z,Info!$O$7,FALSE)</f>
        <v>Quadratrohr 80 mm, Muffe</v>
      </c>
      <c r="F42" s="619"/>
      <c r="G42" s="619"/>
      <c r="H42" s="619"/>
      <c r="I42" s="619"/>
      <c r="J42" s="769" t="s">
        <v>1594</v>
      </c>
      <c r="K42" s="682"/>
      <c r="L42" s="76" t="str">
        <f t="shared" si="10"/>
        <v xml:space="preserve"> </v>
      </c>
      <c r="M42" s="399" t="str">
        <f t="shared" si="1"/>
        <v>Stk.</v>
      </c>
      <c r="N42" s="77"/>
      <c r="O42" s="184" t="str">
        <f t="shared" si="5"/>
        <v/>
      </c>
      <c r="R42" s="182">
        <v>102.21</v>
      </c>
      <c r="S42" s="182">
        <v>95.9</v>
      </c>
      <c r="T42" s="179"/>
      <c r="U42" s="179"/>
      <c r="V42" s="179"/>
      <c r="W42" s="179"/>
      <c r="X42" s="179"/>
      <c r="Y42" s="179"/>
      <c r="Z42" s="179"/>
      <c r="AA42" s="179"/>
      <c r="AB42" s="179"/>
      <c r="AC42" s="1"/>
      <c r="AD42" s="139"/>
      <c r="AE42" s="139"/>
      <c r="AF42" s="139"/>
      <c r="AG42" s="139"/>
      <c r="AH42" t="s">
        <v>2349</v>
      </c>
      <c r="AI42" s="482">
        <v>151361</v>
      </c>
      <c r="AJ42" s="482">
        <v>151362</v>
      </c>
      <c r="AK42" s="482">
        <v>151363</v>
      </c>
      <c r="AL42" s="482">
        <v>151360</v>
      </c>
      <c r="AM42" s="54" t="e" vm="2">
        <f t="shared" si="7"/>
        <v>#VALUE!</v>
      </c>
      <c r="AN42" s="54"/>
    </row>
    <row r="43" spans="1:58" ht="32.1" customHeight="1">
      <c r="A43" s="103"/>
      <c r="B43" s="76" t="str">
        <f>VLOOKUP(878,Sprachindex!$A:$Z,Info!$O$7,FALSE)</f>
        <v>Stk.</v>
      </c>
      <c r="C43" s="75"/>
      <c r="D43" s="75" t="str">
        <f>IF(I43=Formeln!A147,AM43,IF(I43=Formeln!A148,AT43,""))</f>
        <v/>
      </c>
      <c r="E43" s="618" t="str">
        <f>VLOOKUP(1894,Sprachindex!$A:$Z,Info!$O$7,FALSE)</f>
        <v>Quadratrohr 100 mm, Muffe</v>
      </c>
      <c r="F43" s="619"/>
      <c r="G43" s="619"/>
      <c r="H43" s="81" t="str">
        <f>VLOOKUP(306,Sprachindex!$A:$Z,Info!$O$7,FALSE)</f>
        <v>Dimension wählen:</v>
      </c>
      <c r="I43" s="624"/>
      <c r="J43" s="625"/>
      <c r="K43" s="625"/>
      <c r="L43" s="76" t="str">
        <f t="shared" si="3"/>
        <v xml:space="preserve"> </v>
      </c>
      <c r="M43" s="399" t="str">
        <f t="shared" si="1"/>
        <v>Stk.</v>
      </c>
      <c r="N43" s="77"/>
      <c r="O43" s="184" t="str">
        <f t="shared" si="5"/>
        <v/>
      </c>
      <c r="Q43" s="129" t="str">
        <f>IF(OR($O$21=1,$O$21=2,$O$21=3,$O$21=4),R43,IF($O$21=5,S43," "))</f>
        <v xml:space="preserve"> </v>
      </c>
      <c r="R43" s="182">
        <v>48.9</v>
      </c>
      <c r="S43" s="182">
        <v>45.89</v>
      </c>
      <c r="T43" s="179"/>
      <c r="U43" s="179"/>
      <c r="V43" s="179"/>
      <c r="W43" s="179"/>
      <c r="X43" s="179"/>
      <c r="Y43" s="179"/>
      <c r="Z43" s="179"/>
      <c r="AA43" s="179"/>
      <c r="AB43" s="179"/>
      <c r="AC43" s="1"/>
      <c r="AD43" s="139" t="e">
        <f t="shared" si="0"/>
        <v>#VALUE!</v>
      </c>
      <c r="AE43" s="139">
        <f t="shared" si="2"/>
        <v>0</v>
      </c>
      <c r="AF43" s="139" t="str">
        <f>IF(I43=Formeln!$A$146,"",1)</f>
        <v/>
      </c>
      <c r="AG43" s="139">
        <v>1</v>
      </c>
      <c r="AH43" s="56">
        <v>150381</v>
      </c>
      <c r="AI43" s="56">
        <v>150382</v>
      </c>
      <c r="AJ43" s="56">
        <v>150383</v>
      </c>
      <c r="AK43" s="56">
        <v>150385</v>
      </c>
      <c r="AL43" s="56">
        <v>150380</v>
      </c>
      <c r="AM43" s="54" t="e" vm="2">
        <f t="shared" si="7"/>
        <v>#VALUE!</v>
      </c>
      <c r="AN43" s="54" t="s">
        <v>2125</v>
      </c>
      <c r="AO43" s="56">
        <v>150361</v>
      </c>
      <c r="AP43" s="56">
        <v>150362</v>
      </c>
      <c r="AQ43" s="56">
        <v>150363</v>
      </c>
      <c r="AR43" s="56">
        <v>150365</v>
      </c>
      <c r="AS43" s="56">
        <v>150360</v>
      </c>
      <c r="AT43" s="54" t="e" vm="2">
        <f t="shared" ref="AT43" si="11">VLOOKUP(AO43,AO43:AS43,$O$21,FALSE)</f>
        <v>#VALUE!</v>
      </c>
      <c r="AU43" s="54" t="s">
        <v>1594</v>
      </c>
      <c r="AV43"/>
      <c r="AW43"/>
      <c r="AX43"/>
    </row>
    <row r="44" spans="1:58" ht="32.1" customHeight="1">
      <c r="A44" s="103"/>
      <c r="B44" s="76" t="str">
        <f>VLOOKUP(878,Sprachindex!$A:$Z,Info!$O$7,FALSE)</f>
        <v>Stk.</v>
      </c>
      <c r="C44" s="75"/>
      <c r="D44" s="75" t="str">
        <f>IF(J44=Formeln!G194,150052,IF(J44=Formeln_RI_P.10!G187,150053,""))</f>
        <v/>
      </c>
      <c r="E44" s="618" t="str">
        <f>VLOOKUP(444,Sprachindex!$A:$Z,Info!$O$7,FALSE)</f>
        <v>Gummidichtung passend für HT/KG (NW 110 mm)</v>
      </c>
      <c r="F44" s="619"/>
      <c r="G44" s="619"/>
      <c r="H44" s="619"/>
      <c r="I44" s="484" t="str">
        <f>VLOOKUP(306,Sprachindex!$A:$Z,Info!$O$7,FALSE)</f>
        <v>Dimension wählen:</v>
      </c>
      <c r="J44" s="706"/>
      <c r="K44" s="632"/>
      <c r="L44" s="76" t="str">
        <f t="shared" si="3"/>
        <v xml:space="preserve"> </v>
      </c>
      <c r="M44" s="399" t="str">
        <f t="shared" si="1"/>
        <v>Stk.</v>
      </c>
      <c r="N44" s="77"/>
      <c r="O44" s="184" t="str">
        <f t="shared" si="5"/>
        <v/>
      </c>
      <c r="Q44" s="129">
        <f>R44</f>
        <v>7.19</v>
      </c>
      <c r="R44" s="182">
        <v>7.19</v>
      </c>
      <c r="S44" s="179"/>
      <c r="T44" s="179"/>
      <c r="U44" s="179"/>
      <c r="V44" s="179"/>
      <c r="W44" s="179"/>
      <c r="X44" s="179"/>
      <c r="Y44" s="179"/>
      <c r="Z44" s="179"/>
      <c r="AA44" s="179"/>
      <c r="AB44" s="179"/>
      <c r="AC44" s="1"/>
      <c r="AD44" s="139">
        <f t="shared" si="0"/>
        <v>0</v>
      </c>
      <c r="AE44" s="139">
        <f t="shared" si="2"/>
        <v>0</v>
      </c>
      <c r="AF44" s="139">
        <v>1</v>
      </c>
      <c r="AG44" s="139">
        <v>1</v>
      </c>
      <c r="AH44" s="148" t="s">
        <v>2110</v>
      </c>
      <c r="AI44" s="148" t="s">
        <v>2111</v>
      </c>
      <c r="AJ44" s="148" t="s">
        <v>2112</v>
      </c>
      <c r="AK44" s="148" t="s">
        <v>2113</v>
      </c>
      <c r="AL44" s="148" t="s">
        <v>2114</v>
      </c>
      <c r="AM44" s="148"/>
      <c r="AO44" s="29" t="s">
        <v>2110</v>
      </c>
      <c r="AP44" s="29" t="s">
        <v>2111</v>
      </c>
      <c r="AQ44" s="29" t="s">
        <v>2112</v>
      </c>
      <c r="AR44" s="29" t="s">
        <v>2113</v>
      </c>
      <c r="AS44" s="29" t="s">
        <v>2114</v>
      </c>
      <c r="AV44" s="148" t="s">
        <v>2110</v>
      </c>
      <c r="AW44" s="29" t="s">
        <v>2111</v>
      </c>
      <c r="AX44" s="29" t="s">
        <v>2112</v>
      </c>
      <c r="AY44" s="29" t="s">
        <v>2113</v>
      </c>
      <c r="AZ44" s="29" t="s">
        <v>2114</v>
      </c>
      <c r="BB44"/>
      <c r="BC44"/>
      <c r="BD44"/>
      <c r="BE44"/>
      <c r="BF44"/>
    </row>
    <row r="45" spans="1:58" ht="32.1" customHeight="1">
      <c r="A45" s="103"/>
      <c r="B45" s="76" t="str">
        <f>VLOOKUP(878,Sprachindex!$A:$Z,Info!$O$7,FALSE)</f>
        <v>Stk.</v>
      </c>
      <c r="C45" s="75"/>
      <c r="D45" s="75" t="str">
        <f>IF(I45=Formeln_RI_P.10!A141,AM45,IF(I45=Formeln_RI_P.10!A142,AT45,""))</f>
        <v/>
      </c>
      <c r="E45" s="618" t="str">
        <f>VLOOKUP(1889,Sprachindex!$A:$Z,Info!$O$7,FALSE)</f>
        <v>Quadratrohr 80 mm, Kessel</v>
      </c>
      <c r="F45" s="619"/>
      <c r="G45" s="619"/>
      <c r="H45" s="81" t="str">
        <f>VLOOKUP(306,Sprachindex!$A:$Z,Info!$O$7,FALSE)</f>
        <v>Dimension wählen:</v>
      </c>
      <c r="I45" s="624"/>
      <c r="J45" s="625"/>
      <c r="K45" s="625"/>
      <c r="L45" s="76" t="str">
        <f t="shared" ref="L45" si="12">IF(OR(A45="",AF45="",AG45="")," ",IF($O$11=1,AD45,IF($O$11=2,AE45,0)))</f>
        <v xml:space="preserve"> </v>
      </c>
      <c r="M45" s="399" t="str">
        <f t="shared" si="1"/>
        <v>Stk.</v>
      </c>
      <c r="N45" s="77"/>
      <c r="O45" s="184" t="str">
        <f t="shared" si="5"/>
        <v/>
      </c>
      <c r="Q45" s="179" t="str">
        <f>IF(I45=T45,IF(OR($O$21=2,$O$21=3,$O$21=4),R45,IF($O$21=5,S45," ")),IF(I45=W45,IF(OR($O$21=2,$O$21=3,$O$21=4),Y45,IF($O$21=5,Z45," "))," "))</f>
        <v xml:space="preserve"> </v>
      </c>
      <c r="R45" s="182">
        <v>53.71</v>
      </c>
      <c r="S45" s="182">
        <v>50.2</v>
      </c>
      <c r="T45" s="765" t="s">
        <v>1612</v>
      </c>
      <c r="U45" s="765"/>
      <c r="V45" s="67"/>
      <c r="W45" s="764" t="s">
        <v>1613</v>
      </c>
      <c r="X45" s="764"/>
      <c r="Y45" s="182">
        <v>70.05</v>
      </c>
      <c r="Z45" s="182">
        <v>67.069999999999993</v>
      </c>
      <c r="AA45" s="179"/>
      <c r="AB45" s="179"/>
      <c r="AC45" s="1"/>
      <c r="AD45" s="139">
        <f t="shared" si="0"/>
        <v>0</v>
      </c>
      <c r="AE45" s="139">
        <f t="shared" si="2"/>
        <v>0</v>
      </c>
      <c r="AF45" s="139">
        <v>1</v>
      </c>
      <c r="AG45" s="139">
        <v>1</v>
      </c>
      <c r="AH45" s="56" t="s">
        <v>2349</v>
      </c>
      <c r="AI45" s="56">
        <v>151401</v>
      </c>
      <c r="AJ45" s="56">
        <v>151402</v>
      </c>
      <c r="AK45" s="56">
        <v>151403</v>
      </c>
      <c r="AL45" s="56">
        <v>151400</v>
      </c>
      <c r="AM45" s="54" t="e" vm="2">
        <f t="shared" si="7"/>
        <v>#VALUE!</v>
      </c>
      <c r="AN45" s="54" t="s">
        <v>2126</v>
      </c>
      <c r="AO45" s="56" t="s">
        <v>2349</v>
      </c>
      <c r="AP45" s="56">
        <v>151421</v>
      </c>
      <c r="AQ45" s="56">
        <v>151422</v>
      </c>
      <c r="AR45" s="56">
        <v>151423</v>
      </c>
      <c r="AS45" s="56">
        <v>151420</v>
      </c>
      <c r="AT45" s="54" t="e" vm="2">
        <f t="shared" ref="AT45:AT46" si="13">VLOOKUP(AO45,AO45:AS45,$O$21,FALSE)</f>
        <v>#VALUE!</v>
      </c>
      <c r="AU45" s="54" t="s">
        <v>2127</v>
      </c>
      <c r="AV45"/>
      <c r="AW45"/>
      <c r="AX45"/>
    </row>
    <row r="46" spans="1:58" ht="32.1" customHeight="1">
      <c r="A46" s="103"/>
      <c r="B46" s="76" t="str">
        <f>VLOOKUP(878,Sprachindex!$A:$Z,Info!$O$7,FALSE)</f>
        <v>Stk.</v>
      </c>
      <c r="C46" s="75"/>
      <c r="D46" s="75" t="str">
        <f>IF(I46=Formeln_RI_P.10!A143,AM46,IF(I46=Formeln_RI_P.10!A144,AT46,""))</f>
        <v/>
      </c>
      <c r="E46" s="618" t="str">
        <f>VLOOKUP(1890,Sprachindex!$A:$Z,Info!$O$7,FALSE)</f>
        <v>Quadratrohr 100 mm, Kessel</v>
      </c>
      <c r="F46" s="619"/>
      <c r="G46" s="619"/>
      <c r="H46" s="81" t="str">
        <f>VLOOKUP(306,Sprachindex!$A:$Z,Info!$O$7,FALSE)</f>
        <v>Dimension wählen:</v>
      </c>
      <c r="I46" s="624"/>
      <c r="J46" s="625"/>
      <c r="K46" s="625"/>
      <c r="L46" s="76" t="str">
        <f t="shared" si="3"/>
        <v xml:space="preserve"> </v>
      </c>
      <c r="M46" s="399" t="str">
        <f t="shared" si="1"/>
        <v>Stk.</v>
      </c>
      <c r="N46" s="77"/>
      <c r="O46" s="184" t="str">
        <f t="shared" si="5"/>
        <v/>
      </c>
      <c r="Q46" s="179" t="str">
        <f>IF(I46=T46,IF(OR($O$21=2,$O$21=3,$O$21=4),R46,IF($O$21=5,S46," ")),IF(I46=W46,IF(OR($O$21=2,$O$21=3,$O$21=4),Y46,IF($O$21=5,Z46," "))," "))</f>
        <v xml:space="preserve"> </v>
      </c>
      <c r="R46" s="182">
        <v>71.64</v>
      </c>
      <c r="S46" s="182">
        <v>65.930000000000007</v>
      </c>
      <c r="T46" s="765" t="s">
        <v>1614</v>
      </c>
      <c r="U46" s="765"/>
      <c r="V46" s="179"/>
      <c r="W46" s="765" t="s">
        <v>1615</v>
      </c>
      <c r="X46" s="765"/>
      <c r="Y46" s="182">
        <v>73.25</v>
      </c>
      <c r="Z46" s="182">
        <v>67.13</v>
      </c>
      <c r="AA46" s="179"/>
      <c r="AB46" s="179"/>
      <c r="AC46" s="1"/>
      <c r="AD46" s="139" t="e">
        <f t="shared" si="0"/>
        <v>#VALUE!</v>
      </c>
      <c r="AE46" s="139">
        <f t="shared" si="2"/>
        <v>0</v>
      </c>
      <c r="AF46" s="139" t="str">
        <f>IF(I46=Formeln!$A$149,"",1)</f>
        <v/>
      </c>
      <c r="AG46" s="139">
        <v>1</v>
      </c>
      <c r="AH46" s="56">
        <v>150401</v>
      </c>
      <c r="AI46" s="56">
        <v>150402</v>
      </c>
      <c r="AJ46" s="56">
        <v>150403</v>
      </c>
      <c r="AK46" s="56">
        <v>150405</v>
      </c>
      <c r="AL46" s="56">
        <v>150400</v>
      </c>
      <c r="AM46" s="54" t="e" vm="2">
        <f t="shared" si="7"/>
        <v>#VALUE!</v>
      </c>
      <c r="AN46" s="54" t="s">
        <v>2128</v>
      </c>
      <c r="AO46" s="482">
        <v>150421</v>
      </c>
      <c r="AP46" s="482">
        <v>150422</v>
      </c>
      <c r="AQ46" s="482">
        <v>150423</v>
      </c>
      <c r="AR46" s="482">
        <v>150425</v>
      </c>
      <c r="AS46" s="482">
        <v>150420</v>
      </c>
      <c r="AT46" s="54" t="e" vm="2">
        <f t="shared" si="13"/>
        <v>#VALUE!</v>
      </c>
      <c r="AU46" s="54" t="s">
        <v>2129</v>
      </c>
      <c r="AV46"/>
      <c r="AW46"/>
      <c r="AX46"/>
    </row>
    <row r="47" spans="1:58" ht="32.1" customHeight="1">
      <c r="A47" s="103"/>
      <c r="B47" s="76" t="str">
        <f>VLOOKUP(878,Sprachindex!$A:$Z,Info!$O$7,FALSE)</f>
        <v>Stk.</v>
      </c>
      <c r="C47" s="75"/>
      <c r="D47" s="75" t="str">
        <f t="shared" ref="D47:D51" si="14">IF(ISNUMBER(A47),AM47,"")</f>
        <v/>
      </c>
      <c r="E47" s="618" t="str">
        <f>VLOOKUP(1891,Sprachindex!$A:$Z,Info!$O$7,FALSE)</f>
        <v>Quadratrohr 80 mm, Speiereinmündung</v>
      </c>
      <c r="F47" s="619"/>
      <c r="G47" s="619"/>
      <c r="H47" s="619"/>
      <c r="I47" s="619"/>
      <c r="J47" s="619"/>
      <c r="K47" s="620"/>
      <c r="L47" s="76" t="str">
        <f t="shared" ref="L47" si="15">IF(OR(A47="",AF47="",AG47="")," ",IF($O$11=1,AD47,IF($O$11=2,AE47,0)))</f>
        <v xml:space="preserve"> </v>
      </c>
      <c r="M47" s="399" t="str">
        <f t="shared" si="1"/>
        <v>Stk.</v>
      </c>
      <c r="N47" s="77"/>
      <c r="O47" s="184" t="str">
        <f t="shared" si="5"/>
        <v/>
      </c>
      <c r="Q47" s="129" t="str">
        <f>IF(OR($O$21=2,$O$21=3,$O$21=4),R47,IF($O$21=5,S47," "))</f>
        <v xml:space="preserve"> </v>
      </c>
      <c r="R47" s="182">
        <v>255.65</v>
      </c>
      <c r="S47" s="182">
        <v>244.21</v>
      </c>
      <c r="T47" s="179"/>
      <c r="U47" s="179"/>
      <c r="V47" s="179"/>
      <c r="W47" s="179"/>
      <c r="X47" s="179"/>
      <c r="Y47" s="179"/>
      <c r="Z47" s="179"/>
      <c r="AA47" s="179"/>
      <c r="AB47" s="179"/>
      <c r="AC47" s="1"/>
      <c r="AD47" s="139">
        <f t="shared" si="0"/>
        <v>0</v>
      </c>
      <c r="AE47" s="139">
        <f t="shared" si="2"/>
        <v>0</v>
      </c>
      <c r="AF47" s="139">
        <v>1</v>
      </c>
      <c r="AG47" s="139">
        <v>1</v>
      </c>
      <c r="AH47" s="56" t="s">
        <v>2349</v>
      </c>
      <c r="AI47" s="56">
        <v>151501</v>
      </c>
      <c r="AJ47" s="56">
        <v>151502</v>
      </c>
      <c r="AK47" s="56">
        <v>151503</v>
      </c>
      <c r="AL47" s="56">
        <v>151500</v>
      </c>
      <c r="AM47" s="54" t="e" vm="2">
        <f t="shared" si="7"/>
        <v>#VALUE!</v>
      </c>
      <c r="AN47" s="54"/>
      <c r="AQ47"/>
    </row>
    <row r="48" spans="1:58" ht="32.1" customHeight="1">
      <c r="A48" s="103"/>
      <c r="B48" s="76" t="str">
        <f>VLOOKUP(878,Sprachindex!$A:$Z,Info!$O$7,FALSE)</f>
        <v>Stk.</v>
      </c>
      <c r="C48" s="75"/>
      <c r="D48" s="75" t="str">
        <f t="shared" si="14"/>
        <v/>
      </c>
      <c r="E48" s="618" t="str">
        <f>VLOOKUP(1892,Sprachindex!$A:$Z,Info!$O$7,FALSE)</f>
        <v>Quadratrohr 100 mm, Speiereinmündung</v>
      </c>
      <c r="F48" s="619"/>
      <c r="G48" s="619"/>
      <c r="H48" s="619"/>
      <c r="I48" s="619"/>
      <c r="J48" s="619"/>
      <c r="K48" s="620"/>
      <c r="L48" s="76" t="str">
        <f t="shared" si="3"/>
        <v xml:space="preserve"> </v>
      </c>
      <c r="M48" s="399" t="str">
        <f t="shared" si="1"/>
        <v>Stk.</v>
      </c>
      <c r="N48" s="77"/>
      <c r="O48" s="184" t="str">
        <f t="shared" si="5"/>
        <v/>
      </c>
      <c r="Q48" s="129" t="str">
        <f>IF(OR($O$21=1,$O$21=2,$O$21=3,$O$21=4),R48,IF($O$21=5,S48," "))</f>
        <v xml:space="preserve"> </v>
      </c>
      <c r="R48" s="182">
        <v>255.5</v>
      </c>
      <c r="S48" s="182">
        <v>244.42</v>
      </c>
      <c r="T48" s="179"/>
      <c r="U48" s="179"/>
      <c r="V48" s="179"/>
      <c r="W48" s="179"/>
      <c r="X48" s="179"/>
      <c r="Y48" s="179"/>
      <c r="Z48" s="179"/>
      <c r="AA48" s="179"/>
      <c r="AB48" s="179"/>
      <c r="AC48" s="1"/>
      <c r="AD48" s="139">
        <f t="shared" si="0"/>
        <v>0</v>
      </c>
      <c r="AE48" s="139">
        <f t="shared" si="2"/>
        <v>0</v>
      </c>
      <c r="AF48" s="139">
        <v>1</v>
      </c>
      <c r="AG48" s="139">
        <v>1</v>
      </c>
      <c r="AH48" s="56">
        <v>150501</v>
      </c>
      <c r="AI48" s="56">
        <v>150502</v>
      </c>
      <c r="AJ48" s="56">
        <v>150503</v>
      </c>
      <c r="AK48" s="56">
        <v>150505</v>
      </c>
      <c r="AL48" s="56">
        <v>150500</v>
      </c>
      <c r="AM48" s="54" t="e" vm="2">
        <f t="shared" si="7"/>
        <v>#VALUE!</v>
      </c>
      <c r="AN48" s="54"/>
      <c r="AQ48"/>
    </row>
    <row r="49" spans="1:204" ht="32.1" customHeight="1">
      <c r="A49" s="103"/>
      <c r="B49" s="76" t="str">
        <f>VLOOKUP(878,Sprachindex!$A:$Z,Info!$O$7,FALSE)</f>
        <v>Stk.</v>
      </c>
      <c r="C49" s="75"/>
      <c r="D49" s="75" t="str">
        <f t="shared" si="14"/>
        <v/>
      </c>
      <c r="E49" s="618" t="str">
        <f>VLOOKUP(1895,Sprachindex!$A:$Z,Info!$O$7,FALSE)</f>
        <v>Quadratrohr 80 mm, mit Reinigungsöffnung</v>
      </c>
      <c r="F49" s="619"/>
      <c r="G49" s="619"/>
      <c r="H49" s="619"/>
      <c r="I49" s="619"/>
      <c r="J49" s="619"/>
      <c r="K49" s="620"/>
      <c r="L49" s="76" t="str">
        <f t="shared" ref="L49" si="16">IF(OR(A49="",AF49="",AG49="")," ",IF($O$11=1,AD49,IF($O$11=2,AE49,0)))</f>
        <v xml:space="preserve"> </v>
      </c>
      <c r="M49" s="399" t="str">
        <f t="shared" si="1"/>
        <v>Stk.</v>
      </c>
      <c r="N49" s="77"/>
      <c r="O49" s="184" t="str">
        <f t="shared" si="5"/>
        <v/>
      </c>
      <c r="Q49" s="129" t="str">
        <f>IF(OR($O$21=2,$O$21=3,$O$21=4),R49,IF($O$21=5,S49," "))</f>
        <v xml:space="preserve"> </v>
      </c>
      <c r="R49" s="182">
        <v>104.75</v>
      </c>
      <c r="S49" s="182">
        <v>103.93</v>
      </c>
      <c r="T49" s="179"/>
      <c r="U49" s="179"/>
      <c r="V49" s="179"/>
      <c r="W49" s="179"/>
      <c r="Y49" s="179"/>
      <c r="Z49" s="179"/>
      <c r="AA49" s="179"/>
      <c r="AB49" s="179"/>
      <c r="AC49" s="1"/>
      <c r="AD49" s="139">
        <f t="shared" si="0"/>
        <v>0</v>
      </c>
      <c r="AE49" s="139">
        <f t="shared" si="2"/>
        <v>0</v>
      </c>
      <c r="AF49" s="139">
        <v>1</v>
      </c>
      <c r="AG49" s="139">
        <v>1</v>
      </c>
      <c r="AH49" s="56" t="s">
        <v>2349</v>
      </c>
      <c r="AI49" s="56">
        <v>151141</v>
      </c>
      <c r="AJ49" s="56">
        <v>151142</v>
      </c>
      <c r="AK49" s="56">
        <v>151143</v>
      </c>
      <c r="AL49" s="56">
        <v>151140</v>
      </c>
      <c r="AM49" s="54" t="e" vm="2">
        <f t="shared" si="7"/>
        <v>#VALUE!</v>
      </c>
      <c r="AN49" s="54"/>
      <c r="AQ49"/>
    </row>
    <row r="50" spans="1:204" ht="32.1" customHeight="1">
      <c r="A50" s="103"/>
      <c r="B50" s="76" t="str">
        <f>VLOOKUP(878,Sprachindex!$A:$Z,Info!$O$7,FALSE)</f>
        <v>Stk.</v>
      </c>
      <c r="C50" s="75"/>
      <c r="D50" s="75" t="str">
        <f t="shared" si="14"/>
        <v/>
      </c>
      <c r="E50" s="618" t="str">
        <f>VLOOKUP(1896,Sprachindex!$A:$Z,Info!$O$7,FALSE)</f>
        <v>Quadratrohr 100 mm, mit Reinigungsöffnung</v>
      </c>
      <c r="F50" s="619"/>
      <c r="G50" s="619"/>
      <c r="H50" s="619"/>
      <c r="I50" s="619"/>
      <c r="J50" s="619"/>
      <c r="K50" s="620"/>
      <c r="L50" s="76" t="str">
        <f t="shared" si="3"/>
        <v xml:space="preserve"> </v>
      </c>
      <c r="M50" s="399" t="str">
        <f t="shared" si="1"/>
        <v>Stk.</v>
      </c>
      <c r="N50" s="77"/>
      <c r="O50" s="184" t="str">
        <f t="shared" si="5"/>
        <v/>
      </c>
      <c r="Q50" s="129" t="str">
        <f>IF(OR($O$21=1,$O$21=2,$O$21=3,$O$21=4),R50,IF($O$21=5,S50," "))</f>
        <v xml:space="preserve"> </v>
      </c>
      <c r="R50" s="182">
        <v>120.41</v>
      </c>
      <c r="S50" s="182">
        <v>119.48</v>
      </c>
      <c r="T50" s="179"/>
      <c r="U50" s="179"/>
      <c r="V50" s="179"/>
      <c r="W50" s="179"/>
      <c r="Y50" s="179"/>
      <c r="Z50" s="179"/>
      <c r="AA50" s="179"/>
      <c r="AB50" s="179"/>
      <c r="AC50" s="1"/>
      <c r="AD50" s="139">
        <f t="shared" si="0"/>
        <v>0</v>
      </c>
      <c r="AE50" s="139">
        <f t="shared" si="2"/>
        <v>0</v>
      </c>
      <c r="AF50" s="139">
        <v>1</v>
      </c>
      <c r="AG50" s="139">
        <v>1</v>
      </c>
      <c r="AH50" s="56">
        <v>150141</v>
      </c>
      <c r="AI50" s="56">
        <v>150142</v>
      </c>
      <c r="AJ50" s="56">
        <v>150143</v>
      </c>
      <c r="AK50" s="56">
        <v>150145</v>
      </c>
      <c r="AL50" s="56">
        <v>150140</v>
      </c>
      <c r="AM50" s="54" t="e" vm="2">
        <f t="shared" si="7"/>
        <v>#VALUE!</v>
      </c>
      <c r="AN50" s="54"/>
      <c r="AQ50"/>
    </row>
    <row r="51" spans="1:204" ht="32.1" customHeight="1">
      <c r="A51" s="103"/>
      <c r="B51" s="76" t="str">
        <f>VLOOKUP(878,Sprachindex!$A:$Z,Info!$O$7,FALSE)</f>
        <v>Stk.</v>
      </c>
      <c r="C51" s="75"/>
      <c r="D51" s="75" t="str">
        <f t="shared" si="14"/>
        <v/>
      </c>
      <c r="E51" s="618" t="str">
        <f>VLOOKUP(1897,Sprachindex!$A:$Z,Info!$O$7,FALSE)</f>
        <v>Wassersammler für Quadratrohr 100 mm</v>
      </c>
      <c r="F51" s="619"/>
      <c r="G51" s="619"/>
      <c r="H51" s="619"/>
      <c r="I51" s="619"/>
      <c r="J51" s="619"/>
      <c r="K51" s="620"/>
      <c r="L51" s="76" t="str">
        <f t="shared" si="3"/>
        <v xml:space="preserve"> </v>
      </c>
      <c r="M51" s="399" t="str">
        <f t="shared" si="1"/>
        <v>Stk.</v>
      </c>
      <c r="N51" s="77"/>
      <c r="O51" s="184" t="str">
        <f t="shared" si="5"/>
        <v/>
      </c>
      <c r="Q51" s="129" t="str">
        <f>IF(OR($O$21=2,$O$21=3,$O$21=4),R51,IF($O$21=5,S51," "))</f>
        <v xml:space="preserve"> </v>
      </c>
      <c r="R51" s="182">
        <v>168.51</v>
      </c>
      <c r="S51" s="182">
        <v>162.02000000000001</v>
      </c>
      <c r="T51" s="179"/>
      <c r="U51" s="179"/>
      <c r="V51" s="179"/>
      <c r="W51" s="179"/>
      <c r="X51" s="179"/>
      <c r="Y51" s="179"/>
      <c r="Z51" s="179"/>
      <c r="AA51" s="179"/>
      <c r="AB51" s="179"/>
      <c r="AC51" s="1"/>
      <c r="AD51" s="139">
        <f t="shared" si="0"/>
        <v>0</v>
      </c>
      <c r="AE51" s="139">
        <f t="shared" si="2"/>
        <v>0</v>
      </c>
      <c r="AF51" s="139">
        <v>1</v>
      </c>
      <c r="AG51" s="139">
        <v>1</v>
      </c>
      <c r="AH51" s="56" t="s">
        <v>2349</v>
      </c>
      <c r="AI51" s="56">
        <v>150322</v>
      </c>
      <c r="AJ51" s="56">
        <v>150323</v>
      </c>
      <c r="AK51" s="56">
        <v>150325</v>
      </c>
      <c r="AL51" s="56">
        <v>150320</v>
      </c>
      <c r="AM51" s="54" t="e" vm="2">
        <f t="shared" si="7"/>
        <v>#VALUE!</v>
      </c>
      <c r="AN51" s="54"/>
      <c r="AQ51"/>
    </row>
    <row r="52" spans="1:204" ht="32.1" customHeight="1">
      <c r="A52" s="103"/>
      <c r="B52" s="76" t="str">
        <f>VLOOKUP(878,Sprachindex!$A:$Z,Info!$O$7,FALSE)</f>
        <v>Stk.</v>
      </c>
      <c r="C52" s="75"/>
      <c r="D52" s="75" t="str">
        <f>IF(J52=Formeln!A267,AM52,IF(J52=Formeln!A268,AT52,""))</f>
        <v/>
      </c>
      <c r="E52" s="618" t="str">
        <f>VLOOKUP(654,Sprachindex!$A:$Z,Info!$O$7,FALSE)</f>
        <v>Patentniete</v>
      </c>
      <c r="F52" s="619"/>
      <c r="G52" s="619"/>
      <c r="H52" s="619"/>
      <c r="I52" s="619"/>
      <c r="J52" s="631"/>
      <c r="K52" s="706"/>
      <c r="L52" s="76" t="str">
        <f t="shared" ref="L52" si="17">IF(OR(A52="",AF52="",AG52="")," ",IF($O$11=1,$AD52,IF($O$11=2,AE52,0)))</f>
        <v xml:space="preserve"> </v>
      </c>
      <c r="M52" s="399" t="str">
        <f t="shared" si="1"/>
        <v>Stk.</v>
      </c>
      <c r="N52" s="77"/>
      <c r="O52" s="184" t="str">
        <f>IF(ISNUMBER(A52),$L52*Q52," ")</f>
        <v xml:space="preserve"> </v>
      </c>
      <c r="Q52" s="209" t="str">
        <f>IF(J52=U52,IF($O$21=5,S52,R52),IF(J52=W52,IF($O$21=5,S52," ")," "))</f>
        <v xml:space="preserve"> </v>
      </c>
      <c r="R52" s="182">
        <v>0.19</v>
      </c>
      <c r="S52" s="182">
        <v>0.15</v>
      </c>
      <c r="T52" s="179"/>
      <c r="U52" s="765" t="s">
        <v>2088</v>
      </c>
      <c r="V52" s="765"/>
      <c r="W52" s="67" t="s">
        <v>2089</v>
      </c>
      <c r="X52" s="67"/>
      <c r="Y52" s="179"/>
      <c r="Z52" s="179"/>
      <c r="AA52" s="179"/>
      <c r="AB52" s="179"/>
      <c r="AC52" s="1"/>
      <c r="AD52" s="139" t="e">
        <f>ROUNDUP($A52/AF52,0)*AF52</f>
        <v>#VALUE!</v>
      </c>
      <c r="AE52" s="139">
        <f t="shared" si="2"/>
        <v>0</v>
      </c>
      <c r="AF52" s="139" t="str">
        <f>IF($J52=Formeln!$A$267,1000,IF($J52=Formeln!$A$268,500,""))</f>
        <v/>
      </c>
      <c r="AG52" s="139">
        <v>1</v>
      </c>
      <c r="AH52" s="56">
        <v>533003</v>
      </c>
      <c r="AI52" s="56">
        <v>533004</v>
      </c>
      <c r="AJ52" s="56">
        <v>533009</v>
      </c>
      <c r="AK52" s="56">
        <v>533017</v>
      </c>
      <c r="AL52" s="56">
        <v>533001</v>
      </c>
      <c r="AM52" s="54" t="e" vm="2">
        <f t="shared" si="7"/>
        <v>#VALUE!</v>
      </c>
      <c r="AN52" s="54" t="s">
        <v>2130</v>
      </c>
      <c r="AO52" s="56" t="s">
        <v>2349</v>
      </c>
      <c r="AP52" s="56" t="s">
        <v>2349</v>
      </c>
      <c r="AQ52" s="56" t="s">
        <v>2349</v>
      </c>
      <c r="AR52" s="56" t="s">
        <v>2349</v>
      </c>
      <c r="AS52" s="56">
        <v>533002</v>
      </c>
      <c r="AT52" s="54" t="e" vm="2">
        <f t="shared" ref="AT52" si="18">VLOOKUP(AO52,AO52:AS52,$O$21,FALSE)</f>
        <v>#VALUE!</v>
      </c>
      <c r="AU52" s="54" t="s">
        <v>2131</v>
      </c>
      <c r="AV52"/>
    </row>
    <row r="53" spans="1:204" ht="32.1" customHeight="1">
      <c r="A53" s="103"/>
      <c r="B53" s="76" t="str">
        <f>VLOOKUP(878,Sprachindex!$A:$Z,Info!$O$7,FALSE)</f>
        <v>Stk.</v>
      </c>
      <c r="C53" s="75"/>
      <c r="D53" s="75">
        <v>345033</v>
      </c>
      <c r="E53" s="618" t="str">
        <f>VLOOKUP(743,Sprachindex!$A:$Z,Info!$O$7,FALSE)</f>
        <v>Rohrschellendorn</v>
      </c>
      <c r="F53" s="619"/>
      <c r="G53" s="619"/>
      <c r="H53" s="619"/>
      <c r="I53" s="647"/>
      <c r="J53" s="631" t="s">
        <v>1692</v>
      </c>
      <c r="K53" s="632"/>
      <c r="L53" s="76"/>
      <c r="M53" s="405"/>
      <c r="N53" s="77"/>
      <c r="O53" s="184"/>
      <c r="Q53" s="5"/>
      <c r="R53" s="182">
        <v>1.56</v>
      </c>
      <c r="S53" s="179"/>
      <c r="T53" s="179"/>
      <c r="U53" s="1"/>
      <c r="V53" s="1"/>
      <c r="W53" s="1"/>
      <c r="X53" s="1"/>
      <c r="Y53" s="1"/>
      <c r="Z53" s="1"/>
      <c r="AA53" s="1"/>
      <c r="AB53" s="1"/>
      <c r="AC53" s="1"/>
      <c r="AD53" s="139"/>
      <c r="AE53" s="139"/>
      <c r="AF53" s="139"/>
      <c r="AG53" s="139"/>
      <c r="ES53" s="618" t="str">
        <f>E53</f>
        <v>Rohrschellendorn</v>
      </c>
      <c r="ET53" s="619"/>
      <c r="EU53" s="619"/>
      <c r="EV53" s="619"/>
      <c r="EW53" s="758"/>
      <c r="EX53" s="472"/>
      <c r="EY53" s="473"/>
      <c r="EZ53" s="474"/>
      <c r="FA53" s="315"/>
      <c r="FB53" s="299"/>
      <c r="FC53" s="316"/>
      <c r="FD53" s="475"/>
      <c r="FE53" s="476"/>
      <c r="FF53" s="474"/>
      <c r="FG53" s="315"/>
      <c r="FH53" s="350"/>
      <c r="FI53" s="316"/>
      <c r="FJ53" s="475"/>
      <c r="FK53" s="476"/>
      <c r="FL53" s="474"/>
      <c r="FM53" s="315"/>
      <c r="FN53" s="299"/>
      <c r="FO53" s="316"/>
      <c r="FP53" s="315"/>
      <c r="FQ53" s="299"/>
      <c r="FR53" s="316"/>
      <c r="FS53" s="315"/>
      <c r="FT53" s="299"/>
      <c r="FU53" s="316"/>
      <c r="FV53" s="315"/>
      <c r="FW53" s="299"/>
      <c r="FX53" s="316"/>
      <c r="FY53" s="315"/>
      <c r="FZ53" s="299"/>
      <c r="GA53" s="316"/>
      <c r="GB53" s="315"/>
      <c r="GC53" s="299"/>
      <c r="GD53" s="316"/>
      <c r="GE53" s="315"/>
      <c r="GF53" s="299"/>
      <c r="GG53" s="316"/>
      <c r="GH53" s="315"/>
      <c r="GI53" s="299"/>
      <c r="GJ53" s="316"/>
      <c r="GK53" s="315"/>
      <c r="GL53" s="299"/>
      <c r="GM53" s="316"/>
      <c r="GN53" s="315"/>
      <c r="GO53" s="299"/>
      <c r="GP53" s="324"/>
      <c r="GV53" s="306">
        <v>1.56</v>
      </c>
    </row>
    <row r="54" spans="1:204" ht="32.1" customHeight="1">
      <c r="A54" s="103"/>
      <c r="B54" s="76" t="str">
        <f>VLOOKUP(878,Sprachindex!$A:$Z,Info!$O$7,FALSE)</f>
        <v>Stk.</v>
      </c>
      <c r="C54" s="75"/>
      <c r="D54" s="75">
        <f>IF(J54=Formeln!B153,345030,IF(J54=Formeln!B154,345031,IF(J54=Formeln!B155,345032,IF(J54=Formeln!B152,345033,""))))</f>
        <v>345033</v>
      </c>
      <c r="E54" s="618" t="str">
        <f>VLOOKUP(744,Sprachindex!$A:$Z,Info!$O$7,FALSE)</f>
        <v>Rohrschellendorn für WDVS-Rohrschellendübel ⌀ 10</v>
      </c>
      <c r="F54" s="619"/>
      <c r="G54" s="619"/>
      <c r="H54" s="619"/>
      <c r="I54" s="81" t="str">
        <f>VLOOKUP(556,Sprachindex!$A:$Z,Info!$O$7,FALSE)</f>
        <v>Länge wählen:</v>
      </c>
      <c r="J54" s="631"/>
      <c r="K54" s="706"/>
      <c r="L54" s="76" t="str">
        <f t="shared" si="3"/>
        <v xml:space="preserve"> </v>
      </c>
      <c r="M54" s="399" t="str">
        <f t="shared" si="1"/>
        <v>Stk.</v>
      </c>
      <c r="N54" s="77"/>
      <c r="O54" s="184" t="str">
        <f t="shared" si="5"/>
        <v/>
      </c>
      <c r="Q54" s="129" t="str">
        <f>IF(J54=V54,R54,IF(J54=W54,S54,IF(J54=X54,T54," ")))</f>
        <v xml:space="preserve"> </v>
      </c>
      <c r="R54" s="182">
        <v>1.67</v>
      </c>
      <c r="S54" s="182">
        <v>2.04</v>
      </c>
      <c r="T54" s="182">
        <v>4.34</v>
      </c>
      <c r="U54" s="179"/>
      <c r="V54" s="179" t="s">
        <v>1639</v>
      </c>
      <c r="W54" s="179" t="s">
        <v>1640</v>
      </c>
      <c r="X54" s="179" t="s">
        <v>1638</v>
      </c>
      <c r="Y54" s="179"/>
      <c r="Z54" s="179"/>
      <c r="AA54" s="179"/>
      <c r="AB54" s="179"/>
      <c r="AC54" s="1"/>
      <c r="AD54" s="139" t="e">
        <f t="shared" si="0"/>
        <v>#VALUE!</v>
      </c>
      <c r="AE54" s="139">
        <f t="shared" si="2"/>
        <v>0</v>
      </c>
      <c r="AF54" s="139" t="str">
        <f>IF(J54=Formeln!$B$152,"",25)</f>
        <v/>
      </c>
      <c r="AG54" s="139">
        <v>1</v>
      </c>
    </row>
    <row r="55" spans="1:204" ht="32.1" customHeight="1">
      <c r="A55" s="103"/>
      <c r="B55" s="76" t="str">
        <f>VLOOKUP(878,Sprachindex!$A:$Z,Info!$O$7,FALSE)</f>
        <v>Stk.</v>
      </c>
      <c r="C55" s="75"/>
      <c r="D55" s="75" t="str">
        <f>IF(J55=Formeln!A281,345040,IF(J55=Formeln!A282,345041,IF(J55=Formeln!A283,345042,"")))</f>
        <v/>
      </c>
      <c r="E55" s="618" t="str">
        <f>VLOOKUP(745,Sprachindex!$A:$Z,Info!$O$7,FALSE)</f>
        <v>WDVS-Rohrschellendübel ⌀ 10</v>
      </c>
      <c r="F55" s="619"/>
      <c r="G55" s="619"/>
      <c r="H55" s="619"/>
      <c r="I55" s="81" t="str">
        <f>VLOOKUP(556,Sprachindex!$A:$Z,Info!$O$7,FALSE)</f>
        <v>Länge wählen:</v>
      </c>
      <c r="J55" s="631"/>
      <c r="K55" s="706"/>
      <c r="L55" s="76" t="str">
        <f t="shared" si="3"/>
        <v xml:space="preserve"> </v>
      </c>
      <c r="M55" s="399" t="str">
        <f t="shared" si="1"/>
        <v>Stk.</v>
      </c>
      <c r="N55" s="77"/>
      <c r="O55" s="184" t="str">
        <f t="shared" si="5"/>
        <v/>
      </c>
      <c r="Q55" s="179" t="str">
        <f>IF(J55=V55,R55,IF(J55=Y55,S55,IF(J55=AB55,T55," ")))</f>
        <v xml:space="preserve"> </v>
      </c>
      <c r="R55" s="182">
        <v>1.19</v>
      </c>
      <c r="S55" s="182">
        <v>1.39</v>
      </c>
      <c r="T55" s="182">
        <v>1.6</v>
      </c>
      <c r="U55" s="179"/>
      <c r="V55" s="179" t="s">
        <v>1033</v>
      </c>
      <c r="W55" s="179"/>
      <c r="X55" s="179"/>
      <c r="Y55" s="179" t="s">
        <v>1034</v>
      </c>
      <c r="Z55" s="179"/>
      <c r="AA55" s="179"/>
      <c r="AB55" s="1" t="s">
        <v>1035</v>
      </c>
      <c r="AD55" s="139" t="e">
        <f t="shared" si="0"/>
        <v>#VALUE!</v>
      </c>
      <c r="AE55" s="139">
        <f t="shared" si="2"/>
        <v>0</v>
      </c>
      <c r="AF55" s="139" t="str">
        <f>IF(J55=Formeln!$A$280,"",25)</f>
        <v/>
      </c>
      <c r="AG55" s="139">
        <v>1</v>
      </c>
    </row>
    <row r="56" spans="1:204" ht="32.1" customHeight="1">
      <c r="A56" s="103"/>
      <c r="B56" s="76" t="str">
        <f>VLOOKUP(878,Sprachindex!$A:$Z,Info!$O$7,FALSE)</f>
        <v>Stk.</v>
      </c>
      <c r="C56" s="75"/>
      <c r="D56" s="75">
        <v>345015</v>
      </c>
      <c r="E56" s="618" t="str">
        <f>VLOOKUP(587,Sprachindex!$A:$Z,Info!$O$7,FALSE)</f>
        <v>M10-Gewindedorn</v>
      </c>
      <c r="F56" s="619"/>
      <c r="G56" s="619"/>
      <c r="H56" s="619"/>
      <c r="I56" s="619"/>
      <c r="J56" s="681" t="str">
        <f>VLOOKUP(64,Sprachindex!$A:$Z,Info!$O$7,FALSE)</f>
        <v>195 mm lang</v>
      </c>
      <c r="K56" s="682"/>
      <c r="L56" s="76" t="str">
        <f t="shared" si="3"/>
        <v xml:space="preserve"> </v>
      </c>
      <c r="M56" s="399" t="str">
        <f t="shared" si="1"/>
        <v>Stk.</v>
      </c>
      <c r="N56" s="77"/>
      <c r="O56" s="184" t="str">
        <f t="shared" si="5"/>
        <v/>
      </c>
      <c r="Q56" s="129">
        <f>R56</f>
        <v>3.3</v>
      </c>
      <c r="R56" s="182">
        <v>3.3</v>
      </c>
      <c r="S56" s="179"/>
      <c r="T56" s="179"/>
      <c r="U56" s="179"/>
      <c r="V56" s="179"/>
      <c r="W56" s="179"/>
      <c r="X56" s="179"/>
      <c r="Y56" s="179"/>
      <c r="Z56" s="179"/>
      <c r="AA56" s="179"/>
      <c r="AB56" s="179"/>
      <c r="AC56" s="1"/>
      <c r="AD56" s="139">
        <f t="shared" si="0"/>
        <v>0</v>
      </c>
      <c r="AE56" s="139">
        <f t="shared" si="2"/>
        <v>0</v>
      </c>
      <c r="AF56" s="139">
        <v>100</v>
      </c>
      <c r="AG56" s="139">
        <v>1</v>
      </c>
    </row>
    <row r="57" spans="1:204" ht="32.1" customHeight="1">
      <c r="A57" s="103"/>
      <c r="B57" s="76" t="str">
        <f>VLOOKUP(878,Sprachindex!$A:$Z,Info!$O$7,FALSE)</f>
        <v>Stk.</v>
      </c>
      <c r="C57" s="75"/>
      <c r="D57" s="75" t="str">
        <f>IF(J57=Formeln!A160,420305,IF(J57=Formeln!A161,420306,""))</f>
        <v/>
      </c>
      <c r="E57" s="618" t="str">
        <f>VLOOKUP(746,Sprachindex!$A:$Z,Info!$O$7,FALSE)</f>
        <v>Rohrschellenhalter für WDVS</v>
      </c>
      <c r="F57" s="619"/>
      <c r="G57" s="619"/>
      <c r="H57" s="619"/>
      <c r="I57" s="81" t="str">
        <f>VLOOKUP(556,Sprachindex!$A:$Z,Info!$O$7,FALSE)</f>
        <v>Länge wählen:</v>
      </c>
      <c r="J57" s="631"/>
      <c r="K57" s="706"/>
      <c r="L57" s="76" t="str">
        <f t="shared" si="3"/>
        <v xml:space="preserve"> </v>
      </c>
      <c r="M57" s="399" t="str">
        <f t="shared" si="1"/>
        <v>Stk.</v>
      </c>
      <c r="N57" s="77"/>
      <c r="O57" s="184" t="str">
        <f t="shared" si="5"/>
        <v/>
      </c>
      <c r="Q57" s="187" t="str">
        <f>IF(J57=V57,R57,IF(J57=Y57,S57," "))</f>
        <v xml:space="preserve"> </v>
      </c>
      <c r="R57" s="182">
        <v>20.11</v>
      </c>
      <c r="S57" s="182">
        <v>21.49</v>
      </c>
      <c r="T57" s="179"/>
      <c r="U57" s="179"/>
      <c r="V57" s="179" t="s">
        <v>1036</v>
      </c>
      <c r="W57" s="179"/>
      <c r="X57" s="179"/>
      <c r="Y57" s="179" t="s">
        <v>1038</v>
      </c>
      <c r="Z57" s="179"/>
      <c r="AA57" s="179"/>
      <c r="AB57" s="179"/>
      <c r="AC57" s="1"/>
      <c r="AD57" s="139" t="e">
        <f t="shared" si="0"/>
        <v>#VALUE!</v>
      </c>
      <c r="AE57" s="139">
        <f t="shared" si="2"/>
        <v>0</v>
      </c>
      <c r="AF57" s="139" t="str">
        <f>IF(J57=Formeln!$A$159,"",4)</f>
        <v/>
      </c>
      <c r="AG57" s="141">
        <v>1</v>
      </c>
      <c r="AH57" s="20"/>
      <c r="AI57" s="20"/>
      <c r="AJ57" s="20"/>
      <c r="AK57" s="20"/>
      <c r="AL57" s="20"/>
      <c r="AM57" s="20"/>
      <c r="AN57" s="20"/>
      <c r="AO57" s="20"/>
      <c r="AP57" s="20"/>
      <c r="AQ57" s="20"/>
      <c r="AR57" s="20"/>
      <c r="AS57" s="20"/>
      <c r="AT57" s="20"/>
      <c r="AU57" s="132"/>
      <c r="AV57" s="20"/>
      <c r="AW57" s="20"/>
      <c r="AX57" s="20"/>
      <c r="AY57" s="20"/>
      <c r="AZ57" s="20"/>
      <c r="BA57" s="20"/>
      <c r="BB57" s="20"/>
      <c r="BC57" s="20"/>
      <c r="BD57" s="20"/>
      <c r="BE57" s="20"/>
      <c r="BF57" s="20"/>
      <c r="BG57" s="20"/>
      <c r="BH57" s="20"/>
      <c r="BI57" s="132"/>
      <c r="BJ57" s="20"/>
      <c r="BK57" s="20"/>
      <c r="BL57" s="20"/>
      <c r="BM57" s="20"/>
      <c r="BN57" s="20"/>
      <c r="BO57" s="20"/>
      <c r="BP57" s="20"/>
      <c r="BQ57" s="20"/>
      <c r="BR57" s="20"/>
      <c r="BS57" s="20"/>
      <c r="BT57" s="20"/>
      <c r="BU57" s="20"/>
      <c r="BV57" s="20"/>
      <c r="BW57" s="132"/>
      <c r="BX57" s="20"/>
      <c r="BY57" s="20"/>
      <c r="BZ57" s="20"/>
      <c r="CA57" s="20"/>
      <c r="CB57" s="20"/>
      <c r="CC57" s="20"/>
      <c r="CD57" s="20"/>
      <c r="CE57" s="20"/>
      <c r="CF57" s="20"/>
      <c r="CG57" s="20"/>
      <c r="CH57" s="20"/>
      <c r="CI57" s="20"/>
      <c r="CJ57" s="20"/>
      <c r="CK57" s="132"/>
      <c r="CL57" s="20"/>
      <c r="CM57" s="20"/>
      <c r="CN57" s="20"/>
      <c r="CO57" s="20"/>
      <c r="CP57" s="20"/>
      <c r="CQ57" s="20"/>
      <c r="CR57" s="20"/>
      <c r="CS57" s="20"/>
      <c r="CT57" s="20"/>
      <c r="CU57" s="20"/>
      <c r="CV57" s="20"/>
      <c r="CW57" s="20"/>
      <c r="CX57" s="20"/>
      <c r="CY57" s="132"/>
    </row>
    <row r="58" spans="1:204" ht="32.1" customHeight="1">
      <c r="A58" s="103"/>
      <c r="B58" s="76" t="str">
        <f>VLOOKUP(878,Sprachindex!$A:$Z,Info!$O$7,FALSE)</f>
        <v>Stk.</v>
      </c>
      <c r="C58" s="75"/>
      <c r="D58" s="75" t="str">
        <f t="shared" ref="D58" si="19">IF(ISNUMBER(A58),AM58,"")</f>
        <v/>
      </c>
      <c r="E58" s="618" t="str">
        <f>VLOOKUP(1001,Sprachindex!$A:$Z,Info!$O$7,FALSE)</f>
        <v>Wandmontageplatte</v>
      </c>
      <c r="F58" s="619"/>
      <c r="G58" s="619"/>
      <c r="H58" s="619"/>
      <c r="I58" s="619"/>
      <c r="J58" s="681"/>
      <c r="K58" s="682"/>
      <c r="L58" s="76" t="str">
        <f t="shared" si="3"/>
        <v xml:space="preserve"> </v>
      </c>
      <c r="M58" s="399" t="str">
        <f t="shared" si="1"/>
        <v>Stk.</v>
      </c>
      <c r="N58" s="77"/>
      <c r="O58" s="184" t="str">
        <f t="shared" si="5"/>
        <v/>
      </c>
      <c r="Q58" s="129">
        <f>IF($O$21=5,S58,R58)</f>
        <v>9.99</v>
      </c>
      <c r="R58" s="182">
        <v>9.99</v>
      </c>
      <c r="S58" s="182">
        <v>9.5399999999999991</v>
      </c>
      <c r="T58" s="187"/>
      <c r="U58" s="187"/>
      <c r="V58" s="187"/>
      <c r="W58" s="187"/>
      <c r="X58" s="187"/>
      <c r="Y58" s="187"/>
      <c r="Z58" s="187"/>
      <c r="AA58" s="187"/>
      <c r="AB58" s="187"/>
      <c r="AC58" s="1"/>
      <c r="AD58" s="139">
        <f t="shared" si="0"/>
        <v>0</v>
      </c>
      <c r="AE58" s="139">
        <f t="shared" si="2"/>
        <v>0</v>
      </c>
      <c r="AF58" s="139">
        <v>6</v>
      </c>
      <c r="AG58" s="139">
        <v>1</v>
      </c>
      <c r="AH58" s="56">
        <v>529302</v>
      </c>
      <c r="AI58" s="56">
        <v>529303</v>
      </c>
      <c r="AJ58" s="56">
        <v>529304</v>
      </c>
      <c r="AK58" s="56">
        <v>529310</v>
      </c>
      <c r="AL58" s="56">
        <v>529301</v>
      </c>
      <c r="AM58" s="54" t="e" vm="2">
        <f t="shared" ref="AM58" si="20">VLOOKUP(AH58,AH58:AL58,$O$21,FALSE)</f>
        <v>#VALUE!</v>
      </c>
      <c r="AN58" s="54"/>
      <c r="AO58"/>
      <c r="AP58"/>
      <c r="AQ58"/>
      <c r="AR58"/>
      <c r="AT58" s="132"/>
      <c r="AU58" s="132"/>
    </row>
    <row r="59" spans="1:204" ht="32.1" customHeight="1">
      <c r="A59" s="103"/>
      <c r="B59" s="76" t="str">
        <f>VLOOKUP(878,Sprachindex!$A:$Z,Info!$O$7,FALSE)</f>
        <v>Stk.</v>
      </c>
      <c r="C59" s="75"/>
      <c r="D59" s="75">
        <v>529502</v>
      </c>
      <c r="E59" s="618" t="str">
        <f>VLOOKUP(138,Sprachindex!$A:$Z,Info!$O$7,FALSE)</f>
        <v>Abdeckkappe für Rohrschellendorn</v>
      </c>
      <c r="F59" s="619"/>
      <c r="G59" s="619"/>
      <c r="H59" s="619"/>
      <c r="I59" s="619"/>
      <c r="J59" s="681"/>
      <c r="K59" s="682"/>
      <c r="L59" s="76" t="str">
        <f t="shared" si="3"/>
        <v xml:space="preserve"> </v>
      </c>
      <c r="M59" s="399" t="str">
        <f t="shared" si="1"/>
        <v>Stk.</v>
      </c>
      <c r="N59" s="77"/>
      <c r="O59" s="184" t="str">
        <f t="shared" si="5"/>
        <v/>
      </c>
      <c r="Q59" s="129">
        <f>R59</f>
        <v>0.63</v>
      </c>
      <c r="R59" s="182">
        <v>0.63</v>
      </c>
      <c r="S59" s="187"/>
      <c r="T59" s="187"/>
      <c r="V59" s="187"/>
      <c r="W59" s="187"/>
      <c r="X59" s="187"/>
      <c r="Y59" s="187"/>
      <c r="Z59" s="179"/>
      <c r="AA59" s="179"/>
      <c r="AB59" s="179"/>
      <c r="AC59" s="1"/>
      <c r="AD59" s="151">
        <f t="shared" si="0"/>
        <v>0</v>
      </c>
      <c r="AE59" s="151">
        <f t="shared" si="2"/>
        <v>0</v>
      </c>
      <c r="AF59" s="151">
        <v>25</v>
      </c>
      <c r="AG59" s="151">
        <v>1</v>
      </c>
    </row>
    <row r="60" spans="1:204" ht="32.1" customHeight="1">
      <c r="A60" s="103"/>
      <c r="B60" s="76" t="str">
        <f>VLOOKUP(878,Sprachindex!$A:$Z,Info!$O$7,FALSE)</f>
        <v>Stk.</v>
      </c>
      <c r="C60" s="75"/>
      <c r="D60" s="75" t="str">
        <f t="shared" ref="D60:D61" si="21">IF(ISNUMBER(A60),AM60,"")</f>
        <v/>
      </c>
      <c r="E60" s="618" t="str">
        <f>VLOOKUP(1877,Sprachindex!$A:$Z,Info!$O$7,FALSE)</f>
        <v>Ausbesserungslack</v>
      </c>
      <c r="F60" s="619"/>
      <c r="G60" s="619"/>
      <c r="H60" s="619"/>
      <c r="I60" s="619"/>
      <c r="J60" s="681" t="str">
        <f>VLOOKUP(1878,Sprachindex!$A:$Z,Info!$O$7,FALSE)</f>
        <v>12 ml</v>
      </c>
      <c r="K60" s="682"/>
      <c r="L60" s="76" t="str">
        <f t="shared" ref="L60:L66" si="22">IF(OR(A60="",AF60="",AG60="")," ",IF($O$11=1,$AD60,IF($O$11=2,AE60,0)))</f>
        <v xml:space="preserve"> </v>
      </c>
      <c r="M60" s="399" t="str">
        <f t="shared" si="1"/>
        <v>Stk.</v>
      </c>
      <c r="N60" s="77"/>
      <c r="O60" s="184" t="str">
        <f t="shared" si="5"/>
        <v/>
      </c>
      <c r="Q60" s="129">
        <f t="shared" ref="Q60:Q66" si="23">R60</f>
        <v>6.19</v>
      </c>
      <c r="R60" s="182">
        <v>6.19</v>
      </c>
      <c r="S60" s="179"/>
      <c r="T60" s="179"/>
      <c r="U60" s="179"/>
      <c r="V60" s="179"/>
      <c r="W60" s="179"/>
      <c r="X60" s="179"/>
      <c r="Y60" s="179"/>
      <c r="Z60" s="179"/>
      <c r="AA60" s="179"/>
      <c r="AB60" s="179"/>
      <c r="AC60" s="1"/>
      <c r="AD60" s="139">
        <f t="shared" si="0"/>
        <v>0</v>
      </c>
      <c r="AE60" s="139">
        <f t="shared" ref="AE60:AE63" si="24">ROUNDUP($A60/AG60,0)*AG60</f>
        <v>0</v>
      </c>
      <c r="AF60" s="139">
        <v>1</v>
      </c>
      <c r="AG60" s="139">
        <v>1</v>
      </c>
      <c r="AH60" s="56">
        <v>430151</v>
      </c>
      <c r="AI60" s="56">
        <v>430150</v>
      </c>
      <c r="AJ60" s="56">
        <v>430152</v>
      </c>
      <c r="AK60" s="56" t="s">
        <v>2349</v>
      </c>
      <c r="AL60" s="56" t="s">
        <v>2349</v>
      </c>
      <c r="AM60" s="54" t="e" vm="2">
        <f t="shared" ref="AM60:AM61" si="25">VLOOKUP(AH60,AH60:AL60,$O$21,FALSE)</f>
        <v>#VALUE!</v>
      </c>
      <c r="AN60" s="54"/>
      <c r="AT60" s="132"/>
      <c r="AU60" s="132"/>
    </row>
    <row r="61" spans="1:204" ht="32.1" customHeight="1">
      <c r="A61" s="103"/>
      <c r="B61" s="76" t="str">
        <f>VLOOKUP(878,Sprachindex!$A:$Z,Info!$O$7,FALSE)</f>
        <v>Stk.</v>
      </c>
      <c r="C61" s="75"/>
      <c r="D61" s="75" t="str">
        <f t="shared" si="21"/>
        <v/>
      </c>
      <c r="E61" s="618" t="str">
        <f>VLOOKUP(1879,Sprachindex!$A:$Z,Info!$O$7,FALSE)</f>
        <v>Ausbesserungsstift</v>
      </c>
      <c r="F61" s="619"/>
      <c r="G61" s="619"/>
      <c r="H61" s="619"/>
      <c r="I61" s="619"/>
      <c r="J61" s="681" t="str">
        <f>VLOOKUP(1880,Sprachindex!$A:$Z,Info!$O$7,FALSE)</f>
        <v>11 ml</v>
      </c>
      <c r="K61" s="682"/>
      <c r="L61" s="76" t="str">
        <f t="shared" si="22"/>
        <v xml:space="preserve"> </v>
      </c>
      <c r="M61" s="399" t="str">
        <f t="shared" si="1"/>
        <v>Stk.</v>
      </c>
      <c r="N61" s="77"/>
      <c r="O61" s="184" t="str">
        <f t="shared" si="5"/>
        <v/>
      </c>
      <c r="Q61" s="129">
        <f t="shared" si="23"/>
        <v>14.75</v>
      </c>
      <c r="R61" s="182">
        <v>14.75</v>
      </c>
      <c r="S61" s="179"/>
      <c r="T61" s="179"/>
      <c r="U61" s="179"/>
      <c r="V61" s="179"/>
      <c r="W61" s="179"/>
      <c r="X61" s="179"/>
      <c r="Y61" s="179"/>
      <c r="Z61" s="179"/>
      <c r="AA61" s="179"/>
      <c r="AB61" s="179"/>
      <c r="AC61" s="1"/>
      <c r="AD61" s="139">
        <f t="shared" si="0"/>
        <v>0</v>
      </c>
      <c r="AE61" s="139">
        <f t="shared" si="24"/>
        <v>0</v>
      </c>
      <c r="AF61" s="139">
        <v>1</v>
      </c>
      <c r="AG61" s="139">
        <v>1</v>
      </c>
      <c r="AH61" s="56">
        <v>430201</v>
      </c>
      <c r="AI61" s="56">
        <v>430200</v>
      </c>
      <c r="AJ61" s="56">
        <v>430202</v>
      </c>
      <c r="AK61" s="56">
        <v>430210</v>
      </c>
      <c r="AL61" s="56" t="s">
        <v>2349</v>
      </c>
      <c r="AM61" s="54" t="e" vm="2">
        <f t="shared" si="25"/>
        <v>#VALUE!</v>
      </c>
      <c r="AN61" s="54"/>
      <c r="AT61" s="132"/>
      <c r="AU61" s="132"/>
    </row>
    <row r="62" spans="1:204" ht="32.1" customHeight="1">
      <c r="A62" s="103"/>
      <c r="B62" s="76" t="str">
        <f>VLOOKUP(878,Sprachindex!$A:$Z,Info!$O$7,FALSE)</f>
        <v>Stk.</v>
      </c>
      <c r="C62" s="75"/>
      <c r="D62" s="75">
        <v>425002</v>
      </c>
      <c r="E62" s="618" t="str">
        <f>VLOOKUP(167,Sprachindex!$A:$Z,Info!$O$7,FALSE)</f>
        <v>Aluminiumlötstäbe</v>
      </c>
      <c r="F62" s="619"/>
      <c r="G62" s="619"/>
      <c r="H62" s="619"/>
      <c r="I62" s="619"/>
      <c r="J62" s="681" t="str">
        <f>VLOOKUP(75,Sprachindex!$A:$Z,Info!$O$7,FALSE)</f>
        <v>250 g</v>
      </c>
      <c r="K62" s="682"/>
      <c r="L62" s="76" t="str">
        <f t="shared" si="22"/>
        <v xml:space="preserve"> </v>
      </c>
      <c r="M62" s="399" t="str">
        <f t="shared" si="1"/>
        <v>Stk.</v>
      </c>
      <c r="N62" s="77"/>
      <c r="O62" s="184" t="str">
        <f t="shared" si="5"/>
        <v/>
      </c>
      <c r="Q62" s="129">
        <f t="shared" si="23"/>
        <v>149.97</v>
      </c>
      <c r="R62" s="182">
        <v>149.97</v>
      </c>
      <c r="S62" s="179"/>
      <c r="T62" s="179"/>
      <c r="U62" s="179"/>
      <c r="V62" s="179"/>
      <c r="W62" s="179"/>
      <c r="X62" s="179"/>
      <c r="Y62" s="179"/>
      <c r="Z62" s="179"/>
      <c r="AA62" s="179"/>
      <c r="AB62" s="179"/>
      <c r="AC62" s="1"/>
      <c r="AD62" s="139">
        <f t="shared" si="0"/>
        <v>0</v>
      </c>
      <c r="AE62" s="139">
        <f t="shared" si="24"/>
        <v>0</v>
      </c>
      <c r="AF62" s="139">
        <v>1</v>
      </c>
      <c r="AG62" s="139">
        <v>1</v>
      </c>
      <c r="AH62" s="148" t="s">
        <v>2110</v>
      </c>
      <c r="AI62" s="148" t="s">
        <v>2111</v>
      </c>
      <c r="AJ62" s="148" t="s">
        <v>2112</v>
      </c>
      <c r="AK62" s="148" t="s">
        <v>2113</v>
      </c>
      <c r="AL62" s="148" t="s">
        <v>2114</v>
      </c>
      <c r="AM62" s="148"/>
      <c r="AO62" s="31" t="s">
        <v>2110</v>
      </c>
      <c r="AP62" s="31" t="s">
        <v>2111</v>
      </c>
      <c r="AQ62" s="31" t="s">
        <v>2112</v>
      </c>
      <c r="AR62" s="31" t="s">
        <v>2113</v>
      </c>
      <c r="AS62" s="31" t="s">
        <v>2114</v>
      </c>
      <c r="AV62" s="34" t="s">
        <v>2110</v>
      </c>
      <c r="AW62" s="31" t="s">
        <v>2111</v>
      </c>
      <c r="AX62" s="31" t="s">
        <v>2112</v>
      </c>
      <c r="AY62" s="29" t="s">
        <v>2113</v>
      </c>
      <c r="AZ62" s="29" t="s">
        <v>2114</v>
      </c>
    </row>
    <row r="63" spans="1:204" ht="32.1" customHeight="1">
      <c r="A63" s="103"/>
      <c r="B63" s="76" t="str">
        <f>VLOOKUP(878,Sprachindex!$A:$Z,Info!$O$7,FALSE)</f>
        <v>Stk.</v>
      </c>
      <c r="C63" s="75"/>
      <c r="D63" s="75">
        <v>420006</v>
      </c>
      <c r="E63" s="618" t="str">
        <f>VLOOKUP(838,Sprachindex!$A:$Z,Info!$O$7,FALSE)</f>
        <v>Spezialsilikon</v>
      </c>
      <c r="F63" s="619"/>
      <c r="G63" s="619"/>
      <c r="H63" s="619"/>
      <c r="I63" s="619"/>
      <c r="J63" s="681" t="str">
        <f>VLOOKUP(86,Sprachindex!$A:$Z,Info!$O$7,FALSE)</f>
        <v>300 ml</v>
      </c>
      <c r="K63" s="682"/>
      <c r="L63" s="76" t="str">
        <f t="shared" si="22"/>
        <v xml:space="preserve"> </v>
      </c>
      <c r="M63" s="399" t="str">
        <f t="shared" si="1"/>
        <v>Stk.</v>
      </c>
      <c r="N63" s="77"/>
      <c r="O63" s="184" t="str">
        <f t="shared" si="5"/>
        <v/>
      </c>
      <c r="Q63" s="129">
        <f t="shared" si="23"/>
        <v>10.41</v>
      </c>
      <c r="R63" s="182">
        <v>10.41</v>
      </c>
      <c r="S63" s="179"/>
      <c r="T63" s="179"/>
      <c r="U63" s="179"/>
      <c r="V63" s="179"/>
      <c r="W63" s="179"/>
      <c r="X63" s="179"/>
      <c r="Y63" s="179"/>
      <c r="Z63" s="179"/>
      <c r="AA63" s="179"/>
      <c r="AB63" s="179"/>
      <c r="AC63" s="1"/>
      <c r="AD63" s="139">
        <f t="shared" si="0"/>
        <v>0</v>
      </c>
      <c r="AE63" s="139">
        <f t="shared" si="24"/>
        <v>0</v>
      </c>
      <c r="AF63" s="139">
        <v>1</v>
      </c>
      <c r="AG63" s="139">
        <v>1</v>
      </c>
    </row>
    <row r="64" spans="1:204" ht="32.1" customHeight="1">
      <c r="A64" s="103"/>
      <c r="B64" s="76" t="str">
        <f>VLOOKUP(878,Sprachindex!$A:$Z,Info!$O$7,FALSE)</f>
        <v>Stk.</v>
      </c>
      <c r="C64" s="75"/>
      <c r="D64" s="75">
        <v>420501</v>
      </c>
      <c r="E64" s="618" t="str">
        <f>VLOOKUP(851,Sprachindex!$A:$Z,Info!$O$7,FALSE)</f>
        <v>Spezialkleber</v>
      </c>
      <c r="F64" s="619"/>
      <c r="G64" s="619"/>
      <c r="H64" s="619"/>
      <c r="I64" s="619"/>
      <c r="J64" s="681"/>
      <c r="K64" s="682"/>
      <c r="L64" s="76" t="str">
        <f t="shared" ref="L64:L65" si="26">IF(A64=0,"",IF($O$11=1,AD64,AE64))</f>
        <v/>
      </c>
      <c r="M64" s="399" t="str">
        <f t="shared" si="1"/>
        <v>Stk.</v>
      </c>
      <c r="N64" s="77"/>
      <c r="O64" s="184" t="str">
        <f t="shared" si="5"/>
        <v/>
      </c>
      <c r="Q64" s="129">
        <f t="shared" si="23"/>
        <v>40.299999999999997</v>
      </c>
      <c r="R64" s="182">
        <v>40.299999999999997</v>
      </c>
      <c r="S64" s="179"/>
      <c r="T64" s="179"/>
      <c r="U64" s="179"/>
      <c r="V64" s="179"/>
      <c r="W64" s="179"/>
      <c r="X64" s="179"/>
      <c r="Y64" s="179"/>
      <c r="Z64" s="179"/>
      <c r="AA64" s="179"/>
      <c r="AB64" s="179"/>
      <c r="AC64" s="1"/>
      <c r="AD64" s="139">
        <f t="shared" si="0"/>
        <v>0</v>
      </c>
      <c r="AE64" s="139">
        <f>ROUNDUP($A64,0)</f>
        <v>0</v>
      </c>
      <c r="AF64" s="139">
        <v>24</v>
      </c>
      <c r="AG64" s="139">
        <v>1</v>
      </c>
    </row>
    <row r="65" spans="1:33" ht="32.1" customHeight="1">
      <c r="A65" s="103"/>
      <c r="B65" s="76" t="str">
        <f>VLOOKUP(821,Sprachindex!$A:$Z,Info!$O$7,FALSE)</f>
        <v>Set</v>
      </c>
      <c r="C65" s="78"/>
      <c r="D65" s="75">
        <v>420500</v>
      </c>
      <c r="E65" s="618" t="str">
        <f>VLOOKUP(852,Sprachindex!$A:$Z,Info!$O$7,FALSE)</f>
        <v>Spezialkleberset</v>
      </c>
      <c r="F65" s="619"/>
      <c r="G65" s="619"/>
      <c r="H65" s="619"/>
      <c r="I65" s="619"/>
      <c r="J65" s="681"/>
      <c r="K65" s="682"/>
      <c r="L65" s="76" t="str">
        <f t="shared" si="26"/>
        <v/>
      </c>
      <c r="M65" s="399" t="str">
        <f t="shared" si="1"/>
        <v>Set</v>
      </c>
      <c r="N65" s="77"/>
      <c r="O65" s="184" t="str">
        <f t="shared" si="5"/>
        <v/>
      </c>
      <c r="Q65" s="129">
        <f t="shared" si="23"/>
        <v>55.18</v>
      </c>
      <c r="R65" s="182">
        <v>55.18</v>
      </c>
      <c r="S65" s="179"/>
      <c r="T65" s="179"/>
      <c r="U65" s="179"/>
      <c r="V65" s="179"/>
      <c r="W65" s="179"/>
      <c r="X65" s="179"/>
      <c r="Y65" s="179"/>
      <c r="Z65" s="179"/>
      <c r="AA65" s="179"/>
      <c r="AB65" s="179"/>
      <c r="AC65" s="1"/>
      <c r="AD65" s="139">
        <f>ROUNDUP($A65,0)</f>
        <v>0</v>
      </c>
      <c r="AE65" s="139">
        <f>ROUNDUP($A65,0)</f>
        <v>0</v>
      </c>
      <c r="AF65" s="139">
        <v>1</v>
      </c>
      <c r="AG65" s="139">
        <v>1</v>
      </c>
    </row>
    <row r="66" spans="1:33" ht="32.1" customHeight="1">
      <c r="A66" s="103"/>
      <c r="B66" s="76" t="str">
        <f>VLOOKUP(878,Sprachindex!$A:$Z,Info!$O$7,FALSE)</f>
        <v>Stk.</v>
      </c>
      <c r="C66" s="75"/>
      <c r="D66" s="75">
        <v>420028</v>
      </c>
      <c r="E66" s="618" t="str">
        <f>VLOOKUP(723,Sprachindex!$A:$Z,Info!$O$7,FALSE)</f>
        <v>Rinnenwulstöffner</v>
      </c>
      <c r="F66" s="619"/>
      <c r="G66" s="619"/>
      <c r="H66" s="619"/>
      <c r="I66" s="619"/>
      <c r="J66" s="681"/>
      <c r="K66" s="682"/>
      <c r="L66" s="76" t="str">
        <f t="shared" si="22"/>
        <v xml:space="preserve"> </v>
      </c>
      <c r="M66" s="399" t="str">
        <f t="shared" si="1"/>
        <v>Stk.</v>
      </c>
      <c r="N66" s="77"/>
      <c r="O66" s="184" t="str">
        <f t="shared" si="5"/>
        <v/>
      </c>
      <c r="Q66" s="129">
        <f t="shared" si="23"/>
        <v>74.45</v>
      </c>
      <c r="R66" s="182">
        <v>74.45</v>
      </c>
      <c r="S66" s="179"/>
      <c r="T66" s="179"/>
      <c r="U66" s="179"/>
      <c r="V66" s="179"/>
      <c r="W66" s="179"/>
      <c r="X66" s="179"/>
      <c r="Y66" s="179"/>
      <c r="Z66" s="179"/>
      <c r="AA66" s="179"/>
      <c r="AB66" s="179"/>
      <c r="AC66" s="1"/>
      <c r="AD66" s="139">
        <f>ROUNDUP($A66/AF66,0)*AF66</f>
        <v>0</v>
      </c>
      <c r="AE66" s="139">
        <f>ROUNDUP($A66/AG66,0)*AG66</f>
        <v>0</v>
      </c>
      <c r="AF66" s="139">
        <v>1</v>
      </c>
      <c r="AG66" s="139">
        <v>1</v>
      </c>
    </row>
    <row r="67" spans="1:33" ht="32.1" customHeight="1">
      <c r="A67" s="103"/>
      <c r="B67" s="98"/>
      <c r="C67" s="98"/>
      <c r="D67" s="98"/>
      <c r="E67" s="648"/>
      <c r="F67" s="649"/>
      <c r="G67" s="649"/>
      <c r="H67" s="649"/>
      <c r="I67" s="649"/>
      <c r="J67" s="649"/>
      <c r="K67" s="650"/>
      <c r="L67" s="98"/>
      <c r="M67" s="399"/>
      <c r="N67" s="77"/>
      <c r="O67" s="184" t="str">
        <f>IF(ISNUMBER(A67),$L67*#REF!, "")</f>
        <v/>
      </c>
      <c r="R67" s="179"/>
      <c r="S67" s="179"/>
      <c r="T67" s="179"/>
      <c r="U67" s="179"/>
      <c r="V67" s="179"/>
      <c r="W67" s="179"/>
      <c r="X67" s="179"/>
      <c r="Y67" s="179"/>
      <c r="Z67" s="179"/>
      <c r="AA67" s="179"/>
      <c r="AB67" s="179"/>
      <c r="AC67" s="1"/>
      <c r="AD67" s="151"/>
      <c r="AE67" s="151"/>
      <c r="AF67" s="151"/>
      <c r="AG67" s="151"/>
    </row>
    <row r="68" spans="1:33" ht="32.1" customHeight="1">
      <c r="A68" s="103"/>
      <c r="B68" s="98"/>
      <c r="C68" s="98"/>
      <c r="D68" s="98"/>
      <c r="E68" s="648"/>
      <c r="F68" s="649"/>
      <c r="G68" s="649"/>
      <c r="H68" s="649"/>
      <c r="I68" s="649"/>
      <c r="J68" s="649"/>
      <c r="K68" s="650"/>
      <c r="L68" s="98"/>
      <c r="M68" s="399"/>
      <c r="N68" s="77"/>
      <c r="O68" s="184" t="str">
        <f>IF(ISNUMBER(A68),$L68*#REF!, "")</f>
        <v/>
      </c>
      <c r="R68" s="179"/>
      <c r="S68" s="179"/>
      <c r="T68" s="179"/>
      <c r="U68" s="179"/>
      <c r="V68" s="179"/>
      <c r="W68" s="179"/>
      <c r="X68" s="179"/>
      <c r="Y68" s="179"/>
      <c r="Z68" s="179"/>
      <c r="AA68" s="179"/>
      <c r="AB68" s="179"/>
      <c r="AC68" s="1"/>
      <c r="AD68" s="8"/>
      <c r="AE68" s="8"/>
    </row>
    <row r="69" spans="1:33" ht="32.1" customHeight="1" thickBot="1">
      <c r="A69" s="143"/>
      <c r="B69" s="144"/>
      <c r="C69" s="144"/>
      <c r="D69" s="144"/>
      <c r="E69" s="651"/>
      <c r="F69" s="652"/>
      <c r="G69" s="652"/>
      <c r="H69" s="652"/>
      <c r="I69" s="652"/>
      <c r="J69" s="652"/>
      <c r="K69" s="653"/>
      <c r="L69" s="144"/>
      <c r="M69" s="400"/>
      <c r="N69" s="145"/>
      <c r="O69" s="184" t="str">
        <f>IF(ISNUMBER(A69),$L69*#REF!, "")</f>
        <v/>
      </c>
      <c r="R69" s="179"/>
      <c r="S69" s="179"/>
      <c r="T69" s="179"/>
      <c r="U69" s="179"/>
      <c r="V69" s="179"/>
      <c r="W69" s="179"/>
      <c r="X69" s="179"/>
      <c r="Y69" s="179"/>
      <c r="Z69" s="179"/>
      <c r="AA69" s="179"/>
      <c r="AB69" s="179"/>
      <c r="AC69" s="1"/>
      <c r="AD69" s="8"/>
      <c r="AE69" s="8"/>
    </row>
    <row r="70" spans="1:33" ht="15" customHeight="1">
      <c r="A70" s="67"/>
      <c r="B70" s="67"/>
      <c r="C70" s="67"/>
      <c r="D70" s="641"/>
      <c r="E70" s="641"/>
      <c r="F70" s="641"/>
      <c r="G70" s="641"/>
      <c r="H70" s="641"/>
      <c r="I70" s="641"/>
      <c r="J70" s="641"/>
      <c r="K70" s="641"/>
      <c r="L70" s="641"/>
      <c r="M70" s="641"/>
      <c r="N70" s="641"/>
      <c r="R70" s="179"/>
      <c r="S70" s="179"/>
      <c r="T70" s="179"/>
      <c r="U70" s="179"/>
      <c r="V70" s="179"/>
      <c r="W70" s="179"/>
      <c r="X70" s="179"/>
      <c r="Y70" s="179"/>
      <c r="Z70" s="179"/>
      <c r="AA70" s="179"/>
      <c r="AB70" s="179"/>
    </row>
    <row r="71" spans="1:33" ht="17.399999999999999">
      <c r="A71" s="67"/>
      <c r="B71" s="67"/>
      <c r="C71" s="84" t="str">
        <f>VLOOKUP(1035,Sprachindex!$A:$Z,Info!$O$7,FALSE)</f>
        <v>Zusatzvermerk:</v>
      </c>
      <c r="D71" s="642"/>
      <c r="E71" s="642"/>
      <c r="F71" s="642"/>
      <c r="G71" s="642"/>
      <c r="H71" s="642"/>
      <c r="I71" s="642"/>
      <c r="J71" s="642"/>
      <c r="K71" s="642"/>
      <c r="L71" s="642"/>
      <c r="M71" s="642"/>
      <c r="N71" s="642"/>
      <c r="O71" s="180">
        <f>SUM(O31:O69)</f>
        <v>0</v>
      </c>
      <c r="R71" s="179"/>
      <c r="S71" s="179"/>
      <c r="T71" s="179"/>
      <c r="U71" s="179"/>
      <c r="V71" s="179"/>
      <c r="W71" s="179"/>
      <c r="X71" s="179"/>
      <c r="Y71" s="179"/>
      <c r="Z71" s="179"/>
      <c r="AA71" s="179"/>
      <c r="AB71" s="179"/>
    </row>
    <row r="72" spans="1:33" ht="17.399999999999999">
      <c r="A72" s="67"/>
      <c r="B72" s="67"/>
      <c r="C72" s="67"/>
      <c r="D72" s="643"/>
      <c r="E72" s="643"/>
      <c r="F72" s="643"/>
      <c r="G72" s="643"/>
      <c r="H72" s="643"/>
      <c r="I72" s="643"/>
      <c r="J72" s="643"/>
      <c r="K72" s="643"/>
      <c r="L72" s="643"/>
      <c r="M72" s="643"/>
      <c r="N72" s="643"/>
      <c r="R72" s="179"/>
      <c r="S72" s="179"/>
      <c r="T72" s="179"/>
      <c r="U72" s="179"/>
      <c r="V72" s="179"/>
      <c r="W72" s="179"/>
      <c r="X72" s="179"/>
      <c r="Y72" s="179"/>
      <c r="Z72" s="179"/>
      <c r="AA72" s="179"/>
      <c r="AB72" s="179"/>
    </row>
    <row r="73" spans="1:33" ht="17.399999999999999">
      <c r="A73" s="67"/>
      <c r="B73" s="67"/>
      <c r="C73" s="67"/>
      <c r="D73" s="642"/>
      <c r="E73" s="642"/>
      <c r="F73" s="642"/>
      <c r="G73" s="642"/>
      <c r="H73" s="642"/>
      <c r="I73" s="642"/>
      <c r="J73" s="642"/>
      <c r="K73" s="642"/>
      <c r="L73" s="642"/>
      <c r="M73" s="642"/>
      <c r="N73" s="642"/>
      <c r="S73" s="179"/>
      <c r="T73" s="179"/>
      <c r="U73" s="179"/>
      <c r="V73" s="179"/>
      <c r="W73" s="179"/>
      <c r="X73" s="179"/>
      <c r="Y73" s="179"/>
      <c r="Z73" s="179"/>
      <c r="AA73" s="179"/>
      <c r="AB73" s="179"/>
    </row>
    <row r="74" spans="1:33" ht="17.399999999999999">
      <c r="A74" s="67"/>
      <c r="B74" s="67"/>
      <c r="C74" s="67"/>
      <c r="D74" s="643"/>
      <c r="E74" s="643"/>
      <c r="F74" s="643"/>
      <c r="G74" s="643"/>
      <c r="H74" s="643"/>
      <c r="I74" s="643"/>
      <c r="J74" s="643"/>
      <c r="K74" s="643"/>
      <c r="L74" s="643"/>
      <c r="M74" s="643"/>
      <c r="N74" s="643"/>
      <c r="S74" s="179"/>
      <c r="T74" s="179"/>
      <c r="U74" s="179"/>
      <c r="V74" s="179"/>
      <c r="W74" s="179"/>
      <c r="X74" s="179"/>
      <c r="Y74" s="179"/>
      <c r="Z74" s="179"/>
      <c r="AA74" s="179"/>
      <c r="AB74" s="179"/>
    </row>
    <row r="75" spans="1:33" ht="17.399999999999999">
      <c r="A75" s="67"/>
      <c r="B75" s="67"/>
      <c r="C75" s="67"/>
      <c r="D75" s="642"/>
      <c r="E75" s="642"/>
      <c r="F75" s="642"/>
      <c r="G75" s="642"/>
      <c r="H75" s="642"/>
      <c r="I75" s="642"/>
      <c r="J75" s="642"/>
      <c r="K75" s="642"/>
      <c r="L75" s="642"/>
      <c r="M75" s="642"/>
      <c r="N75" s="642"/>
      <c r="S75" s="179"/>
      <c r="T75" s="179"/>
      <c r="U75" s="179"/>
      <c r="V75" s="179"/>
      <c r="W75" s="179"/>
      <c r="X75" s="179"/>
      <c r="Y75" s="179"/>
      <c r="Z75" s="179"/>
      <c r="AA75" s="179"/>
      <c r="AB75" s="179"/>
    </row>
    <row r="76" spans="1:33" ht="17.399999999999999">
      <c r="A76" s="67"/>
      <c r="B76" s="67"/>
      <c r="C76" s="67"/>
      <c r="D76" s="67"/>
      <c r="E76" s="67"/>
      <c r="F76" s="67"/>
      <c r="G76" s="67"/>
      <c r="H76" s="67"/>
      <c r="I76" s="67"/>
      <c r="J76" s="67"/>
      <c r="K76" s="67"/>
      <c r="L76" s="67"/>
      <c r="M76" s="67"/>
      <c r="N76" s="67"/>
      <c r="S76" s="179"/>
      <c r="T76" s="179"/>
      <c r="U76" s="179"/>
      <c r="V76" s="179"/>
      <c r="W76" s="179"/>
      <c r="X76" s="179"/>
      <c r="Y76" s="179"/>
      <c r="Z76" s="179"/>
      <c r="AA76" s="179"/>
      <c r="AB76" s="179"/>
    </row>
    <row r="77" spans="1:33" ht="17.399999999999999">
      <c r="A77" s="67"/>
      <c r="B77" s="67"/>
      <c r="C77" s="67"/>
      <c r="D77" s="67"/>
      <c r="E77" s="67"/>
      <c r="F77" s="67"/>
      <c r="G77" s="67"/>
      <c r="H77" s="67"/>
      <c r="I77" s="67"/>
      <c r="J77" s="67"/>
      <c r="K77" s="67"/>
      <c r="L77" s="67"/>
      <c r="M77" s="67"/>
      <c r="N77" s="67"/>
      <c r="S77" s="179"/>
      <c r="T77" s="179"/>
      <c r="U77" s="179"/>
      <c r="V77" s="179"/>
      <c r="W77" s="179"/>
      <c r="X77" s="179"/>
      <c r="Y77" s="179"/>
      <c r="Z77" s="179"/>
      <c r="AA77" s="179"/>
      <c r="AB77" s="179"/>
    </row>
    <row r="78" spans="1:33" ht="17.399999999999999">
      <c r="A78" s="85" t="str">
        <f>VLOOKUP(2097,Sprachindex!$A:$Z,Info!$O$7,FALSE)</f>
        <v>Produkttechnik</v>
      </c>
      <c r="B78" s="86"/>
      <c r="C78" s="86"/>
      <c r="D78" s="646"/>
      <c r="E78" s="646"/>
      <c r="F78" s="646"/>
      <c r="G78" s="646"/>
      <c r="H78" s="646"/>
      <c r="I78" s="646"/>
      <c r="J78" s="646"/>
      <c r="K78" s="87" t="str">
        <f>VLOOKUP(856,Sprachindex!$A:$Z,Info!$O$7,FALSE)</f>
        <v>Stand:</v>
      </c>
      <c r="L78" s="644">
        <f>Info!M59</f>
        <v>45728</v>
      </c>
      <c r="M78" s="644"/>
      <c r="N78" s="645"/>
      <c r="S78" s="179"/>
      <c r="T78" s="179"/>
      <c r="U78" s="179"/>
      <c r="V78" s="179"/>
      <c r="W78" s="179"/>
      <c r="X78" s="179"/>
      <c r="Y78" s="179"/>
      <c r="Z78" s="179"/>
      <c r="AA78" s="179"/>
      <c r="AB78" s="179"/>
    </row>
    <row r="79" spans="1:33" ht="17.399999999999999">
      <c r="S79" s="179"/>
      <c r="T79" s="179"/>
      <c r="U79" s="179"/>
      <c r="V79" s="179"/>
      <c r="W79" s="179"/>
      <c r="X79" s="179"/>
      <c r="Y79" s="179"/>
      <c r="Z79" s="179"/>
      <c r="AA79" s="179"/>
      <c r="AB79" s="179"/>
    </row>
    <row r="80" spans="1:33" ht="17.399999999999999" hidden="1">
      <c r="S80" s="179"/>
      <c r="T80" s="179"/>
      <c r="U80" s="179"/>
      <c r="V80" s="179"/>
      <c r="W80" s="179"/>
      <c r="X80" s="179"/>
      <c r="Y80" s="179"/>
      <c r="Z80" s="179"/>
      <c r="AA80" s="179"/>
      <c r="AB80" s="179"/>
    </row>
    <row r="81" spans="19:28" ht="17.399999999999999" hidden="1">
      <c r="S81" s="179"/>
      <c r="T81" s="179"/>
      <c r="U81" s="179"/>
      <c r="V81" s="179"/>
      <c r="W81" s="179"/>
      <c r="X81" s="179"/>
      <c r="Y81" s="179"/>
      <c r="Z81" s="179"/>
      <c r="AA81" s="179"/>
      <c r="AB81" s="179"/>
    </row>
    <row r="82" spans="19:28" ht="17.399999999999999" hidden="1">
      <c r="S82" s="179"/>
      <c r="T82" s="179"/>
      <c r="U82" s="179"/>
      <c r="V82" s="179"/>
      <c r="W82" s="179"/>
      <c r="X82" s="179"/>
      <c r="Y82" s="179"/>
      <c r="Z82" s="179"/>
      <c r="AA82" s="179"/>
      <c r="AB82" s="179"/>
    </row>
    <row r="83" spans="19:28" ht="17.399999999999999" hidden="1">
      <c r="S83" s="179"/>
      <c r="T83" s="179"/>
      <c r="U83" s="179"/>
      <c r="V83" s="179"/>
      <c r="W83" s="179"/>
      <c r="X83" s="179"/>
      <c r="Y83" s="179"/>
      <c r="Z83" s="179"/>
      <c r="AA83" s="179"/>
      <c r="AB83" s="179"/>
    </row>
    <row r="84" spans="19:28" ht="17.399999999999999" hidden="1">
      <c r="S84" s="179"/>
      <c r="T84" s="179"/>
      <c r="U84" s="179"/>
      <c r="V84" s="179"/>
      <c r="W84" s="179"/>
      <c r="X84" s="179"/>
      <c r="Y84" s="179"/>
      <c r="Z84" s="179"/>
      <c r="AA84" s="179"/>
      <c r="AB84" s="179"/>
    </row>
    <row r="85" spans="19:28" ht="17.399999999999999" hidden="1">
      <c r="S85" s="179"/>
      <c r="T85" s="179"/>
      <c r="U85" s="179"/>
      <c r="V85" s="179"/>
      <c r="W85" s="179"/>
      <c r="X85" s="179"/>
      <c r="Y85" s="179"/>
      <c r="Z85" s="179"/>
      <c r="AA85" s="179"/>
      <c r="AB85" s="179"/>
    </row>
    <row r="86" spans="19:28" ht="17.399999999999999" hidden="1">
      <c r="S86" s="179"/>
      <c r="T86" s="179"/>
      <c r="U86" s="179"/>
      <c r="V86" s="179"/>
      <c r="W86" s="179"/>
      <c r="X86" s="179"/>
      <c r="Y86" s="179"/>
      <c r="Z86" s="179"/>
      <c r="AA86" s="179"/>
      <c r="AB86" s="179"/>
    </row>
    <row r="87" spans="19:28" ht="17.399999999999999" hidden="1">
      <c r="S87" s="179"/>
      <c r="T87" s="179"/>
      <c r="U87" s="179"/>
      <c r="V87" s="179"/>
      <c r="W87" s="179"/>
      <c r="X87" s="179"/>
      <c r="Y87" s="179"/>
      <c r="Z87" s="179"/>
      <c r="AA87" s="179"/>
      <c r="AB87" s="179"/>
    </row>
    <row r="88" spans="19:28" ht="17.399999999999999" hidden="1">
      <c r="S88" s="179"/>
      <c r="T88" s="179"/>
      <c r="U88" s="179"/>
      <c r="V88" s="179"/>
      <c r="W88" s="179"/>
      <c r="X88" s="179"/>
      <c r="Y88" s="179"/>
      <c r="Z88" s="179"/>
      <c r="AA88" s="179"/>
      <c r="AB88" s="179"/>
    </row>
    <row r="89" spans="19:28" ht="17.399999999999999" hidden="1">
      <c r="S89" s="179"/>
      <c r="T89" s="179"/>
      <c r="U89" s="179"/>
      <c r="V89" s="179"/>
      <c r="W89" s="179"/>
      <c r="X89" s="179"/>
      <c r="Y89" s="179"/>
      <c r="Z89" s="179"/>
      <c r="AA89" s="179"/>
      <c r="AB89" s="179"/>
    </row>
    <row r="90" spans="19:28" ht="17.399999999999999" hidden="1">
      <c r="S90" s="179"/>
      <c r="T90" s="179"/>
      <c r="U90" s="179"/>
      <c r="V90" s="179"/>
      <c r="W90" s="179"/>
      <c r="X90" s="179"/>
      <c r="Y90" s="179"/>
      <c r="Z90" s="179"/>
      <c r="AA90" s="179"/>
      <c r="AB90" s="179"/>
    </row>
    <row r="91" spans="19:28" ht="17.399999999999999" hidden="1">
      <c r="S91" s="179"/>
      <c r="T91" s="179"/>
      <c r="U91" s="179"/>
      <c r="V91" s="179"/>
      <c r="W91" s="179"/>
      <c r="X91" s="179"/>
      <c r="Y91" s="179"/>
      <c r="Z91" s="179"/>
      <c r="AA91" s="179"/>
      <c r="AB91" s="179"/>
    </row>
    <row r="92" spans="19:28" ht="17.399999999999999" hidden="1">
      <c r="S92" s="179"/>
      <c r="T92" s="179"/>
      <c r="U92" s="179"/>
      <c r="V92" s="179"/>
      <c r="W92" s="179"/>
      <c r="X92" s="179"/>
      <c r="Y92" s="179"/>
      <c r="Z92" s="179"/>
      <c r="AA92" s="179"/>
      <c r="AB92" s="179"/>
    </row>
    <row r="93" spans="19:28" ht="17.399999999999999" hidden="1">
      <c r="S93" s="179"/>
      <c r="T93" s="179"/>
      <c r="U93" s="179"/>
      <c r="V93" s="179"/>
      <c r="W93" s="179"/>
      <c r="X93" s="179"/>
      <c r="Y93" s="179"/>
      <c r="Z93" s="179"/>
      <c r="AA93" s="179"/>
      <c r="AB93" s="179"/>
    </row>
    <row r="94" spans="19:28" ht="17.399999999999999" hidden="1">
      <c r="S94" s="179"/>
      <c r="T94" s="179"/>
      <c r="U94" s="179"/>
      <c r="V94" s="179"/>
      <c r="W94" s="179"/>
      <c r="X94" s="179"/>
      <c r="Y94" s="179"/>
      <c r="Z94" s="179"/>
      <c r="AA94" s="179"/>
      <c r="AB94" s="179"/>
    </row>
    <row r="95" spans="19:28" ht="17.399999999999999" hidden="1">
      <c r="S95" s="179"/>
      <c r="T95" s="179"/>
      <c r="U95" s="179"/>
      <c r="V95" s="179"/>
      <c r="W95" s="179"/>
      <c r="X95" s="179"/>
      <c r="Y95" s="179"/>
      <c r="Z95" s="179"/>
      <c r="AA95" s="179"/>
      <c r="AB95" s="179"/>
    </row>
    <row r="96" spans="19:28" ht="17.399999999999999" hidden="1">
      <c r="S96" s="179"/>
      <c r="T96" s="179"/>
      <c r="U96" s="179"/>
      <c r="V96" s="179"/>
      <c r="W96" s="179"/>
      <c r="X96" s="179"/>
      <c r="Y96" s="179"/>
      <c r="Z96" s="179"/>
      <c r="AA96" s="179"/>
      <c r="AB96" s="179"/>
    </row>
    <row r="97" spans="19:28" ht="17.399999999999999" hidden="1">
      <c r="S97" s="179"/>
      <c r="T97" s="179"/>
      <c r="U97" s="179"/>
      <c r="V97" s="179"/>
      <c r="W97" s="179"/>
      <c r="X97" s="179"/>
      <c r="Y97" s="179"/>
      <c r="Z97" s="179"/>
      <c r="AA97" s="179"/>
      <c r="AB97" s="179"/>
    </row>
    <row r="98" spans="19:28" ht="17.399999999999999" hidden="1">
      <c r="S98" s="179"/>
      <c r="T98" s="179"/>
      <c r="U98" s="179"/>
      <c r="V98" s="179"/>
      <c r="W98" s="179"/>
      <c r="X98" s="179"/>
      <c r="Y98" s="179"/>
      <c r="Z98" s="179"/>
      <c r="AA98" s="179"/>
      <c r="AB98" s="179"/>
    </row>
    <row r="99" spans="19:28" ht="17.399999999999999" hidden="1">
      <c r="S99" s="179"/>
      <c r="T99" s="179"/>
      <c r="U99" s="179"/>
      <c r="V99" s="179"/>
      <c r="W99" s="179"/>
      <c r="X99" s="179"/>
      <c r="Y99" s="179"/>
      <c r="Z99" s="179"/>
      <c r="AA99" s="179"/>
      <c r="AB99" s="179"/>
    </row>
    <row r="100" spans="19:28" ht="17.399999999999999" hidden="1">
      <c r="S100" s="179"/>
      <c r="T100" s="179"/>
      <c r="U100" s="179"/>
      <c r="V100" s="179"/>
      <c r="W100" s="179"/>
      <c r="X100" s="179"/>
      <c r="Y100" s="179"/>
      <c r="Z100" s="179"/>
      <c r="AA100" s="179"/>
      <c r="AB100" s="179"/>
    </row>
    <row r="101" spans="19:28" ht="17.399999999999999" hidden="1">
      <c r="S101" s="179"/>
      <c r="T101" s="179"/>
      <c r="U101" s="179"/>
      <c r="V101" s="179"/>
      <c r="W101" s="179"/>
      <c r="X101" s="179"/>
      <c r="Y101" s="179"/>
      <c r="Z101" s="179"/>
      <c r="AA101" s="179"/>
      <c r="AB101" s="179"/>
    </row>
    <row r="102" spans="19:28" ht="17.399999999999999" hidden="1">
      <c r="S102" s="179"/>
      <c r="T102" s="179"/>
      <c r="U102" s="179"/>
      <c r="V102" s="179"/>
      <c r="W102" s="179"/>
      <c r="X102" s="179"/>
      <c r="Y102" s="179"/>
      <c r="Z102" s="179"/>
      <c r="AA102" s="179"/>
      <c r="AB102" s="179"/>
    </row>
    <row r="103" spans="19:28" ht="17.399999999999999" hidden="1">
      <c r="S103" s="179"/>
      <c r="T103" s="179"/>
      <c r="U103" s="179"/>
      <c r="V103" s="179"/>
      <c r="W103" s="179"/>
      <c r="X103" s="179"/>
      <c r="Y103" s="179"/>
      <c r="Z103" s="179"/>
      <c r="AA103" s="179"/>
      <c r="AB103" s="179"/>
    </row>
    <row r="104" spans="19:28" ht="17.399999999999999" hidden="1">
      <c r="S104" s="179"/>
      <c r="T104" s="179"/>
      <c r="U104" s="179"/>
      <c r="V104" s="179"/>
      <c r="W104" s="179"/>
      <c r="X104" s="179"/>
      <c r="Y104" s="179"/>
      <c r="Z104" s="179"/>
      <c r="AA104" s="179"/>
      <c r="AB104" s="179"/>
    </row>
    <row r="105" spans="19:28" ht="17.399999999999999" hidden="1">
      <c r="S105" s="179"/>
      <c r="T105" s="179"/>
      <c r="U105" s="179"/>
      <c r="V105" s="179"/>
      <c r="W105" s="179"/>
      <c r="X105" s="179"/>
      <c r="Y105" s="179"/>
      <c r="Z105" s="179"/>
      <c r="AA105" s="179"/>
      <c r="AB105" s="179"/>
    </row>
    <row r="106" spans="19:28" ht="17.399999999999999" hidden="1">
      <c r="S106" s="179"/>
      <c r="T106" s="179"/>
      <c r="U106" s="179"/>
      <c r="V106" s="179"/>
      <c r="W106" s="179"/>
      <c r="X106" s="179"/>
      <c r="Y106" s="179"/>
      <c r="Z106" s="179"/>
      <c r="AA106" s="179"/>
      <c r="AB106" s="179"/>
    </row>
    <row r="107" spans="19:28" ht="17.399999999999999" hidden="1">
      <c r="S107" s="179"/>
      <c r="T107" s="179"/>
      <c r="U107" s="179"/>
      <c r="V107" s="179"/>
      <c r="W107" s="179"/>
      <c r="X107" s="179"/>
      <c r="Y107" s="179"/>
      <c r="Z107" s="179"/>
      <c r="AA107" s="179"/>
      <c r="AB107" s="179"/>
    </row>
    <row r="108" spans="19:28" ht="17.399999999999999" hidden="1">
      <c r="S108" s="179"/>
      <c r="T108" s="179"/>
      <c r="U108" s="179"/>
      <c r="V108" s="179"/>
      <c r="W108" s="179"/>
      <c r="X108" s="179"/>
      <c r="Y108" s="179"/>
      <c r="Z108" s="179"/>
      <c r="AA108" s="179"/>
      <c r="AB108" s="179"/>
    </row>
    <row r="109" spans="19:28" ht="17.399999999999999" hidden="1">
      <c r="S109" s="179"/>
      <c r="T109" s="179"/>
      <c r="U109" s="179"/>
      <c r="V109" s="179"/>
      <c r="W109" s="179"/>
      <c r="X109" s="179"/>
      <c r="Y109" s="179"/>
      <c r="Z109" s="179"/>
      <c r="AA109" s="179"/>
      <c r="AB109" s="179"/>
    </row>
    <row r="110" spans="19:28" ht="17.399999999999999" hidden="1">
      <c r="S110" s="179"/>
      <c r="T110" s="179"/>
      <c r="U110" s="179"/>
      <c r="V110" s="179"/>
      <c r="W110" s="179"/>
      <c r="X110" s="179"/>
      <c r="Y110" s="179"/>
      <c r="Z110" s="179"/>
      <c r="AA110" s="179"/>
      <c r="AB110" s="179"/>
    </row>
    <row r="111" spans="19:28" ht="17.399999999999999" hidden="1">
      <c r="S111" s="179"/>
      <c r="T111" s="179"/>
      <c r="U111" s="179"/>
      <c r="V111" s="179"/>
      <c r="W111" s="179"/>
      <c r="X111" s="179"/>
      <c r="Y111" s="179"/>
      <c r="Z111" s="179"/>
      <c r="AA111" s="179"/>
      <c r="AB111" s="179"/>
    </row>
    <row r="112" spans="19:28"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4.25" customHeight="1"/>
  </sheetData>
  <sheetProtection algorithmName="SHA-512" hashValue="5O1Z8tmaWvl37eLbHmE2kUKZMfFibbXocT5kYGE3tFpZRpnlbI+RzeZ9XO3RIkqAvncGyHrk45Pd46rXeqKTOw==" saltValue="9wE6jyfnsmmSyzpOvZ7oEg==" spinCount="100000" sheet="1" objects="1" scenarios="1" selectLockedCells="1" autoFilter="0"/>
  <protectedRanges>
    <protectedRange password="DEBF" sqref="AD68:AE69" name="darf vom Benutzer nicht verändert werden_1_5"/>
    <protectedRange password="DEBF" sqref="AD54:AE59" name="darf vom Benutzer nicht verändert werden_1_2_2_1"/>
    <protectedRange password="DEBF" sqref="AD31:AE43 AD45:AE51" name="darf vom Benutzer nicht verändert werden_1_2"/>
    <protectedRange password="DEBF" sqref="AG43 AF46:AG46 AG32 AF31:AG31 AF45 AF32:AF43" name="darf vom Benutzer nicht verändert werden_1_12"/>
    <protectedRange password="DEBF" sqref="AD44:AE44" name="darf vom Benutzer nicht verändert werden_1_2_2_2"/>
    <protectedRange password="DEBF" sqref="AF44" name="darf vom Benutzer nicht verändert werden_1_12_1_1"/>
    <protectedRange password="DEBF" sqref="AD52:AE52" name="darf vom Benutzer nicht verändert werden_1_2_1_1"/>
    <protectedRange password="DEBF" sqref="AD66:AE67 AD60:AE63" name="darf vom Benutzer nicht verändert werden_1_2_1_1_1"/>
    <protectedRange password="DEBF" sqref="AD64:AE65" name="darf vom Benutzer nicht verändert werden_1_5_4"/>
    <protectedRange password="DEBF" sqref="AD53:AE53" name="darf vom Benutzer nicht verändert werden_1_2_1_2"/>
  </protectedRanges>
  <autoFilter ref="A29:A69" xr:uid="{00000000-0009-0000-0000-00000C000000}"/>
  <mergeCells count="94">
    <mergeCell ref="ES53:EW53"/>
    <mergeCell ref="E42:I42"/>
    <mergeCell ref="J42:K42"/>
    <mergeCell ref="E51:K51"/>
    <mergeCell ref="E52:I52"/>
    <mergeCell ref="J52:K52"/>
    <mergeCell ref="E50:K50"/>
    <mergeCell ref="E45:G45"/>
    <mergeCell ref="I45:K45"/>
    <mergeCell ref="E47:K47"/>
    <mergeCell ref="E49:K49"/>
    <mergeCell ref="E43:G43"/>
    <mergeCell ref="I43:K43"/>
    <mergeCell ref="E46:G46"/>
    <mergeCell ref="U52:V52"/>
    <mergeCell ref="T45:U45"/>
    <mergeCell ref="AF29:AG29"/>
    <mergeCell ref="E38:K38"/>
    <mergeCell ref="E40:K40"/>
    <mergeCell ref="E37:K37"/>
    <mergeCell ref="E35:K35"/>
    <mergeCell ref="E33:K33"/>
    <mergeCell ref="E34:K34"/>
    <mergeCell ref="E36:K36"/>
    <mergeCell ref="E39:K39"/>
    <mergeCell ref="AD29:AE29"/>
    <mergeCell ref="J32:K32"/>
    <mergeCell ref="E31:G31"/>
    <mergeCell ref="H31:I31"/>
    <mergeCell ref="J31:K31"/>
    <mergeCell ref="C21:E21"/>
    <mergeCell ref="B29:E29"/>
    <mergeCell ref="E30:K30"/>
    <mergeCell ref="E32:G32"/>
    <mergeCell ref="H32:I32"/>
    <mergeCell ref="B24:B27"/>
    <mergeCell ref="C24:E24"/>
    <mergeCell ref="C25:E25"/>
    <mergeCell ref="C26:E26"/>
    <mergeCell ref="C27:E27"/>
    <mergeCell ref="C20:E20"/>
    <mergeCell ref="C9:E9"/>
    <mergeCell ref="C10:E10"/>
    <mergeCell ref="C11:E11"/>
    <mergeCell ref="C13:E13"/>
    <mergeCell ref="C14:E14"/>
    <mergeCell ref="C15:E15"/>
    <mergeCell ref="C18:E18"/>
    <mergeCell ref="C19:E19"/>
    <mergeCell ref="D78:J78"/>
    <mergeCell ref="E67:K67"/>
    <mergeCell ref="E68:K68"/>
    <mergeCell ref="E69:K69"/>
    <mergeCell ref="J44:K44"/>
    <mergeCell ref="E66:I66"/>
    <mergeCell ref="J66:K66"/>
    <mergeCell ref="E65:I65"/>
    <mergeCell ref="E64:I64"/>
    <mergeCell ref="J64:K64"/>
    <mergeCell ref="J65:K65"/>
    <mergeCell ref="J63:K63"/>
    <mergeCell ref="E60:I60"/>
    <mergeCell ref="J60:K60"/>
    <mergeCell ref="E61:I61"/>
    <mergeCell ref="J61:K61"/>
    <mergeCell ref="J57:K57"/>
    <mergeCell ref="E58:I58"/>
    <mergeCell ref="J58:K58"/>
    <mergeCell ref="E41:I41"/>
    <mergeCell ref="E63:I63"/>
    <mergeCell ref="J41:K41"/>
    <mergeCell ref="I46:K46"/>
    <mergeCell ref="E48:K48"/>
    <mergeCell ref="E44:H44"/>
    <mergeCell ref="E62:I62"/>
    <mergeCell ref="J62:K62"/>
    <mergeCell ref="E53:I53"/>
    <mergeCell ref="J53:K53"/>
    <mergeCell ref="W45:X45"/>
    <mergeCell ref="T46:U46"/>
    <mergeCell ref="W46:X46"/>
    <mergeCell ref="L78:N78"/>
    <mergeCell ref="D70:N71"/>
    <mergeCell ref="D72:N73"/>
    <mergeCell ref="D74:N75"/>
    <mergeCell ref="E54:H54"/>
    <mergeCell ref="J54:K54"/>
    <mergeCell ref="E55:H55"/>
    <mergeCell ref="J55:K55"/>
    <mergeCell ref="E59:I59"/>
    <mergeCell ref="J59:K59"/>
    <mergeCell ref="E56:I56"/>
    <mergeCell ref="J56:K56"/>
    <mergeCell ref="E57:H57"/>
  </mergeCells>
  <phoneticPr fontId="43" type="noConversion"/>
  <conditionalFormatting sqref="A31:A69">
    <cfRule type="cellIs" dxfId="158" priority="2" operator="equal">
      <formula>0</formula>
    </cfRule>
  </conditionalFormatting>
  <conditionalFormatting sqref="B67:E69">
    <cfRule type="cellIs" dxfId="155" priority="69" operator="equal">
      <formula>0</formula>
    </cfRule>
  </conditionalFormatting>
  <conditionalFormatting sqref="C9:E11">
    <cfRule type="cellIs" dxfId="154" priority="136" operator="equal">
      <formula>""</formula>
    </cfRule>
  </conditionalFormatting>
  <conditionalFormatting sqref="C13:E15">
    <cfRule type="cellIs" dxfId="153" priority="133" operator="equal">
      <formula>""</formula>
    </cfRule>
  </conditionalFormatting>
  <conditionalFormatting sqref="C18:E21">
    <cfRule type="cellIs" dxfId="152" priority="129" operator="equal">
      <formula>""</formula>
    </cfRule>
  </conditionalFormatting>
  <conditionalFormatting sqref="C24:E27">
    <cfRule type="cellIs" dxfId="151" priority="54" operator="equal">
      <formula>""</formula>
    </cfRule>
  </conditionalFormatting>
  <conditionalFormatting sqref="I13">
    <cfRule type="expression" dxfId="150" priority="65">
      <formula>$O$13=2</formula>
    </cfRule>
    <cfRule type="expression" dxfId="149" priority="68">
      <formula>$O$13=1</formula>
    </cfRule>
  </conditionalFormatting>
  <conditionalFormatting sqref="I24:I26">
    <cfRule type="cellIs" dxfId="148" priority="53" operator="equal">
      <formula>""</formula>
    </cfRule>
  </conditionalFormatting>
  <conditionalFormatting sqref="K17">
    <cfRule type="expression" dxfId="140" priority="147">
      <formula>$O$21=13</formula>
    </cfRule>
  </conditionalFormatting>
  <conditionalFormatting sqref="K18">
    <cfRule type="expression" dxfId="139" priority="146">
      <formula>$O$21=13</formula>
    </cfRule>
  </conditionalFormatting>
  <conditionalFormatting sqref="L13">
    <cfRule type="expression" dxfId="138" priority="66">
      <formula>$O$13=1</formula>
    </cfRule>
    <cfRule type="expression" dxfId="137" priority="67">
      <formula>$O$13=2</formula>
    </cfRule>
  </conditionalFormatting>
  <conditionalFormatting sqref="L19">
    <cfRule type="expression" dxfId="136" priority="145">
      <formula>$O$21=14</formula>
    </cfRule>
  </conditionalFormatting>
  <conditionalFormatting sqref="L67:N69">
    <cfRule type="cellIs" dxfId="135" priority="13" operator="equal">
      <formula>0</formula>
    </cfRule>
  </conditionalFormatting>
  <conditionalFormatting sqref="AU58">
    <cfRule type="dataBar" priority="61">
      <dataBar>
        <cfvo type="min"/>
        <cfvo type="max"/>
        <color rgb="FF638EC6"/>
      </dataBar>
      <extLst>
        <ext xmlns:x14="http://schemas.microsoft.com/office/spreadsheetml/2009/9/main" uri="{B025F937-C7B1-47D3-B67F-A62EFF666E3E}">
          <x14:id>{02B9671B-F840-4490-9A59-77D88561D14A}</x14:id>
        </ext>
      </extLst>
    </cfRule>
  </conditionalFormatting>
  <conditionalFormatting sqref="AU60:AU61">
    <cfRule type="dataBar" priority="2043">
      <dataBar>
        <cfvo type="min"/>
        <cfvo type="max"/>
        <color rgb="FF638EC6"/>
      </dataBar>
      <extLst>
        <ext xmlns:x14="http://schemas.microsoft.com/office/spreadsheetml/2009/9/main" uri="{B025F937-C7B1-47D3-B67F-A62EFF666E3E}">
          <x14:id>{C39D9F92-FEB8-41C2-8A3D-7E07D4A9A30B}</x14:id>
        </ext>
      </extLst>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8369" r:id="rId5"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58371" r:id="rId6" name="Group Box 3">
              <controlPr defaultSize="0" print="0" autoFill="0" autoPict="0" altText="">
                <anchor moveWithCells="1">
                  <from>
                    <xdr:col>5</xdr:col>
                    <xdr:colOff>563880</xdr:colOff>
                    <xdr:row>14</xdr:row>
                    <xdr:rowOff>0</xdr:rowOff>
                  </from>
                  <to>
                    <xdr:col>13</xdr:col>
                    <xdr:colOff>647700</xdr:colOff>
                    <xdr:row>21</xdr:row>
                    <xdr:rowOff>0</xdr:rowOff>
                  </to>
                </anchor>
              </controlPr>
            </control>
          </mc:Choice>
        </mc:AlternateContent>
        <mc:AlternateContent xmlns:mc="http://schemas.openxmlformats.org/markup-compatibility/2006">
          <mc:Choice Requires="x14">
            <control shapeId="58377" r:id="rId7" name="Group Box 9">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8383" r:id="rId8"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8385" r:id="rId9" name="Option Button 17">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58386" r:id="rId10" name="Option Button 18">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58391" r:id="rId11" name="Option Button 23">
              <controlPr defaultSize="0" autoFill="0" autoLine="0" autoPict="0" altText="">
                <anchor moveWithCells="1">
                  <from>
                    <xdr:col>5</xdr:col>
                    <xdr:colOff>563880</xdr:colOff>
                    <xdr:row>17</xdr:row>
                    <xdr:rowOff>30480</xdr:rowOff>
                  </from>
                  <to>
                    <xdr:col>7</xdr:col>
                    <xdr:colOff>160020</xdr:colOff>
                    <xdr:row>18</xdr:row>
                    <xdr:rowOff>0</xdr:rowOff>
                  </to>
                </anchor>
              </controlPr>
            </control>
          </mc:Choice>
        </mc:AlternateContent>
        <mc:AlternateContent xmlns:mc="http://schemas.openxmlformats.org/markup-compatibility/2006">
          <mc:Choice Requires="x14">
            <control shapeId="58395" r:id="rId12" name="Option Button 27">
              <controlPr defaultSize="0" autoFill="0" autoLine="0" autoPict="0" altText="">
                <anchor moveWithCells="1">
                  <from>
                    <xdr:col>5</xdr:col>
                    <xdr:colOff>563880</xdr:colOff>
                    <xdr:row>18</xdr:row>
                    <xdr:rowOff>30480</xdr:rowOff>
                  </from>
                  <to>
                    <xdr:col>7</xdr:col>
                    <xdr:colOff>160020</xdr:colOff>
                    <xdr:row>19</xdr:row>
                    <xdr:rowOff>0</xdr:rowOff>
                  </to>
                </anchor>
              </controlPr>
            </control>
          </mc:Choice>
        </mc:AlternateContent>
        <mc:AlternateContent xmlns:mc="http://schemas.openxmlformats.org/markup-compatibility/2006">
          <mc:Choice Requires="x14">
            <control shapeId="58396" r:id="rId13" name="Option Button 28">
              <controlPr defaultSize="0" autoFill="0" autoLine="0" autoPict="0" altText="">
                <anchor moveWithCells="1">
                  <from>
                    <xdr:col>5</xdr:col>
                    <xdr:colOff>563880</xdr:colOff>
                    <xdr:row>19</xdr:row>
                    <xdr:rowOff>30480</xdr:rowOff>
                  </from>
                  <to>
                    <xdr:col>7</xdr:col>
                    <xdr:colOff>160020</xdr:colOff>
                    <xdr:row>20</xdr:row>
                    <xdr:rowOff>0</xdr:rowOff>
                  </to>
                </anchor>
              </controlPr>
            </control>
          </mc:Choice>
        </mc:AlternateContent>
        <mc:AlternateContent xmlns:mc="http://schemas.openxmlformats.org/markup-compatibility/2006">
          <mc:Choice Requires="x14">
            <control shapeId="58399" r:id="rId14" name="Option Button 31">
              <controlPr defaultSize="0" autoFill="0" autoLine="0" autoPict="0">
                <anchor moveWithCells="1">
                  <from>
                    <xdr:col>7</xdr:col>
                    <xdr:colOff>678180</xdr:colOff>
                    <xdr:row>12</xdr:row>
                    <xdr:rowOff>30480</xdr:rowOff>
                  </from>
                  <to>
                    <xdr:col>9</xdr:col>
                    <xdr:colOff>137160</xdr:colOff>
                    <xdr:row>12</xdr:row>
                    <xdr:rowOff>182880</xdr:rowOff>
                  </to>
                </anchor>
              </controlPr>
            </control>
          </mc:Choice>
        </mc:AlternateContent>
        <mc:AlternateContent xmlns:mc="http://schemas.openxmlformats.org/markup-compatibility/2006">
          <mc:Choice Requires="x14">
            <control shapeId="58400" r:id="rId15"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8407" r:id="rId16" name="Group Box 39">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8408" r:id="rId17"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8409" r:id="rId18"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2D15C7DD-06E2-4BBC-BED3-929094CE018B}">
            <xm:f>$J$37=Formeln!$A$177</xm:f>
            <x14:dxf>
              <font>
                <color theme="0" tint="-0.34998626667073579"/>
              </font>
            </x14:dxf>
          </x14:cfRule>
          <xm:sqref>A53</xm:sqref>
        </x14:conditionalFormatting>
        <x14:conditionalFormatting xmlns:xm="http://schemas.microsoft.com/office/excel/2006/main">
          <x14:cfRule type="expression" priority="22" id="{E91578FD-A611-4322-A79B-4535FF1032F6}">
            <xm:f>$J$108=Formeln!$A$177</xm:f>
            <x14:dxf>
              <font>
                <color theme="0" tint="-0.34998626667073579"/>
              </font>
            </x14:dxf>
          </x14:cfRule>
          <xm:sqref>B60:B61 E60:I61</xm:sqref>
        </x14:conditionalFormatting>
        <x14:conditionalFormatting xmlns:xm="http://schemas.microsoft.com/office/excel/2006/main">
          <x14:cfRule type="expression" priority="91" id="{689827F2-6E28-4BAE-AB35-8CF9935C663E}">
            <xm:f>$I43=Formeln!$A$1</xm:f>
            <x14:dxf>
              <fill>
                <patternFill>
                  <bgColor theme="0" tint="-0.14996795556505021"/>
                </patternFill>
              </fill>
            </x14:dxf>
          </x14:cfRule>
          <xm:sqref>I43:K43</xm:sqref>
        </x14:conditionalFormatting>
        <x14:conditionalFormatting xmlns:xm="http://schemas.microsoft.com/office/excel/2006/main">
          <x14:cfRule type="expression" priority="10" id="{F8C3EA09-DF3A-4AAC-BC84-EB772174F0CA}">
            <xm:f>$I45=Formeln!$A$1</xm:f>
            <x14:dxf>
              <fill>
                <patternFill>
                  <bgColor theme="0" tint="-0.14996795556505021"/>
                </patternFill>
              </fill>
            </x14:dxf>
          </x14:cfRule>
          <xm:sqref>I45:K46</xm:sqref>
        </x14:conditionalFormatting>
        <x14:conditionalFormatting xmlns:xm="http://schemas.microsoft.com/office/excel/2006/main">
          <x14:cfRule type="expression" priority="18" id="{8F3887D7-8DC5-49A6-AFE3-6E40DF0190C0}">
            <xm:f>$J$31=Formeln!$A$1</xm:f>
            <x14:dxf>
              <fill>
                <patternFill>
                  <bgColor theme="0" tint="-0.14996795556505021"/>
                </patternFill>
              </fill>
            </x14:dxf>
          </x14:cfRule>
          <xm:sqref>J31:K31</xm:sqref>
        </x14:conditionalFormatting>
        <x14:conditionalFormatting xmlns:xm="http://schemas.microsoft.com/office/excel/2006/main">
          <x14:cfRule type="expression" priority="92" id="{5C50FB8B-B0EC-4E2C-9FD4-DD253E10C97B}">
            <xm:f>$J$32=Formeln!$A$1</xm:f>
            <x14:dxf>
              <fill>
                <patternFill>
                  <bgColor theme="0" tint="-0.14996795556505021"/>
                </patternFill>
              </fill>
            </x14:dxf>
          </x14:cfRule>
          <xm:sqref>J32:K32</xm:sqref>
        </x14:conditionalFormatting>
        <x14:conditionalFormatting xmlns:xm="http://schemas.microsoft.com/office/excel/2006/main">
          <x14:cfRule type="expression" priority="7" id="{1B02832B-D549-4B91-9D12-63590740635C}">
            <xm:f>$J$44=Formeln!$I$194</xm:f>
            <x14:dxf>
              <fill>
                <patternFill>
                  <bgColor theme="0" tint="-0.14996795556505021"/>
                </patternFill>
              </fill>
            </x14:dxf>
          </x14:cfRule>
          <xm:sqref>J44:K44</xm:sqref>
        </x14:conditionalFormatting>
        <x14:conditionalFormatting xmlns:xm="http://schemas.microsoft.com/office/excel/2006/main">
          <x14:cfRule type="expression" priority="9" id="{B1C0DAEB-D0BB-431C-A08C-7ED0DB622744}">
            <xm:f>$J52=Formeln!$A$1</xm:f>
            <x14:dxf>
              <fill>
                <patternFill>
                  <bgColor theme="0" tint="-0.14996795556505021"/>
                </patternFill>
              </fill>
            </x14:dxf>
          </x14:cfRule>
          <xm:sqref>J52:K52 J54:K55</xm:sqref>
        </x14:conditionalFormatting>
        <x14:conditionalFormatting xmlns:xm="http://schemas.microsoft.com/office/excel/2006/main">
          <x14:cfRule type="expression" priority="8" id="{25C7E613-3EC2-42F9-87DC-86003579A83A}">
            <xm:f>$J57=Formeln!$A$1</xm:f>
            <x14:dxf>
              <fill>
                <patternFill>
                  <bgColor theme="0" tint="-0.14996795556505021"/>
                </patternFill>
              </fill>
            </x14:dxf>
          </x14:cfRule>
          <xm:sqref>J57:K57</xm:sqref>
        </x14:conditionalFormatting>
        <x14:conditionalFormatting xmlns:xm="http://schemas.microsoft.com/office/excel/2006/main">
          <x14:cfRule type="expression" priority="1" id="{AC5A5006-A8BA-49CD-AB20-B390314E3ABE}">
            <xm:f>Info!$V$7=8</xm:f>
            <x14:dxf>
              <font>
                <color theme="1"/>
              </font>
              <border>
                <left style="thin">
                  <color auto="1"/>
                </left>
                <right style="thin">
                  <color auto="1"/>
                </right>
                <top style="thin">
                  <color auto="1"/>
                </top>
                <bottom style="thin">
                  <color auto="1"/>
                </bottom>
                <vertical/>
                <horizontal/>
              </border>
            </x14:dxf>
          </x14:cfRule>
          <xm:sqref>O30:O69</xm:sqref>
        </x14:conditionalFormatting>
        <x14:conditionalFormatting xmlns:xm="http://schemas.microsoft.com/office/excel/2006/main">
          <x14:cfRule type="expression" priority="14" id="{23967104-92FD-4B92-A643-0C86FC660E2A}">
            <xm:f>Info!$V$7=8</xm:f>
            <x14:dxf>
              <font>
                <color theme="1"/>
              </font>
              <border>
                <bottom style="thin">
                  <color auto="1"/>
                </bottom>
              </border>
            </x14:dxf>
          </x14:cfRule>
          <xm:sqref>O71</xm:sqref>
        </x14:conditionalFormatting>
        <x14:conditionalFormatting xmlns:xm="http://schemas.microsoft.com/office/excel/2006/main">
          <x14:cfRule type="dataBar" id="{02B9671B-F840-4490-9A59-77D88561D14A}">
            <x14:dataBar minLength="0" maxLength="100" gradient="0">
              <x14:cfvo type="autoMin"/>
              <x14:cfvo type="autoMax"/>
              <x14:negativeFillColor rgb="FFFF0000"/>
              <x14:axisColor rgb="FF000000"/>
            </x14:dataBar>
          </x14:cfRule>
          <xm:sqref>AU58</xm:sqref>
        </x14:conditionalFormatting>
        <x14:conditionalFormatting xmlns:xm="http://schemas.microsoft.com/office/excel/2006/main">
          <x14:cfRule type="dataBar" id="{C39D9F92-FEB8-41C2-8A3D-7E07D4A9A30B}">
            <x14:dataBar minLength="0" maxLength="100" gradient="0">
              <x14:cfvo type="autoMin"/>
              <x14:cfvo type="autoMax"/>
              <x14:negativeFillColor rgb="FFFF0000"/>
              <x14:axisColor rgb="FF000000"/>
            </x14:dataBar>
          </x14:cfRule>
          <xm:sqref>AU60:AU61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Formeln!$A$146:$A$148</xm:f>
          </x14:formula1>
          <xm:sqref>I43:K43</xm:sqref>
        </x14:dataValidation>
        <x14:dataValidation type="list" allowBlank="1" showInputMessage="1" showErrorMessage="1" xr:uid="{00000000-0002-0000-0C00-000001000000}">
          <x14:formula1>
            <xm:f>Formeln!$B$142:$B$145</xm:f>
          </x14:formula1>
          <xm:sqref>J31:K32</xm:sqref>
        </x14:dataValidation>
        <x14:dataValidation type="list" allowBlank="1" showInputMessage="1" showErrorMessage="1" xr:uid="{00000000-0002-0000-0C00-000002000000}">
          <x14:formula1>
            <xm:f>Formeln!$A$280:$A$283</xm:f>
          </x14:formula1>
          <xm:sqref>J55:K55</xm:sqref>
        </x14:dataValidation>
        <x14:dataValidation type="list" allowBlank="1" showInputMessage="1" showErrorMessage="1" xr:uid="{00000000-0002-0000-0C00-000003000000}">
          <x14:formula1>
            <xm:f>Formeln!$A$159:$A$161</xm:f>
          </x14:formula1>
          <xm:sqref>J57:K57</xm:sqref>
        </x14:dataValidation>
        <x14:dataValidation type="list" allowBlank="1" showInputMessage="1" showErrorMessage="1" xr:uid="{00000000-0002-0000-0C00-000005000000}">
          <x14:formula1>
            <xm:f>Formeln!$A$266:$A$268</xm:f>
          </x14:formula1>
          <xm:sqref>J52:K52</xm:sqref>
        </x14:dataValidation>
        <x14:dataValidation type="list" allowBlank="1" showInputMessage="1" showErrorMessage="1" xr:uid="{00000000-0002-0000-0C00-000006000000}">
          <x14:formula1>
            <xm:f>Formeln_RI_P.10!$A$141:$A$142</xm:f>
          </x14:formula1>
          <xm:sqref>I45:K45</xm:sqref>
        </x14:dataValidation>
        <x14:dataValidation type="list" allowBlank="1" showInputMessage="1" showErrorMessage="1" xr:uid="{00000000-0002-0000-0C00-000007000000}">
          <x14:formula1>
            <xm:f>Formeln_RI_P.10!$A$143:$A$144</xm:f>
          </x14:formula1>
          <xm:sqref>I46:K46</xm:sqref>
        </x14:dataValidation>
        <x14:dataValidation type="list" allowBlank="1" showInputMessage="1" showErrorMessage="1" xr:uid="{00000000-0002-0000-0C00-000004000000}">
          <x14:formula1>
            <xm:f>Formeln!$B$151:$B$155</xm:f>
          </x14:formula1>
          <xm:sqref>J54:K54</xm:sqref>
        </x14:dataValidation>
        <x14:dataValidation type="list" allowBlank="1" showInputMessage="1" showErrorMessage="1" xr:uid="{2EF3C7B1-C5CF-43C3-8748-0E2D9326963D}">
          <x14:formula1>
            <xm:f>Formeln!$G$194:$G$196</xm:f>
          </x14:formula1>
          <xm:sqref>J44:K44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F12"/>
  <sheetViews>
    <sheetView workbookViewId="0"/>
  </sheetViews>
  <sheetFormatPr baseColWidth="10" defaultColWidth="11.44140625" defaultRowHeight="14.4"/>
  <cols>
    <col min="1" max="1" width="10.109375" bestFit="1" customWidth="1"/>
    <col min="2" max="2" width="43.44140625" bestFit="1" customWidth="1"/>
    <col min="3" max="3" width="14.44140625" bestFit="1" customWidth="1"/>
    <col min="4" max="4" width="13.88671875" bestFit="1" customWidth="1"/>
    <col min="5" max="5" width="20.44140625" bestFit="1" customWidth="1"/>
  </cols>
  <sheetData>
    <row r="1" spans="1:6">
      <c r="A1" t="s">
        <v>2132</v>
      </c>
      <c r="B1" t="s">
        <v>2133</v>
      </c>
      <c r="C1" t="s">
        <v>2134</v>
      </c>
      <c r="D1" t="s">
        <v>2135</v>
      </c>
      <c r="E1" t="s">
        <v>2136</v>
      </c>
      <c r="F1" t="s">
        <v>2137</v>
      </c>
    </row>
    <row r="2" spans="1:6">
      <c r="A2">
        <v>44161</v>
      </c>
      <c r="B2" t="s">
        <v>2138</v>
      </c>
      <c r="C2" t="s">
        <v>2139</v>
      </c>
      <c r="D2" t="s">
        <v>2140</v>
      </c>
      <c r="E2" t="s">
        <v>2141</v>
      </c>
      <c r="F2" t="s">
        <v>2142</v>
      </c>
    </row>
    <row r="3" spans="1:6">
      <c r="A3">
        <v>44175</v>
      </c>
      <c r="B3" t="s">
        <v>2143</v>
      </c>
      <c r="C3" t="s">
        <v>2144</v>
      </c>
      <c r="D3" t="s">
        <v>2145</v>
      </c>
      <c r="F3" t="s">
        <v>2142</v>
      </c>
    </row>
    <row r="4" spans="1:6">
      <c r="A4">
        <v>44175</v>
      </c>
      <c r="B4" t="s">
        <v>2143</v>
      </c>
      <c r="C4" t="s">
        <v>2146</v>
      </c>
      <c r="D4" t="s">
        <v>2145</v>
      </c>
      <c r="F4" t="s">
        <v>2142</v>
      </c>
    </row>
    <row r="5" spans="1:6">
      <c r="A5">
        <v>44203</v>
      </c>
      <c r="B5" t="s">
        <v>2147</v>
      </c>
      <c r="C5" t="s">
        <v>2148</v>
      </c>
      <c r="F5" t="s">
        <v>2142</v>
      </c>
    </row>
    <row r="6" spans="1:6">
      <c r="A6">
        <v>44252</v>
      </c>
      <c r="B6" t="s">
        <v>2149</v>
      </c>
      <c r="C6" t="s">
        <v>2150</v>
      </c>
      <c r="F6" t="s">
        <v>2151</v>
      </c>
    </row>
    <row r="7" spans="1:6">
      <c r="A7">
        <v>44252</v>
      </c>
      <c r="B7" t="s">
        <v>2152</v>
      </c>
      <c r="C7" t="s">
        <v>2153</v>
      </c>
      <c r="E7" t="s">
        <v>2154</v>
      </c>
      <c r="F7" t="s">
        <v>2155</v>
      </c>
    </row>
    <row r="8" spans="1:6">
      <c r="A8">
        <v>44252</v>
      </c>
      <c r="B8" t="s">
        <v>2156</v>
      </c>
      <c r="C8" t="s">
        <v>2153</v>
      </c>
      <c r="E8" t="s">
        <v>2157</v>
      </c>
      <c r="F8" t="s">
        <v>2155</v>
      </c>
    </row>
    <row r="9" spans="1:6">
      <c r="A9">
        <v>44252</v>
      </c>
      <c r="B9" t="s">
        <v>2158</v>
      </c>
      <c r="C9" t="s">
        <v>2153</v>
      </c>
      <c r="E9" t="s">
        <v>2159</v>
      </c>
      <c r="F9" t="s">
        <v>2155</v>
      </c>
    </row>
    <row r="10" spans="1:6">
      <c r="A10">
        <v>44252</v>
      </c>
      <c r="B10" t="s">
        <v>2160</v>
      </c>
      <c r="C10" t="s">
        <v>2153</v>
      </c>
      <c r="D10" t="s">
        <v>2161</v>
      </c>
      <c r="E10" t="s">
        <v>2162</v>
      </c>
      <c r="F10" t="s">
        <v>2155</v>
      </c>
    </row>
    <row r="11" spans="1:6">
      <c r="A11">
        <v>44252</v>
      </c>
      <c r="B11" t="s">
        <v>2163</v>
      </c>
      <c r="C11" t="s">
        <v>2164</v>
      </c>
      <c r="F11" t="s">
        <v>2165</v>
      </c>
    </row>
    <row r="12" spans="1:6">
      <c r="A12">
        <v>44271</v>
      </c>
      <c r="B12" t="s">
        <v>2166</v>
      </c>
      <c r="C12" t="s">
        <v>2167</v>
      </c>
      <c r="D12" t="s">
        <v>2168</v>
      </c>
      <c r="F12" t="s">
        <v>2155</v>
      </c>
    </row>
  </sheetData>
  <sheetProtection algorithmName="SHA-512" hashValue="oFUDXABMEq5eqMeFZQ+YrunxXL84D6dmw110mSceyc8dSMk1CnEO5LnMjwEhAsw9cT1umJvxv/w7A9dDu5K6xQ==" saltValue="H4cWwsq84SnJnXfxRbqTBQ==" spinCount="100000" sheet="1" objects="1" scenarios="1"/>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A93D-77CA-476F-9336-77E9178122BC}">
  <dimension ref="A1:K34"/>
  <sheetViews>
    <sheetView workbookViewId="0"/>
  </sheetViews>
  <sheetFormatPr baseColWidth="10" defaultColWidth="11.44140625" defaultRowHeight="14.4"/>
  <cols>
    <col min="1" max="1" width="14.6640625" bestFit="1" customWidth="1"/>
    <col min="2" max="11" width="15.6640625" customWidth="1"/>
  </cols>
  <sheetData>
    <row r="1" spans="1:11" ht="28.95" customHeight="1">
      <c r="A1" s="416" t="s">
        <v>2338</v>
      </c>
      <c r="B1" s="417" t="s">
        <v>2339</v>
      </c>
      <c r="C1" s="417" t="s">
        <v>2340</v>
      </c>
      <c r="D1" s="417" t="s">
        <v>2341</v>
      </c>
      <c r="E1" s="417" t="s">
        <v>2342</v>
      </c>
      <c r="F1" s="417" t="s">
        <v>2343</v>
      </c>
      <c r="G1" s="417" t="s">
        <v>2344</v>
      </c>
      <c r="H1" s="417" t="s">
        <v>2345</v>
      </c>
      <c r="I1" s="417" t="s">
        <v>2346</v>
      </c>
      <c r="J1" s="417" t="s">
        <v>2347</v>
      </c>
      <c r="K1" s="418" t="s">
        <v>2348</v>
      </c>
    </row>
    <row r="2" spans="1:11">
      <c r="A2" s="419" t="s">
        <v>2169</v>
      </c>
      <c r="B2" s="424">
        <v>513950</v>
      </c>
      <c r="C2" s="424">
        <v>513950</v>
      </c>
      <c r="D2" s="424">
        <v>513950</v>
      </c>
      <c r="E2" s="424">
        <v>513950</v>
      </c>
      <c r="F2" s="424">
        <v>513950</v>
      </c>
      <c r="G2" s="424">
        <v>513950</v>
      </c>
      <c r="H2" s="424">
        <v>513950</v>
      </c>
      <c r="I2" s="424">
        <v>513950</v>
      </c>
      <c r="J2" s="424">
        <v>513950</v>
      </c>
      <c r="K2" s="426">
        <v>513950</v>
      </c>
    </row>
    <row r="3" spans="1:11">
      <c r="A3" s="420" t="s">
        <v>2170</v>
      </c>
      <c r="B3" s="427">
        <v>513951</v>
      </c>
      <c r="C3" s="427">
        <v>513951</v>
      </c>
      <c r="D3" s="427">
        <v>513951</v>
      </c>
      <c r="E3" s="427">
        <v>513951</v>
      </c>
      <c r="F3" s="427">
        <v>513951</v>
      </c>
      <c r="G3" s="427">
        <v>513951</v>
      </c>
      <c r="H3" s="427">
        <v>513951</v>
      </c>
      <c r="I3" s="427">
        <v>513951</v>
      </c>
      <c r="J3" s="427">
        <v>513951</v>
      </c>
      <c r="K3" s="428">
        <v>513951</v>
      </c>
    </row>
    <row r="4" spans="1:11">
      <c r="A4" s="421" t="s">
        <v>2172</v>
      </c>
      <c r="B4" s="423">
        <v>513952</v>
      </c>
      <c r="C4" s="423">
        <v>513952</v>
      </c>
      <c r="D4" s="423">
        <v>513952</v>
      </c>
      <c r="E4" s="423">
        <v>513952</v>
      </c>
      <c r="F4" s="423">
        <v>513952</v>
      </c>
      <c r="G4" s="423">
        <v>513952</v>
      </c>
      <c r="H4" s="423">
        <v>513952</v>
      </c>
      <c r="I4" s="423">
        <v>513952</v>
      </c>
      <c r="J4" s="423">
        <v>513952</v>
      </c>
      <c r="K4" s="425">
        <v>513952</v>
      </c>
    </row>
    <row r="5" spans="1:11">
      <c r="A5" s="419" t="s">
        <v>88</v>
      </c>
      <c r="B5" s="424">
        <v>513953</v>
      </c>
      <c r="C5" s="424">
        <v>513953</v>
      </c>
      <c r="D5" s="424">
        <v>513953</v>
      </c>
      <c r="E5" s="424">
        <v>513953</v>
      </c>
      <c r="F5" s="424">
        <v>513953</v>
      </c>
      <c r="G5" s="424">
        <v>513953</v>
      </c>
      <c r="H5" s="424">
        <v>513953</v>
      </c>
      <c r="I5" s="424">
        <v>513953</v>
      </c>
      <c r="J5" s="424">
        <v>513953</v>
      </c>
      <c r="K5" s="426">
        <v>513953</v>
      </c>
    </row>
    <row r="6" spans="1:11">
      <c r="A6" s="420" t="s">
        <v>2174</v>
      </c>
      <c r="B6" s="427">
        <v>513954</v>
      </c>
      <c r="C6" s="427">
        <v>513954</v>
      </c>
      <c r="D6" s="427">
        <v>513954</v>
      </c>
      <c r="E6" s="427">
        <v>513954</v>
      </c>
      <c r="F6" s="427">
        <v>513954</v>
      </c>
      <c r="G6" s="427">
        <v>513954</v>
      </c>
      <c r="H6" s="427">
        <v>513954</v>
      </c>
      <c r="I6" s="427">
        <v>513954</v>
      </c>
      <c r="J6" s="427">
        <v>513954</v>
      </c>
      <c r="K6" s="428">
        <v>513954</v>
      </c>
    </row>
    <row r="7" spans="1:11">
      <c r="A7" s="421" t="s">
        <v>2176</v>
      </c>
      <c r="B7" s="423">
        <v>513955</v>
      </c>
      <c r="C7" s="423">
        <v>513955</v>
      </c>
      <c r="D7" s="423">
        <v>513955</v>
      </c>
      <c r="E7" s="423">
        <v>513955</v>
      </c>
      <c r="F7" s="423">
        <v>513955</v>
      </c>
      <c r="G7" s="423">
        <v>513955</v>
      </c>
      <c r="H7" s="423">
        <v>513955</v>
      </c>
      <c r="I7" s="423">
        <v>513955</v>
      </c>
      <c r="J7" s="423">
        <v>513955</v>
      </c>
      <c r="K7" s="425">
        <v>513955</v>
      </c>
    </row>
    <row r="8" spans="1:11">
      <c r="A8" s="419" t="s">
        <v>2178</v>
      </c>
      <c r="B8" s="424">
        <v>513956</v>
      </c>
      <c r="C8" s="424">
        <v>513956</v>
      </c>
      <c r="D8" s="424">
        <v>513956</v>
      </c>
      <c r="E8" s="424">
        <v>513956</v>
      </c>
      <c r="F8" s="424">
        <v>513956</v>
      </c>
      <c r="G8" s="424">
        <v>513956</v>
      </c>
      <c r="H8" s="424">
        <v>513956</v>
      </c>
      <c r="I8" s="424">
        <v>513956</v>
      </c>
      <c r="J8" s="424">
        <v>513956</v>
      </c>
      <c r="K8" s="426">
        <v>513956</v>
      </c>
    </row>
    <row r="9" spans="1:11">
      <c r="A9" s="420" t="s">
        <v>2180</v>
      </c>
      <c r="B9" s="427">
        <v>513957</v>
      </c>
      <c r="C9" s="427">
        <v>513957</v>
      </c>
      <c r="D9" s="427">
        <v>513957</v>
      </c>
      <c r="E9" s="427">
        <v>513957</v>
      </c>
      <c r="F9" s="427">
        <v>513957</v>
      </c>
      <c r="G9" s="427">
        <v>513957</v>
      </c>
      <c r="H9" s="427">
        <v>513957</v>
      </c>
      <c r="I9" s="427">
        <v>513957</v>
      </c>
      <c r="J9" s="427">
        <v>513957</v>
      </c>
      <c r="K9" s="428">
        <v>513957</v>
      </c>
    </row>
    <row r="10" spans="1:11">
      <c r="A10" s="420" t="s">
        <v>2181</v>
      </c>
      <c r="B10" s="427">
        <v>513958</v>
      </c>
      <c r="C10" s="427">
        <v>513958</v>
      </c>
      <c r="D10" s="427">
        <v>513958</v>
      </c>
      <c r="E10" s="427">
        <v>513958</v>
      </c>
      <c r="F10" s="427">
        <v>513958</v>
      </c>
      <c r="G10" s="427">
        <v>513958</v>
      </c>
      <c r="H10" s="427">
        <v>513958</v>
      </c>
      <c r="I10" s="427">
        <v>513958</v>
      </c>
      <c r="J10" s="427">
        <v>513958</v>
      </c>
      <c r="K10" s="428">
        <v>513958</v>
      </c>
    </row>
    <row r="11" spans="1:11">
      <c r="A11" s="420" t="s">
        <v>2183</v>
      </c>
      <c r="B11" s="427">
        <v>513959</v>
      </c>
      <c r="C11" s="427">
        <v>513959</v>
      </c>
      <c r="D11" s="427">
        <v>513959</v>
      </c>
      <c r="E11" s="427">
        <v>513959</v>
      </c>
      <c r="F11" s="427">
        <v>513959</v>
      </c>
      <c r="G11" s="427">
        <v>513959</v>
      </c>
      <c r="H11" s="427">
        <v>513959</v>
      </c>
      <c r="I11" s="427">
        <v>513959</v>
      </c>
      <c r="J11" s="427">
        <v>513959</v>
      </c>
      <c r="K11" s="428">
        <v>513959</v>
      </c>
    </row>
    <row r="12" spans="1:11">
      <c r="A12" s="421" t="s">
        <v>2185</v>
      </c>
      <c r="B12" s="423" t="s">
        <v>2349</v>
      </c>
      <c r="C12" s="423" t="s">
        <v>2349</v>
      </c>
      <c r="D12" s="423" t="s">
        <v>2349</v>
      </c>
      <c r="E12" s="423" t="s">
        <v>2349</v>
      </c>
      <c r="F12" s="423" t="s">
        <v>2349</v>
      </c>
      <c r="G12" s="423" t="s">
        <v>2349</v>
      </c>
      <c r="H12" s="423" t="s">
        <v>2349</v>
      </c>
      <c r="I12" s="423" t="s">
        <v>2349</v>
      </c>
      <c r="J12" s="423" t="s">
        <v>2349</v>
      </c>
      <c r="K12" s="425" t="s">
        <v>2349</v>
      </c>
    </row>
    <row r="13" spans="1:11">
      <c r="A13" s="419" t="s">
        <v>2187</v>
      </c>
      <c r="B13" s="424" t="s">
        <v>2349</v>
      </c>
      <c r="C13" s="424" t="s">
        <v>2349</v>
      </c>
      <c r="D13" s="424" t="s">
        <v>2349</v>
      </c>
      <c r="E13" s="424" t="s">
        <v>2349</v>
      </c>
      <c r="F13" s="424" t="s">
        <v>2349</v>
      </c>
      <c r="G13" s="424" t="s">
        <v>2349</v>
      </c>
      <c r="H13" s="424" t="s">
        <v>2349</v>
      </c>
      <c r="I13" s="424" t="s">
        <v>2349</v>
      </c>
      <c r="J13" s="424" t="s">
        <v>2349</v>
      </c>
      <c r="K13" s="426" t="s">
        <v>2349</v>
      </c>
    </row>
    <row r="14" spans="1:11">
      <c r="A14" s="420" t="s">
        <v>2189</v>
      </c>
      <c r="B14" s="427">
        <v>513960</v>
      </c>
      <c r="C14" s="427">
        <v>513960</v>
      </c>
      <c r="D14" s="427">
        <v>513960</v>
      </c>
      <c r="E14" s="427">
        <v>513960</v>
      </c>
      <c r="F14" s="427">
        <v>513960</v>
      </c>
      <c r="G14" s="427">
        <v>513960</v>
      </c>
      <c r="H14" s="427">
        <v>513960</v>
      </c>
      <c r="I14" s="427">
        <v>513960</v>
      </c>
      <c r="J14" s="427">
        <v>513960</v>
      </c>
      <c r="K14" s="428">
        <v>513960</v>
      </c>
    </row>
    <row r="15" spans="1:11">
      <c r="A15" s="420" t="s">
        <v>2191</v>
      </c>
      <c r="B15" s="427">
        <v>513961</v>
      </c>
      <c r="C15" s="427">
        <v>513961</v>
      </c>
      <c r="D15" s="427">
        <v>513961</v>
      </c>
      <c r="E15" s="427">
        <v>513961</v>
      </c>
      <c r="F15" s="427">
        <v>513961</v>
      </c>
      <c r="G15" s="427">
        <v>513961</v>
      </c>
      <c r="H15" s="427">
        <v>513961</v>
      </c>
      <c r="I15" s="427">
        <v>513961</v>
      </c>
      <c r="J15" s="427">
        <v>513961</v>
      </c>
      <c r="K15" s="428">
        <v>513961</v>
      </c>
    </row>
    <row r="16" spans="1:11">
      <c r="A16" s="421" t="s">
        <v>2192</v>
      </c>
      <c r="B16" s="423">
        <v>513962</v>
      </c>
      <c r="C16" s="423">
        <v>513962</v>
      </c>
      <c r="D16" s="423">
        <v>513962</v>
      </c>
      <c r="E16" s="423">
        <v>513962</v>
      </c>
      <c r="F16" s="423">
        <v>513962</v>
      </c>
      <c r="G16" s="423">
        <v>513962</v>
      </c>
      <c r="H16" s="423">
        <v>513962</v>
      </c>
      <c r="I16" s="423">
        <v>513962</v>
      </c>
      <c r="J16" s="423">
        <v>513962</v>
      </c>
      <c r="K16" s="425">
        <v>513962</v>
      </c>
    </row>
    <row r="17" spans="1:11">
      <c r="A17" s="419" t="s">
        <v>2193</v>
      </c>
      <c r="B17" s="424">
        <v>513963</v>
      </c>
      <c r="C17" s="424">
        <v>513963</v>
      </c>
      <c r="D17" s="424">
        <v>513963</v>
      </c>
      <c r="E17" s="424">
        <v>513963</v>
      </c>
      <c r="F17" s="424">
        <v>513963</v>
      </c>
      <c r="G17" s="424">
        <v>513963</v>
      </c>
      <c r="H17" s="424">
        <v>513963</v>
      </c>
      <c r="I17" s="424">
        <v>513963</v>
      </c>
      <c r="J17" s="424">
        <v>513963</v>
      </c>
      <c r="K17" s="426">
        <v>513963</v>
      </c>
    </row>
    <row r="18" spans="1:11">
      <c r="A18" s="420" t="s">
        <v>2194</v>
      </c>
      <c r="B18" s="427">
        <v>513964</v>
      </c>
      <c r="C18" s="427">
        <v>513964</v>
      </c>
      <c r="D18" s="427">
        <v>513964</v>
      </c>
      <c r="E18" s="427">
        <v>513964</v>
      </c>
      <c r="F18" s="427">
        <v>513964</v>
      </c>
      <c r="G18" s="427">
        <v>513964</v>
      </c>
      <c r="H18" s="427">
        <v>513964</v>
      </c>
      <c r="I18" s="427">
        <v>513964</v>
      </c>
      <c r="J18" s="427">
        <v>513964</v>
      </c>
      <c r="K18" s="428">
        <v>513964</v>
      </c>
    </row>
    <row r="19" spans="1:11">
      <c r="A19" s="421" t="s">
        <v>2195</v>
      </c>
      <c r="B19" s="423">
        <v>513965</v>
      </c>
      <c r="C19" s="423">
        <v>513965</v>
      </c>
      <c r="D19" s="423">
        <v>513965</v>
      </c>
      <c r="E19" s="423">
        <v>513965</v>
      </c>
      <c r="F19" s="423">
        <v>513965</v>
      </c>
      <c r="G19" s="423">
        <v>513965</v>
      </c>
      <c r="H19" s="423">
        <v>513965</v>
      </c>
      <c r="I19" s="423">
        <v>513965</v>
      </c>
      <c r="J19" s="423">
        <v>513965</v>
      </c>
      <c r="K19" s="425">
        <v>513965</v>
      </c>
    </row>
    <row r="20" spans="1:11">
      <c r="A20" s="419" t="s">
        <v>2196</v>
      </c>
      <c r="B20" s="424">
        <v>513968</v>
      </c>
      <c r="C20" s="424">
        <v>513968</v>
      </c>
      <c r="D20" s="424">
        <v>513968</v>
      </c>
      <c r="E20" s="424">
        <v>513968</v>
      </c>
      <c r="F20" s="424">
        <v>513968</v>
      </c>
      <c r="G20" s="424">
        <v>513968</v>
      </c>
      <c r="H20" s="424">
        <v>513968</v>
      </c>
      <c r="I20" s="424">
        <v>513968</v>
      </c>
      <c r="J20" s="424">
        <v>513968</v>
      </c>
      <c r="K20" s="426">
        <v>513968</v>
      </c>
    </row>
    <row r="21" spans="1:11">
      <c r="A21" s="420" t="s">
        <v>2197</v>
      </c>
      <c r="B21" s="427">
        <v>513966</v>
      </c>
      <c r="C21" s="427">
        <v>513966</v>
      </c>
      <c r="D21" s="427">
        <v>513966</v>
      </c>
      <c r="E21" s="427">
        <v>513966</v>
      </c>
      <c r="F21" s="427">
        <v>513966</v>
      </c>
      <c r="G21" s="427">
        <v>513966</v>
      </c>
      <c r="H21" s="427">
        <v>513966</v>
      </c>
      <c r="I21" s="427">
        <v>513966</v>
      </c>
      <c r="J21" s="427">
        <v>513966</v>
      </c>
      <c r="K21" s="428">
        <v>513966</v>
      </c>
    </row>
    <row r="22" spans="1:11" ht="15" thickBot="1">
      <c r="A22" s="422" t="s">
        <v>2198</v>
      </c>
      <c r="B22" s="429">
        <v>513967</v>
      </c>
      <c r="C22" s="429">
        <v>513967</v>
      </c>
      <c r="D22" s="429">
        <v>513967</v>
      </c>
      <c r="E22" s="429">
        <v>513967</v>
      </c>
      <c r="F22" s="429">
        <v>513967</v>
      </c>
      <c r="G22" s="429">
        <v>513967</v>
      </c>
      <c r="H22" s="429">
        <v>513967</v>
      </c>
      <c r="I22" s="429">
        <v>513967</v>
      </c>
      <c r="J22" s="429">
        <v>513967</v>
      </c>
      <c r="K22" s="430">
        <v>513967</v>
      </c>
    </row>
    <row r="25" spans="1:11">
      <c r="A25" t="s">
        <v>2350</v>
      </c>
      <c r="B25" s="42" t="s">
        <v>2351</v>
      </c>
      <c r="C25" t="s">
        <v>2169</v>
      </c>
    </row>
    <row r="26" spans="1:11">
      <c r="A26">
        <f>Info!V7</f>
        <v>16</v>
      </c>
      <c r="B26" s="42" t="s">
        <v>2352</v>
      </c>
      <c r="C26" t="str">
        <f>C1</f>
        <v>02
P.10 Anthrazit</v>
      </c>
    </row>
    <row r="27" spans="1:11">
      <c r="B27" s="42"/>
      <c r="C27" t="s">
        <v>2353</v>
      </c>
      <c r="E27" t="s">
        <v>2338</v>
      </c>
      <c r="F27" t="s">
        <v>2354</v>
      </c>
    </row>
    <row r="28" spans="1:11">
      <c r="B28" s="42" t="s">
        <v>2355</v>
      </c>
      <c r="C28" s="431" t="str">
        <f>IFERROR(INDEX($B$2:$K$22, MATCH(E28, $A$2:$A$22, 0), MATCH(F28, $B$1:$K$1, 0)),"")</f>
        <v/>
      </c>
      <c r="D28" t="s">
        <v>2356</v>
      </c>
      <c r="E28" s="431">
        <f>DP!J56</f>
        <v>0</v>
      </c>
      <c r="F28" s="431">
        <f>IF(DP!P21=11,B1,IF(DP!P21=1,C1,IF(DP!P21=2,D1,IF(DP!P21=3,E1,IF(DP!P21=4,F1,IF(DP!P21=9,G1,IF(DP!P21=5,H1,IF(DP!P21=6,I1,IF(DP!P21=8,J1,IF(DP!P21=7,K1,0))))))))))</f>
        <v>0</v>
      </c>
    </row>
    <row r="29" spans="1:11">
      <c r="B29" s="42" t="s">
        <v>2355</v>
      </c>
      <c r="C29" s="431" t="str">
        <f t="shared" ref="C29:C33" si="0">IFERROR(INDEX($B$2:$K$22, MATCH(E29, $A$2:$A$22, 0), MATCH(F29, $B$1:$K$1, 0)),"")</f>
        <v/>
      </c>
      <c r="D29" t="s">
        <v>2357</v>
      </c>
      <c r="E29" s="431">
        <f>DS!J56</f>
        <v>0</v>
      </c>
      <c r="F29" s="431">
        <f>IF(DS!O21=11,B1,IF(DS!O21=1,C1,IF(DS!O21=2,D1,IF(DS!O21=3,E1,IF(DS!O21=4,F1,IF(DS!O21=9,G1,IF(DS!O21=5,H1,IF(DS!O21=6,I1,IF(DS!O21=8,J1,IF(DS!O21=7,K1,0))))))))))</f>
        <v>0</v>
      </c>
    </row>
    <row r="30" spans="1:11">
      <c r="B30" s="42" t="s">
        <v>2355</v>
      </c>
      <c r="C30" s="431" t="str">
        <f t="shared" si="0"/>
        <v/>
      </c>
      <c r="D30" t="s">
        <v>2358</v>
      </c>
      <c r="E30" s="431">
        <f>DS.19!J56</f>
        <v>0</v>
      </c>
      <c r="F30" s="431">
        <f>IF(DS.19!O21=11,B1,IF(DS.19!O21=1,C1,IF(DS.19!O21=2,D1,IF(DS.19!O21=3,E1,IF(DS.19!O21=4,F1,IF(DS.19!O21=9,G1,IF(DS.19!O21=5,H1,IF(DS.19!O21=6,I1,IF(DS.19!O21=8,J1,IF(DS.19!O21=7,K1,0))))))))))</f>
        <v>0</v>
      </c>
    </row>
    <row r="31" spans="1:11">
      <c r="B31" s="42" t="s">
        <v>2355</v>
      </c>
      <c r="C31" s="431" t="str">
        <f t="shared" si="0"/>
        <v/>
      </c>
      <c r="D31" t="s">
        <v>2359</v>
      </c>
      <c r="E31" s="431">
        <f>'R.16'!J53</f>
        <v>0</v>
      </c>
      <c r="F31" s="431">
        <f>IF('R.16'!P21=11,B1,IF('R.16'!P21=1,C1,IF('R.16'!P21=2,D1,IF('R.16'!P21=3,E1,IF('R.16'!P21=4,F1,IF('R.16'!P21=9,G1,IF('R.16'!P21=5,H1,IF('R.16'!P21=6,I1,IF('R.16'!P21=8,J1,IF('R.16'!P21=7,K1,0))))))))))</f>
        <v>0</v>
      </c>
    </row>
    <row r="32" spans="1:11">
      <c r="B32" s="42" t="s">
        <v>2355</v>
      </c>
      <c r="C32" s="431" t="str">
        <f t="shared" si="0"/>
        <v/>
      </c>
      <c r="D32" t="s">
        <v>2360</v>
      </c>
      <c r="E32" s="431">
        <f>'DR44'!J55</f>
        <v>0</v>
      </c>
      <c r="F32" s="431">
        <f>IF('DR44'!P21=11,B1,IF('DR44'!P21=1,C1,IF('DR44'!P21=2,D1,IF('DR44'!P21=3,E1,IF('DR44'!P21=4,F1,IF('DR44'!P21=9,G1,IF('DR44'!P21=5,H1,IF('DR44'!P21=6,I1,IF('DR44'!P21=8,J1,IF('DR44'!P21=7,K1,0))))))))))</f>
        <v>0</v>
      </c>
    </row>
    <row r="33" spans="2:6">
      <c r="B33" s="42" t="s">
        <v>2355</v>
      </c>
      <c r="C33" s="431" t="str">
        <f t="shared" si="0"/>
        <v/>
      </c>
      <c r="D33" t="s">
        <v>2139</v>
      </c>
      <c r="E33" s="431">
        <f>'DR29'!J56</f>
        <v>0</v>
      </c>
      <c r="F33" s="431">
        <f>IF('DR29'!P21=11,B1,IF('DR29'!P21=1,C1,IF('DR29'!P21=2,D1,IF('DR29'!P21=3,E1,IF('DR29'!P21=4,F1,IF('DR29'!P21=9,G1,IF('DR29'!P21=5,H1,IF('DR29'!P21=6,I1,IF('DR29'!P21=8,J1,IF('DR29'!P21=7,K1,0))))))))))</f>
        <v>0</v>
      </c>
    </row>
    <row r="34" spans="2:6">
      <c r="B34" s="42" t="s">
        <v>2355</v>
      </c>
      <c r="C34" s="431" t="str">
        <f>IFERROR(INDEX($B$2:$K$22, MATCH(E34, $A$2:$A$22, 0), MATCH(F34, $B$1:$K$1, 0)),"")</f>
        <v/>
      </c>
      <c r="D34" t="s">
        <v>2361</v>
      </c>
      <c r="E34" s="431">
        <f>FX.12!J55</f>
        <v>0</v>
      </c>
      <c r="F34" s="431">
        <f>IF(FX.12!Z21=11,B1,IF(FX.12!Z21=1,C1,IF(FX.12!Z21=2,D1,IF(FX.12!Z21=3,E1,IF(FX.12!Z21=4,F1,IF(FX.12!Z21=9,G1,IF(FX.12!Z21=5,H1,IF(FX.12!Z21=6,I1,IF(FX.12!Z21=8,J1,IF(FX.12!Z21=7,K1,0))))))))))</f>
        <v>0</v>
      </c>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1"/>
  <dimension ref="A1:Y3046"/>
  <sheetViews>
    <sheetView topLeftCell="A625" workbookViewId="0">
      <selection activeCell="B657" sqref="B657"/>
    </sheetView>
  </sheetViews>
  <sheetFormatPr baseColWidth="10" defaultColWidth="11.44140625" defaultRowHeight="13.8"/>
  <cols>
    <col min="1" max="1" width="13.6640625" style="132" customWidth="1"/>
    <col min="2" max="5" width="75.6640625" style="36" customWidth="1"/>
    <col min="6" max="6" width="75.5546875" style="36" customWidth="1"/>
    <col min="7" max="15" width="75.6640625" style="36" customWidth="1"/>
    <col min="16" max="16" width="255.6640625" style="36" customWidth="1"/>
    <col min="17" max="16384" width="11.44140625" style="36"/>
  </cols>
  <sheetData>
    <row r="1" spans="1:16">
      <c r="A1" s="132" t="s">
        <v>29560</v>
      </c>
      <c r="B1" s="36" t="s">
        <v>2368</v>
      </c>
      <c r="C1" s="36" t="s">
        <v>2369</v>
      </c>
      <c r="D1" s="36" t="s">
        <v>2370</v>
      </c>
      <c r="E1" s="36" t="s">
        <v>2371</v>
      </c>
      <c r="F1" s="36" t="s">
        <v>2372</v>
      </c>
      <c r="G1" s="36" t="s">
        <v>2373</v>
      </c>
      <c r="H1" s="36" t="s">
        <v>2374</v>
      </c>
      <c r="I1" s="36" t="s">
        <v>2375</v>
      </c>
      <c r="J1" s="36" t="s">
        <v>2376</v>
      </c>
      <c r="K1" s="36" t="s">
        <v>2377</v>
      </c>
      <c r="L1" s="36" t="s">
        <v>2378</v>
      </c>
      <c r="M1" s="36" t="s">
        <v>2379</v>
      </c>
      <c r="N1" s="36" t="s">
        <v>2380</v>
      </c>
      <c r="O1" s="36" t="s">
        <v>2381</v>
      </c>
      <c r="P1" s="36" t="s">
        <v>2382</v>
      </c>
    </row>
    <row r="2" spans="1:16">
      <c r="A2" s="132">
        <v>1</v>
      </c>
      <c r="B2" s="36">
        <v>250</v>
      </c>
      <c r="C2" s="36">
        <v>250</v>
      </c>
      <c r="D2" s="36" t="s">
        <v>2383</v>
      </c>
      <c r="E2" s="36">
        <v>250</v>
      </c>
      <c r="F2" s="36">
        <v>250</v>
      </c>
      <c r="G2" s="36">
        <v>250</v>
      </c>
      <c r="H2" s="36">
        <v>250</v>
      </c>
      <c r="I2" s="36">
        <v>250</v>
      </c>
      <c r="J2" s="36">
        <v>250</v>
      </c>
      <c r="K2" s="36">
        <v>250</v>
      </c>
      <c r="L2" s="36">
        <v>250</v>
      </c>
      <c r="M2" s="36">
        <v>250</v>
      </c>
      <c r="N2" s="36">
        <v>250</v>
      </c>
      <c r="O2" s="36">
        <v>250</v>
      </c>
      <c r="P2" s="36">
        <v>250</v>
      </c>
    </row>
    <row r="3" spans="1:16">
      <c r="A3" s="132">
        <v>2</v>
      </c>
      <c r="B3" s="36">
        <v>280</v>
      </c>
      <c r="C3" s="36">
        <v>280</v>
      </c>
      <c r="D3" s="36" t="s">
        <v>2384</v>
      </c>
      <c r="E3" s="36">
        <v>280</v>
      </c>
      <c r="F3" s="36">
        <v>280</v>
      </c>
      <c r="G3" s="36">
        <v>280</v>
      </c>
      <c r="H3" s="36">
        <v>280</v>
      </c>
      <c r="I3" s="36">
        <v>280</v>
      </c>
      <c r="J3" s="36">
        <v>280</v>
      </c>
      <c r="K3" s="36">
        <v>280</v>
      </c>
      <c r="L3" s="36">
        <v>280</v>
      </c>
      <c r="M3" s="36">
        <v>280</v>
      </c>
      <c r="N3" s="36">
        <v>280</v>
      </c>
      <c r="O3" s="36">
        <v>280</v>
      </c>
      <c r="P3" s="36">
        <v>280</v>
      </c>
    </row>
    <row r="4" spans="1:16">
      <c r="A4" s="132">
        <v>3</v>
      </c>
      <c r="B4" s="36">
        <v>333</v>
      </c>
      <c r="C4" s="36">
        <v>333</v>
      </c>
      <c r="D4" s="36" t="s">
        <v>2385</v>
      </c>
      <c r="E4" s="36">
        <v>333</v>
      </c>
      <c r="F4" s="36">
        <v>333</v>
      </c>
      <c r="G4" s="36">
        <v>333</v>
      </c>
      <c r="H4" s="36">
        <v>333</v>
      </c>
      <c r="I4" s="36">
        <v>333</v>
      </c>
      <c r="J4" s="36">
        <v>333</v>
      </c>
      <c r="K4" s="36">
        <v>333</v>
      </c>
      <c r="L4" s="36">
        <v>333</v>
      </c>
      <c r="M4" s="36">
        <v>333</v>
      </c>
      <c r="N4" s="36">
        <v>333</v>
      </c>
      <c r="O4" s="36">
        <v>333</v>
      </c>
      <c r="P4" s="36">
        <v>333</v>
      </c>
    </row>
    <row r="5" spans="1:16">
      <c r="A5" s="132">
        <v>4</v>
      </c>
      <c r="B5" s="36">
        <v>400</v>
      </c>
      <c r="C5" s="36">
        <v>400</v>
      </c>
      <c r="D5" s="36" t="s">
        <v>2386</v>
      </c>
      <c r="E5" s="36">
        <v>400</v>
      </c>
      <c r="F5" s="36">
        <v>400</v>
      </c>
      <c r="G5" s="36">
        <v>400</v>
      </c>
      <c r="H5" s="36">
        <v>400</v>
      </c>
      <c r="I5" s="36">
        <v>400</v>
      </c>
      <c r="J5" s="36">
        <v>400</v>
      </c>
      <c r="K5" s="36">
        <v>400</v>
      </c>
      <c r="L5" s="36">
        <v>400</v>
      </c>
      <c r="M5" s="36">
        <v>400</v>
      </c>
      <c r="N5" s="36">
        <v>400</v>
      </c>
      <c r="O5" s="36">
        <v>400</v>
      </c>
      <c r="P5" s="36">
        <v>400</v>
      </c>
    </row>
    <row r="6" spans="1:16">
      <c r="A6" s="132">
        <v>5</v>
      </c>
      <c r="B6" s="36">
        <v>500</v>
      </c>
      <c r="C6" s="36">
        <v>500</v>
      </c>
      <c r="D6" s="36" t="s">
        <v>2387</v>
      </c>
      <c r="E6" s="36">
        <v>500</v>
      </c>
      <c r="F6" s="36">
        <v>500</v>
      </c>
      <c r="G6" s="36">
        <v>500</v>
      </c>
      <c r="H6" s="36">
        <v>500</v>
      </c>
      <c r="I6" s="36">
        <v>500</v>
      </c>
      <c r="J6" s="36">
        <v>500</v>
      </c>
      <c r="K6" s="36">
        <v>500</v>
      </c>
      <c r="L6" s="36">
        <v>500</v>
      </c>
      <c r="M6" s="36">
        <v>500</v>
      </c>
      <c r="N6" s="36">
        <v>500</v>
      </c>
      <c r="O6" s="36">
        <v>500</v>
      </c>
      <c r="P6" s="36">
        <v>500</v>
      </c>
    </row>
    <row r="7" spans="1:16">
      <c r="A7" s="132">
        <v>6</v>
      </c>
      <c r="B7" s="36" t="s">
        <v>2388</v>
      </c>
      <c r="C7" s="36" t="s">
        <v>2389</v>
      </c>
      <c r="D7" s="36" t="s">
        <v>2390</v>
      </c>
      <c r="E7" s="36" t="s">
        <v>2391</v>
      </c>
      <c r="F7" s="36" t="s">
        <v>2392</v>
      </c>
      <c r="G7" s="36" t="s">
        <v>2393</v>
      </c>
      <c r="H7" s="36" t="s">
        <v>2394</v>
      </c>
      <c r="I7" s="36" t="s">
        <v>2395</v>
      </c>
      <c r="J7" s="36" t="s">
        <v>2396</v>
      </c>
      <c r="K7" s="36" t="s">
        <v>2397</v>
      </c>
      <c r="L7" s="36" t="s">
        <v>2398</v>
      </c>
      <c r="M7" s="36" t="s">
        <v>2399</v>
      </c>
      <c r="N7" s="36" t="s">
        <v>2399</v>
      </c>
      <c r="O7" s="36" t="s">
        <v>2400</v>
      </c>
      <c r="P7" s="36" t="s">
        <v>2388</v>
      </c>
    </row>
    <row r="8" spans="1:16">
      <c r="A8" s="132">
        <v>7</v>
      </c>
      <c r="B8" s="36" t="s">
        <v>2401</v>
      </c>
      <c r="C8" s="36" t="s">
        <v>2402</v>
      </c>
      <c r="D8" s="36" t="s">
        <v>2403</v>
      </c>
      <c r="E8" s="36" t="s">
        <v>2404</v>
      </c>
      <c r="F8" s="36" t="s">
        <v>2405</v>
      </c>
      <c r="G8" s="36" t="s">
        <v>2406</v>
      </c>
      <c r="H8" s="36" t="s">
        <v>2407</v>
      </c>
      <c r="I8" s="36" t="s">
        <v>2408</v>
      </c>
      <c r="J8" s="36" t="s">
        <v>2409</v>
      </c>
      <c r="K8" s="36" t="s">
        <v>2410</v>
      </c>
      <c r="L8" s="36" t="s">
        <v>2411</v>
      </c>
      <c r="M8" s="36" t="s">
        <v>2412</v>
      </c>
      <c r="N8" s="36" t="s">
        <v>2412</v>
      </c>
      <c r="O8" s="36" t="s">
        <v>2413</v>
      </c>
      <c r="P8" s="36" t="s">
        <v>2401</v>
      </c>
    </row>
    <row r="9" spans="1:16">
      <c r="A9" s="132">
        <v>8</v>
      </c>
      <c r="B9" s="36" t="s">
        <v>2414</v>
      </c>
      <c r="C9" s="36" t="s">
        <v>2415</v>
      </c>
      <c r="D9" s="36" t="s">
        <v>2416</v>
      </c>
      <c r="E9" s="36" t="s">
        <v>2417</v>
      </c>
      <c r="F9" s="36" t="s">
        <v>2418</v>
      </c>
      <c r="G9" s="36" t="s">
        <v>2419</v>
      </c>
      <c r="H9" s="36" t="s">
        <v>2420</v>
      </c>
      <c r="I9" s="36" t="s">
        <v>2421</v>
      </c>
      <c r="J9" s="36" t="s">
        <v>2422</v>
      </c>
      <c r="K9" s="36" t="s">
        <v>2423</v>
      </c>
      <c r="L9" s="36" t="s">
        <v>2424</v>
      </c>
      <c r="M9" s="36" t="s">
        <v>2425</v>
      </c>
      <c r="N9" s="36" t="s">
        <v>2425</v>
      </c>
      <c r="O9" s="36" t="s">
        <v>2426</v>
      </c>
      <c r="P9" s="36" t="s">
        <v>2414</v>
      </c>
    </row>
    <row r="10" spans="1:16">
      <c r="A10" s="132">
        <v>9</v>
      </c>
      <c r="B10" s="36" t="s">
        <v>2427</v>
      </c>
      <c r="C10" s="36" t="s">
        <v>2428</v>
      </c>
      <c r="D10" s="36" t="s">
        <v>2429</v>
      </c>
      <c r="E10" s="36" t="s">
        <v>2430</v>
      </c>
      <c r="F10" s="36" t="s">
        <v>2431</v>
      </c>
      <c r="G10" s="36" t="s">
        <v>2432</v>
      </c>
      <c r="H10" s="36" t="s">
        <v>2433</v>
      </c>
      <c r="I10" s="36" t="s">
        <v>2434</v>
      </c>
      <c r="J10" s="36" t="s">
        <v>2435</v>
      </c>
      <c r="K10" s="36" t="s">
        <v>2436</v>
      </c>
      <c r="L10" s="36" t="s">
        <v>2437</v>
      </c>
      <c r="M10" s="36" t="s">
        <v>2438</v>
      </c>
      <c r="N10" s="36" t="s">
        <v>2438</v>
      </c>
      <c r="O10" s="36" t="s">
        <v>2439</v>
      </c>
      <c r="P10" s="36" t="s">
        <v>2427</v>
      </c>
    </row>
    <row r="11" spans="1:16">
      <c r="A11" s="132">
        <v>10</v>
      </c>
      <c r="B11" s="36" t="s">
        <v>2440</v>
      </c>
      <c r="C11" s="36" t="s">
        <v>2441</v>
      </c>
      <c r="D11" s="36" t="s">
        <v>2442</v>
      </c>
      <c r="E11" s="36" t="s">
        <v>2443</v>
      </c>
      <c r="F11" s="36" t="s">
        <v>2444</v>
      </c>
      <c r="G11" s="36" t="s">
        <v>2440</v>
      </c>
      <c r="H11" s="36" t="s">
        <v>2445</v>
      </c>
      <c r="I11" s="36" t="s">
        <v>2446</v>
      </c>
      <c r="J11" s="36" t="s">
        <v>2447</v>
      </c>
      <c r="K11" s="36" t="s">
        <v>2448</v>
      </c>
      <c r="L11" s="36" t="s">
        <v>2449</v>
      </c>
      <c r="M11" s="36" t="s">
        <v>2450</v>
      </c>
      <c r="N11" s="36" t="s">
        <v>2451</v>
      </c>
      <c r="O11" s="36" t="s">
        <v>2452</v>
      </c>
      <c r="P11" s="36" t="s">
        <v>2440</v>
      </c>
    </row>
    <row r="12" spans="1:16">
      <c r="A12" s="132">
        <v>11</v>
      </c>
      <c r="B12" s="36" t="s">
        <v>2453</v>
      </c>
      <c r="C12" s="36" t="s">
        <v>2454</v>
      </c>
      <c r="D12" s="36" t="s">
        <v>2455</v>
      </c>
      <c r="E12" s="36" t="s">
        <v>2456</v>
      </c>
      <c r="F12" s="36" t="s">
        <v>2457</v>
      </c>
      <c r="G12" s="36" t="s">
        <v>2458</v>
      </c>
      <c r="H12" s="36" t="s">
        <v>2459</v>
      </c>
      <c r="I12" s="36" t="s">
        <v>2460</v>
      </c>
      <c r="J12" s="36" t="s">
        <v>2461</v>
      </c>
      <c r="K12" s="36" t="s">
        <v>2462</v>
      </c>
      <c r="L12" s="36" t="s">
        <v>2463</v>
      </c>
      <c r="M12" s="36" t="s">
        <v>2464</v>
      </c>
      <c r="N12" s="36" t="s">
        <v>2465</v>
      </c>
      <c r="O12" s="36" t="s">
        <v>2466</v>
      </c>
      <c r="P12" s="36" t="s">
        <v>2453</v>
      </c>
    </row>
    <row r="13" spans="1:16">
      <c r="A13" s="132">
        <v>12</v>
      </c>
      <c r="B13" s="36" t="s">
        <v>2467</v>
      </c>
      <c r="C13" s="36" t="s">
        <v>2468</v>
      </c>
      <c r="D13" s="36" t="s">
        <v>2469</v>
      </c>
      <c r="E13" s="36" t="s">
        <v>2470</v>
      </c>
      <c r="F13" s="36" t="s">
        <v>2471</v>
      </c>
      <c r="G13" s="36" t="s">
        <v>2472</v>
      </c>
      <c r="H13" s="36" t="s">
        <v>2473</v>
      </c>
      <c r="I13" s="36" t="s">
        <v>2474</v>
      </c>
      <c r="J13" s="36" t="s">
        <v>2475</v>
      </c>
      <c r="K13" s="36" t="s">
        <v>2476</v>
      </c>
      <c r="L13" s="36" t="s">
        <v>2477</v>
      </c>
      <c r="M13" s="36" t="s">
        <v>2478</v>
      </c>
      <c r="N13" s="36" t="s">
        <v>2479</v>
      </c>
      <c r="O13" s="36" t="s">
        <v>2480</v>
      </c>
      <c r="P13" s="36" t="s">
        <v>2467</v>
      </c>
    </row>
    <row r="14" spans="1:16">
      <c r="A14" s="132">
        <v>13</v>
      </c>
      <c r="B14" s="36" t="s">
        <v>2481</v>
      </c>
      <c r="C14" s="36" t="s">
        <v>2482</v>
      </c>
      <c r="D14" s="36" t="s">
        <v>2483</v>
      </c>
      <c r="E14" s="36" t="s">
        <v>2484</v>
      </c>
      <c r="F14" s="36" t="s">
        <v>2485</v>
      </c>
      <c r="G14" s="36" t="s">
        <v>2486</v>
      </c>
      <c r="H14" s="36" t="s">
        <v>2487</v>
      </c>
      <c r="I14" s="36" t="s">
        <v>2488</v>
      </c>
      <c r="J14" s="36" t="s">
        <v>2489</v>
      </c>
      <c r="K14" s="36" t="s">
        <v>2490</v>
      </c>
      <c r="L14" s="36" t="s">
        <v>2491</v>
      </c>
      <c r="M14" s="36" t="s">
        <v>2492</v>
      </c>
      <c r="N14" s="36" t="s">
        <v>2493</v>
      </c>
      <c r="O14" s="36" t="s">
        <v>2494</v>
      </c>
      <c r="P14" s="36" t="s">
        <v>2481</v>
      </c>
    </row>
    <row r="15" spans="1:16">
      <c r="A15" s="132">
        <v>14</v>
      </c>
      <c r="B15" s="36" t="s">
        <v>2495</v>
      </c>
      <c r="C15" s="36" t="s">
        <v>2496</v>
      </c>
      <c r="D15" s="36" t="s">
        <v>2497</v>
      </c>
      <c r="E15" s="36" t="s">
        <v>2498</v>
      </c>
      <c r="F15" s="36" t="s">
        <v>2499</v>
      </c>
      <c r="G15" s="36" t="s">
        <v>2500</v>
      </c>
      <c r="H15" s="36" t="s">
        <v>2501</v>
      </c>
      <c r="I15" s="36" t="s">
        <v>2502</v>
      </c>
      <c r="J15" s="36" t="s">
        <v>2503</v>
      </c>
      <c r="K15" s="36" t="s">
        <v>2504</v>
      </c>
      <c r="L15" s="36" t="s">
        <v>2505</v>
      </c>
      <c r="M15" s="36" t="s">
        <v>2506</v>
      </c>
      <c r="N15" s="36" t="s">
        <v>2507</v>
      </c>
      <c r="O15" s="36" t="s">
        <v>2508</v>
      </c>
      <c r="P15" s="36" t="s">
        <v>2495</v>
      </c>
    </row>
    <row r="16" spans="1:16">
      <c r="A16" s="132">
        <v>15</v>
      </c>
      <c r="B16" s="36" t="s">
        <v>2509</v>
      </c>
      <c r="C16" s="36" t="s">
        <v>2510</v>
      </c>
      <c r="D16" s="36" t="s">
        <v>2511</v>
      </c>
      <c r="E16" s="36" t="s">
        <v>2512</v>
      </c>
      <c r="F16" s="36" t="s">
        <v>2513</v>
      </c>
      <c r="G16" s="36" t="s">
        <v>2514</v>
      </c>
      <c r="H16" s="36" t="s">
        <v>2515</v>
      </c>
      <c r="I16" s="36" t="s">
        <v>2516</v>
      </c>
      <c r="J16" s="36" t="s">
        <v>2517</v>
      </c>
      <c r="K16" s="36" t="s">
        <v>2518</v>
      </c>
      <c r="L16" s="36" t="s">
        <v>2519</v>
      </c>
      <c r="M16" s="36" t="s">
        <v>2520</v>
      </c>
      <c r="N16" s="36" t="s">
        <v>2521</v>
      </c>
      <c r="O16" s="36" t="s">
        <v>2522</v>
      </c>
      <c r="P16" s="36" t="s">
        <v>2509</v>
      </c>
    </row>
    <row r="17" spans="1:16">
      <c r="A17" s="132">
        <v>16</v>
      </c>
      <c r="B17" s="36" t="s">
        <v>2523</v>
      </c>
      <c r="C17" s="36" t="s">
        <v>2524</v>
      </c>
      <c r="D17" s="36" t="s">
        <v>2525</v>
      </c>
      <c r="E17" s="36" t="s">
        <v>2524</v>
      </c>
      <c r="F17" s="36" t="s">
        <v>2526</v>
      </c>
      <c r="G17" s="36" t="s">
        <v>2527</v>
      </c>
      <c r="H17" s="36" t="s">
        <v>2528</v>
      </c>
      <c r="I17" s="36" t="s">
        <v>2526</v>
      </c>
      <c r="J17" s="36" t="s">
        <v>2524</v>
      </c>
      <c r="K17" s="36" t="s">
        <v>2529</v>
      </c>
      <c r="L17" s="36" t="s">
        <v>2530</v>
      </c>
      <c r="M17" s="36" t="s">
        <v>2530</v>
      </c>
      <c r="N17" s="36" t="s">
        <v>2530</v>
      </c>
      <c r="O17" s="36" t="s">
        <v>2531</v>
      </c>
      <c r="P17" s="36" t="s">
        <v>2523</v>
      </c>
    </row>
    <row r="18" spans="1:16">
      <c r="A18" s="132">
        <v>17</v>
      </c>
      <c r="B18" s="36" t="s">
        <v>2532</v>
      </c>
      <c r="C18" s="36" t="s">
        <v>2533</v>
      </c>
      <c r="D18" s="36" t="s">
        <v>2534</v>
      </c>
      <c r="E18" s="36" t="s">
        <v>2535</v>
      </c>
      <c r="F18" s="36" t="s">
        <v>2536</v>
      </c>
      <c r="G18" s="36" t="s">
        <v>2537</v>
      </c>
      <c r="H18" s="36" t="s">
        <v>2538</v>
      </c>
      <c r="I18" s="36" t="s">
        <v>2539</v>
      </c>
      <c r="J18" s="36" t="s">
        <v>2540</v>
      </c>
      <c r="K18" s="36" t="s">
        <v>2541</v>
      </c>
      <c r="L18" s="36" t="s">
        <v>2542</v>
      </c>
      <c r="M18" s="36" t="s">
        <v>2543</v>
      </c>
      <c r="N18" s="36" t="s">
        <v>2544</v>
      </c>
      <c r="O18" s="36" t="s">
        <v>2545</v>
      </c>
      <c r="P18" s="36" t="s">
        <v>2532</v>
      </c>
    </row>
    <row r="19" spans="1:16" ht="13.95" customHeight="1">
      <c r="A19" s="132">
        <v>18</v>
      </c>
      <c r="B19" s="36" t="s">
        <v>1595</v>
      </c>
      <c r="C19" s="36" t="s">
        <v>2546</v>
      </c>
      <c r="D19" s="36" t="s">
        <v>2547</v>
      </c>
      <c r="E19" s="36" t="s">
        <v>2548</v>
      </c>
      <c r="F19" s="36" t="s">
        <v>2549</v>
      </c>
      <c r="G19" s="36" t="s">
        <v>2550</v>
      </c>
      <c r="H19" s="36" t="s">
        <v>2551</v>
      </c>
      <c r="I19" s="36" t="s">
        <v>2552</v>
      </c>
      <c r="J19" s="36" t="s">
        <v>2553</v>
      </c>
      <c r="K19" s="36" t="s">
        <v>2554</v>
      </c>
      <c r="L19" s="36" t="s">
        <v>2555</v>
      </c>
      <c r="M19" s="36" t="s">
        <v>2556</v>
      </c>
      <c r="N19" s="36" t="s">
        <v>2557</v>
      </c>
      <c r="O19" s="36" t="s">
        <v>2558</v>
      </c>
      <c r="P19" s="36" t="s">
        <v>1595</v>
      </c>
    </row>
    <row r="20" spans="1:16" ht="13.95" customHeight="1">
      <c r="A20" s="132">
        <v>19</v>
      </c>
      <c r="B20" s="36" t="s">
        <v>2559</v>
      </c>
      <c r="C20" s="36" t="s">
        <v>2560</v>
      </c>
      <c r="D20" s="36" t="s">
        <v>2561</v>
      </c>
      <c r="E20" s="36" t="s">
        <v>2562</v>
      </c>
      <c r="F20" s="36" t="s">
        <v>2563</v>
      </c>
      <c r="G20" s="36" t="s">
        <v>2564</v>
      </c>
      <c r="H20" s="36" t="s">
        <v>2565</v>
      </c>
      <c r="I20" s="36" t="s">
        <v>2566</v>
      </c>
      <c r="J20" s="36" t="s">
        <v>2567</v>
      </c>
      <c r="K20" s="36" t="s">
        <v>2568</v>
      </c>
      <c r="L20" s="36" t="s">
        <v>2569</v>
      </c>
      <c r="M20" s="36" t="s">
        <v>2570</v>
      </c>
      <c r="N20" s="36" t="s">
        <v>2571</v>
      </c>
      <c r="O20" s="36" t="s">
        <v>2572</v>
      </c>
      <c r="P20" s="36" t="s">
        <v>2559</v>
      </c>
    </row>
    <row r="21" spans="1:16" ht="13.95" customHeight="1">
      <c r="A21" s="132">
        <v>20</v>
      </c>
      <c r="B21" s="36" t="s">
        <v>2573</v>
      </c>
      <c r="C21" s="36" t="s">
        <v>2574</v>
      </c>
      <c r="D21" s="36" t="s">
        <v>2575</v>
      </c>
      <c r="E21" s="36" t="s">
        <v>2576</v>
      </c>
      <c r="F21" s="36" t="s">
        <v>2576</v>
      </c>
      <c r="G21" s="36" t="s">
        <v>2574</v>
      </c>
      <c r="H21" s="36" t="s">
        <v>2576</v>
      </c>
      <c r="I21" s="36" t="s">
        <v>2576</v>
      </c>
      <c r="J21" s="36" t="s">
        <v>2577</v>
      </c>
      <c r="K21" s="36" t="s">
        <v>2576</v>
      </c>
      <c r="L21" s="36" t="s">
        <v>2576</v>
      </c>
      <c r="M21" s="36" t="s">
        <v>2576</v>
      </c>
      <c r="N21" s="36" t="s">
        <v>2578</v>
      </c>
      <c r="O21" s="36" t="s">
        <v>2573</v>
      </c>
      <c r="P21" s="36" t="s">
        <v>2573</v>
      </c>
    </row>
    <row r="22" spans="1:16" ht="13.95" customHeight="1">
      <c r="A22" s="132">
        <v>21</v>
      </c>
      <c r="B22" s="36" t="s">
        <v>2579</v>
      </c>
      <c r="C22" s="36" t="s">
        <v>2580</v>
      </c>
      <c r="D22" s="36" t="s">
        <v>2579</v>
      </c>
      <c r="E22" s="36" t="s">
        <v>2581</v>
      </c>
      <c r="F22" s="36" t="s">
        <v>2581</v>
      </c>
      <c r="G22" s="36" t="s">
        <v>2580</v>
      </c>
      <c r="H22" s="36" t="s">
        <v>2581</v>
      </c>
      <c r="I22" s="36" t="s">
        <v>2581</v>
      </c>
      <c r="J22" s="36" t="s">
        <v>2581</v>
      </c>
      <c r="K22" s="36" t="s">
        <v>2581</v>
      </c>
      <c r="L22" s="36" t="s">
        <v>2581</v>
      </c>
      <c r="M22" s="36" t="s">
        <v>2581</v>
      </c>
      <c r="N22" s="36" t="s">
        <v>2582</v>
      </c>
      <c r="O22" s="36" t="s">
        <v>2579</v>
      </c>
      <c r="P22" s="36" t="s">
        <v>2579</v>
      </c>
    </row>
    <row r="23" spans="1:16" ht="13.95" customHeight="1">
      <c r="A23" s="132">
        <v>22</v>
      </c>
      <c r="B23" s="36" t="s">
        <v>2583</v>
      </c>
      <c r="C23" s="36" t="s">
        <v>2584</v>
      </c>
      <c r="D23" s="36" t="s">
        <v>2583</v>
      </c>
      <c r="E23" s="36" t="s">
        <v>2585</v>
      </c>
      <c r="F23" s="36" t="s">
        <v>2585</v>
      </c>
      <c r="G23" s="36" t="s">
        <v>2584</v>
      </c>
      <c r="H23" s="36" t="s">
        <v>2585</v>
      </c>
      <c r="I23" s="36" t="s">
        <v>2585</v>
      </c>
      <c r="J23" s="36" t="s">
        <v>2585</v>
      </c>
      <c r="K23" s="36" t="s">
        <v>2585</v>
      </c>
      <c r="L23" s="36" t="s">
        <v>2585</v>
      </c>
      <c r="M23" s="36" t="s">
        <v>2585</v>
      </c>
      <c r="N23" s="36" t="s">
        <v>2586</v>
      </c>
      <c r="O23" s="36" t="s">
        <v>2583</v>
      </c>
      <c r="P23" s="36" t="s">
        <v>2583</v>
      </c>
    </row>
    <row r="24" spans="1:16" ht="13.95" customHeight="1">
      <c r="A24" s="132">
        <v>23</v>
      </c>
      <c r="B24" s="36" t="s">
        <v>2587</v>
      </c>
      <c r="C24" s="36" t="s">
        <v>2588</v>
      </c>
      <c r="D24" s="36" t="s">
        <v>2589</v>
      </c>
      <c r="E24" s="36" t="s">
        <v>2590</v>
      </c>
      <c r="F24" s="36" t="s">
        <v>2591</v>
      </c>
      <c r="G24" s="36" t="s">
        <v>2592</v>
      </c>
      <c r="H24" s="36" t="s">
        <v>2593</v>
      </c>
      <c r="I24" s="36" t="s">
        <v>2594</v>
      </c>
      <c r="J24" s="36" t="s">
        <v>2595</v>
      </c>
      <c r="K24" s="36" t="s">
        <v>2596</v>
      </c>
      <c r="L24" s="36" t="s">
        <v>2597</v>
      </c>
      <c r="M24" s="36" t="s">
        <v>2598</v>
      </c>
      <c r="N24" s="36" t="s">
        <v>2599</v>
      </c>
      <c r="O24" s="36" t="s">
        <v>2600</v>
      </c>
      <c r="P24" s="36" t="s">
        <v>2587</v>
      </c>
    </row>
    <row r="25" spans="1:16" ht="13.95" customHeight="1">
      <c r="A25" s="132">
        <v>24</v>
      </c>
      <c r="B25" s="36" t="s">
        <v>2110</v>
      </c>
      <c r="C25" s="36" t="s">
        <v>2601</v>
      </c>
      <c r="D25" s="36" t="s">
        <v>2602</v>
      </c>
      <c r="E25" s="36" t="s">
        <v>2603</v>
      </c>
      <c r="F25" s="36" t="s">
        <v>2604</v>
      </c>
      <c r="G25" s="36" t="s">
        <v>2605</v>
      </c>
      <c r="H25" s="36" t="s">
        <v>2606</v>
      </c>
      <c r="I25" s="36" t="s">
        <v>2607</v>
      </c>
      <c r="J25" s="36" t="s">
        <v>2608</v>
      </c>
      <c r="K25" s="36" t="s">
        <v>2609</v>
      </c>
      <c r="L25" s="36" t="s">
        <v>2602</v>
      </c>
      <c r="M25" s="36" t="s">
        <v>2602</v>
      </c>
      <c r="N25" s="36" t="s">
        <v>2602</v>
      </c>
      <c r="O25" s="36" t="s">
        <v>2610</v>
      </c>
      <c r="P25" s="36" t="s">
        <v>2110</v>
      </c>
    </row>
    <row r="26" spans="1:16" ht="13.95" customHeight="1">
      <c r="A26" s="132">
        <v>25</v>
      </c>
      <c r="B26" s="36" t="s">
        <v>2611</v>
      </c>
      <c r="C26" s="36" t="s">
        <v>2612</v>
      </c>
      <c r="D26" s="36" t="s">
        <v>2613</v>
      </c>
      <c r="E26" s="36" t="s">
        <v>2614</v>
      </c>
      <c r="F26" s="36" t="s">
        <v>2615</v>
      </c>
      <c r="G26" s="36" t="s">
        <v>2616</v>
      </c>
      <c r="H26" s="36" t="s">
        <v>2617</v>
      </c>
      <c r="I26" s="36" t="s">
        <v>2618</v>
      </c>
      <c r="J26" s="36" t="s">
        <v>2619</v>
      </c>
      <c r="K26" s="36" t="s">
        <v>2620</v>
      </c>
      <c r="L26" s="36" t="s">
        <v>2621</v>
      </c>
      <c r="M26" s="36" t="s">
        <v>2621</v>
      </c>
      <c r="N26" s="36" t="s">
        <v>2621</v>
      </c>
      <c r="O26" s="36" t="s">
        <v>2622</v>
      </c>
      <c r="P26" s="36" t="s">
        <v>2611</v>
      </c>
    </row>
    <row r="27" spans="1:16">
      <c r="A27" s="132">
        <v>26</v>
      </c>
      <c r="B27" s="36" t="s">
        <v>2623</v>
      </c>
      <c r="C27" s="36" t="s">
        <v>2624</v>
      </c>
      <c r="D27" s="36" t="s">
        <v>2624</v>
      </c>
      <c r="E27" s="36" t="s">
        <v>2625</v>
      </c>
      <c r="F27" s="36" t="s">
        <v>2626</v>
      </c>
      <c r="G27" s="36" t="s">
        <v>2627</v>
      </c>
      <c r="H27" s="36" t="s">
        <v>2628</v>
      </c>
      <c r="I27" s="36" t="s">
        <v>2629</v>
      </c>
      <c r="J27" s="36" t="s">
        <v>2630</v>
      </c>
      <c r="K27" s="36" t="s">
        <v>2631</v>
      </c>
      <c r="L27" s="36" t="s">
        <v>2632</v>
      </c>
      <c r="M27" s="36" t="s">
        <v>2632</v>
      </c>
      <c r="N27" s="36" t="s">
        <v>2633</v>
      </c>
      <c r="O27" s="36" t="s">
        <v>2632</v>
      </c>
      <c r="P27" s="36" t="s">
        <v>2623</v>
      </c>
    </row>
    <row r="28" spans="1:16">
      <c r="A28" s="132">
        <v>27</v>
      </c>
      <c r="B28" s="36" t="s">
        <v>64</v>
      </c>
      <c r="C28" s="36" t="s">
        <v>2634</v>
      </c>
      <c r="D28" s="36" t="s">
        <v>2635</v>
      </c>
      <c r="E28" s="36" t="s">
        <v>2636</v>
      </c>
      <c r="F28" s="36" t="s">
        <v>2637</v>
      </c>
      <c r="G28" s="36" t="s">
        <v>2638</v>
      </c>
      <c r="H28" s="36" t="s">
        <v>2637</v>
      </c>
      <c r="I28" s="36" t="s">
        <v>2639</v>
      </c>
      <c r="J28" s="36" t="s">
        <v>2640</v>
      </c>
      <c r="K28" s="36" t="s">
        <v>2641</v>
      </c>
      <c r="L28" s="36" t="s">
        <v>2637</v>
      </c>
      <c r="M28" s="36" t="s">
        <v>2642</v>
      </c>
      <c r="N28" s="36" t="s">
        <v>2643</v>
      </c>
      <c r="O28" s="36" t="s">
        <v>2637</v>
      </c>
      <c r="P28" s="36" t="s">
        <v>64</v>
      </c>
    </row>
    <row r="29" spans="1:16">
      <c r="A29" s="132">
        <v>28</v>
      </c>
      <c r="B29" s="36" t="s">
        <v>2644</v>
      </c>
      <c r="C29" s="36" t="s">
        <v>2645</v>
      </c>
      <c r="D29" s="36" t="s">
        <v>2646</v>
      </c>
      <c r="E29" s="36" t="s">
        <v>2647</v>
      </c>
      <c r="F29" s="36" t="s">
        <v>2648</v>
      </c>
      <c r="G29" s="36" t="s">
        <v>2649</v>
      </c>
      <c r="H29" s="36" t="s">
        <v>2650</v>
      </c>
      <c r="I29" s="36" t="s">
        <v>2651</v>
      </c>
      <c r="J29" s="36" t="s">
        <v>2652</v>
      </c>
      <c r="K29" s="36" t="s">
        <v>2653</v>
      </c>
      <c r="L29" s="36" t="s">
        <v>2654</v>
      </c>
      <c r="M29" s="36" t="s">
        <v>2655</v>
      </c>
      <c r="N29" s="36" t="s">
        <v>2654</v>
      </c>
      <c r="O29" s="36" t="s">
        <v>2656</v>
      </c>
      <c r="P29" s="36" t="s">
        <v>2644</v>
      </c>
    </row>
    <row r="30" spans="1:16">
      <c r="A30" s="132">
        <v>29</v>
      </c>
      <c r="B30" s="36" t="s">
        <v>2657</v>
      </c>
      <c r="C30" s="36" t="s">
        <v>2658</v>
      </c>
      <c r="D30" s="36" t="s">
        <v>2659</v>
      </c>
      <c r="E30" s="36" t="s">
        <v>2660</v>
      </c>
      <c r="F30" s="36" t="s">
        <v>2661</v>
      </c>
      <c r="G30" s="36" t="s">
        <v>2662</v>
      </c>
      <c r="H30" s="36" t="s">
        <v>2663</v>
      </c>
      <c r="I30" s="36" t="s">
        <v>2664</v>
      </c>
      <c r="J30" s="36" t="s">
        <v>2665</v>
      </c>
      <c r="K30" s="36" t="s">
        <v>2666</v>
      </c>
      <c r="L30" s="36" t="s">
        <v>2667</v>
      </c>
      <c r="M30" s="36" t="s">
        <v>2668</v>
      </c>
      <c r="N30" s="36" t="s">
        <v>2667</v>
      </c>
      <c r="O30" s="36" t="s">
        <v>2669</v>
      </c>
      <c r="P30" s="36" t="s">
        <v>2657</v>
      </c>
    </row>
    <row r="31" spans="1:16">
      <c r="A31" s="132">
        <v>30</v>
      </c>
      <c r="B31" s="36" t="s">
        <v>2670</v>
      </c>
      <c r="C31" s="36" t="s">
        <v>2671</v>
      </c>
      <c r="D31" s="36" t="s">
        <v>2672</v>
      </c>
      <c r="E31" s="36" t="s">
        <v>2673</v>
      </c>
      <c r="F31" s="36" t="s">
        <v>2674</v>
      </c>
      <c r="G31" s="36" t="s">
        <v>2675</v>
      </c>
      <c r="H31" s="36" t="s">
        <v>2676</v>
      </c>
      <c r="I31" s="36" t="s">
        <v>2677</v>
      </c>
      <c r="J31" s="36" t="s">
        <v>2678</v>
      </c>
      <c r="K31" s="36" t="s">
        <v>2679</v>
      </c>
      <c r="L31" s="36" t="s">
        <v>2680</v>
      </c>
      <c r="M31" s="36" t="s">
        <v>2681</v>
      </c>
      <c r="N31" s="36" t="s">
        <v>2682</v>
      </c>
      <c r="O31" s="36" t="s">
        <v>2683</v>
      </c>
      <c r="P31" s="36" t="s">
        <v>2670</v>
      </c>
    </row>
    <row r="32" spans="1:16">
      <c r="A32" s="132">
        <v>31</v>
      </c>
      <c r="B32" s="36" t="s">
        <v>2684</v>
      </c>
      <c r="C32" s="36" t="s">
        <v>2685</v>
      </c>
      <c r="D32" s="36" t="s">
        <v>2686</v>
      </c>
      <c r="E32" s="36" t="s">
        <v>2687</v>
      </c>
      <c r="F32" s="36" t="s">
        <v>2688</v>
      </c>
      <c r="G32" s="36" t="s">
        <v>2689</v>
      </c>
      <c r="H32" s="36" t="s">
        <v>2690</v>
      </c>
      <c r="I32" s="36" t="s">
        <v>2691</v>
      </c>
      <c r="J32" s="36" t="s">
        <v>2692</v>
      </c>
      <c r="K32" s="36" t="s">
        <v>2693</v>
      </c>
      <c r="L32" s="36" t="s">
        <v>2694</v>
      </c>
      <c r="M32" s="36" t="s">
        <v>2695</v>
      </c>
      <c r="N32" s="36" t="s">
        <v>2696</v>
      </c>
      <c r="O32" s="36" t="s">
        <v>2697</v>
      </c>
      <c r="P32" s="36" t="s">
        <v>2684</v>
      </c>
    </row>
    <row r="33" spans="1:16">
      <c r="A33" s="132">
        <v>32</v>
      </c>
      <c r="B33" s="36" t="s">
        <v>2698</v>
      </c>
      <c r="C33" s="36" t="s">
        <v>2699</v>
      </c>
      <c r="D33" s="36" t="s">
        <v>2700</v>
      </c>
      <c r="E33" s="36" t="s">
        <v>2701</v>
      </c>
      <c r="F33" s="36" t="s">
        <v>2702</v>
      </c>
      <c r="G33" s="36" t="s">
        <v>2703</v>
      </c>
      <c r="H33" s="36" t="s">
        <v>2704</v>
      </c>
      <c r="I33" s="36" t="s">
        <v>2705</v>
      </c>
      <c r="J33" s="36" t="s">
        <v>2706</v>
      </c>
      <c r="K33" s="36" t="s">
        <v>2707</v>
      </c>
      <c r="L33" s="36" t="s">
        <v>2708</v>
      </c>
      <c r="M33" s="36" t="s">
        <v>2709</v>
      </c>
      <c r="N33" s="36" t="s">
        <v>2710</v>
      </c>
      <c r="O33" s="36" t="s">
        <v>2711</v>
      </c>
      <c r="P33" s="36" t="s">
        <v>2698</v>
      </c>
    </row>
    <row r="34" spans="1:16">
      <c r="A34" s="132">
        <v>33</v>
      </c>
      <c r="B34" s="36" t="s">
        <v>2712</v>
      </c>
      <c r="C34" s="36" t="s">
        <v>2713</v>
      </c>
      <c r="D34" s="36" t="s">
        <v>2714</v>
      </c>
      <c r="E34" s="36" t="s">
        <v>2715</v>
      </c>
      <c r="F34" s="36" t="s">
        <v>2716</v>
      </c>
      <c r="G34" s="36" t="s">
        <v>2717</v>
      </c>
      <c r="H34" s="36" t="s">
        <v>2718</v>
      </c>
      <c r="I34" s="36" t="s">
        <v>2719</v>
      </c>
      <c r="J34" s="36" t="s">
        <v>2720</v>
      </c>
      <c r="K34" s="36" t="s">
        <v>2721</v>
      </c>
      <c r="L34" s="36" t="s">
        <v>2722</v>
      </c>
      <c r="M34" s="36" t="s">
        <v>2723</v>
      </c>
      <c r="N34" s="36" t="s">
        <v>2724</v>
      </c>
      <c r="O34" s="36" t="s">
        <v>2725</v>
      </c>
      <c r="P34" s="36" t="s">
        <v>2712</v>
      </c>
    </row>
    <row r="35" spans="1:16" ht="13.95" customHeight="1">
      <c r="A35" s="132">
        <v>34</v>
      </c>
      <c r="B35" s="36" t="s">
        <v>2726</v>
      </c>
      <c r="C35" s="36" t="s">
        <v>2727</v>
      </c>
      <c r="D35" s="36" t="s">
        <v>2728</v>
      </c>
      <c r="E35" s="36" t="s">
        <v>2729</v>
      </c>
      <c r="F35" s="36" t="s">
        <v>2730</v>
      </c>
      <c r="G35" s="36" t="s">
        <v>2731</v>
      </c>
      <c r="H35" s="36" t="s">
        <v>2732</v>
      </c>
      <c r="I35" s="36" t="s">
        <v>2733</v>
      </c>
      <c r="J35" s="36" t="s">
        <v>2734</v>
      </c>
      <c r="K35" s="36" t="s">
        <v>2735</v>
      </c>
      <c r="L35" s="36" t="s">
        <v>2736</v>
      </c>
      <c r="M35" s="36" t="s">
        <v>2737</v>
      </c>
      <c r="N35" s="36" t="s">
        <v>2738</v>
      </c>
      <c r="O35" s="36" t="s">
        <v>2739</v>
      </c>
      <c r="P35" s="36" t="s">
        <v>2726</v>
      </c>
    </row>
    <row r="36" spans="1:16" ht="13.95" customHeight="1">
      <c r="A36" s="132">
        <v>35</v>
      </c>
      <c r="B36" s="36" t="s">
        <v>2740</v>
      </c>
      <c r="C36" s="36" t="s">
        <v>2741</v>
      </c>
      <c r="D36" s="36" t="s">
        <v>2742</v>
      </c>
      <c r="E36" s="36" t="s">
        <v>2743</v>
      </c>
      <c r="F36" s="36" t="s">
        <v>2744</v>
      </c>
      <c r="G36" s="36" t="s">
        <v>2745</v>
      </c>
      <c r="H36" s="36" t="s">
        <v>2746</v>
      </c>
      <c r="I36" s="36" t="s">
        <v>2747</v>
      </c>
      <c r="J36" s="36" t="s">
        <v>2748</v>
      </c>
      <c r="K36" s="36" t="s">
        <v>2749</v>
      </c>
      <c r="L36" s="36" t="s">
        <v>2750</v>
      </c>
      <c r="M36" s="36" t="s">
        <v>2751</v>
      </c>
      <c r="N36" s="36" t="s">
        <v>2752</v>
      </c>
      <c r="O36" s="36" t="s">
        <v>2753</v>
      </c>
      <c r="P36" s="36" t="s">
        <v>2740</v>
      </c>
    </row>
    <row r="37" spans="1:16" ht="13.95" customHeight="1">
      <c r="A37" s="132">
        <v>36</v>
      </c>
      <c r="B37" s="36" t="s">
        <v>2112</v>
      </c>
      <c r="C37" s="36" t="s">
        <v>2754</v>
      </c>
      <c r="D37" s="36" t="s">
        <v>2755</v>
      </c>
      <c r="E37" s="36" t="s">
        <v>2756</v>
      </c>
      <c r="F37" s="36" t="s">
        <v>2757</v>
      </c>
      <c r="G37" s="36" t="s">
        <v>2758</v>
      </c>
      <c r="H37" s="36" t="s">
        <v>2759</v>
      </c>
      <c r="I37" s="36" t="s">
        <v>2760</v>
      </c>
      <c r="J37" s="36" t="s">
        <v>2761</v>
      </c>
      <c r="K37" s="36" t="s">
        <v>2762</v>
      </c>
      <c r="L37" s="36" t="s">
        <v>2763</v>
      </c>
      <c r="M37" s="36" t="s">
        <v>2764</v>
      </c>
      <c r="N37" s="36" t="s">
        <v>2764</v>
      </c>
      <c r="O37" s="36" t="s">
        <v>2765</v>
      </c>
      <c r="P37" s="36" t="s">
        <v>2112</v>
      </c>
    </row>
    <row r="38" spans="1:16" ht="13.95" customHeight="1">
      <c r="A38" s="132">
        <v>37</v>
      </c>
      <c r="B38" s="36" t="s">
        <v>2766</v>
      </c>
      <c r="C38" s="36" t="s">
        <v>2767</v>
      </c>
      <c r="D38" s="36" t="s">
        <v>2768</v>
      </c>
      <c r="E38" s="36" t="s">
        <v>2769</v>
      </c>
      <c r="F38" s="36" t="s">
        <v>2770</v>
      </c>
      <c r="G38" s="36" t="s">
        <v>2771</v>
      </c>
      <c r="H38" s="36" t="s">
        <v>2772</v>
      </c>
      <c r="I38" s="36" t="s">
        <v>2773</v>
      </c>
      <c r="J38" s="36" t="s">
        <v>2774</v>
      </c>
      <c r="K38" s="36" t="s">
        <v>2775</v>
      </c>
      <c r="L38" s="36" t="s">
        <v>2776</v>
      </c>
      <c r="M38" s="36" t="s">
        <v>2777</v>
      </c>
      <c r="N38" s="36" t="s">
        <v>2777</v>
      </c>
      <c r="O38" s="36" t="s">
        <v>2778</v>
      </c>
      <c r="P38" s="36" t="s">
        <v>2766</v>
      </c>
    </row>
    <row r="39" spans="1:16" ht="13.95" customHeight="1">
      <c r="A39" s="132">
        <v>38</v>
      </c>
      <c r="B39" s="36" t="s">
        <v>2779</v>
      </c>
      <c r="C39" s="36" t="s">
        <v>2780</v>
      </c>
      <c r="D39" s="36" t="s">
        <v>2781</v>
      </c>
      <c r="E39" s="36" t="s">
        <v>2782</v>
      </c>
      <c r="F39" s="36" t="s">
        <v>2783</v>
      </c>
      <c r="G39" s="36" t="s">
        <v>2784</v>
      </c>
      <c r="H39" s="36" t="s">
        <v>2785</v>
      </c>
      <c r="I39" s="36" t="s">
        <v>2786</v>
      </c>
      <c r="J39" s="36" t="s">
        <v>2787</v>
      </c>
      <c r="K39" s="36" t="s">
        <v>2788</v>
      </c>
      <c r="L39" s="36" t="s">
        <v>2789</v>
      </c>
      <c r="M39" s="36" t="s">
        <v>2789</v>
      </c>
      <c r="N39" s="36" t="s">
        <v>2790</v>
      </c>
      <c r="O39" s="36" t="s">
        <v>2791</v>
      </c>
      <c r="P39" s="36" t="s">
        <v>2779</v>
      </c>
    </row>
    <row r="40" spans="1:16" ht="13.95" customHeight="1">
      <c r="A40" s="132">
        <v>39</v>
      </c>
      <c r="B40" s="36" t="s">
        <v>2792</v>
      </c>
      <c r="C40" s="36" t="s">
        <v>2793</v>
      </c>
      <c r="D40" s="36" t="s">
        <v>2794</v>
      </c>
      <c r="E40" s="36" t="s">
        <v>2795</v>
      </c>
      <c r="F40" s="36" t="s">
        <v>2796</v>
      </c>
      <c r="G40" s="36" t="s">
        <v>2797</v>
      </c>
      <c r="H40" s="36" t="s">
        <v>2798</v>
      </c>
      <c r="I40" s="36" t="s">
        <v>2799</v>
      </c>
      <c r="J40" s="36" t="s">
        <v>2800</v>
      </c>
      <c r="K40" s="36" t="s">
        <v>2801</v>
      </c>
      <c r="L40" s="36" t="s">
        <v>2802</v>
      </c>
      <c r="M40" s="36" t="s">
        <v>2802</v>
      </c>
      <c r="N40" s="36" t="s">
        <v>2803</v>
      </c>
      <c r="O40" s="36" t="s">
        <v>2804</v>
      </c>
      <c r="P40" s="36" t="s">
        <v>2792</v>
      </c>
    </row>
    <row r="41" spans="1:16" ht="13.95" customHeight="1">
      <c r="A41" s="132">
        <v>40</v>
      </c>
      <c r="B41" s="36" t="s">
        <v>2805</v>
      </c>
      <c r="C41" s="36" t="s">
        <v>2806</v>
      </c>
      <c r="D41" s="36" t="s">
        <v>2807</v>
      </c>
      <c r="E41" s="36" t="s">
        <v>1524</v>
      </c>
      <c r="F41" s="36" t="s">
        <v>1532</v>
      </c>
      <c r="G41" s="36" t="s">
        <v>2806</v>
      </c>
      <c r="H41" s="36" t="s">
        <v>1532</v>
      </c>
      <c r="I41" s="36" t="s">
        <v>1532</v>
      </c>
      <c r="J41" s="36" t="s">
        <v>2808</v>
      </c>
      <c r="K41" s="36" t="s">
        <v>1532</v>
      </c>
      <c r="L41" s="36" t="s">
        <v>1532</v>
      </c>
      <c r="M41" s="36" t="s">
        <v>1532</v>
      </c>
      <c r="N41" s="36" t="s">
        <v>2809</v>
      </c>
      <c r="O41" s="36" t="s">
        <v>2805</v>
      </c>
      <c r="P41" s="36" t="s">
        <v>2805</v>
      </c>
    </row>
    <row r="42" spans="1:16" ht="13.95" customHeight="1">
      <c r="A42" s="132">
        <v>41</v>
      </c>
      <c r="B42" s="36" t="s">
        <v>2810</v>
      </c>
      <c r="C42" s="36" t="s">
        <v>2811</v>
      </c>
      <c r="D42" s="36" t="s">
        <v>2812</v>
      </c>
      <c r="E42" s="36" t="s">
        <v>2813</v>
      </c>
      <c r="F42" s="36" t="s">
        <v>2814</v>
      </c>
      <c r="G42" s="36" t="s">
        <v>2815</v>
      </c>
      <c r="H42" s="36" t="s">
        <v>2816</v>
      </c>
      <c r="I42" s="36" t="s">
        <v>2817</v>
      </c>
      <c r="J42" s="36" t="s">
        <v>2818</v>
      </c>
      <c r="K42" s="36" t="s">
        <v>2819</v>
      </c>
      <c r="L42" s="36" t="s">
        <v>2820</v>
      </c>
      <c r="M42" s="36" t="s">
        <v>2821</v>
      </c>
      <c r="N42" s="36" t="s">
        <v>2822</v>
      </c>
      <c r="O42" s="36" t="s">
        <v>2823</v>
      </c>
      <c r="P42" s="36" t="s">
        <v>2810</v>
      </c>
    </row>
    <row r="43" spans="1:16" ht="13.95" customHeight="1">
      <c r="A43" s="132">
        <v>42</v>
      </c>
      <c r="B43" s="36" t="s">
        <v>2824</v>
      </c>
      <c r="C43" s="36" t="s">
        <v>2825</v>
      </c>
      <c r="D43" s="36" t="s">
        <v>2826</v>
      </c>
      <c r="E43" s="36" t="s">
        <v>2827</v>
      </c>
      <c r="F43" s="36" t="s">
        <v>2828</v>
      </c>
      <c r="G43" s="36" t="s">
        <v>2829</v>
      </c>
      <c r="H43" s="36" t="s">
        <v>2830</v>
      </c>
      <c r="I43" s="36" t="s">
        <v>2831</v>
      </c>
      <c r="J43" s="36" t="s">
        <v>2832</v>
      </c>
      <c r="K43" s="36" t="s">
        <v>2833</v>
      </c>
      <c r="L43" s="36" t="s">
        <v>2834</v>
      </c>
      <c r="M43" s="36" t="s">
        <v>2835</v>
      </c>
      <c r="N43" s="36" t="s">
        <v>2836</v>
      </c>
      <c r="O43" s="36" t="s">
        <v>2837</v>
      </c>
      <c r="P43" s="36" t="s">
        <v>2824</v>
      </c>
    </row>
    <row r="44" spans="1:16">
      <c r="A44" s="132">
        <v>43</v>
      </c>
      <c r="B44" s="36" t="s">
        <v>2838</v>
      </c>
      <c r="C44" s="36" t="s">
        <v>2839</v>
      </c>
      <c r="D44" s="36" t="s">
        <v>2840</v>
      </c>
      <c r="E44" s="36" t="s">
        <v>2841</v>
      </c>
      <c r="F44" s="36" t="s">
        <v>2842</v>
      </c>
      <c r="G44" s="36" t="s">
        <v>2843</v>
      </c>
      <c r="H44" s="36" t="s">
        <v>2844</v>
      </c>
      <c r="I44" s="36" t="s">
        <v>2845</v>
      </c>
      <c r="J44" s="36" t="s">
        <v>2846</v>
      </c>
      <c r="K44" s="36" t="s">
        <v>2847</v>
      </c>
      <c r="L44" s="36" t="s">
        <v>2848</v>
      </c>
      <c r="M44" s="36" t="s">
        <v>2849</v>
      </c>
      <c r="N44" s="36" t="s">
        <v>2850</v>
      </c>
      <c r="O44" s="36" t="s">
        <v>2851</v>
      </c>
      <c r="P44" s="36" t="s">
        <v>2838</v>
      </c>
    </row>
    <row r="45" spans="1:16">
      <c r="A45" s="132">
        <v>44</v>
      </c>
      <c r="B45" s="36" t="s">
        <v>2852</v>
      </c>
      <c r="C45" s="36" t="s">
        <v>1277</v>
      </c>
      <c r="D45" s="36" t="s">
        <v>2853</v>
      </c>
      <c r="E45" s="36" t="s">
        <v>2854</v>
      </c>
      <c r="F45" s="36" t="s">
        <v>2855</v>
      </c>
      <c r="G45" s="36" t="s">
        <v>1277</v>
      </c>
      <c r="H45" s="36" t="s">
        <v>1277</v>
      </c>
      <c r="I45" s="36" t="s">
        <v>1277</v>
      </c>
      <c r="J45" s="36" t="s">
        <v>2856</v>
      </c>
      <c r="K45" s="36" t="s">
        <v>2855</v>
      </c>
      <c r="L45" s="36" t="s">
        <v>2857</v>
      </c>
      <c r="M45" s="36" t="s">
        <v>1277</v>
      </c>
      <c r="N45" s="36" t="s">
        <v>2858</v>
      </c>
      <c r="O45" s="36" t="s">
        <v>2852</v>
      </c>
      <c r="P45" s="36" t="s">
        <v>2852</v>
      </c>
    </row>
    <row r="46" spans="1:16">
      <c r="A46" s="132">
        <v>45</v>
      </c>
      <c r="B46" s="36" t="s">
        <v>2859</v>
      </c>
      <c r="C46" s="36" t="s">
        <v>2860</v>
      </c>
      <c r="D46" s="36" t="s">
        <v>2861</v>
      </c>
      <c r="E46" s="36" t="s">
        <v>2862</v>
      </c>
      <c r="F46" s="36" t="s">
        <v>2863</v>
      </c>
      <c r="G46" s="36" t="s">
        <v>2864</v>
      </c>
      <c r="H46" s="36" t="s">
        <v>2865</v>
      </c>
      <c r="I46" s="36" t="s">
        <v>1610</v>
      </c>
      <c r="J46" s="36" t="s">
        <v>2865</v>
      </c>
      <c r="K46" s="36" t="s">
        <v>2866</v>
      </c>
      <c r="L46" s="36" t="s">
        <v>2865</v>
      </c>
      <c r="M46" s="36" t="s">
        <v>2865</v>
      </c>
      <c r="N46" s="36" t="s">
        <v>2865</v>
      </c>
      <c r="O46" s="36" t="s">
        <v>2861</v>
      </c>
      <c r="P46" s="36" t="s">
        <v>2859</v>
      </c>
    </row>
    <row r="47" spans="1:16">
      <c r="A47" s="132">
        <v>46</v>
      </c>
      <c r="B47" s="36" t="s">
        <v>2867</v>
      </c>
      <c r="C47" s="36" t="s">
        <v>2868</v>
      </c>
      <c r="D47" s="36" t="s">
        <v>2869</v>
      </c>
      <c r="E47" s="36" t="s">
        <v>2870</v>
      </c>
      <c r="F47" s="36" t="s">
        <v>2871</v>
      </c>
      <c r="G47" s="36" t="s">
        <v>2872</v>
      </c>
      <c r="H47" s="36" t="s">
        <v>2873</v>
      </c>
      <c r="I47" s="36" t="s">
        <v>2874</v>
      </c>
      <c r="J47" s="36" t="s">
        <v>2875</v>
      </c>
      <c r="K47" s="36" t="s">
        <v>2871</v>
      </c>
      <c r="L47" s="36" t="s">
        <v>2873</v>
      </c>
      <c r="M47" s="36" t="s">
        <v>2873</v>
      </c>
      <c r="N47" s="36" t="s">
        <v>2876</v>
      </c>
      <c r="O47" s="36" t="s">
        <v>2877</v>
      </c>
      <c r="P47" s="36" t="s">
        <v>2867</v>
      </c>
    </row>
    <row r="48" spans="1:16">
      <c r="A48" s="132">
        <v>47</v>
      </c>
      <c r="B48" s="36" t="s">
        <v>2878</v>
      </c>
      <c r="C48" s="36" t="s">
        <v>2879</v>
      </c>
      <c r="D48" s="36" t="s">
        <v>2880</v>
      </c>
      <c r="E48" s="36" t="s">
        <v>2881</v>
      </c>
      <c r="F48" s="36" t="s">
        <v>2882</v>
      </c>
      <c r="G48" s="36" t="s">
        <v>2883</v>
      </c>
      <c r="H48" s="36" t="s">
        <v>2884</v>
      </c>
      <c r="I48" s="36" t="s">
        <v>2885</v>
      </c>
      <c r="J48" s="36" t="s">
        <v>2886</v>
      </c>
      <c r="K48" s="36" t="s">
        <v>2882</v>
      </c>
      <c r="L48" s="36" t="s">
        <v>2887</v>
      </c>
      <c r="M48" s="36" t="s">
        <v>2884</v>
      </c>
      <c r="N48" s="36" t="s">
        <v>2888</v>
      </c>
      <c r="O48" s="36" t="s">
        <v>2889</v>
      </c>
      <c r="P48" s="36" t="s">
        <v>2878</v>
      </c>
    </row>
    <row r="49" spans="1:16">
      <c r="A49" s="132">
        <v>48</v>
      </c>
      <c r="B49" s="36" t="s">
        <v>2890</v>
      </c>
      <c r="C49" s="36" t="s">
        <v>2891</v>
      </c>
      <c r="D49" s="36" t="s">
        <v>2892</v>
      </c>
      <c r="E49" s="36" t="s">
        <v>2893</v>
      </c>
      <c r="F49" s="36" t="s">
        <v>2893</v>
      </c>
      <c r="G49" s="36" t="s">
        <v>2891</v>
      </c>
      <c r="H49" s="36" t="s">
        <v>2891</v>
      </c>
      <c r="I49" s="36" t="s">
        <v>2891</v>
      </c>
      <c r="J49" s="36" t="s">
        <v>2894</v>
      </c>
      <c r="K49" s="36" t="s">
        <v>2893</v>
      </c>
      <c r="L49" s="36" t="s">
        <v>2895</v>
      </c>
      <c r="M49" s="36" t="s">
        <v>2895</v>
      </c>
      <c r="N49" s="36" t="s">
        <v>2896</v>
      </c>
      <c r="O49" s="36" t="s">
        <v>2890</v>
      </c>
      <c r="P49" s="36" t="s">
        <v>2890</v>
      </c>
    </row>
    <row r="50" spans="1:16">
      <c r="A50" s="132">
        <v>49</v>
      </c>
      <c r="B50" s="36" t="s">
        <v>1036</v>
      </c>
      <c r="C50" s="36" t="s">
        <v>2897</v>
      </c>
      <c r="D50" s="36" t="s">
        <v>2898</v>
      </c>
      <c r="E50" s="36" t="s">
        <v>2899</v>
      </c>
      <c r="F50" s="36" t="s">
        <v>2899</v>
      </c>
      <c r="G50" s="36" t="s">
        <v>2897</v>
      </c>
      <c r="H50" s="36" t="s">
        <v>2897</v>
      </c>
      <c r="I50" s="36" t="s">
        <v>2897</v>
      </c>
      <c r="J50" s="36" t="s">
        <v>2900</v>
      </c>
      <c r="K50" s="36" t="s">
        <v>2899</v>
      </c>
      <c r="L50" s="36" t="s">
        <v>2901</v>
      </c>
      <c r="M50" s="36" t="s">
        <v>2901</v>
      </c>
      <c r="N50" s="36" t="s">
        <v>2901</v>
      </c>
      <c r="O50" s="36" t="s">
        <v>1036</v>
      </c>
      <c r="P50" s="36" t="s">
        <v>1036</v>
      </c>
    </row>
    <row r="51" spans="1:16">
      <c r="A51" s="132">
        <v>50</v>
      </c>
      <c r="B51" s="36" t="s">
        <v>2902</v>
      </c>
      <c r="C51" s="36" t="s">
        <v>2903</v>
      </c>
      <c r="D51" s="36" t="s">
        <v>2904</v>
      </c>
      <c r="E51" s="36" t="s">
        <v>2905</v>
      </c>
      <c r="F51" s="36" t="s">
        <v>2906</v>
      </c>
      <c r="G51" s="36" t="s">
        <v>2907</v>
      </c>
      <c r="H51" s="36" t="s">
        <v>2908</v>
      </c>
      <c r="I51" s="36" t="s">
        <v>2909</v>
      </c>
      <c r="J51" s="36" t="s">
        <v>2910</v>
      </c>
      <c r="K51" s="36" t="s">
        <v>2905</v>
      </c>
      <c r="L51" s="36" t="s">
        <v>2911</v>
      </c>
      <c r="M51" s="36" t="s">
        <v>2912</v>
      </c>
      <c r="N51" s="36" t="s">
        <v>2913</v>
      </c>
      <c r="O51" s="36" t="s">
        <v>2914</v>
      </c>
      <c r="P51" s="36" t="s">
        <v>2902</v>
      </c>
    </row>
    <row r="52" spans="1:16">
      <c r="A52" s="132">
        <v>51</v>
      </c>
      <c r="B52" s="36" t="s">
        <v>2915</v>
      </c>
      <c r="C52" s="36" t="s">
        <v>2916</v>
      </c>
      <c r="D52" s="36" t="s">
        <v>2917</v>
      </c>
      <c r="E52" s="36" t="s">
        <v>2918</v>
      </c>
      <c r="F52" s="36" t="s">
        <v>2919</v>
      </c>
      <c r="G52" s="36" t="s">
        <v>2920</v>
      </c>
      <c r="H52" s="36" t="s">
        <v>2921</v>
      </c>
      <c r="I52" s="36" t="s">
        <v>2922</v>
      </c>
      <c r="J52" s="36" t="s">
        <v>2923</v>
      </c>
      <c r="K52" s="36" t="s">
        <v>2924</v>
      </c>
      <c r="L52" s="36" t="s">
        <v>2925</v>
      </c>
      <c r="M52" s="36" t="s">
        <v>2926</v>
      </c>
      <c r="N52" s="36" t="s">
        <v>2927</v>
      </c>
      <c r="O52" s="36" t="s">
        <v>2928</v>
      </c>
      <c r="P52" s="36" t="s">
        <v>2915</v>
      </c>
    </row>
    <row r="53" spans="1:16">
      <c r="A53" s="132">
        <v>52</v>
      </c>
      <c r="B53" s="36" t="s">
        <v>2113</v>
      </c>
      <c r="C53" s="36" t="s">
        <v>2929</v>
      </c>
      <c r="D53" s="36" t="s">
        <v>2930</v>
      </c>
      <c r="E53" s="36" t="s">
        <v>2931</v>
      </c>
      <c r="F53" s="36" t="s">
        <v>2932</v>
      </c>
      <c r="G53" s="36" t="s">
        <v>2933</v>
      </c>
      <c r="H53" s="36" t="s">
        <v>2934</v>
      </c>
      <c r="I53" s="36" t="s">
        <v>2935</v>
      </c>
      <c r="J53" s="36" t="s">
        <v>2936</v>
      </c>
      <c r="K53" s="36" t="s">
        <v>2937</v>
      </c>
      <c r="L53" s="36" t="s">
        <v>2938</v>
      </c>
      <c r="M53" s="36" t="s">
        <v>2939</v>
      </c>
      <c r="N53" s="36" t="s">
        <v>2940</v>
      </c>
      <c r="O53" s="36" t="s">
        <v>2941</v>
      </c>
      <c r="P53" s="36" t="s">
        <v>2113</v>
      </c>
    </row>
    <row r="54" spans="1:16">
      <c r="A54" s="132">
        <v>53</v>
      </c>
      <c r="B54" s="36" t="s">
        <v>1045</v>
      </c>
      <c r="C54" s="36" t="s">
        <v>2942</v>
      </c>
      <c r="D54" s="36" t="s">
        <v>1045</v>
      </c>
      <c r="E54" s="36" t="s">
        <v>2943</v>
      </c>
      <c r="F54" s="36" t="s">
        <v>2944</v>
      </c>
      <c r="G54" s="36" t="s">
        <v>2945</v>
      </c>
      <c r="H54" s="36" t="s">
        <v>2946</v>
      </c>
      <c r="I54" s="36" t="s">
        <v>2157</v>
      </c>
      <c r="J54" s="36" t="s">
        <v>2946</v>
      </c>
      <c r="K54" s="36" t="s">
        <v>2944</v>
      </c>
      <c r="L54" s="36" t="s">
        <v>2946</v>
      </c>
      <c r="M54" s="36" t="s">
        <v>2946</v>
      </c>
      <c r="N54" s="36" t="s">
        <v>2946</v>
      </c>
      <c r="O54" s="36" t="s">
        <v>2947</v>
      </c>
      <c r="P54" s="36" t="s">
        <v>1045</v>
      </c>
    </row>
    <row r="55" spans="1:16">
      <c r="A55" s="132">
        <v>54</v>
      </c>
      <c r="B55" s="36" t="s">
        <v>2114</v>
      </c>
      <c r="C55" s="36" t="s">
        <v>2948</v>
      </c>
      <c r="D55" s="36" t="s">
        <v>2949</v>
      </c>
      <c r="E55" s="36" t="s">
        <v>2950</v>
      </c>
      <c r="F55" s="36" t="s">
        <v>2951</v>
      </c>
      <c r="G55" s="36" t="s">
        <v>2952</v>
      </c>
      <c r="H55" s="36" t="s">
        <v>2953</v>
      </c>
      <c r="I55" s="36" t="s">
        <v>2954</v>
      </c>
      <c r="J55" s="36" t="s">
        <v>2955</v>
      </c>
      <c r="K55" s="36" t="s">
        <v>2956</v>
      </c>
      <c r="L55" s="36" t="s">
        <v>2957</v>
      </c>
      <c r="M55" s="36" t="s">
        <v>2958</v>
      </c>
      <c r="N55" s="36" t="s">
        <v>2958</v>
      </c>
      <c r="O55" s="36" t="s">
        <v>2959</v>
      </c>
      <c r="P55" s="36" t="s">
        <v>2114</v>
      </c>
    </row>
    <row r="56" spans="1:16">
      <c r="A56" s="132">
        <v>55</v>
      </c>
      <c r="B56" s="36" t="s">
        <v>2960</v>
      </c>
      <c r="C56" s="36" t="s">
        <v>2961</v>
      </c>
      <c r="D56" s="36" t="s">
        <v>2960</v>
      </c>
      <c r="E56" s="36" t="s">
        <v>2962</v>
      </c>
      <c r="F56" s="36" t="s">
        <v>2963</v>
      </c>
      <c r="G56" s="36" t="s">
        <v>2963</v>
      </c>
      <c r="H56" s="36" t="s">
        <v>2963</v>
      </c>
      <c r="I56" s="36" t="s">
        <v>2963</v>
      </c>
      <c r="J56" s="36" t="s">
        <v>2963</v>
      </c>
      <c r="K56" s="36" t="s">
        <v>2963</v>
      </c>
      <c r="L56" s="36" t="s">
        <v>2963</v>
      </c>
      <c r="M56" s="36" t="s">
        <v>2963</v>
      </c>
      <c r="N56" s="36" t="s">
        <v>2963</v>
      </c>
      <c r="O56" s="36" t="s">
        <v>2963</v>
      </c>
      <c r="P56" s="36" t="s">
        <v>2960</v>
      </c>
    </row>
    <row r="57" spans="1:16">
      <c r="A57" s="132">
        <v>56</v>
      </c>
      <c r="B57" s="36" t="s">
        <v>2964</v>
      </c>
      <c r="C57" s="36" t="s">
        <v>2965</v>
      </c>
      <c r="D57" s="36" t="s">
        <v>2964</v>
      </c>
      <c r="E57" s="36" t="s">
        <v>2965</v>
      </c>
      <c r="F57" s="36" t="s">
        <v>2966</v>
      </c>
      <c r="G57" s="36" t="s">
        <v>2966</v>
      </c>
      <c r="H57" s="36" t="s">
        <v>2966</v>
      </c>
      <c r="I57" s="36" t="s">
        <v>2965</v>
      </c>
      <c r="J57" s="36" t="s">
        <v>2965</v>
      </c>
      <c r="K57" s="36" t="s">
        <v>2966</v>
      </c>
      <c r="L57" s="36" t="s">
        <v>2966</v>
      </c>
      <c r="M57" s="36" t="s">
        <v>2966</v>
      </c>
      <c r="N57" s="36" t="s">
        <v>2966</v>
      </c>
      <c r="O57" s="36" t="s">
        <v>2966</v>
      </c>
      <c r="P57" s="36" t="s">
        <v>2964</v>
      </c>
    </row>
    <row r="58" spans="1:16">
      <c r="A58" s="132">
        <v>57</v>
      </c>
      <c r="B58" s="36" t="s">
        <v>1639</v>
      </c>
      <c r="C58" s="36" t="s">
        <v>1030</v>
      </c>
      <c r="D58" s="36" t="s">
        <v>1639</v>
      </c>
      <c r="E58" s="36" t="s">
        <v>1030</v>
      </c>
      <c r="F58" s="36" t="s">
        <v>1030</v>
      </c>
      <c r="G58" s="36" t="s">
        <v>1030</v>
      </c>
      <c r="H58" s="36" t="s">
        <v>1030</v>
      </c>
      <c r="I58" s="36" t="s">
        <v>1030</v>
      </c>
      <c r="J58" s="36" t="s">
        <v>1030</v>
      </c>
      <c r="K58" s="36" t="s">
        <v>1030</v>
      </c>
      <c r="L58" s="36" t="s">
        <v>1030</v>
      </c>
      <c r="M58" s="36" t="s">
        <v>1030</v>
      </c>
      <c r="N58" s="36" t="s">
        <v>1030</v>
      </c>
      <c r="O58" s="36" t="s">
        <v>1639</v>
      </c>
      <c r="P58" s="36" t="s">
        <v>1639</v>
      </c>
    </row>
    <row r="59" spans="1:16">
      <c r="A59" s="132">
        <v>58</v>
      </c>
      <c r="B59" s="36" t="s">
        <v>2967</v>
      </c>
      <c r="C59" s="36" t="s">
        <v>2968</v>
      </c>
      <c r="D59" s="36" t="s">
        <v>2967</v>
      </c>
      <c r="E59" s="36" t="s">
        <v>2969</v>
      </c>
      <c r="F59" s="36" t="s">
        <v>2970</v>
      </c>
      <c r="G59" s="36" t="s">
        <v>2968</v>
      </c>
      <c r="H59" s="36" t="s">
        <v>2971</v>
      </c>
      <c r="I59" s="36" t="s">
        <v>2972</v>
      </c>
      <c r="J59" s="36" t="s">
        <v>2971</v>
      </c>
      <c r="K59" s="36" t="s">
        <v>2970</v>
      </c>
      <c r="L59" s="36" t="s">
        <v>2971</v>
      </c>
      <c r="M59" s="36" t="s">
        <v>2971</v>
      </c>
      <c r="N59" s="36" t="s">
        <v>2971</v>
      </c>
      <c r="O59" s="36" t="s">
        <v>2967</v>
      </c>
      <c r="P59" s="36" t="s">
        <v>2967</v>
      </c>
    </row>
    <row r="60" spans="1:16">
      <c r="A60" s="132">
        <v>59</v>
      </c>
      <c r="B60" s="36" t="s">
        <v>2973</v>
      </c>
      <c r="C60" s="36" t="s">
        <v>2974</v>
      </c>
      <c r="D60" s="36" t="s">
        <v>2975</v>
      </c>
      <c r="E60" s="36" t="s">
        <v>2976</v>
      </c>
      <c r="F60" s="36" t="s">
        <v>2977</v>
      </c>
      <c r="G60" s="36" t="s">
        <v>2978</v>
      </c>
      <c r="H60" s="36" t="s">
        <v>2979</v>
      </c>
      <c r="I60" s="36" t="s">
        <v>2980</v>
      </c>
      <c r="J60" s="36" t="s">
        <v>2981</v>
      </c>
      <c r="K60" s="36" t="s">
        <v>2982</v>
      </c>
      <c r="L60" s="36" t="s">
        <v>2983</v>
      </c>
      <c r="M60" s="36" t="s">
        <v>2984</v>
      </c>
      <c r="N60" s="36" t="s">
        <v>2985</v>
      </c>
      <c r="O60" s="36" t="s">
        <v>2986</v>
      </c>
      <c r="P60" s="36" t="s">
        <v>2973</v>
      </c>
    </row>
    <row r="61" spans="1:16">
      <c r="A61" s="132">
        <v>60</v>
      </c>
      <c r="B61" s="36" t="s">
        <v>2987</v>
      </c>
      <c r="C61" s="36" t="s">
        <v>2988</v>
      </c>
      <c r="D61" s="36" t="s">
        <v>2989</v>
      </c>
      <c r="E61" s="36" t="s">
        <v>2990</v>
      </c>
      <c r="F61" s="36" t="s">
        <v>2991</v>
      </c>
      <c r="G61" s="36" t="s">
        <v>2992</v>
      </c>
      <c r="H61" s="36" t="s">
        <v>2993</v>
      </c>
      <c r="I61" s="36" t="s">
        <v>2994</v>
      </c>
      <c r="J61" s="36" t="s">
        <v>2995</v>
      </c>
      <c r="K61" s="36" t="s">
        <v>2996</v>
      </c>
      <c r="L61" s="36" t="s">
        <v>2997</v>
      </c>
      <c r="M61" s="36" t="s">
        <v>2998</v>
      </c>
      <c r="N61" s="36" t="s">
        <v>2999</v>
      </c>
      <c r="O61" s="36" t="s">
        <v>3000</v>
      </c>
      <c r="P61" s="36" t="s">
        <v>2987</v>
      </c>
    </row>
    <row r="62" spans="1:16">
      <c r="A62" s="132">
        <v>61</v>
      </c>
      <c r="B62" s="36" t="s">
        <v>3001</v>
      </c>
      <c r="C62" s="36" t="s">
        <v>3002</v>
      </c>
      <c r="D62" s="36" t="s">
        <v>3003</v>
      </c>
      <c r="E62" s="36" t="s">
        <v>3004</v>
      </c>
      <c r="F62" s="36" t="s">
        <v>3004</v>
      </c>
      <c r="G62" s="36" t="s">
        <v>3002</v>
      </c>
      <c r="H62" s="36" t="s">
        <v>3002</v>
      </c>
      <c r="I62" s="36" t="s">
        <v>3002</v>
      </c>
      <c r="J62" s="36" t="s">
        <v>3005</v>
      </c>
      <c r="K62" s="36" t="s">
        <v>3004</v>
      </c>
      <c r="L62" s="36" t="s">
        <v>3006</v>
      </c>
      <c r="M62" s="36" t="s">
        <v>3006</v>
      </c>
      <c r="N62" s="36" t="s">
        <v>3006</v>
      </c>
      <c r="O62" s="36" t="s">
        <v>3001</v>
      </c>
      <c r="P62" s="36" t="s">
        <v>3001</v>
      </c>
    </row>
    <row r="63" spans="1:16">
      <c r="A63" s="132">
        <v>62</v>
      </c>
      <c r="B63" s="36" t="s">
        <v>1038</v>
      </c>
      <c r="C63" s="36" t="s">
        <v>3007</v>
      </c>
      <c r="D63" s="36" t="s">
        <v>3008</v>
      </c>
      <c r="E63" s="36" t="s">
        <v>3009</v>
      </c>
      <c r="F63" s="36" t="s">
        <v>3009</v>
      </c>
      <c r="G63" s="36" t="s">
        <v>3007</v>
      </c>
      <c r="H63" s="36" t="s">
        <v>3007</v>
      </c>
      <c r="I63" s="36" t="s">
        <v>3007</v>
      </c>
      <c r="J63" s="36" t="s">
        <v>3010</v>
      </c>
      <c r="K63" s="36" t="s">
        <v>3009</v>
      </c>
      <c r="L63" s="36" t="s">
        <v>3011</v>
      </c>
      <c r="M63" s="36" t="s">
        <v>3011</v>
      </c>
      <c r="N63" s="36" t="s">
        <v>3011</v>
      </c>
      <c r="O63" s="36" t="s">
        <v>1038</v>
      </c>
      <c r="P63" s="36" t="s">
        <v>1038</v>
      </c>
    </row>
    <row r="64" spans="1:16">
      <c r="A64" s="132">
        <v>63</v>
      </c>
      <c r="B64" s="36" t="s">
        <v>3012</v>
      </c>
      <c r="C64" s="36" t="s">
        <v>3013</v>
      </c>
      <c r="D64" s="36" t="s">
        <v>3014</v>
      </c>
      <c r="E64" s="36" t="s">
        <v>3015</v>
      </c>
      <c r="F64" s="36" t="s">
        <v>3016</v>
      </c>
      <c r="G64" s="36" t="s">
        <v>3017</v>
      </c>
      <c r="H64" s="36" t="s">
        <v>3018</v>
      </c>
      <c r="I64" s="36" t="s">
        <v>3019</v>
      </c>
      <c r="J64" s="36" t="s">
        <v>3020</v>
      </c>
      <c r="K64" s="36" t="s">
        <v>3021</v>
      </c>
      <c r="L64" s="36" t="s">
        <v>3022</v>
      </c>
      <c r="M64" s="36" t="s">
        <v>3023</v>
      </c>
      <c r="N64" s="36" t="s">
        <v>3024</v>
      </c>
      <c r="O64" s="36" t="s">
        <v>3021</v>
      </c>
      <c r="P64" s="36" t="s">
        <v>3012</v>
      </c>
    </row>
    <row r="65" spans="1:16">
      <c r="A65" s="132">
        <v>64</v>
      </c>
      <c r="B65" s="36" t="s">
        <v>3025</v>
      </c>
      <c r="C65" s="36" t="s">
        <v>3026</v>
      </c>
      <c r="D65" s="36" t="s">
        <v>3027</v>
      </c>
      <c r="E65" s="36" t="s">
        <v>3028</v>
      </c>
      <c r="F65" s="36" t="s">
        <v>3029</v>
      </c>
      <c r="G65" s="36" t="s">
        <v>3030</v>
      </c>
      <c r="H65" s="36" t="s">
        <v>3031</v>
      </c>
      <c r="I65" s="36" t="s">
        <v>3032</v>
      </c>
      <c r="J65" s="36" t="s">
        <v>3033</v>
      </c>
      <c r="K65" s="36" t="s">
        <v>3034</v>
      </c>
      <c r="L65" s="36" t="s">
        <v>3035</v>
      </c>
      <c r="M65" s="36" t="s">
        <v>3036</v>
      </c>
      <c r="N65" s="36" t="s">
        <v>3025</v>
      </c>
      <c r="O65" s="36" t="s">
        <v>3037</v>
      </c>
      <c r="P65" s="36" t="s">
        <v>3025</v>
      </c>
    </row>
    <row r="66" spans="1:16">
      <c r="A66" s="132">
        <v>65</v>
      </c>
      <c r="B66" s="36" t="s">
        <v>3038</v>
      </c>
      <c r="C66" s="36" t="s">
        <v>3039</v>
      </c>
      <c r="D66" s="36" t="s">
        <v>3038</v>
      </c>
      <c r="E66" s="36" t="s">
        <v>3040</v>
      </c>
      <c r="F66" s="36" t="s">
        <v>3040</v>
      </c>
      <c r="G66" s="36" t="s">
        <v>3039</v>
      </c>
      <c r="H66" s="36" t="s">
        <v>3040</v>
      </c>
      <c r="I66" s="36" t="s">
        <v>3041</v>
      </c>
      <c r="J66" s="36" t="s">
        <v>3042</v>
      </c>
      <c r="K66" s="36" t="s">
        <v>3040</v>
      </c>
      <c r="L66" s="36" t="s">
        <v>3043</v>
      </c>
      <c r="M66" s="36" t="s">
        <v>3040</v>
      </c>
      <c r="N66" s="36" t="s">
        <v>3044</v>
      </c>
      <c r="O66" s="36" t="s">
        <v>3038</v>
      </c>
      <c r="P66" s="36" t="s">
        <v>3038</v>
      </c>
    </row>
    <row r="67" spans="1:16">
      <c r="A67" s="132">
        <v>66</v>
      </c>
      <c r="B67" s="36" t="s">
        <v>3045</v>
      </c>
      <c r="C67" s="36" t="s">
        <v>3046</v>
      </c>
      <c r="D67" s="36" t="s">
        <v>3045</v>
      </c>
      <c r="E67" s="36" t="s">
        <v>3047</v>
      </c>
      <c r="F67" s="36" t="s">
        <v>3047</v>
      </c>
      <c r="G67" s="36" t="s">
        <v>3046</v>
      </c>
      <c r="H67" s="36" t="s">
        <v>3047</v>
      </c>
      <c r="I67" s="36" t="s">
        <v>3048</v>
      </c>
      <c r="J67" s="36" t="s">
        <v>3049</v>
      </c>
      <c r="K67" s="36" t="s">
        <v>3047</v>
      </c>
      <c r="L67" s="36" t="s">
        <v>3050</v>
      </c>
      <c r="M67" s="36" t="s">
        <v>3047</v>
      </c>
      <c r="N67" s="36" t="s">
        <v>3051</v>
      </c>
      <c r="O67" s="36" t="s">
        <v>3045</v>
      </c>
      <c r="P67" s="36" t="s">
        <v>3045</v>
      </c>
    </row>
    <row r="68" spans="1:16">
      <c r="A68" s="132">
        <v>67</v>
      </c>
      <c r="B68" s="36" t="s">
        <v>3052</v>
      </c>
      <c r="C68" s="36" t="s">
        <v>3053</v>
      </c>
      <c r="D68" s="36" t="s">
        <v>3054</v>
      </c>
      <c r="E68" s="36" t="s">
        <v>3055</v>
      </c>
      <c r="F68" s="36" t="s">
        <v>3056</v>
      </c>
      <c r="G68" s="36" t="s">
        <v>3057</v>
      </c>
      <c r="H68" s="36" t="s">
        <v>3058</v>
      </c>
      <c r="I68" s="36" t="s">
        <v>3059</v>
      </c>
      <c r="J68" s="36" t="s">
        <v>3060</v>
      </c>
      <c r="K68" s="36" t="s">
        <v>3061</v>
      </c>
      <c r="L68" s="36" t="s">
        <v>3062</v>
      </c>
      <c r="M68" s="36" t="s">
        <v>3063</v>
      </c>
      <c r="N68" s="36" t="s">
        <v>3064</v>
      </c>
      <c r="O68" s="36" t="s">
        <v>3065</v>
      </c>
      <c r="P68" s="36" t="s">
        <v>3052</v>
      </c>
    </row>
    <row r="69" spans="1:16">
      <c r="A69" s="132">
        <v>68</v>
      </c>
      <c r="B69" s="36" t="s">
        <v>3066</v>
      </c>
      <c r="C69" s="36" t="s">
        <v>3067</v>
      </c>
      <c r="D69" s="36" t="s">
        <v>3068</v>
      </c>
      <c r="E69" s="36" t="s">
        <v>3069</v>
      </c>
      <c r="F69" s="36" t="s">
        <v>3070</v>
      </c>
      <c r="G69" s="36" t="s">
        <v>3071</v>
      </c>
      <c r="H69" s="36" t="s">
        <v>3072</v>
      </c>
      <c r="I69" s="36" t="s">
        <v>3073</v>
      </c>
      <c r="J69" s="36" t="s">
        <v>3074</v>
      </c>
      <c r="K69" s="36" t="s">
        <v>3075</v>
      </c>
      <c r="L69" s="36" t="s">
        <v>3076</v>
      </c>
      <c r="M69" s="36" t="s">
        <v>3077</v>
      </c>
      <c r="N69" s="36" t="s">
        <v>3078</v>
      </c>
      <c r="O69" s="36" t="s">
        <v>3079</v>
      </c>
      <c r="P69" s="36" t="s">
        <v>3066</v>
      </c>
    </row>
    <row r="70" spans="1:16">
      <c r="A70" s="132">
        <v>69</v>
      </c>
      <c r="B70" s="36" t="s">
        <v>1640</v>
      </c>
      <c r="C70" s="36" t="s">
        <v>1031</v>
      </c>
      <c r="D70" s="36" t="s">
        <v>1640</v>
      </c>
      <c r="E70" s="36" t="s">
        <v>1031</v>
      </c>
      <c r="F70" s="36" t="s">
        <v>1031</v>
      </c>
      <c r="G70" s="36" t="s">
        <v>1031</v>
      </c>
      <c r="H70" s="36" t="s">
        <v>1031</v>
      </c>
      <c r="I70" s="36" t="s">
        <v>1031</v>
      </c>
      <c r="J70" s="36" t="s">
        <v>1031</v>
      </c>
      <c r="K70" s="36" t="s">
        <v>1031</v>
      </c>
      <c r="L70" s="36" t="s">
        <v>1031</v>
      </c>
      <c r="M70" s="36" t="s">
        <v>1031</v>
      </c>
      <c r="N70" s="36" t="s">
        <v>1640</v>
      </c>
      <c r="O70" s="36" t="s">
        <v>1640</v>
      </c>
      <c r="P70" s="36" t="s">
        <v>1640</v>
      </c>
    </row>
    <row r="71" spans="1:16">
      <c r="A71" s="132">
        <v>70</v>
      </c>
      <c r="B71" s="36" t="s">
        <v>3080</v>
      </c>
      <c r="C71" s="36" t="s">
        <v>3081</v>
      </c>
      <c r="D71" s="36" t="s">
        <v>3080</v>
      </c>
      <c r="E71" s="36" t="s">
        <v>3081</v>
      </c>
      <c r="F71" s="36" t="s">
        <v>3082</v>
      </c>
      <c r="G71" s="36" t="s">
        <v>3082</v>
      </c>
      <c r="H71" s="36" t="s">
        <v>3082</v>
      </c>
      <c r="I71" s="36" t="s">
        <v>3082</v>
      </c>
      <c r="J71" s="36" t="s">
        <v>3082</v>
      </c>
      <c r="K71" s="36" t="s">
        <v>3082</v>
      </c>
      <c r="L71" s="36" t="s">
        <v>3082</v>
      </c>
      <c r="M71" s="36" t="s">
        <v>3082</v>
      </c>
      <c r="N71" s="36" t="s">
        <v>3082</v>
      </c>
      <c r="O71" s="36" t="s">
        <v>3082</v>
      </c>
      <c r="P71" s="36" t="s">
        <v>3080</v>
      </c>
    </row>
    <row r="72" spans="1:16">
      <c r="A72" s="132">
        <v>71</v>
      </c>
      <c r="B72" s="36" t="s">
        <v>3083</v>
      </c>
      <c r="C72" s="36" t="s">
        <v>3084</v>
      </c>
      <c r="D72" s="36" t="s">
        <v>3085</v>
      </c>
      <c r="E72" s="36" t="s">
        <v>3086</v>
      </c>
      <c r="F72" s="36" t="s">
        <v>3087</v>
      </c>
      <c r="G72" s="36" t="s">
        <v>3088</v>
      </c>
      <c r="H72" s="36" t="s">
        <v>3089</v>
      </c>
      <c r="I72" s="36" t="s">
        <v>3090</v>
      </c>
      <c r="J72" s="36" t="s">
        <v>3091</v>
      </c>
      <c r="K72" s="36" t="s">
        <v>3092</v>
      </c>
      <c r="L72" s="36" t="s">
        <v>3093</v>
      </c>
      <c r="M72" s="36" t="s">
        <v>3094</v>
      </c>
      <c r="N72" s="36" t="s">
        <v>3094</v>
      </c>
      <c r="O72" s="36" t="s">
        <v>3095</v>
      </c>
      <c r="P72" s="36" t="s">
        <v>3083</v>
      </c>
    </row>
    <row r="73" spans="1:16">
      <c r="A73" s="132">
        <v>72</v>
      </c>
      <c r="B73" s="36" t="s">
        <v>3096</v>
      </c>
      <c r="C73" s="36" t="s">
        <v>3097</v>
      </c>
      <c r="D73" s="36" t="s">
        <v>3098</v>
      </c>
      <c r="E73" s="36" t="s">
        <v>3099</v>
      </c>
      <c r="F73" s="36" t="s">
        <v>3100</v>
      </c>
      <c r="G73" s="36" t="s">
        <v>3101</v>
      </c>
      <c r="H73" s="36" t="s">
        <v>3102</v>
      </c>
      <c r="I73" s="36" t="s">
        <v>3103</v>
      </c>
      <c r="J73" s="36" t="s">
        <v>3104</v>
      </c>
      <c r="K73" s="36" t="s">
        <v>3105</v>
      </c>
      <c r="L73" s="36" t="s">
        <v>3106</v>
      </c>
      <c r="M73" s="36" t="s">
        <v>3107</v>
      </c>
      <c r="N73" s="36" t="s">
        <v>3106</v>
      </c>
      <c r="O73" s="36" t="s">
        <v>3108</v>
      </c>
      <c r="P73" s="36" t="s">
        <v>3096</v>
      </c>
    </row>
    <row r="74" spans="1:16">
      <c r="A74" s="132">
        <v>73</v>
      </c>
      <c r="B74" s="36" t="s">
        <v>3109</v>
      </c>
      <c r="C74" s="36" t="s">
        <v>3110</v>
      </c>
      <c r="D74" s="36" t="s">
        <v>3111</v>
      </c>
      <c r="E74" s="36" t="s">
        <v>3112</v>
      </c>
      <c r="F74" s="36" t="s">
        <v>3112</v>
      </c>
      <c r="G74" s="36" t="s">
        <v>3110</v>
      </c>
      <c r="H74" s="36" t="s">
        <v>3113</v>
      </c>
      <c r="I74" s="36" t="s">
        <v>3113</v>
      </c>
      <c r="J74" s="36" t="s">
        <v>3114</v>
      </c>
      <c r="K74" s="36" t="s">
        <v>3112</v>
      </c>
      <c r="L74" s="36" t="s">
        <v>3113</v>
      </c>
      <c r="M74" s="36" t="s">
        <v>3113</v>
      </c>
      <c r="N74" s="36" t="s">
        <v>3115</v>
      </c>
      <c r="O74" s="36" t="s">
        <v>3109</v>
      </c>
      <c r="P74" s="36" t="s">
        <v>3109</v>
      </c>
    </row>
    <row r="75" spans="1:16">
      <c r="A75" s="132">
        <v>74</v>
      </c>
      <c r="B75" s="36" t="s">
        <v>3116</v>
      </c>
      <c r="C75" s="36" t="s">
        <v>3117</v>
      </c>
      <c r="D75" s="36" t="s">
        <v>3118</v>
      </c>
      <c r="E75" s="36" t="s">
        <v>3119</v>
      </c>
      <c r="F75" s="36" t="s">
        <v>3120</v>
      </c>
      <c r="G75" s="36" t="s">
        <v>3121</v>
      </c>
      <c r="H75" s="36" t="s">
        <v>3122</v>
      </c>
      <c r="I75" s="36" t="s">
        <v>3123</v>
      </c>
      <c r="J75" s="36" t="s">
        <v>3124</v>
      </c>
      <c r="K75" s="36" t="s">
        <v>3125</v>
      </c>
      <c r="L75" s="36" t="s">
        <v>3126</v>
      </c>
      <c r="M75" s="36" t="s">
        <v>3126</v>
      </c>
      <c r="N75" s="36" t="s">
        <v>3127</v>
      </c>
      <c r="O75" s="36" t="s">
        <v>3127</v>
      </c>
      <c r="P75" s="36" t="s">
        <v>3116</v>
      </c>
    </row>
    <row r="76" spans="1:16">
      <c r="A76" s="132">
        <v>75</v>
      </c>
      <c r="B76" s="36" t="s">
        <v>3128</v>
      </c>
      <c r="C76" s="36" t="s">
        <v>3129</v>
      </c>
      <c r="D76" s="36" t="s">
        <v>3128</v>
      </c>
      <c r="E76" s="36" t="s">
        <v>3129</v>
      </c>
      <c r="F76" s="36" t="s">
        <v>3129</v>
      </c>
      <c r="G76" s="36" t="s">
        <v>3129</v>
      </c>
      <c r="H76" s="36" t="s">
        <v>3129</v>
      </c>
      <c r="I76" s="36" t="s">
        <v>3129</v>
      </c>
      <c r="J76" s="36" t="s">
        <v>3129</v>
      </c>
      <c r="K76" s="36" t="s">
        <v>3129</v>
      </c>
      <c r="L76" s="36" t="s">
        <v>3129</v>
      </c>
      <c r="M76" s="36" t="s">
        <v>3129</v>
      </c>
      <c r="N76" s="36" t="s">
        <v>3128</v>
      </c>
      <c r="O76" s="36" t="s">
        <v>3128</v>
      </c>
      <c r="P76" s="36" t="s">
        <v>3128</v>
      </c>
    </row>
    <row r="77" spans="1:16">
      <c r="A77" s="132">
        <v>76</v>
      </c>
      <c r="B77" s="36" t="s">
        <v>3130</v>
      </c>
      <c r="C77" s="36" t="s">
        <v>3131</v>
      </c>
      <c r="D77" s="36" t="s">
        <v>3130</v>
      </c>
      <c r="E77" s="36" t="s">
        <v>3132</v>
      </c>
      <c r="F77" s="36" t="s">
        <v>3132</v>
      </c>
      <c r="G77" s="36" t="s">
        <v>3131</v>
      </c>
      <c r="H77" s="36" t="s">
        <v>3131</v>
      </c>
      <c r="I77" s="36" t="s">
        <v>3131</v>
      </c>
      <c r="J77" s="36" t="s">
        <v>3131</v>
      </c>
      <c r="K77" s="36" t="s">
        <v>3132</v>
      </c>
      <c r="L77" s="36" t="s">
        <v>3131</v>
      </c>
      <c r="M77" s="36" t="s">
        <v>3131</v>
      </c>
      <c r="N77" s="36" t="s">
        <v>3131</v>
      </c>
      <c r="O77" s="36" t="s">
        <v>3130</v>
      </c>
      <c r="P77" s="36" t="s">
        <v>3130</v>
      </c>
    </row>
    <row r="78" spans="1:16">
      <c r="A78" s="132">
        <v>77</v>
      </c>
      <c r="B78" s="36" t="s">
        <v>3133</v>
      </c>
      <c r="C78" s="36" t="s">
        <v>3134</v>
      </c>
      <c r="D78" s="36" t="s">
        <v>3135</v>
      </c>
      <c r="E78" s="36" t="s">
        <v>3136</v>
      </c>
      <c r="F78" s="36" t="s">
        <v>3137</v>
      </c>
      <c r="G78" s="36" t="s">
        <v>3138</v>
      </c>
      <c r="H78" s="36" t="s">
        <v>3139</v>
      </c>
      <c r="I78" s="36" t="s">
        <v>3140</v>
      </c>
      <c r="J78" s="36" t="s">
        <v>3141</v>
      </c>
      <c r="K78" s="36" t="s">
        <v>3142</v>
      </c>
      <c r="L78" s="36" t="s">
        <v>3143</v>
      </c>
      <c r="M78" s="36" t="s">
        <v>3144</v>
      </c>
      <c r="N78" s="36" t="s">
        <v>3145</v>
      </c>
      <c r="O78" s="36" t="s">
        <v>3146</v>
      </c>
      <c r="P78" s="36" t="s">
        <v>3133</v>
      </c>
    </row>
    <row r="79" spans="1:16">
      <c r="A79" s="132">
        <v>78</v>
      </c>
      <c r="B79" s="36" t="s">
        <v>3147</v>
      </c>
      <c r="C79" s="36" t="s">
        <v>3148</v>
      </c>
      <c r="D79" s="36" t="s">
        <v>3147</v>
      </c>
      <c r="E79" s="36" t="s">
        <v>3149</v>
      </c>
      <c r="F79" s="36" t="s">
        <v>3149</v>
      </c>
      <c r="G79" s="36" t="s">
        <v>3148</v>
      </c>
      <c r="H79" s="36" t="s">
        <v>3148</v>
      </c>
      <c r="I79" s="36" t="s">
        <v>3148</v>
      </c>
      <c r="J79" s="36" t="s">
        <v>3148</v>
      </c>
      <c r="K79" s="36" t="s">
        <v>3149</v>
      </c>
      <c r="L79" s="36" t="s">
        <v>3148</v>
      </c>
      <c r="M79" s="36" t="s">
        <v>3148</v>
      </c>
      <c r="N79" s="36" t="s">
        <v>3148</v>
      </c>
      <c r="O79" s="36" t="s">
        <v>3147</v>
      </c>
      <c r="P79" s="36" t="s">
        <v>3147</v>
      </c>
    </row>
    <row r="80" spans="1:16">
      <c r="A80" s="132">
        <v>79</v>
      </c>
      <c r="B80" s="36" t="s">
        <v>3150</v>
      </c>
      <c r="C80" s="36" t="s">
        <v>3151</v>
      </c>
      <c r="D80" s="36" t="s">
        <v>3152</v>
      </c>
      <c r="E80" s="36" t="s">
        <v>3153</v>
      </c>
      <c r="F80" s="36" t="s">
        <v>3154</v>
      </c>
      <c r="G80" s="36" t="s">
        <v>3155</v>
      </c>
      <c r="H80" s="36" t="s">
        <v>3156</v>
      </c>
      <c r="I80" s="36" t="s">
        <v>3157</v>
      </c>
      <c r="J80" s="36" t="s">
        <v>3158</v>
      </c>
      <c r="K80" s="36" t="s">
        <v>3159</v>
      </c>
      <c r="L80" s="36" t="s">
        <v>3160</v>
      </c>
      <c r="M80" s="36" t="s">
        <v>3161</v>
      </c>
      <c r="N80" s="36" t="s">
        <v>3162</v>
      </c>
      <c r="O80" s="36" t="s">
        <v>3163</v>
      </c>
      <c r="P80" s="36" t="s">
        <v>3150</v>
      </c>
    </row>
    <row r="81" spans="1:16">
      <c r="A81" s="132">
        <v>80</v>
      </c>
      <c r="B81" s="36" t="s">
        <v>3164</v>
      </c>
      <c r="C81" s="36" t="s">
        <v>3165</v>
      </c>
      <c r="D81" s="36" t="s">
        <v>3166</v>
      </c>
      <c r="E81" s="36" t="s">
        <v>3167</v>
      </c>
      <c r="F81" s="36" t="s">
        <v>3168</v>
      </c>
      <c r="G81" s="36" t="s">
        <v>3169</v>
      </c>
      <c r="H81" s="36" t="s">
        <v>3170</v>
      </c>
      <c r="I81" s="36" t="s">
        <v>3171</v>
      </c>
      <c r="J81" s="36" t="s">
        <v>3172</v>
      </c>
      <c r="K81" s="36" t="s">
        <v>3173</v>
      </c>
      <c r="L81" s="36" t="s">
        <v>3174</v>
      </c>
      <c r="M81" s="36" t="s">
        <v>3175</v>
      </c>
      <c r="N81" s="36" t="s">
        <v>3176</v>
      </c>
      <c r="O81" s="36" t="s">
        <v>3177</v>
      </c>
      <c r="P81" s="36" t="s">
        <v>3164</v>
      </c>
    </row>
    <row r="82" spans="1:16">
      <c r="A82" s="132">
        <v>81</v>
      </c>
      <c r="B82" s="36" t="s">
        <v>3178</v>
      </c>
      <c r="C82" s="36" t="s">
        <v>3179</v>
      </c>
      <c r="D82" s="36" t="s">
        <v>3180</v>
      </c>
      <c r="E82" s="36" t="s">
        <v>3181</v>
      </c>
      <c r="F82" s="36" t="s">
        <v>3182</v>
      </c>
      <c r="G82" s="36" t="s">
        <v>3183</v>
      </c>
      <c r="H82" s="36" t="s">
        <v>3184</v>
      </c>
      <c r="I82" s="36" t="s">
        <v>3185</v>
      </c>
      <c r="J82" s="36" t="s">
        <v>3186</v>
      </c>
      <c r="K82" s="36" t="s">
        <v>3187</v>
      </c>
      <c r="L82" s="36" t="s">
        <v>3188</v>
      </c>
      <c r="M82" s="36" t="s">
        <v>3189</v>
      </c>
      <c r="N82" s="36" t="s">
        <v>3190</v>
      </c>
      <c r="O82" s="36" t="s">
        <v>3191</v>
      </c>
      <c r="P82" s="36" t="s">
        <v>3178</v>
      </c>
    </row>
    <row r="83" spans="1:16" ht="16.2">
      <c r="A83" s="132">
        <v>82</v>
      </c>
      <c r="B83" s="36" t="s">
        <v>3192</v>
      </c>
      <c r="C83" s="36" t="s">
        <v>3193</v>
      </c>
      <c r="D83" s="36" t="s">
        <v>3194</v>
      </c>
      <c r="E83" s="36" t="s">
        <v>3195</v>
      </c>
      <c r="F83" s="36" t="s">
        <v>3196</v>
      </c>
      <c r="G83" s="36" t="s">
        <v>3197</v>
      </c>
      <c r="H83" s="36" t="s">
        <v>3198</v>
      </c>
      <c r="I83" s="36" t="s">
        <v>3199</v>
      </c>
      <c r="J83" s="36" t="s">
        <v>3200</v>
      </c>
      <c r="K83" s="36" t="s">
        <v>3201</v>
      </c>
      <c r="L83" s="36" t="s">
        <v>3202</v>
      </c>
      <c r="M83" s="36" t="s">
        <v>3203</v>
      </c>
      <c r="N83" s="36" t="s">
        <v>3204</v>
      </c>
      <c r="O83" s="36" t="s">
        <v>3205</v>
      </c>
      <c r="P83" s="36" t="s">
        <v>3192</v>
      </c>
    </row>
    <row r="84" spans="1:16">
      <c r="A84" s="132">
        <v>83</v>
      </c>
      <c r="B84" s="36" t="s">
        <v>3206</v>
      </c>
      <c r="C84" s="36" t="s">
        <v>3207</v>
      </c>
      <c r="D84" s="36" t="s">
        <v>3206</v>
      </c>
      <c r="E84" s="36" t="s">
        <v>3207</v>
      </c>
      <c r="F84" s="36" t="s">
        <v>3207</v>
      </c>
      <c r="G84" s="36" t="s">
        <v>3207</v>
      </c>
      <c r="H84" s="36" t="s">
        <v>3207</v>
      </c>
      <c r="I84" s="36" t="s">
        <v>3207</v>
      </c>
      <c r="J84" s="36" t="s">
        <v>3207</v>
      </c>
      <c r="K84" s="36" t="s">
        <v>3207</v>
      </c>
      <c r="L84" s="36" t="s">
        <v>3207</v>
      </c>
      <c r="M84" s="36" t="s">
        <v>3207</v>
      </c>
      <c r="N84" s="36" t="s">
        <v>3206</v>
      </c>
      <c r="O84" s="36" t="s">
        <v>3206</v>
      </c>
      <c r="P84" s="36" t="s">
        <v>3206</v>
      </c>
    </row>
    <row r="85" spans="1:16">
      <c r="A85" s="132">
        <v>84</v>
      </c>
      <c r="B85" s="36" t="s">
        <v>3208</v>
      </c>
      <c r="C85" s="36" t="s">
        <v>3209</v>
      </c>
      <c r="D85" s="36" t="s">
        <v>3210</v>
      </c>
      <c r="E85" s="36" t="s">
        <v>1530</v>
      </c>
      <c r="F85" s="36" t="s">
        <v>1530</v>
      </c>
      <c r="G85" s="36" t="s">
        <v>3209</v>
      </c>
      <c r="H85" s="36" t="s">
        <v>1530</v>
      </c>
      <c r="I85" s="36" t="s">
        <v>1530</v>
      </c>
      <c r="J85" s="36" t="s">
        <v>3211</v>
      </c>
      <c r="K85" s="36" t="s">
        <v>1530</v>
      </c>
      <c r="L85" s="36" t="s">
        <v>1530</v>
      </c>
      <c r="M85" s="36" t="s">
        <v>1530</v>
      </c>
      <c r="N85" s="36" t="s">
        <v>3212</v>
      </c>
      <c r="O85" s="36" t="s">
        <v>3208</v>
      </c>
      <c r="P85" s="36" t="s">
        <v>3208</v>
      </c>
    </row>
    <row r="86" spans="1:16">
      <c r="A86" s="132">
        <v>85</v>
      </c>
      <c r="B86" s="36" t="s">
        <v>3213</v>
      </c>
      <c r="C86" s="36" t="s">
        <v>3214</v>
      </c>
      <c r="D86" s="36" t="s">
        <v>3215</v>
      </c>
      <c r="E86" s="36" t="s">
        <v>3216</v>
      </c>
      <c r="F86" s="36" t="s">
        <v>3217</v>
      </c>
      <c r="G86" s="36" t="s">
        <v>3218</v>
      </c>
      <c r="H86" s="36" t="s">
        <v>3219</v>
      </c>
      <c r="I86" s="36" t="s">
        <v>3220</v>
      </c>
      <c r="J86" s="36" t="s">
        <v>3221</v>
      </c>
      <c r="K86" s="36" t="s">
        <v>3222</v>
      </c>
      <c r="L86" s="36" t="s">
        <v>3223</v>
      </c>
      <c r="M86" s="36" t="s">
        <v>3224</v>
      </c>
      <c r="N86" s="36" t="s">
        <v>3225</v>
      </c>
      <c r="O86" s="36" t="s">
        <v>3226</v>
      </c>
      <c r="P86" s="36" t="s">
        <v>3213</v>
      </c>
    </row>
    <row r="87" spans="1:16">
      <c r="A87" s="132">
        <v>86</v>
      </c>
      <c r="B87" s="36" t="s">
        <v>3227</v>
      </c>
      <c r="C87" s="36" t="s">
        <v>3228</v>
      </c>
      <c r="D87" s="36" t="s">
        <v>3227</v>
      </c>
      <c r="E87" s="36" t="s">
        <v>3228</v>
      </c>
      <c r="F87" s="36" t="s">
        <v>3228</v>
      </c>
      <c r="G87" s="36" t="s">
        <v>3228</v>
      </c>
      <c r="H87" s="36" t="s">
        <v>3228</v>
      </c>
      <c r="I87" s="36" t="s">
        <v>3228</v>
      </c>
      <c r="J87" s="36" t="s">
        <v>3228</v>
      </c>
      <c r="K87" s="36" t="s">
        <v>3228</v>
      </c>
      <c r="L87" s="36" t="s">
        <v>3228</v>
      </c>
      <c r="M87" s="36" t="s">
        <v>3228</v>
      </c>
      <c r="N87" s="36" t="s">
        <v>3227</v>
      </c>
      <c r="O87" s="36" t="s">
        <v>3227</v>
      </c>
      <c r="P87" s="36" t="s">
        <v>3227</v>
      </c>
    </row>
    <row r="88" spans="1:16">
      <c r="A88" s="132">
        <v>87</v>
      </c>
      <c r="B88" s="36" t="s">
        <v>3229</v>
      </c>
      <c r="C88" s="36" t="s">
        <v>3230</v>
      </c>
      <c r="D88" s="36" t="s">
        <v>3229</v>
      </c>
      <c r="E88" s="36" t="s">
        <v>3230</v>
      </c>
      <c r="F88" s="36" t="s">
        <v>3231</v>
      </c>
      <c r="G88" s="36" t="s">
        <v>3231</v>
      </c>
      <c r="H88" s="36" t="s">
        <v>3231</v>
      </c>
      <c r="I88" s="36" t="s">
        <v>3231</v>
      </c>
      <c r="J88" s="36" t="s">
        <v>3231</v>
      </c>
      <c r="K88" s="36" t="s">
        <v>3231</v>
      </c>
      <c r="L88" s="36" t="s">
        <v>3231</v>
      </c>
      <c r="M88" s="36" t="s">
        <v>3231</v>
      </c>
      <c r="N88" s="36" t="s">
        <v>3231</v>
      </c>
      <c r="O88" s="36" t="s">
        <v>3231</v>
      </c>
      <c r="P88" s="36" t="s">
        <v>3229</v>
      </c>
    </row>
    <row r="89" spans="1:16">
      <c r="A89" s="132">
        <v>88</v>
      </c>
      <c r="B89" s="36" t="s">
        <v>3232</v>
      </c>
      <c r="C89" s="36" t="s">
        <v>3233</v>
      </c>
      <c r="D89" s="36" t="s">
        <v>3232</v>
      </c>
      <c r="E89" s="36" t="s">
        <v>3233</v>
      </c>
      <c r="F89" s="36" t="s">
        <v>3234</v>
      </c>
      <c r="G89" s="36" t="s">
        <v>3234</v>
      </c>
      <c r="H89" s="36" t="s">
        <v>3234</v>
      </c>
      <c r="I89" s="36" t="s">
        <v>3234</v>
      </c>
      <c r="J89" s="36" t="s">
        <v>3234</v>
      </c>
      <c r="K89" s="36" t="s">
        <v>3234</v>
      </c>
      <c r="L89" s="36" t="s">
        <v>3234</v>
      </c>
      <c r="M89" s="36" t="s">
        <v>3234</v>
      </c>
      <c r="N89" s="36" t="s">
        <v>3234</v>
      </c>
      <c r="O89" s="36" t="s">
        <v>3234</v>
      </c>
      <c r="P89" s="36" t="s">
        <v>3232</v>
      </c>
    </row>
    <row r="90" spans="1:16">
      <c r="A90" s="132">
        <v>89</v>
      </c>
      <c r="B90" s="36" t="s">
        <v>3235</v>
      </c>
      <c r="C90" s="36" t="s">
        <v>3236</v>
      </c>
      <c r="D90" s="36" t="s">
        <v>3235</v>
      </c>
      <c r="E90" s="36" t="s">
        <v>3236</v>
      </c>
      <c r="F90" s="36" t="s">
        <v>3237</v>
      </c>
      <c r="G90" s="36" t="s">
        <v>3237</v>
      </c>
      <c r="H90" s="36" t="s">
        <v>3237</v>
      </c>
      <c r="I90" s="36" t="s">
        <v>3237</v>
      </c>
      <c r="J90" s="36" t="s">
        <v>3236</v>
      </c>
      <c r="K90" s="36" t="s">
        <v>3237</v>
      </c>
      <c r="L90" s="36" t="s">
        <v>3236</v>
      </c>
      <c r="M90" s="36" t="s">
        <v>3237</v>
      </c>
      <c r="N90" s="36" t="s">
        <v>3237</v>
      </c>
      <c r="O90" s="36" t="s">
        <v>3237</v>
      </c>
      <c r="P90" s="36" t="s">
        <v>3235</v>
      </c>
    </row>
    <row r="91" spans="1:16">
      <c r="A91" s="132">
        <v>90</v>
      </c>
      <c r="B91" s="36" t="s">
        <v>1638</v>
      </c>
      <c r="C91" s="36" t="s">
        <v>1032</v>
      </c>
      <c r="D91" s="36" t="s">
        <v>1638</v>
      </c>
      <c r="E91" s="36" t="s">
        <v>1032</v>
      </c>
      <c r="F91" s="36" t="s">
        <v>1032</v>
      </c>
      <c r="G91" s="36" t="s">
        <v>1032</v>
      </c>
      <c r="H91" s="36" t="s">
        <v>1032</v>
      </c>
      <c r="I91" s="36" t="s">
        <v>1032</v>
      </c>
      <c r="J91" s="36" t="s">
        <v>1032</v>
      </c>
      <c r="K91" s="36" t="s">
        <v>1032</v>
      </c>
      <c r="L91" s="36" t="s">
        <v>1032</v>
      </c>
      <c r="M91" s="36" t="s">
        <v>1032</v>
      </c>
      <c r="N91" s="36" t="s">
        <v>1032</v>
      </c>
      <c r="O91" s="36" t="s">
        <v>1638</v>
      </c>
      <c r="P91" s="36" t="s">
        <v>1638</v>
      </c>
    </row>
    <row r="92" spans="1:16">
      <c r="A92" s="132">
        <v>91</v>
      </c>
      <c r="B92" s="36" t="s">
        <v>3238</v>
      </c>
      <c r="C92" s="36" t="s">
        <v>3239</v>
      </c>
      <c r="D92" s="36" t="s">
        <v>3238</v>
      </c>
      <c r="E92" s="36" t="s">
        <v>3240</v>
      </c>
      <c r="F92" s="36" t="s">
        <v>3240</v>
      </c>
      <c r="G92" s="36" t="s">
        <v>3239</v>
      </c>
      <c r="H92" s="36" t="s">
        <v>3239</v>
      </c>
      <c r="I92" s="36" t="s">
        <v>3239</v>
      </c>
      <c r="J92" s="36" t="s">
        <v>3241</v>
      </c>
      <c r="K92" s="36" t="s">
        <v>3240</v>
      </c>
      <c r="L92" s="36" t="s">
        <v>3241</v>
      </c>
      <c r="M92" s="36" t="s">
        <v>3239</v>
      </c>
      <c r="N92" s="36" t="s">
        <v>3242</v>
      </c>
      <c r="O92" s="36" t="s">
        <v>3238</v>
      </c>
      <c r="P92" s="36" t="s">
        <v>3238</v>
      </c>
    </row>
    <row r="93" spans="1:16">
      <c r="A93" s="132">
        <v>92</v>
      </c>
      <c r="B93" s="36" t="s">
        <v>3243</v>
      </c>
      <c r="C93" s="36" t="s">
        <v>3244</v>
      </c>
      <c r="D93" s="36" t="s">
        <v>3243</v>
      </c>
      <c r="E93" s="36" t="s">
        <v>3245</v>
      </c>
      <c r="F93" s="36" t="s">
        <v>3245</v>
      </c>
      <c r="G93" s="36" t="s">
        <v>3244</v>
      </c>
      <c r="H93" s="36" t="s">
        <v>3244</v>
      </c>
      <c r="I93" s="36" t="s">
        <v>3244</v>
      </c>
      <c r="J93" s="36" t="s">
        <v>3244</v>
      </c>
      <c r="K93" s="36" t="s">
        <v>3245</v>
      </c>
      <c r="L93" s="36" t="s">
        <v>3244</v>
      </c>
      <c r="M93" s="36" t="s">
        <v>3244</v>
      </c>
      <c r="N93" s="36" t="s">
        <v>3244</v>
      </c>
      <c r="O93" s="36" t="s">
        <v>3243</v>
      </c>
      <c r="P93" s="36" t="s">
        <v>3243</v>
      </c>
    </row>
    <row r="94" spans="1:16">
      <c r="A94" s="132">
        <v>93</v>
      </c>
      <c r="B94" s="36" t="s">
        <v>3246</v>
      </c>
      <c r="C94" s="36" t="s">
        <v>3247</v>
      </c>
      <c r="D94" s="36" t="s">
        <v>3248</v>
      </c>
      <c r="E94" s="36" t="s">
        <v>3249</v>
      </c>
      <c r="F94" s="36" t="s">
        <v>3250</v>
      </c>
      <c r="G94" s="36" t="s">
        <v>3251</v>
      </c>
      <c r="H94" s="36" t="s">
        <v>3252</v>
      </c>
      <c r="I94" s="36" t="s">
        <v>3253</v>
      </c>
      <c r="J94" s="36" t="s">
        <v>3254</v>
      </c>
      <c r="K94" s="36" t="s">
        <v>3255</v>
      </c>
      <c r="L94" s="36" t="s">
        <v>3256</v>
      </c>
      <c r="M94" s="36" t="s">
        <v>3257</v>
      </c>
      <c r="N94" s="36" t="s">
        <v>3258</v>
      </c>
      <c r="O94" s="36" t="s">
        <v>3259</v>
      </c>
      <c r="P94" s="36" t="s">
        <v>3246</v>
      </c>
    </row>
    <row r="95" spans="1:16">
      <c r="A95" s="132">
        <v>94</v>
      </c>
      <c r="B95" s="36" t="s">
        <v>3260</v>
      </c>
      <c r="C95" s="36" t="s">
        <v>3261</v>
      </c>
      <c r="D95" s="36" t="s">
        <v>3262</v>
      </c>
      <c r="E95" s="36" t="s">
        <v>3263</v>
      </c>
      <c r="F95" s="36" t="s">
        <v>3264</v>
      </c>
      <c r="G95" s="36" t="s">
        <v>3265</v>
      </c>
      <c r="H95" s="36" t="s">
        <v>3266</v>
      </c>
      <c r="I95" s="36" t="s">
        <v>3267</v>
      </c>
      <c r="J95" s="36" t="s">
        <v>3268</v>
      </c>
      <c r="K95" s="36" t="s">
        <v>3269</v>
      </c>
      <c r="L95" s="36" t="s">
        <v>3270</v>
      </c>
      <c r="M95" s="36" t="s">
        <v>3271</v>
      </c>
      <c r="N95" s="36" t="s">
        <v>3272</v>
      </c>
      <c r="O95" s="36" t="s">
        <v>3273</v>
      </c>
      <c r="P95" s="36" t="s">
        <v>3260</v>
      </c>
    </row>
    <row r="96" spans="1:16">
      <c r="A96" s="132">
        <v>95</v>
      </c>
      <c r="B96" s="36" t="s">
        <v>3274</v>
      </c>
      <c r="C96" s="36" t="s">
        <v>3275</v>
      </c>
      <c r="D96" s="36" t="s">
        <v>3274</v>
      </c>
      <c r="E96" s="36" t="s">
        <v>3276</v>
      </c>
      <c r="F96" s="36" t="s">
        <v>3276</v>
      </c>
      <c r="G96" s="36" t="s">
        <v>3275</v>
      </c>
      <c r="H96" s="36" t="s">
        <v>3275</v>
      </c>
      <c r="I96" s="36" t="s">
        <v>3275</v>
      </c>
      <c r="J96" s="36" t="s">
        <v>3275</v>
      </c>
      <c r="K96" s="36" t="s">
        <v>3276</v>
      </c>
      <c r="L96" s="36" t="s">
        <v>3275</v>
      </c>
      <c r="M96" s="36" t="s">
        <v>3275</v>
      </c>
      <c r="N96" s="36" t="s">
        <v>3275</v>
      </c>
      <c r="O96" s="36" t="s">
        <v>3274</v>
      </c>
      <c r="P96" s="36" t="s">
        <v>3274</v>
      </c>
    </row>
    <row r="97" spans="1:16">
      <c r="A97" s="132">
        <v>96</v>
      </c>
      <c r="B97" s="36" t="s">
        <v>2088</v>
      </c>
      <c r="C97" s="36" t="s">
        <v>3277</v>
      </c>
      <c r="D97" s="36" t="s">
        <v>2088</v>
      </c>
      <c r="E97" s="36" t="s">
        <v>3278</v>
      </c>
      <c r="F97" s="36" t="s">
        <v>3278</v>
      </c>
      <c r="G97" s="36" t="s">
        <v>3277</v>
      </c>
      <c r="H97" s="36" t="s">
        <v>3279</v>
      </c>
      <c r="I97" s="36" t="s">
        <v>1461</v>
      </c>
      <c r="J97" s="36" t="s">
        <v>1461</v>
      </c>
      <c r="K97" s="36" t="s">
        <v>3278</v>
      </c>
      <c r="L97" s="36" t="s">
        <v>1461</v>
      </c>
      <c r="M97" s="36" t="s">
        <v>1461</v>
      </c>
      <c r="N97" s="36" t="s">
        <v>3280</v>
      </c>
      <c r="O97" s="36" t="s">
        <v>2088</v>
      </c>
      <c r="P97" s="36" t="s">
        <v>2088</v>
      </c>
    </row>
    <row r="98" spans="1:16">
      <c r="A98" s="132">
        <v>97</v>
      </c>
      <c r="B98" s="36" t="s">
        <v>2089</v>
      </c>
      <c r="C98" s="36" t="s">
        <v>3281</v>
      </c>
      <c r="D98" s="36" t="s">
        <v>2089</v>
      </c>
      <c r="E98" s="36" t="s">
        <v>3282</v>
      </c>
      <c r="F98" s="36" t="s">
        <v>3282</v>
      </c>
      <c r="G98" s="36" t="s">
        <v>3281</v>
      </c>
      <c r="H98" s="36" t="s">
        <v>3283</v>
      </c>
      <c r="I98" s="36" t="s">
        <v>3283</v>
      </c>
      <c r="J98" s="36" t="s">
        <v>3283</v>
      </c>
      <c r="K98" s="36" t="s">
        <v>3282</v>
      </c>
      <c r="L98" s="36" t="s">
        <v>3283</v>
      </c>
      <c r="M98" s="36" t="s">
        <v>3283</v>
      </c>
      <c r="N98" s="36" t="s">
        <v>3283</v>
      </c>
      <c r="O98" s="36" t="s">
        <v>2089</v>
      </c>
      <c r="P98" s="36" t="s">
        <v>2089</v>
      </c>
    </row>
    <row r="99" spans="1:16">
      <c r="A99" s="132">
        <v>98</v>
      </c>
      <c r="B99" s="36" t="s">
        <v>3284</v>
      </c>
      <c r="C99" s="36" t="s">
        <v>3285</v>
      </c>
      <c r="D99" s="36" t="s">
        <v>3286</v>
      </c>
      <c r="E99" s="36" t="s">
        <v>3287</v>
      </c>
      <c r="F99" s="36" t="s">
        <v>3288</v>
      </c>
      <c r="G99" s="36" t="s">
        <v>3289</v>
      </c>
      <c r="H99" s="36" t="s">
        <v>3290</v>
      </c>
      <c r="I99" s="36" t="s">
        <v>3291</v>
      </c>
      <c r="J99" s="36" t="s">
        <v>3292</v>
      </c>
      <c r="K99" s="36" t="s">
        <v>3293</v>
      </c>
      <c r="L99" s="36" t="s">
        <v>3294</v>
      </c>
      <c r="M99" s="36" t="s">
        <v>3295</v>
      </c>
      <c r="N99" s="36" t="s">
        <v>3296</v>
      </c>
      <c r="O99" s="36" t="s">
        <v>3297</v>
      </c>
      <c r="P99" s="36" t="s">
        <v>3284</v>
      </c>
    </row>
    <row r="100" spans="1:16">
      <c r="A100" s="132">
        <v>99</v>
      </c>
      <c r="B100" s="36" t="s">
        <v>3298</v>
      </c>
      <c r="C100" s="36" t="s">
        <v>3299</v>
      </c>
      <c r="D100" s="36" t="s">
        <v>3300</v>
      </c>
      <c r="E100" s="36" t="s">
        <v>3301</v>
      </c>
      <c r="F100" s="36" t="s">
        <v>3302</v>
      </c>
      <c r="G100" s="36" t="s">
        <v>3303</v>
      </c>
      <c r="H100" s="36" t="s">
        <v>3304</v>
      </c>
      <c r="I100" s="36" t="s">
        <v>3305</v>
      </c>
      <c r="J100" s="36" t="s">
        <v>3306</v>
      </c>
      <c r="K100" s="36" t="s">
        <v>3307</v>
      </c>
      <c r="L100" s="36" t="s">
        <v>3308</v>
      </c>
      <c r="M100" s="36" t="s">
        <v>3309</v>
      </c>
      <c r="N100" s="36" t="s">
        <v>3310</v>
      </c>
      <c r="O100" s="36" t="s">
        <v>3311</v>
      </c>
      <c r="P100" s="36" t="s">
        <v>3298</v>
      </c>
    </row>
    <row r="101" spans="1:16">
      <c r="A101" s="132">
        <v>100</v>
      </c>
      <c r="B101" s="36" t="s">
        <v>3312</v>
      </c>
      <c r="C101" s="36" t="s">
        <v>3313</v>
      </c>
      <c r="D101" s="36" t="s">
        <v>3314</v>
      </c>
      <c r="E101" s="36" t="s">
        <v>3315</v>
      </c>
      <c r="F101" s="36" t="s">
        <v>3316</v>
      </c>
      <c r="G101" s="36" t="s">
        <v>3317</v>
      </c>
      <c r="H101" s="36" t="s">
        <v>3318</v>
      </c>
      <c r="I101" s="36" t="s">
        <v>3319</v>
      </c>
      <c r="J101" s="36" t="s">
        <v>3320</v>
      </c>
      <c r="K101" s="36" t="s">
        <v>3321</v>
      </c>
      <c r="L101" s="36" t="s">
        <v>3322</v>
      </c>
      <c r="M101" s="36" t="s">
        <v>3323</v>
      </c>
      <c r="N101" s="36" t="s">
        <v>3324</v>
      </c>
      <c r="O101" s="36" t="s">
        <v>3325</v>
      </c>
      <c r="P101" s="36" t="s">
        <v>3312</v>
      </c>
    </row>
    <row r="102" spans="1:16">
      <c r="A102" s="132">
        <v>101</v>
      </c>
      <c r="B102" s="36" t="s">
        <v>3326</v>
      </c>
      <c r="C102" s="36" t="s">
        <v>3327</v>
      </c>
      <c r="D102" s="36" t="s">
        <v>3328</v>
      </c>
      <c r="E102" s="36" t="s">
        <v>3329</v>
      </c>
      <c r="F102" s="36" t="s">
        <v>3330</v>
      </c>
      <c r="G102" s="36" t="s">
        <v>3331</v>
      </c>
      <c r="H102" s="36" t="s">
        <v>3332</v>
      </c>
      <c r="I102" s="36" t="s">
        <v>3333</v>
      </c>
      <c r="J102" s="36" t="s">
        <v>3334</v>
      </c>
      <c r="K102" s="36" t="s">
        <v>3335</v>
      </c>
      <c r="L102" s="36" t="s">
        <v>3336</v>
      </c>
      <c r="M102" s="36" t="s">
        <v>3337</v>
      </c>
      <c r="N102" s="36" t="s">
        <v>3338</v>
      </c>
      <c r="O102" s="36" t="s">
        <v>3339</v>
      </c>
      <c r="P102" s="36" t="s">
        <v>3326</v>
      </c>
    </row>
    <row r="103" spans="1:16">
      <c r="A103" s="132">
        <v>102</v>
      </c>
      <c r="B103" s="36" t="s">
        <v>3260</v>
      </c>
      <c r="C103" s="36" t="s">
        <v>3261</v>
      </c>
      <c r="D103" s="36" t="s">
        <v>3262</v>
      </c>
      <c r="E103" s="36" t="s">
        <v>3263</v>
      </c>
      <c r="F103" s="36" t="s">
        <v>3264</v>
      </c>
      <c r="G103" s="36" t="s">
        <v>3265</v>
      </c>
      <c r="H103" s="36" t="s">
        <v>3266</v>
      </c>
      <c r="I103" s="36" t="s">
        <v>3267</v>
      </c>
      <c r="J103" s="36" t="s">
        <v>3268</v>
      </c>
      <c r="K103" s="36" t="s">
        <v>3269</v>
      </c>
      <c r="L103" s="36" t="s">
        <v>3270</v>
      </c>
      <c r="M103" s="36" t="s">
        <v>3271</v>
      </c>
      <c r="N103" s="36" t="s">
        <v>3272</v>
      </c>
      <c r="O103" s="36" t="s">
        <v>3273</v>
      </c>
      <c r="P103" s="36" t="s">
        <v>3260</v>
      </c>
    </row>
    <row r="104" spans="1:16">
      <c r="A104" s="132">
        <v>103</v>
      </c>
      <c r="B104" s="36" t="s">
        <v>3340</v>
      </c>
      <c r="C104" s="36" t="s">
        <v>3341</v>
      </c>
      <c r="D104" s="36" t="s">
        <v>3340</v>
      </c>
      <c r="E104" s="36" t="s">
        <v>3342</v>
      </c>
      <c r="F104" s="36" t="s">
        <v>3342</v>
      </c>
      <c r="G104" s="36" t="s">
        <v>3341</v>
      </c>
      <c r="H104" s="36" t="s">
        <v>3341</v>
      </c>
      <c r="I104" s="36" t="s">
        <v>3341</v>
      </c>
      <c r="J104" s="36" t="s">
        <v>3343</v>
      </c>
      <c r="K104" s="36" t="s">
        <v>3342</v>
      </c>
      <c r="L104" s="36" t="s">
        <v>3343</v>
      </c>
      <c r="M104" s="36" t="s">
        <v>3341</v>
      </c>
      <c r="N104" s="36" t="s">
        <v>3344</v>
      </c>
      <c r="O104" s="36" t="s">
        <v>3340</v>
      </c>
      <c r="P104" s="36" t="s">
        <v>3340</v>
      </c>
    </row>
    <row r="105" spans="1:16">
      <c r="A105" s="132">
        <v>104</v>
      </c>
      <c r="B105" s="36" t="s">
        <v>3345</v>
      </c>
      <c r="C105" s="36" t="s">
        <v>3346</v>
      </c>
      <c r="D105" s="36" t="s">
        <v>3345</v>
      </c>
      <c r="E105" s="36" t="s">
        <v>3346</v>
      </c>
      <c r="F105" s="36" t="s">
        <v>3347</v>
      </c>
      <c r="G105" s="36" t="s">
        <v>3347</v>
      </c>
      <c r="H105" s="36" t="s">
        <v>3347</v>
      </c>
      <c r="I105" s="36" t="s">
        <v>3347</v>
      </c>
      <c r="J105" s="36" t="s">
        <v>3347</v>
      </c>
      <c r="K105" s="36" t="s">
        <v>3347</v>
      </c>
      <c r="L105" s="36" t="s">
        <v>3347</v>
      </c>
      <c r="M105" s="36" t="s">
        <v>3347</v>
      </c>
      <c r="N105" s="36" t="s">
        <v>3347</v>
      </c>
      <c r="O105" s="36" t="s">
        <v>3347</v>
      </c>
      <c r="P105" s="36" t="s">
        <v>3345</v>
      </c>
    </row>
    <row r="106" spans="1:16">
      <c r="A106" s="132">
        <v>105</v>
      </c>
      <c r="B106" s="36" t="s">
        <v>3348</v>
      </c>
      <c r="C106" s="36" t="s">
        <v>3349</v>
      </c>
      <c r="D106" s="36" t="s">
        <v>3348</v>
      </c>
      <c r="E106" s="36" t="s">
        <v>3349</v>
      </c>
      <c r="F106" s="36" t="s">
        <v>3350</v>
      </c>
      <c r="G106" s="36" t="s">
        <v>3350</v>
      </c>
      <c r="H106" s="36" t="s">
        <v>3350</v>
      </c>
      <c r="I106" s="36" t="s">
        <v>3350</v>
      </c>
      <c r="J106" s="36" t="s">
        <v>3350</v>
      </c>
      <c r="K106" s="36" t="s">
        <v>3350</v>
      </c>
      <c r="L106" s="36" t="s">
        <v>3350</v>
      </c>
      <c r="M106" s="36" t="s">
        <v>3350</v>
      </c>
      <c r="N106" s="36" t="s">
        <v>3350</v>
      </c>
      <c r="O106" s="36" t="s">
        <v>3350</v>
      </c>
      <c r="P106" s="36" t="s">
        <v>3348</v>
      </c>
    </row>
    <row r="107" spans="1:16">
      <c r="A107" s="132">
        <v>106</v>
      </c>
      <c r="B107" s="36" t="s">
        <v>3351</v>
      </c>
      <c r="C107" s="36" t="s">
        <v>3352</v>
      </c>
      <c r="D107" s="36" t="s">
        <v>3351</v>
      </c>
      <c r="E107" s="36" t="s">
        <v>3353</v>
      </c>
      <c r="F107" s="36" t="s">
        <v>3353</v>
      </c>
      <c r="G107" s="36" t="s">
        <v>3352</v>
      </c>
      <c r="H107" s="36" t="s">
        <v>3352</v>
      </c>
      <c r="I107" s="36" t="s">
        <v>3352</v>
      </c>
      <c r="J107" s="36" t="s">
        <v>3352</v>
      </c>
      <c r="K107" s="36" t="s">
        <v>3353</v>
      </c>
      <c r="L107" s="36" t="s">
        <v>3352</v>
      </c>
      <c r="M107" s="36" t="s">
        <v>3352</v>
      </c>
      <c r="N107" s="36" t="s">
        <v>3352</v>
      </c>
      <c r="O107" s="36" t="s">
        <v>3351</v>
      </c>
      <c r="P107" s="36" t="s">
        <v>3351</v>
      </c>
    </row>
    <row r="108" spans="1:16">
      <c r="A108" s="132">
        <v>107</v>
      </c>
      <c r="B108" s="36" t="s">
        <v>3354</v>
      </c>
      <c r="C108" s="36" t="s">
        <v>3355</v>
      </c>
      <c r="D108" s="36" t="s">
        <v>3354</v>
      </c>
      <c r="E108" s="36" t="s">
        <v>3355</v>
      </c>
      <c r="F108" s="36" t="s">
        <v>3356</v>
      </c>
      <c r="G108" s="36" t="s">
        <v>3356</v>
      </c>
      <c r="H108" s="36" t="s">
        <v>3356</v>
      </c>
      <c r="I108" s="36" t="s">
        <v>3355</v>
      </c>
      <c r="J108" s="36" t="s">
        <v>3355</v>
      </c>
      <c r="K108" s="36" t="s">
        <v>3356</v>
      </c>
      <c r="L108" s="36" t="s">
        <v>3356</v>
      </c>
      <c r="M108" s="36" t="s">
        <v>3356</v>
      </c>
      <c r="N108" s="36" t="s">
        <v>3356</v>
      </c>
      <c r="O108" s="36" t="s">
        <v>3356</v>
      </c>
      <c r="P108" s="36" t="s">
        <v>3354</v>
      </c>
    </row>
    <row r="109" spans="1:16">
      <c r="A109" s="132">
        <v>108</v>
      </c>
      <c r="B109" s="36" t="s">
        <v>3357</v>
      </c>
      <c r="C109" s="36" t="s">
        <v>3358</v>
      </c>
      <c r="D109" s="36" t="s">
        <v>3359</v>
      </c>
      <c r="E109" s="36" t="s">
        <v>3360</v>
      </c>
      <c r="F109" s="36" t="s">
        <v>3361</v>
      </c>
      <c r="G109" s="36" t="s">
        <v>3362</v>
      </c>
      <c r="H109" s="36" t="s">
        <v>3363</v>
      </c>
      <c r="I109" s="36" t="s">
        <v>3364</v>
      </c>
      <c r="J109" s="36" t="s">
        <v>3365</v>
      </c>
      <c r="K109" s="36" t="s">
        <v>3366</v>
      </c>
      <c r="L109" s="36" t="s">
        <v>3367</v>
      </c>
      <c r="M109" s="36" t="s">
        <v>3368</v>
      </c>
      <c r="N109" s="36" t="s">
        <v>3368</v>
      </c>
      <c r="O109" s="36" t="s">
        <v>3369</v>
      </c>
      <c r="P109" s="36" t="s">
        <v>3357</v>
      </c>
    </row>
    <row r="110" spans="1:16">
      <c r="A110" s="132">
        <v>109</v>
      </c>
      <c r="B110" s="36" t="s">
        <v>3370</v>
      </c>
      <c r="C110" s="36" t="s">
        <v>3371</v>
      </c>
      <c r="D110" s="36" t="s">
        <v>3372</v>
      </c>
      <c r="E110" s="36" t="s">
        <v>3373</v>
      </c>
      <c r="F110" s="36" t="s">
        <v>3374</v>
      </c>
      <c r="G110" s="36" t="s">
        <v>3375</v>
      </c>
      <c r="H110" s="36" t="s">
        <v>3376</v>
      </c>
      <c r="I110" s="36" t="s">
        <v>3377</v>
      </c>
      <c r="J110" s="36" t="s">
        <v>3378</v>
      </c>
      <c r="K110" s="36" t="s">
        <v>3379</v>
      </c>
      <c r="L110" s="36" t="s">
        <v>3380</v>
      </c>
      <c r="M110" s="36" t="s">
        <v>3380</v>
      </c>
      <c r="N110" s="36" t="s">
        <v>3380</v>
      </c>
      <c r="O110" s="36" t="s">
        <v>3381</v>
      </c>
      <c r="P110" s="36" t="s">
        <v>3370</v>
      </c>
    </row>
    <row r="111" spans="1:16">
      <c r="A111" s="132">
        <v>110</v>
      </c>
      <c r="B111" s="36" t="s">
        <v>3382</v>
      </c>
      <c r="C111" s="36" t="s">
        <v>3383</v>
      </c>
      <c r="D111" s="36" t="s">
        <v>3384</v>
      </c>
      <c r="E111" s="36" t="s">
        <v>3385</v>
      </c>
      <c r="F111" s="36" t="s">
        <v>3386</v>
      </c>
      <c r="G111" s="36" t="s">
        <v>3387</v>
      </c>
      <c r="H111" s="36" t="s">
        <v>3388</v>
      </c>
      <c r="I111" s="36" t="s">
        <v>3389</v>
      </c>
      <c r="J111" s="36" t="s">
        <v>3390</v>
      </c>
      <c r="K111" s="36" t="s">
        <v>3391</v>
      </c>
      <c r="L111" s="36" t="s">
        <v>3392</v>
      </c>
      <c r="M111" s="36" t="s">
        <v>3392</v>
      </c>
      <c r="N111" s="36" t="s">
        <v>3393</v>
      </c>
      <c r="O111" s="36" t="s">
        <v>3394</v>
      </c>
      <c r="P111" s="36" t="s">
        <v>3382</v>
      </c>
    </row>
    <row r="112" spans="1:16">
      <c r="A112" s="132">
        <v>111</v>
      </c>
      <c r="B112" s="36" t="s">
        <v>3395</v>
      </c>
      <c r="C112" s="36" t="s">
        <v>106</v>
      </c>
      <c r="D112" s="36" t="s">
        <v>106</v>
      </c>
      <c r="E112" s="36" t="s">
        <v>3396</v>
      </c>
      <c r="F112" s="36" t="s">
        <v>3397</v>
      </c>
      <c r="G112" s="36" t="s">
        <v>3398</v>
      </c>
      <c r="H112" s="36" t="s">
        <v>3397</v>
      </c>
      <c r="I112" s="36" t="s">
        <v>3399</v>
      </c>
      <c r="J112" s="36" t="s">
        <v>3400</v>
      </c>
      <c r="K112" s="36" t="s">
        <v>3401</v>
      </c>
      <c r="L112" s="36" t="s">
        <v>3400</v>
      </c>
      <c r="M112" s="36" t="s">
        <v>106</v>
      </c>
      <c r="N112" s="36" t="s">
        <v>3402</v>
      </c>
      <c r="O112" s="36" t="s">
        <v>3403</v>
      </c>
      <c r="P112" s="36" t="s">
        <v>3395</v>
      </c>
    </row>
    <row r="113" spans="1:16">
      <c r="A113" s="132">
        <v>112</v>
      </c>
      <c r="B113" s="36" t="s">
        <v>3404</v>
      </c>
      <c r="C113" s="36" t="s">
        <v>3405</v>
      </c>
      <c r="D113" s="36" t="s">
        <v>3406</v>
      </c>
      <c r="E113" s="36" t="s">
        <v>3407</v>
      </c>
      <c r="F113" s="36" t="s">
        <v>3408</v>
      </c>
      <c r="G113" s="36" t="s">
        <v>3409</v>
      </c>
      <c r="H113" s="36" t="s">
        <v>3410</v>
      </c>
      <c r="I113" s="36" t="s">
        <v>3408</v>
      </c>
      <c r="J113" s="36" t="s">
        <v>3411</v>
      </c>
      <c r="K113" s="36" t="s">
        <v>3412</v>
      </c>
      <c r="L113" s="36" t="s">
        <v>3413</v>
      </c>
      <c r="M113" s="36" t="s">
        <v>3414</v>
      </c>
      <c r="N113" s="36" t="s">
        <v>3415</v>
      </c>
      <c r="O113" s="36" t="s">
        <v>3416</v>
      </c>
      <c r="P113" s="36" t="s">
        <v>3404</v>
      </c>
    </row>
    <row r="114" spans="1:16">
      <c r="A114" s="132">
        <v>113</v>
      </c>
      <c r="B114" s="36" t="s">
        <v>3417</v>
      </c>
      <c r="C114" s="36" t="s">
        <v>3418</v>
      </c>
      <c r="D114" s="36" t="s">
        <v>3419</v>
      </c>
      <c r="E114" s="36" t="s">
        <v>3420</v>
      </c>
      <c r="F114" s="36" t="s">
        <v>3421</v>
      </c>
      <c r="G114" s="36" t="s">
        <v>3422</v>
      </c>
      <c r="H114" s="36" t="s">
        <v>3423</v>
      </c>
      <c r="I114" s="36" t="s">
        <v>3421</v>
      </c>
      <c r="J114" s="36" t="s">
        <v>3424</v>
      </c>
      <c r="K114" s="36" t="s">
        <v>3425</v>
      </c>
      <c r="L114" s="36" t="s">
        <v>3426</v>
      </c>
      <c r="M114" s="36" t="s">
        <v>3427</v>
      </c>
      <c r="N114" s="36" t="s">
        <v>3426</v>
      </c>
      <c r="O114" s="36" t="s">
        <v>3428</v>
      </c>
      <c r="P114" s="36" t="s">
        <v>3417</v>
      </c>
    </row>
    <row r="115" spans="1:16">
      <c r="A115" s="132">
        <v>114</v>
      </c>
      <c r="B115" s="36" t="s">
        <v>3429</v>
      </c>
      <c r="C115" s="36" t="s">
        <v>3430</v>
      </c>
      <c r="D115" s="36" t="s">
        <v>3429</v>
      </c>
      <c r="E115" s="36" t="s">
        <v>3431</v>
      </c>
      <c r="F115" s="36" t="s">
        <v>3431</v>
      </c>
      <c r="G115" s="36" t="s">
        <v>3430</v>
      </c>
      <c r="H115" s="36" t="s">
        <v>3432</v>
      </c>
      <c r="I115" s="36" t="s">
        <v>3432</v>
      </c>
      <c r="J115" s="36" t="s">
        <v>3432</v>
      </c>
      <c r="K115" s="36" t="s">
        <v>3431</v>
      </c>
      <c r="L115" s="36" t="s">
        <v>3432</v>
      </c>
      <c r="M115" s="36" t="s">
        <v>3432</v>
      </c>
      <c r="N115" s="36" t="s">
        <v>3432</v>
      </c>
      <c r="O115" s="36" t="s">
        <v>3429</v>
      </c>
      <c r="P115" s="36" t="s">
        <v>3429</v>
      </c>
    </row>
    <row r="116" spans="1:16">
      <c r="A116" s="132">
        <v>115</v>
      </c>
      <c r="B116" s="36" t="s">
        <v>3433</v>
      </c>
      <c r="C116" s="36" t="s">
        <v>3434</v>
      </c>
      <c r="D116" s="36" t="s">
        <v>3435</v>
      </c>
      <c r="E116" s="36" t="s">
        <v>3436</v>
      </c>
      <c r="F116" s="36" t="s">
        <v>3437</v>
      </c>
      <c r="G116" s="36" t="s">
        <v>3438</v>
      </c>
      <c r="H116" s="36" t="s">
        <v>3439</v>
      </c>
      <c r="I116" s="36" t="s">
        <v>3440</v>
      </c>
      <c r="J116" s="36" t="s">
        <v>3441</v>
      </c>
      <c r="K116" s="36" t="s">
        <v>3442</v>
      </c>
      <c r="L116" s="36" t="s">
        <v>3443</v>
      </c>
      <c r="M116" s="36" t="s">
        <v>3444</v>
      </c>
      <c r="N116" s="36" t="s">
        <v>3445</v>
      </c>
      <c r="O116" s="36" t="s">
        <v>3446</v>
      </c>
      <c r="P116" s="36" t="s">
        <v>3433</v>
      </c>
    </row>
    <row r="117" spans="1:16">
      <c r="A117" s="132">
        <v>116</v>
      </c>
      <c r="B117" s="36" t="s">
        <v>3447</v>
      </c>
      <c r="C117" s="36" t="s">
        <v>3448</v>
      </c>
      <c r="D117" s="36" t="s">
        <v>3449</v>
      </c>
      <c r="E117" s="36" t="s">
        <v>3450</v>
      </c>
      <c r="F117" s="36" t="s">
        <v>3451</v>
      </c>
      <c r="G117" s="36" t="s">
        <v>3452</v>
      </c>
      <c r="H117" s="36" t="s">
        <v>3453</v>
      </c>
      <c r="I117" s="36" t="s">
        <v>3454</v>
      </c>
      <c r="J117" s="36" t="s">
        <v>3455</v>
      </c>
      <c r="K117" s="36" t="s">
        <v>3456</v>
      </c>
      <c r="L117" s="36" t="s">
        <v>3457</v>
      </c>
      <c r="M117" s="36" t="s">
        <v>3458</v>
      </c>
      <c r="N117" s="36" t="s">
        <v>3459</v>
      </c>
      <c r="O117" s="36" t="s">
        <v>3460</v>
      </c>
      <c r="P117" s="36" t="s">
        <v>3447</v>
      </c>
    </row>
    <row r="118" spans="1:16">
      <c r="A118" s="132">
        <v>117</v>
      </c>
      <c r="B118" s="36" t="s">
        <v>3461</v>
      </c>
      <c r="C118" s="36" t="s">
        <v>3462</v>
      </c>
      <c r="D118" s="36" t="s">
        <v>3463</v>
      </c>
      <c r="E118" s="36" t="s">
        <v>3464</v>
      </c>
      <c r="F118" s="36" t="s">
        <v>3465</v>
      </c>
      <c r="G118" s="36" t="s">
        <v>3466</v>
      </c>
      <c r="H118" s="36" t="s">
        <v>3467</v>
      </c>
      <c r="I118" s="36" t="s">
        <v>3468</v>
      </c>
      <c r="J118" s="36" t="s">
        <v>3469</v>
      </c>
      <c r="K118" s="36" t="s">
        <v>3470</v>
      </c>
      <c r="L118" s="36" t="s">
        <v>3471</v>
      </c>
      <c r="M118" s="36" t="s">
        <v>3472</v>
      </c>
      <c r="N118" s="36" t="s">
        <v>3473</v>
      </c>
      <c r="O118" s="36" t="s">
        <v>3474</v>
      </c>
      <c r="P118" s="36" t="s">
        <v>3461</v>
      </c>
    </row>
    <row r="119" spans="1:16">
      <c r="A119" s="132">
        <v>118</v>
      </c>
      <c r="B119" s="36" t="s">
        <v>3475</v>
      </c>
      <c r="C119" s="36" t="s">
        <v>3476</v>
      </c>
      <c r="D119" s="36" t="s">
        <v>3477</v>
      </c>
      <c r="E119" s="36" t="s">
        <v>3478</v>
      </c>
      <c r="F119" s="36" t="s">
        <v>3479</v>
      </c>
      <c r="G119" s="36" t="s">
        <v>3480</v>
      </c>
      <c r="H119" s="36" t="s">
        <v>3481</v>
      </c>
      <c r="I119" s="36" t="s">
        <v>3482</v>
      </c>
      <c r="J119" s="36" t="s">
        <v>3483</v>
      </c>
      <c r="K119" s="36" t="s">
        <v>3484</v>
      </c>
      <c r="L119" s="36" t="s">
        <v>3485</v>
      </c>
      <c r="M119" s="36" t="s">
        <v>3486</v>
      </c>
      <c r="N119" s="36" t="s">
        <v>3487</v>
      </c>
      <c r="O119" s="36" t="s">
        <v>3488</v>
      </c>
      <c r="P119" s="36" t="s">
        <v>3475</v>
      </c>
    </row>
    <row r="120" spans="1:16">
      <c r="A120" s="132">
        <v>119</v>
      </c>
      <c r="B120" s="36" t="s">
        <v>3489</v>
      </c>
      <c r="C120" s="36" t="s">
        <v>3490</v>
      </c>
      <c r="D120" s="36" t="s">
        <v>3491</v>
      </c>
      <c r="E120" s="36" t="s">
        <v>3492</v>
      </c>
      <c r="F120" s="36" t="s">
        <v>3493</v>
      </c>
      <c r="G120" s="36" t="s">
        <v>3494</v>
      </c>
      <c r="H120" s="36" t="s">
        <v>3495</v>
      </c>
      <c r="I120" s="36" t="s">
        <v>3496</v>
      </c>
      <c r="J120" s="36" t="s">
        <v>3497</v>
      </c>
      <c r="K120" s="36" t="s">
        <v>3498</v>
      </c>
      <c r="L120" s="36" t="s">
        <v>3499</v>
      </c>
      <c r="M120" s="36" t="s">
        <v>3500</v>
      </c>
      <c r="N120" s="36" t="s">
        <v>3501</v>
      </c>
      <c r="O120" s="36" t="s">
        <v>3502</v>
      </c>
      <c r="P120" s="36" t="s">
        <v>3489</v>
      </c>
    </row>
    <row r="121" spans="1:16">
      <c r="A121" s="132">
        <v>120</v>
      </c>
      <c r="B121" s="36" t="s">
        <v>3503</v>
      </c>
      <c r="C121" s="36" t="s">
        <v>3504</v>
      </c>
      <c r="D121" s="36" t="s">
        <v>3503</v>
      </c>
      <c r="E121" s="36" t="s">
        <v>3505</v>
      </c>
      <c r="F121" s="36" t="s">
        <v>3505</v>
      </c>
      <c r="G121" s="36" t="s">
        <v>3504</v>
      </c>
      <c r="H121" s="36" t="s">
        <v>3504</v>
      </c>
      <c r="I121" s="36" t="s">
        <v>3504</v>
      </c>
      <c r="J121" s="36" t="s">
        <v>3504</v>
      </c>
      <c r="K121" s="36" t="s">
        <v>3505</v>
      </c>
      <c r="L121" s="36" t="s">
        <v>3504</v>
      </c>
      <c r="M121" s="36" t="s">
        <v>3504</v>
      </c>
      <c r="N121" s="36" t="s">
        <v>3504</v>
      </c>
      <c r="O121" s="36" t="s">
        <v>3503</v>
      </c>
      <c r="P121" s="36" t="s">
        <v>3503</v>
      </c>
    </row>
    <row r="122" spans="1:16">
      <c r="A122" s="132">
        <v>121</v>
      </c>
      <c r="B122" s="36" t="s">
        <v>3506</v>
      </c>
      <c r="C122" s="36" t="s">
        <v>3507</v>
      </c>
      <c r="D122" s="36" t="s">
        <v>3506</v>
      </c>
      <c r="E122" s="36" t="s">
        <v>3507</v>
      </c>
      <c r="F122" s="36" t="s">
        <v>3507</v>
      </c>
      <c r="G122" s="36" t="s">
        <v>3507</v>
      </c>
      <c r="H122" s="36" t="s">
        <v>3507</v>
      </c>
      <c r="I122" s="36" t="s">
        <v>3507</v>
      </c>
      <c r="J122" s="36" t="s">
        <v>3507</v>
      </c>
      <c r="K122" s="36" t="s">
        <v>3507</v>
      </c>
      <c r="L122" s="36" t="s">
        <v>3507</v>
      </c>
      <c r="M122" s="36" t="s">
        <v>3507</v>
      </c>
      <c r="N122" s="36" t="s">
        <v>3507</v>
      </c>
      <c r="O122" s="36" t="s">
        <v>3506</v>
      </c>
      <c r="P122" s="36" t="s">
        <v>3506</v>
      </c>
    </row>
    <row r="123" spans="1:16">
      <c r="A123" s="132">
        <v>122</v>
      </c>
      <c r="B123" s="36" t="s">
        <v>3508</v>
      </c>
      <c r="C123" s="36" t="s">
        <v>3509</v>
      </c>
      <c r="D123" s="36" t="s">
        <v>3510</v>
      </c>
      <c r="E123" s="36" t="s">
        <v>3511</v>
      </c>
      <c r="F123" s="36" t="s">
        <v>3511</v>
      </c>
      <c r="G123" s="36" t="s">
        <v>3509</v>
      </c>
      <c r="H123" s="36" t="s">
        <v>3512</v>
      </c>
      <c r="I123" s="36" t="s">
        <v>3512</v>
      </c>
      <c r="J123" s="36" t="s">
        <v>3513</v>
      </c>
      <c r="K123" s="36" t="s">
        <v>3511</v>
      </c>
      <c r="L123" s="36" t="s">
        <v>3512</v>
      </c>
      <c r="M123" s="36" t="s">
        <v>3512</v>
      </c>
      <c r="N123" s="36" t="s">
        <v>3514</v>
      </c>
      <c r="O123" s="36" t="s">
        <v>3508</v>
      </c>
      <c r="P123" s="36" t="s">
        <v>3508</v>
      </c>
    </row>
    <row r="124" spans="1:16">
      <c r="A124" s="132">
        <v>123</v>
      </c>
      <c r="B124" s="36" t="s">
        <v>3515</v>
      </c>
      <c r="C124" s="36" t="s">
        <v>3516</v>
      </c>
      <c r="D124" s="36" t="s">
        <v>3517</v>
      </c>
      <c r="E124" s="36" t="s">
        <v>3518</v>
      </c>
      <c r="F124" s="36" t="s">
        <v>3519</v>
      </c>
      <c r="G124" s="36" t="s">
        <v>3520</v>
      </c>
      <c r="H124" s="36" t="s">
        <v>3521</v>
      </c>
      <c r="I124" s="36" t="s">
        <v>3522</v>
      </c>
      <c r="J124" s="36" t="s">
        <v>3523</v>
      </c>
      <c r="K124" s="36" t="s">
        <v>3524</v>
      </c>
      <c r="L124" s="36" t="s">
        <v>3525</v>
      </c>
      <c r="M124" s="36" t="s">
        <v>3526</v>
      </c>
      <c r="N124" s="36" t="s">
        <v>3527</v>
      </c>
      <c r="O124" s="36" t="s">
        <v>3528</v>
      </c>
      <c r="P124" s="36" t="s">
        <v>3515</v>
      </c>
    </row>
    <row r="125" spans="1:16">
      <c r="A125" s="132">
        <v>124</v>
      </c>
      <c r="B125" s="36" t="s">
        <v>3529</v>
      </c>
      <c r="C125" s="36" t="s">
        <v>3530</v>
      </c>
      <c r="D125" s="36" t="s">
        <v>3531</v>
      </c>
      <c r="E125" s="36" t="s">
        <v>3532</v>
      </c>
      <c r="F125" s="36" t="s">
        <v>3533</v>
      </c>
      <c r="G125" s="36" t="s">
        <v>3534</v>
      </c>
      <c r="H125" s="36" t="s">
        <v>3535</v>
      </c>
      <c r="I125" s="36" t="s">
        <v>3536</v>
      </c>
      <c r="J125" s="36" t="s">
        <v>3537</v>
      </c>
      <c r="K125" s="36" t="s">
        <v>3538</v>
      </c>
      <c r="L125" s="36" t="s">
        <v>3539</v>
      </c>
      <c r="M125" s="36" t="s">
        <v>3540</v>
      </c>
      <c r="N125" s="36" t="s">
        <v>3541</v>
      </c>
      <c r="O125" s="36" t="s">
        <v>3542</v>
      </c>
      <c r="P125" s="36" t="s">
        <v>3529</v>
      </c>
    </row>
    <row r="126" spans="1:16">
      <c r="A126" s="132">
        <v>125</v>
      </c>
      <c r="B126" s="36" t="s">
        <v>3543</v>
      </c>
      <c r="C126" s="36" t="s">
        <v>3544</v>
      </c>
      <c r="D126" s="36" t="s">
        <v>3543</v>
      </c>
      <c r="E126" s="36" t="s">
        <v>3545</v>
      </c>
      <c r="F126" s="36" t="s">
        <v>3546</v>
      </c>
      <c r="G126" s="36" t="s">
        <v>3544</v>
      </c>
      <c r="H126" s="36" t="s">
        <v>3547</v>
      </c>
      <c r="I126" s="36" t="s">
        <v>3548</v>
      </c>
      <c r="J126" s="36" t="s">
        <v>3547</v>
      </c>
      <c r="K126" s="36" t="s">
        <v>3546</v>
      </c>
      <c r="L126" s="36" t="s">
        <v>3547</v>
      </c>
      <c r="M126" s="36" t="s">
        <v>3547</v>
      </c>
      <c r="N126" s="36" t="s">
        <v>3547</v>
      </c>
      <c r="O126" s="36" t="s">
        <v>3543</v>
      </c>
      <c r="P126" s="36" t="s">
        <v>3543</v>
      </c>
    </row>
    <row r="127" spans="1:16">
      <c r="A127" s="132">
        <v>126</v>
      </c>
      <c r="B127" s="36" t="s">
        <v>3549</v>
      </c>
      <c r="C127" s="36" t="s">
        <v>3550</v>
      </c>
      <c r="D127" s="36" t="s">
        <v>3551</v>
      </c>
      <c r="E127" s="36" t="s">
        <v>3552</v>
      </c>
      <c r="F127" s="36" t="s">
        <v>3553</v>
      </c>
      <c r="G127" s="36" t="s">
        <v>3550</v>
      </c>
      <c r="H127" s="36" t="s">
        <v>3554</v>
      </c>
      <c r="I127" s="36" t="s">
        <v>3555</v>
      </c>
      <c r="J127" s="36" t="s">
        <v>3556</v>
      </c>
      <c r="K127" s="36" t="s">
        <v>3553</v>
      </c>
      <c r="L127" s="36" t="s">
        <v>3554</v>
      </c>
      <c r="M127" s="36" t="s">
        <v>3554</v>
      </c>
      <c r="N127" s="36" t="s">
        <v>3557</v>
      </c>
      <c r="O127" s="36" t="s">
        <v>3549</v>
      </c>
      <c r="P127" s="36" t="s">
        <v>3549</v>
      </c>
    </row>
    <row r="128" spans="1:16">
      <c r="A128" s="132">
        <v>127</v>
      </c>
      <c r="B128" s="36" t="s">
        <v>3558</v>
      </c>
      <c r="C128" s="36" t="s">
        <v>3559</v>
      </c>
      <c r="D128" s="36" t="s">
        <v>3560</v>
      </c>
      <c r="E128" s="36" t="s">
        <v>3561</v>
      </c>
      <c r="F128" s="36" t="s">
        <v>3562</v>
      </c>
      <c r="G128" s="36" t="s">
        <v>3563</v>
      </c>
      <c r="H128" s="36" t="s">
        <v>3564</v>
      </c>
      <c r="I128" s="36" t="s">
        <v>3565</v>
      </c>
      <c r="J128" s="36" t="s">
        <v>3566</v>
      </c>
      <c r="K128" s="36" t="s">
        <v>3567</v>
      </c>
      <c r="L128" s="36" t="s">
        <v>3568</v>
      </c>
      <c r="M128" s="36" t="s">
        <v>3569</v>
      </c>
      <c r="N128" s="36" t="s">
        <v>3570</v>
      </c>
      <c r="O128" s="36" t="s">
        <v>3571</v>
      </c>
      <c r="P128" s="36" t="s">
        <v>3558</v>
      </c>
    </row>
    <row r="129" spans="1:16">
      <c r="A129" s="132">
        <v>128</v>
      </c>
      <c r="B129" s="36" t="s">
        <v>3572</v>
      </c>
      <c r="C129" s="36" t="s">
        <v>1531</v>
      </c>
      <c r="D129" s="36" t="s">
        <v>3572</v>
      </c>
      <c r="E129" s="36" t="s">
        <v>1531</v>
      </c>
      <c r="F129" s="36" t="s">
        <v>1531</v>
      </c>
      <c r="G129" s="36" t="s">
        <v>1531</v>
      </c>
      <c r="H129" s="36" t="s">
        <v>1531</v>
      </c>
      <c r="I129" s="36" t="s">
        <v>1531</v>
      </c>
      <c r="J129" s="36" t="s">
        <v>1531</v>
      </c>
      <c r="K129" s="36" t="s">
        <v>1531</v>
      </c>
      <c r="L129" s="36" t="s">
        <v>1531</v>
      </c>
      <c r="M129" s="36" t="s">
        <v>1531</v>
      </c>
      <c r="N129" s="36" t="s">
        <v>1531</v>
      </c>
      <c r="O129" s="36" t="s">
        <v>1531</v>
      </c>
      <c r="P129" s="36" t="s">
        <v>3572</v>
      </c>
    </row>
    <row r="130" spans="1:16">
      <c r="A130" s="132">
        <v>129</v>
      </c>
      <c r="B130" s="36" t="s">
        <v>3573</v>
      </c>
      <c r="C130" s="36" t="s">
        <v>3574</v>
      </c>
      <c r="D130" s="36" t="s">
        <v>3575</v>
      </c>
      <c r="E130" s="36" t="s">
        <v>3576</v>
      </c>
      <c r="F130" s="36" t="s">
        <v>3577</v>
      </c>
      <c r="G130" s="36" t="s">
        <v>3578</v>
      </c>
      <c r="H130" s="36" t="s">
        <v>3579</v>
      </c>
      <c r="I130" s="36" t="s">
        <v>3580</v>
      </c>
      <c r="J130" s="36" t="s">
        <v>3581</v>
      </c>
      <c r="K130" s="36" t="s">
        <v>3582</v>
      </c>
      <c r="L130" s="36" t="s">
        <v>3583</v>
      </c>
      <c r="M130" s="36" t="s">
        <v>3584</v>
      </c>
      <c r="N130" s="36" t="s">
        <v>3585</v>
      </c>
      <c r="O130" s="36" t="s">
        <v>3586</v>
      </c>
      <c r="P130" s="36" t="s">
        <v>3573</v>
      </c>
    </row>
    <row r="131" spans="1:16">
      <c r="A131" s="132">
        <v>130</v>
      </c>
      <c r="B131" s="36" t="s">
        <v>3587</v>
      </c>
      <c r="C131" s="36" t="s">
        <v>3588</v>
      </c>
      <c r="D131" s="36" t="s">
        <v>3589</v>
      </c>
      <c r="E131" s="36" t="s">
        <v>3590</v>
      </c>
      <c r="F131" s="36" t="s">
        <v>3591</v>
      </c>
      <c r="G131" s="36" t="s">
        <v>3592</v>
      </c>
      <c r="H131" s="36" t="s">
        <v>3593</v>
      </c>
      <c r="I131" s="36" t="s">
        <v>3594</v>
      </c>
      <c r="J131" s="36" t="s">
        <v>3595</v>
      </c>
      <c r="K131" s="36" t="s">
        <v>3596</v>
      </c>
      <c r="L131" s="36" t="s">
        <v>3597</v>
      </c>
      <c r="M131" s="36" t="s">
        <v>3598</v>
      </c>
      <c r="N131" s="36" t="s">
        <v>3599</v>
      </c>
      <c r="O131" s="36" t="s">
        <v>3600</v>
      </c>
      <c r="P131" s="36" t="s">
        <v>3587</v>
      </c>
    </row>
    <row r="132" spans="1:16" ht="13.95" customHeight="1">
      <c r="A132" s="132">
        <v>131</v>
      </c>
      <c r="B132" s="36" t="s">
        <v>3601</v>
      </c>
      <c r="C132" s="36" t="s">
        <v>3602</v>
      </c>
      <c r="D132" s="36" t="s">
        <v>3601</v>
      </c>
      <c r="E132" s="36" t="s">
        <v>3603</v>
      </c>
      <c r="F132" s="36" t="s">
        <v>3603</v>
      </c>
      <c r="G132" s="36" t="s">
        <v>3602</v>
      </c>
      <c r="H132" s="36" t="s">
        <v>3604</v>
      </c>
      <c r="I132" s="36" t="s">
        <v>3604</v>
      </c>
      <c r="J132" s="36" t="s">
        <v>3604</v>
      </c>
      <c r="K132" s="36" t="s">
        <v>3603</v>
      </c>
      <c r="L132" s="36" t="s">
        <v>3604</v>
      </c>
      <c r="M132" s="36" t="s">
        <v>3604</v>
      </c>
      <c r="N132" s="36" t="s">
        <v>3604</v>
      </c>
      <c r="O132" s="36" t="s">
        <v>3601</v>
      </c>
      <c r="P132" s="36" t="s">
        <v>3601</v>
      </c>
    </row>
    <row r="133" spans="1:16">
      <c r="A133" s="132">
        <v>132</v>
      </c>
      <c r="B133" s="36" t="s">
        <v>3605</v>
      </c>
      <c r="C133" s="36" t="s">
        <v>3606</v>
      </c>
      <c r="D133" s="36" t="s">
        <v>3607</v>
      </c>
      <c r="E133" s="36" t="s">
        <v>3608</v>
      </c>
      <c r="F133" s="36" t="s">
        <v>3609</v>
      </c>
      <c r="G133" s="36" t="s">
        <v>3610</v>
      </c>
      <c r="H133" s="36" t="s">
        <v>3611</v>
      </c>
      <c r="I133" s="36" t="s">
        <v>3612</v>
      </c>
      <c r="J133" s="36" t="s">
        <v>3613</v>
      </c>
      <c r="K133" s="36" t="s">
        <v>3614</v>
      </c>
      <c r="L133" s="36" t="s">
        <v>3615</v>
      </c>
      <c r="M133" s="36" t="s">
        <v>3616</v>
      </c>
      <c r="N133" s="36" t="s">
        <v>3617</v>
      </c>
      <c r="O133" s="36" t="s">
        <v>3618</v>
      </c>
      <c r="P133" s="36" t="s">
        <v>3605</v>
      </c>
    </row>
    <row r="134" spans="1:16">
      <c r="A134" s="132">
        <v>133</v>
      </c>
      <c r="B134" s="36" t="s">
        <v>3619</v>
      </c>
      <c r="C134" s="36" t="s">
        <v>3620</v>
      </c>
      <c r="D134" s="36" t="s">
        <v>3619</v>
      </c>
      <c r="E134" s="36" t="s">
        <v>3621</v>
      </c>
      <c r="F134" s="36" t="s">
        <v>3622</v>
      </c>
      <c r="G134" s="36" t="s">
        <v>3620</v>
      </c>
      <c r="H134" s="36" t="s">
        <v>3623</v>
      </c>
      <c r="I134" s="36" t="s">
        <v>2159</v>
      </c>
      <c r="J134" s="36" t="s">
        <v>3623</v>
      </c>
      <c r="K134" s="36" t="s">
        <v>3622</v>
      </c>
      <c r="L134" s="36" t="s">
        <v>3623</v>
      </c>
      <c r="M134" s="36" t="s">
        <v>3623</v>
      </c>
      <c r="N134" s="36" t="s">
        <v>3623</v>
      </c>
      <c r="O134" s="36" t="s">
        <v>3619</v>
      </c>
      <c r="P134" s="36" t="s">
        <v>3619</v>
      </c>
    </row>
    <row r="135" spans="1:16">
      <c r="A135" s="132">
        <v>134</v>
      </c>
      <c r="B135" s="36" t="s">
        <v>3624</v>
      </c>
      <c r="C135" s="36" t="s">
        <v>3625</v>
      </c>
      <c r="D135" s="36" t="s">
        <v>3626</v>
      </c>
      <c r="E135" s="36" t="s">
        <v>3627</v>
      </c>
      <c r="F135" s="36" t="s">
        <v>3628</v>
      </c>
      <c r="G135" s="36" t="s">
        <v>3629</v>
      </c>
      <c r="H135" s="36" t="s">
        <v>3630</v>
      </c>
      <c r="I135" s="36" t="s">
        <v>3631</v>
      </c>
      <c r="J135" s="36" t="s">
        <v>3632</v>
      </c>
      <c r="K135" s="36" t="s">
        <v>3633</v>
      </c>
      <c r="L135" s="36" t="s">
        <v>3634</v>
      </c>
      <c r="M135" s="36" t="s">
        <v>3635</v>
      </c>
      <c r="N135" s="36" t="s">
        <v>3636</v>
      </c>
      <c r="O135" s="36" t="s">
        <v>3637</v>
      </c>
      <c r="P135" s="36" t="s">
        <v>3624</v>
      </c>
    </row>
    <row r="136" spans="1:16">
      <c r="A136" s="132">
        <v>135</v>
      </c>
      <c r="B136" s="36" t="s">
        <v>3638</v>
      </c>
      <c r="C136" s="36" t="s">
        <v>3638</v>
      </c>
      <c r="D136" s="36" t="s">
        <v>3638</v>
      </c>
      <c r="E136" s="36" t="s">
        <v>3638</v>
      </c>
      <c r="F136" s="36" t="s">
        <v>3638</v>
      </c>
      <c r="G136" s="36" t="s">
        <v>3638</v>
      </c>
      <c r="H136" s="36" t="s">
        <v>3638</v>
      </c>
      <c r="I136" s="36" t="s">
        <v>3638</v>
      </c>
      <c r="J136" s="36" t="s">
        <v>3638</v>
      </c>
      <c r="K136" s="36" t="s">
        <v>3638</v>
      </c>
      <c r="L136" s="36" t="s">
        <v>3638</v>
      </c>
      <c r="M136" s="36" t="s">
        <v>3638</v>
      </c>
      <c r="N136" s="36" t="s">
        <v>3638</v>
      </c>
      <c r="O136" s="36" t="s">
        <v>3638</v>
      </c>
      <c r="P136" s="36" t="s">
        <v>3638</v>
      </c>
    </row>
    <row r="137" spans="1:16">
      <c r="A137" s="132">
        <v>136</v>
      </c>
      <c r="B137" s="36" t="s">
        <v>3639</v>
      </c>
      <c r="C137" s="36" t="s">
        <v>3640</v>
      </c>
      <c r="D137" s="36" t="s">
        <v>3641</v>
      </c>
      <c r="E137" s="36" t="s">
        <v>3642</v>
      </c>
      <c r="F137" s="36" t="s">
        <v>3643</v>
      </c>
      <c r="G137" s="36" t="s">
        <v>3644</v>
      </c>
      <c r="H137" s="36" t="s">
        <v>3645</v>
      </c>
      <c r="I137" s="36" t="s">
        <v>3643</v>
      </c>
      <c r="J137" s="36" t="s">
        <v>3646</v>
      </c>
      <c r="K137" s="36" t="s">
        <v>3647</v>
      </c>
      <c r="L137" s="36" t="s">
        <v>3648</v>
      </c>
      <c r="M137" s="36" t="s">
        <v>3641</v>
      </c>
      <c r="N137" s="36" t="s">
        <v>3649</v>
      </c>
      <c r="O137" s="36" t="s">
        <v>3650</v>
      </c>
      <c r="P137" s="36" t="s">
        <v>3639</v>
      </c>
    </row>
    <row r="138" spans="1:16" ht="13.95" customHeight="1">
      <c r="A138" s="132">
        <v>137</v>
      </c>
      <c r="B138" s="36" t="s">
        <v>3651</v>
      </c>
      <c r="C138" s="36" t="s">
        <v>3652</v>
      </c>
      <c r="D138" s="36" t="s">
        <v>3653</v>
      </c>
      <c r="E138" s="36" t="s">
        <v>3654</v>
      </c>
      <c r="F138" s="36" t="s">
        <v>3655</v>
      </c>
      <c r="G138" s="36" t="s">
        <v>3656</v>
      </c>
      <c r="H138" s="36" t="s">
        <v>3657</v>
      </c>
      <c r="I138" s="36" t="s">
        <v>3655</v>
      </c>
      <c r="J138" s="36" t="s">
        <v>3658</v>
      </c>
      <c r="K138" s="36" t="s">
        <v>3659</v>
      </c>
      <c r="L138" s="36" t="s">
        <v>3660</v>
      </c>
      <c r="M138" s="36" t="s">
        <v>3661</v>
      </c>
      <c r="N138" s="36" t="s">
        <v>3662</v>
      </c>
      <c r="O138" s="36" t="s">
        <v>3663</v>
      </c>
      <c r="P138" s="36" t="s">
        <v>3651</v>
      </c>
    </row>
    <row r="139" spans="1:16" ht="13.95" customHeight="1">
      <c r="A139" s="132">
        <v>138</v>
      </c>
      <c r="B139" s="36" t="s">
        <v>3664</v>
      </c>
      <c r="C139" s="36" t="s">
        <v>3665</v>
      </c>
      <c r="D139" s="36" t="s">
        <v>3666</v>
      </c>
      <c r="E139" s="36" t="s">
        <v>3667</v>
      </c>
      <c r="F139" s="36" t="s">
        <v>3668</v>
      </c>
      <c r="G139" s="36" t="s">
        <v>3669</v>
      </c>
      <c r="H139" s="36" t="s">
        <v>3670</v>
      </c>
      <c r="I139" s="36" t="s">
        <v>3671</v>
      </c>
      <c r="J139" s="36" t="s">
        <v>3672</v>
      </c>
      <c r="K139" s="36" t="s">
        <v>3673</v>
      </c>
      <c r="L139" s="36" t="s">
        <v>3674</v>
      </c>
      <c r="M139" s="36" t="s">
        <v>3675</v>
      </c>
      <c r="N139" s="36" t="s">
        <v>3676</v>
      </c>
      <c r="O139" s="36" t="s">
        <v>3677</v>
      </c>
      <c r="P139" s="36" t="s">
        <v>3664</v>
      </c>
    </row>
    <row r="140" spans="1:16">
      <c r="A140" s="132">
        <v>139</v>
      </c>
      <c r="B140" s="36" t="s">
        <v>3678</v>
      </c>
      <c r="C140" s="36" t="s">
        <v>3679</v>
      </c>
      <c r="D140" s="36" t="s">
        <v>3680</v>
      </c>
      <c r="E140" s="36" t="s">
        <v>3681</v>
      </c>
      <c r="F140" s="36" t="s">
        <v>3682</v>
      </c>
      <c r="G140" s="36" t="s">
        <v>3683</v>
      </c>
      <c r="H140" s="36" t="s">
        <v>3684</v>
      </c>
      <c r="I140" s="36" t="s">
        <v>3685</v>
      </c>
      <c r="J140" s="36" t="s">
        <v>3686</v>
      </c>
      <c r="K140" s="36" t="s">
        <v>3687</v>
      </c>
      <c r="L140" s="36" t="s">
        <v>3688</v>
      </c>
      <c r="M140" s="36" t="s">
        <v>3689</v>
      </c>
      <c r="N140" s="36" t="s">
        <v>3690</v>
      </c>
      <c r="O140" s="36" t="s">
        <v>3691</v>
      </c>
      <c r="P140" s="36" t="s">
        <v>3678</v>
      </c>
    </row>
    <row r="141" spans="1:16">
      <c r="A141" s="132">
        <v>140</v>
      </c>
      <c r="B141" s="36" t="s">
        <v>3692</v>
      </c>
      <c r="C141" s="36" t="s">
        <v>3693</v>
      </c>
      <c r="D141" s="36" t="s">
        <v>3694</v>
      </c>
      <c r="E141" s="36" t="s">
        <v>3695</v>
      </c>
      <c r="F141" s="36" t="s">
        <v>3696</v>
      </c>
      <c r="G141" s="36" t="s">
        <v>3697</v>
      </c>
      <c r="H141" s="36" t="s">
        <v>3698</v>
      </c>
      <c r="I141" s="36" t="s">
        <v>3699</v>
      </c>
      <c r="J141" s="36" t="s">
        <v>3700</v>
      </c>
      <c r="K141" s="36" t="s">
        <v>3701</v>
      </c>
      <c r="L141" s="36" t="s">
        <v>3702</v>
      </c>
      <c r="M141" s="36" t="s">
        <v>3703</v>
      </c>
      <c r="N141" s="36" t="s">
        <v>3704</v>
      </c>
      <c r="O141" s="36" t="s">
        <v>3705</v>
      </c>
      <c r="P141" s="36" t="s">
        <v>3692</v>
      </c>
    </row>
    <row r="142" spans="1:16">
      <c r="A142" s="132">
        <v>141</v>
      </c>
      <c r="B142" s="36" t="s">
        <v>3706</v>
      </c>
      <c r="C142" s="36" t="s">
        <v>3707</v>
      </c>
      <c r="D142" s="36" t="s">
        <v>3708</v>
      </c>
      <c r="E142" s="36" t="s">
        <v>3709</v>
      </c>
      <c r="F142" s="36" t="s">
        <v>3710</v>
      </c>
      <c r="G142" s="36" t="s">
        <v>3711</v>
      </c>
      <c r="H142" s="36" t="s">
        <v>3712</v>
      </c>
      <c r="I142" s="36" t="s">
        <v>3713</v>
      </c>
      <c r="J142" s="36" t="s">
        <v>3714</v>
      </c>
      <c r="K142" s="36" t="s">
        <v>3715</v>
      </c>
      <c r="L142" s="36" t="s">
        <v>3716</v>
      </c>
      <c r="M142" s="36" t="s">
        <v>3717</v>
      </c>
      <c r="N142" s="36" t="s">
        <v>3718</v>
      </c>
      <c r="O142" s="36" t="s">
        <v>3719</v>
      </c>
      <c r="P142" s="36" t="s">
        <v>3706</v>
      </c>
    </row>
    <row r="143" spans="1:16">
      <c r="A143" s="132">
        <v>142</v>
      </c>
      <c r="B143" s="36" t="s">
        <v>3720</v>
      </c>
      <c r="C143" s="36" t="s">
        <v>3721</v>
      </c>
      <c r="D143" s="36" t="s">
        <v>3722</v>
      </c>
      <c r="E143" s="36" t="s">
        <v>3723</v>
      </c>
      <c r="F143" s="36" t="s">
        <v>3724</v>
      </c>
      <c r="G143" s="36" t="s">
        <v>3725</v>
      </c>
      <c r="H143" s="36" t="s">
        <v>3726</v>
      </c>
      <c r="I143" s="36" t="s">
        <v>3727</v>
      </c>
      <c r="J143" s="36" t="s">
        <v>3728</v>
      </c>
      <c r="K143" s="36" t="s">
        <v>3729</v>
      </c>
      <c r="L143" s="36" t="s">
        <v>3730</v>
      </c>
      <c r="M143" s="36" t="s">
        <v>3731</v>
      </c>
      <c r="N143" s="36" t="s">
        <v>3732</v>
      </c>
      <c r="O143" s="36" t="s">
        <v>3733</v>
      </c>
      <c r="P143" s="36" t="s">
        <v>3734</v>
      </c>
    </row>
    <row r="144" spans="1:16">
      <c r="A144" s="132">
        <v>143</v>
      </c>
      <c r="B144" s="36" t="s">
        <v>3735</v>
      </c>
      <c r="C144" s="36" t="s">
        <v>3736</v>
      </c>
      <c r="D144" s="36" t="s">
        <v>3737</v>
      </c>
      <c r="E144" s="36" t="s">
        <v>3738</v>
      </c>
      <c r="F144" s="36" t="s">
        <v>3739</v>
      </c>
      <c r="G144" s="36" t="s">
        <v>3740</v>
      </c>
      <c r="H144" s="36" t="s">
        <v>3741</v>
      </c>
      <c r="I144" s="36" t="s">
        <v>3742</v>
      </c>
      <c r="J144" s="36" t="s">
        <v>3743</v>
      </c>
      <c r="K144" s="36" t="s">
        <v>3744</v>
      </c>
      <c r="L144" s="36" t="s">
        <v>3745</v>
      </c>
      <c r="M144" s="36" t="s">
        <v>3746</v>
      </c>
      <c r="N144" s="36" t="s">
        <v>3747</v>
      </c>
      <c r="O144" s="36" t="s">
        <v>3748</v>
      </c>
      <c r="P144" s="36" t="s">
        <v>3735</v>
      </c>
    </row>
    <row r="145" spans="1:16">
      <c r="A145" s="132">
        <v>144</v>
      </c>
      <c r="B145" s="36" t="s">
        <v>3749</v>
      </c>
      <c r="C145" s="36" t="s">
        <v>3750</v>
      </c>
      <c r="D145" s="36" t="s">
        <v>3751</v>
      </c>
      <c r="E145" s="36" t="s">
        <v>3752</v>
      </c>
      <c r="F145" s="36" t="s">
        <v>3753</v>
      </c>
      <c r="G145" s="36" t="s">
        <v>3754</v>
      </c>
      <c r="H145" s="36" t="s">
        <v>3755</v>
      </c>
      <c r="I145" s="36" t="s">
        <v>3756</v>
      </c>
      <c r="J145" s="36" t="s">
        <v>3757</v>
      </c>
      <c r="K145" s="36" t="s">
        <v>3758</v>
      </c>
      <c r="L145" s="36" t="s">
        <v>3759</v>
      </c>
      <c r="M145" s="36" t="s">
        <v>3760</v>
      </c>
      <c r="N145" s="36" t="s">
        <v>3761</v>
      </c>
      <c r="O145" s="36" t="s">
        <v>3762</v>
      </c>
      <c r="P145" s="36" t="s">
        <v>3749</v>
      </c>
    </row>
    <row r="146" spans="1:16">
      <c r="A146" s="132">
        <v>145</v>
      </c>
      <c r="B146" s="36" t="s">
        <v>3763</v>
      </c>
      <c r="C146" s="36" t="s">
        <v>3764</v>
      </c>
      <c r="D146" s="36" t="s">
        <v>3765</v>
      </c>
      <c r="E146" s="36" t="s">
        <v>3766</v>
      </c>
      <c r="F146" s="36" t="s">
        <v>3767</v>
      </c>
      <c r="G146" s="36" t="s">
        <v>3768</v>
      </c>
      <c r="H146" s="36" t="s">
        <v>3769</v>
      </c>
      <c r="I146" s="36" t="s">
        <v>3770</v>
      </c>
      <c r="J146" s="36" t="s">
        <v>3771</v>
      </c>
      <c r="K146" s="36" t="s">
        <v>3772</v>
      </c>
      <c r="L146" s="36" t="s">
        <v>3773</v>
      </c>
      <c r="M146" s="36" t="s">
        <v>3774</v>
      </c>
      <c r="N146" s="36" t="s">
        <v>3775</v>
      </c>
      <c r="O146" s="36" t="s">
        <v>3776</v>
      </c>
      <c r="P146" s="36" t="s">
        <v>3777</v>
      </c>
    </row>
    <row r="147" spans="1:16">
      <c r="A147" s="132">
        <v>146</v>
      </c>
      <c r="B147" s="36" t="s">
        <v>3778</v>
      </c>
      <c r="C147" s="36" t="s">
        <v>3779</v>
      </c>
      <c r="D147" s="36" t="s">
        <v>3780</v>
      </c>
      <c r="E147" s="36" t="s">
        <v>3781</v>
      </c>
      <c r="F147" s="36" t="s">
        <v>3782</v>
      </c>
      <c r="G147" s="36" t="s">
        <v>3783</v>
      </c>
      <c r="H147" s="36" t="s">
        <v>3784</v>
      </c>
      <c r="I147" s="36" t="s">
        <v>3785</v>
      </c>
      <c r="J147" s="36" t="s">
        <v>3786</v>
      </c>
      <c r="K147" s="36" t="s">
        <v>3787</v>
      </c>
      <c r="L147" s="36" t="s">
        <v>3788</v>
      </c>
      <c r="M147" s="36" t="s">
        <v>3789</v>
      </c>
      <c r="N147" s="36" t="s">
        <v>3790</v>
      </c>
      <c r="O147" s="36" t="s">
        <v>3791</v>
      </c>
      <c r="P147" s="36" t="s">
        <v>3778</v>
      </c>
    </row>
    <row r="148" spans="1:16">
      <c r="A148" s="132">
        <v>147</v>
      </c>
      <c r="B148" s="36" t="s">
        <v>3792</v>
      </c>
      <c r="C148" s="36" t="s">
        <v>3793</v>
      </c>
      <c r="D148" s="36" t="s">
        <v>3794</v>
      </c>
      <c r="E148" s="36" t="s">
        <v>3795</v>
      </c>
      <c r="F148" s="36" t="s">
        <v>3796</v>
      </c>
      <c r="G148" s="36" t="s">
        <v>3797</v>
      </c>
      <c r="H148" s="36" t="s">
        <v>3798</v>
      </c>
      <c r="I148" s="36" t="s">
        <v>3799</v>
      </c>
      <c r="J148" s="36" t="s">
        <v>3800</v>
      </c>
      <c r="K148" s="36" t="s">
        <v>3801</v>
      </c>
      <c r="L148" s="36" t="s">
        <v>3802</v>
      </c>
      <c r="M148" s="36" t="s">
        <v>3803</v>
      </c>
      <c r="N148" s="36" t="s">
        <v>3804</v>
      </c>
      <c r="O148" s="36" t="s">
        <v>3805</v>
      </c>
      <c r="P148" s="36" t="s">
        <v>3792</v>
      </c>
    </row>
    <row r="149" spans="1:16">
      <c r="A149" s="132">
        <v>148</v>
      </c>
      <c r="B149" s="36" t="s">
        <v>3806</v>
      </c>
      <c r="C149" s="36" t="s">
        <v>3807</v>
      </c>
      <c r="D149" s="36" t="s">
        <v>3808</v>
      </c>
      <c r="E149" s="36" t="s">
        <v>3809</v>
      </c>
      <c r="F149" s="36" t="s">
        <v>3810</v>
      </c>
      <c r="G149" s="36" t="s">
        <v>3811</v>
      </c>
      <c r="H149" s="36" t="s">
        <v>3812</v>
      </c>
      <c r="I149" s="36" t="s">
        <v>3813</v>
      </c>
      <c r="J149" s="36" t="s">
        <v>3814</v>
      </c>
      <c r="K149" s="36" t="s">
        <v>3815</v>
      </c>
      <c r="L149" s="36" t="s">
        <v>3816</v>
      </c>
      <c r="M149" s="36" t="s">
        <v>3817</v>
      </c>
      <c r="N149" s="36" t="s">
        <v>3818</v>
      </c>
      <c r="O149" s="36" t="s">
        <v>3819</v>
      </c>
      <c r="P149" s="36" t="s">
        <v>3820</v>
      </c>
    </row>
    <row r="150" spans="1:16">
      <c r="A150" s="132">
        <v>149</v>
      </c>
      <c r="B150" s="36" t="s">
        <v>3821</v>
      </c>
      <c r="C150" s="36" t="s">
        <v>3822</v>
      </c>
      <c r="D150" s="36" t="s">
        <v>3823</v>
      </c>
      <c r="E150" s="36" t="s">
        <v>3824</v>
      </c>
      <c r="F150" s="36" t="s">
        <v>3825</v>
      </c>
      <c r="G150" s="36" t="s">
        <v>3826</v>
      </c>
      <c r="H150" s="36" t="s">
        <v>3827</v>
      </c>
      <c r="I150" s="36" t="s">
        <v>3828</v>
      </c>
      <c r="J150" s="36" t="s">
        <v>3829</v>
      </c>
      <c r="K150" s="36" t="s">
        <v>3830</v>
      </c>
      <c r="L150" s="36" t="s">
        <v>3831</v>
      </c>
      <c r="M150" s="36" t="s">
        <v>3832</v>
      </c>
      <c r="N150" s="36" t="s">
        <v>3833</v>
      </c>
      <c r="O150" s="36" t="s">
        <v>3834</v>
      </c>
      <c r="P150" s="36" t="s">
        <v>3821</v>
      </c>
    </row>
    <row r="151" spans="1:16">
      <c r="A151" s="132">
        <v>150</v>
      </c>
      <c r="B151" s="36" t="s">
        <v>3835</v>
      </c>
      <c r="C151" s="36" t="s">
        <v>3764</v>
      </c>
      <c r="D151" s="36" t="s">
        <v>3836</v>
      </c>
      <c r="E151" s="36" t="s">
        <v>3837</v>
      </c>
      <c r="F151" s="36" t="s">
        <v>3838</v>
      </c>
      <c r="G151" s="36" t="s">
        <v>3839</v>
      </c>
      <c r="H151" s="36" t="s">
        <v>3840</v>
      </c>
      <c r="I151" s="36" t="s">
        <v>3841</v>
      </c>
      <c r="J151" s="36" t="s">
        <v>3842</v>
      </c>
      <c r="K151" s="36" t="s">
        <v>3843</v>
      </c>
      <c r="L151" s="36" t="s">
        <v>3844</v>
      </c>
      <c r="M151" s="36" t="s">
        <v>3845</v>
      </c>
      <c r="N151" s="36" t="s">
        <v>3846</v>
      </c>
      <c r="O151" s="36" t="s">
        <v>3847</v>
      </c>
      <c r="P151" s="36" t="s">
        <v>3835</v>
      </c>
    </row>
    <row r="152" spans="1:16">
      <c r="A152" s="132">
        <v>151</v>
      </c>
      <c r="B152" s="36" t="s">
        <v>3848</v>
      </c>
      <c r="C152" s="36" t="s">
        <v>3849</v>
      </c>
      <c r="D152" s="36" t="s">
        <v>3850</v>
      </c>
      <c r="E152" s="36" t="s">
        <v>3851</v>
      </c>
      <c r="F152" s="36" t="s">
        <v>3852</v>
      </c>
      <c r="G152" s="36" t="s">
        <v>3853</v>
      </c>
      <c r="H152" s="36" t="s">
        <v>3854</v>
      </c>
      <c r="I152" s="36" t="s">
        <v>3855</v>
      </c>
      <c r="J152" s="36" t="s">
        <v>3856</v>
      </c>
      <c r="K152" s="36" t="s">
        <v>3857</v>
      </c>
      <c r="L152" s="36" t="s">
        <v>3858</v>
      </c>
      <c r="M152" s="36" t="s">
        <v>3859</v>
      </c>
      <c r="N152" s="36" t="s">
        <v>3860</v>
      </c>
      <c r="O152" s="36" t="s">
        <v>3861</v>
      </c>
      <c r="P152" s="36" t="s">
        <v>3848</v>
      </c>
    </row>
    <row r="153" spans="1:16">
      <c r="A153" s="132">
        <v>152</v>
      </c>
      <c r="B153" s="36" t="s">
        <v>3862</v>
      </c>
      <c r="C153" s="36" t="s">
        <v>3863</v>
      </c>
      <c r="D153" s="36" t="s">
        <v>3863</v>
      </c>
      <c r="E153" s="36" t="s">
        <v>3864</v>
      </c>
      <c r="F153" s="36" t="s">
        <v>3782</v>
      </c>
      <c r="G153" s="36" t="s">
        <v>3865</v>
      </c>
      <c r="H153" s="36" t="s">
        <v>3866</v>
      </c>
      <c r="I153" s="36" t="s">
        <v>3867</v>
      </c>
      <c r="J153" s="36" t="s">
        <v>3868</v>
      </c>
      <c r="K153" s="36" t="s">
        <v>3787</v>
      </c>
      <c r="L153" s="36" t="s">
        <v>3869</v>
      </c>
      <c r="M153" s="36" t="s">
        <v>3870</v>
      </c>
      <c r="N153" s="36" t="s">
        <v>3871</v>
      </c>
      <c r="O153" s="36" t="s">
        <v>3787</v>
      </c>
      <c r="P153" s="36" t="s">
        <v>3862</v>
      </c>
    </row>
    <row r="154" spans="1:16">
      <c r="A154" s="132">
        <v>153</v>
      </c>
      <c r="B154" s="36" t="s">
        <v>3872</v>
      </c>
      <c r="C154" s="36" t="s">
        <v>3873</v>
      </c>
      <c r="D154" s="36" t="s">
        <v>3874</v>
      </c>
      <c r="E154" s="36" t="s">
        <v>3875</v>
      </c>
      <c r="F154" s="36" t="s">
        <v>3876</v>
      </c>
      <c r="G154" s="36" t="s">
        <v>3877</v>
      </c>
      <c r="H154" s="36" t="s">
        <v>3878</v>
      </c>
      <c r="I154" s="36" t="s">
        <v>3879</v>
      </c>
      <c r="J154" s="36" t="s">
        <v>3880</v>
      </c>
      <c r="K154" s="36" t="s">
        <v>3881</v>
      </c>
      <c r="L154" s="36" t="s">
        <v>3882</v>
      </c>
      <c r="M154" s="36" t="s">
        <v>3883</v>
      </c>
      <c r="N154" s="36" t="s">
        <v>3884</v>
      </c>
      <c r="O154" s="36" t="s">
        <v>3885</v>
      </c>
      <c r="P154" s="36" t="s">
        <v>3872</v>
      </c>
    </row>
    <row r="155" spans="1:16">
      <c r="A155" s="132">
        <v>154</v>
      </c>
      <c r="B155" s="36" t="s">
        <v>3886</v>
      </c>
      <c r="C155" s="36" t="s">
        <v>3887</v>
      </c>
      <c r="D155" s="36" t="s">
        <v>3888</v>
      </c>
      <c r="E155" s="36" t="s">
        <v>3889</v>
      </c>
      <c r="F155" s="36" t="s">
        <v>3890</v>
      </c>
      <c r="G155" s="36" t="s">
        <v>3891</v>
      </c>
      <c r="H155" s="36" t="s">
        <v>3892</v>
      </c>
      <c r="I155" s="36" t="s">
        <v>3893</v>
      </c>
      <c r="J155" s="36" t="s">
        <v>3894</v>
      </c>
      <c r="K155" s="36" t="s">
        <v>3895</v>
      </c>
      <c r="L155" s="36" t="s">
        <v>3896</v>
      </c>
      <c r="M155" s="36" t="s">
        <v>3897</v>
      </c>
      <c r="N155" s="36" t="s">
        <v>3898</v>
      </c>
      <c r="O155" s="36" t="s">
        <v>3899</v>
      </c>
      <c r="P155" s="36" t="s">
        <v>3886</v>
      </c>
    </row>
    <row r="156" spans="1:16">
      <c r="A156" s="132">
        <v>155</v>
      </c>
      <c r="B156" s="36" t="s">
        <v>3900</v>
      </c>
      <c r="C156" s="36" t="s">
        <v>3901</v>
      </c>
      <c r="D156" s="36" t="s">
        <v>3902</v>
      </c>
      <c r="E156" s="36" t="s">
        <v>3903</v>
      </c>
      <c r="F156" s="36" t="s">
        <v>3904</v>
      </c>
      <c r="G156" s="36" t="s">
        <v>3905</v>
      </c>
      <c r="H156" s="36" t="s">
        <v>3906</v>
      </c>
      <c r="I156" s="36" t="s">
        <v>3907</v>
      </c>
      <c r="J156" s="36" t="s">
        <v>3908</v>
      </c>
      <c r="K156" s="36" t="s">
        <v>3909</v>
      </c>
      <c r="L156" s="36" t="s">
        <v>3910</v>
      </c>
      <c r="M156" s="36" t="s">
        <v>3911</v>
      </c>
      <c r="N156" s="36" t="s">
        <v>3912</v>
      </c>
      <c r="O156" s="36" t="s">
        <v>3913</v>
      </c>
      <c r="P156" s="36" t="s">
        <v>3900</v>
      </c>
    </row>
    <row r="157" spans="1:16">
      <c r="A157" s="132">
        <v>156</v>
      </c>
      <c r="B157" s="36" t="s">
        <v>3914</v>
      </c>
      <c r="C157" s="36" t="s">
        <v>3915</v>
      </c>
      <c r="D157" s="36" t="s">
        <v>3916</v>
      </c>
      <c r="E157" s="36" t="s">
        <v>3917</v>
      </c>
      <c r="F157" s="36" t="s">
        <v>3914</v>
      </c>
      <c r="G157" s="36" t="s">
        <v>3918</v>
      </c>
      <c r="H157" s="36" t="s">
        <v>3919</v>
      </c>
      <c r="I157" s="36" t="s">
        <v>3920</v>
      </c>
      <c r="J157" s="36" t="s">
        <v>3921</v>
      </c>
      <c r="K157" s="36" t="s">
        <v>3922</v>
      </c>
      <c r="L157" s="36" t="s">
        <v>3923</v>
      </c>
      <c r="M157" s="36" t="s">
        <v>3924</v>
      </c>
      <c r="N157" s="36" t="s">
        <v>3925</v>
      </c>
      <c r="O157" s="36" t="s">
        <v>3926</v>
      </c>
      <c r="P157" s="36" t="s">
        <v>3914</v>
      </c>
    </row>
    <row r="158" spans="1:16">
      <c r="A158" s="132">
        <v>157</v>
      </c>
      <c r="B158" s="36" t="s">
        <v>3927</v>
      </c>
      <c r="C158" s="36" t="s">
        <v>3928</v>
      </c>
      <c r="D158" s="36" t="s">
        <v>3929</v>
      </c>
      <c r="E158" s="36" t="s">
        <v>3930</v>
      </c>
      <c r="F158" s="36" t="s">
        <v>3931</v>
      </c>
      <c r="G158" s="36" t="s">
        <v>3932</v>
      </c>
      <c r="H158" s="36" t="s">
        <v>3933</v>
      </c>
      <c r="I158" s="36" t="s">
        <v>3934</v>
      </c>
      <c r="J158" s="36" t="s">
        <v>3935</v>
      </c>
      <c r="K158" s="36" t="s">
        <v>3936</v>
      </c>
      <c r="L158" s="36" t="s">
        <v>3937</v>
      </c>
      <c r="M158" s="36" t="s">
        <v>3938</v>
      </c>
      <c r="N158" s="36" t="s">
        <v>3939</v>
      </c>
      <c r="O158" s="36" t="s">
        <v>3940</v>
      </c>
      <c r="P158" s="36" t="s">
        <v>3927</v>
      </c>
    </row>
    <row r="159" spans="1:16">
      <c r="A159" s="132">
        <v>158</v>
      </c>
      <c r="B159" s="36" t="s">
        <v>3941</v>
      </c>
      <c r="C159" s="36" t="s">
        <v>3942</v>
      </c>
      <c r="D159" s="36" t="s">
        <v>3941</v>
      </c>
      <c r="E159" s="36" t="s">
        <v>3943</v>
      </c>
      <c r="F159" s="36" t="s">
        <v>3941</v>
      </c>
      <c r="G159" s="36" t="s">
        <v>3941</v>
      </c>
      <c r="H159" s="36" t="s">
        <v>3941</v>
      </c>
      <c r="I159" s="36" t="s">
        <v>3941</v>
      </c>
      <c r="J159" s="36" t="s">
        <v>3941</v>
      </c>
      <c r="K159" s="36" t="s">
        <v>3941</v>
      </c>
      <c r="L159" s="36" t="s">
        <v>3944</v>
      </c>
      <c r="M159" s="36" t="s">
        <v>3941</v>
      </c>
      <c r="N159" s="36" t="s">
        <v>3941</v>
      </c>
      <c r="O159" s="36" t="s">
        <v>3945</v>
      </c>
      <c r="P159" s="36" t="s">
        <v>3941</v>
      </c>
    </row>
    <row r="160" spans="1:16">
      <c r="A160" s="132">
        <v>159</v>
      </c>
      <c r="B160" s="36" t="s">
        <v>3946</v>
      </c>
      <c r="C160" s="36" t="s">
        <v>3947</v>
      </c>
      <c r="D160" s="36" t="s">
        <v>3948</v>
      </c>
      <c r="E160" s="36" t="s">
        <v>3949</v>
      </c>
      <c r="F160" s="36" t="s">
        <v>3950</v>
      </c>
      <c r="G160" s="36" t="s">
        <v>3951</v>
      </c>
      <c r="H160" s="36" t="s">
        <v>3952</v>
      </c>
      <c r="I160" s="36" t="s">
        <v>3953</v>
      </c>
      <c r="J160" s="36" t="s">
        <v>3954</v>
      </c>
      <c r="K160" s="36" t="s">
        <v>3955</v>
      </c>
      <c r="L160" s="36" t="s">
        <v>3956</v>
      </c>
      <c r="M160" s="36" t="s">
        <v>3957</v>
      </c>
      <c r="N160" s="36" t="s">
        <v>3957</v>
      </c>
      <c r="O160" s="36" t="s">
        <v>3958</v>
      </c>
      <c r="P160" s="36" t="s">
        <v>3946</v>
      </c>
    </row>
    <row r="161" spans="1:16">
      <c r="A161" s="132">
        <v>160</v>
      </c>
      <c r="B161" s="36" t="s">
        <v>3959</v>
      </c>
      <c r="C161" s="36" t="s">
        <v>3960</v>
      </c>
      <c r="D161" s="36" t="s">
        <v>3961</v>
      </c>
      <c r="E161" s="36" t="s">
        <v>3962</v>
      </c>
      <c r="F161" s="36" t="s">
        <v>3963</v>
      </c>
      <c r="G161" s="36" t="s">
        <v>3964</v>
      </c>
      <c r="H161" s="36" t="s">
        <v>3965</v>
      </c>
      <c r="I161" s="36" t="s">
        <v>3966</v>
      </c>
      <c r="J161" s="36" t="s">
        <v>3967</v>
      </c>
      <c r="K161" s="36" t="s">
        <v>3968</v>
      </c>
      <c r="L161" s="36" t="s">
        <v>3969</v>
      </c>
      <c r="M161" s="36" t="s">
        <v>3970</v>
      </c>
      <c r="N161" s="36" t="s">
        <v>3971</v>
      </c>
      <c r="O161" s="36" t="s">
        <v>3972</v>
      </c>
      <c r="P161" s="36" t="s">
        <v>3959</v>
      </c>
    </row>
    <row r="162" spans="1:16">
      <c r="A162" s="132">
        <v>161</v>
      </c>
      <c r="B162" s="36" t="s">
        <v>3973</v>
      </c>
      <c r="C162" s="36" t="s">
        <v>3974</v>
      </c>
      <c r="D162" s="36" t="s">
        <v>3975</v>
      </c>
      <c r="E162" s="36" t="s">
        <v>3976</v>
      </c>
      <c r="F162" s="36" t="s">
        <v>3977</v>
      </c>
      <c r="G162" s="36" t="s">
        <v>3978</v>
      </c>
      <c r="H162" s="36" t="s">
        <v>3979</v>
      </c>
      <c r="I162" s="36" t="s">
        <v>3980</v>
      </c>
      <c r="J162" s="36" t="s">
        <v>3981</v>
      </c>
      <c r="K162" s="36" t="s">
        <v>3982</v>
      </c>
      <c r="L162" s="36" t="s">
        <v>3983</v>
      </c>
      <c r="M162" s="36" t="s">
        <v>3984</v>
      </c>
      <c r="N162" s="36" t="s">
        <v>3985</v>
      </c>
      <c r="O162" s="36" t="s">
        <v>3986</v>
      </c>
      <c r="P162" s="36" t="s">
        <v>3973</v>
      </c>
    </row>
    <row r="163" spans="1:16">
      <c r="A163" s="132">
        <v>162</v>
      </c>
      <c r="B163" s="36" t="s">
        <v>3987</v>
      </c>
      <c r="C163" s="36" t="s">
        <v>3988</v>
      </c>
      <c r="D163" s="36" t="s">
        <v>3989</v>
      </c>
      <c r="E163" s="36" t="s">
        <v>3990</v>
      </c>
      <c r="F163" s="36" t="s">
        <v>3991</v>
      </c>
      <c r="G163" s="36" t="s">
        <v>3992</v>
      </c>
      <c r="H163" s="36" t="s">
        <v>3993</v>
      </c>
      <c r="I163" s="36" t="s">
        <v>3994</v>
      </c>
      <c r="J163" s="36" t="s">
        <v>3995</v>
      </c>
      <c r="K163" s="36" t="s">
        <v>3996</v>
      </c>
      <c r="L163" s="36" t="s">
        <v>3997</v>
      </c>
      <c r="M163" s="36" t="s">
        <v>3998</v>
      </c>
      <c r="N163" s="36" t="s">
        <v>3999</v>
      </c>
      <c r="O163" s="36" t="s">
        <v>4000</v>
      </c>
      <c r="P163" s="36" t="s">
        <v>3987</v>
      </c>
    </row>
    <row r="164" spans="1:16">
      <c r="A164" s="132">
        <v>163</v>
      </c>
      <c r="B164" s="36" t="s">
        <v>2312</v>
      </c>
      <c r="C164" s="36" t="s">
        <v>4001</v>
      </c>
      <c r="D164" s="36" t="s">
        <v>4002</v>
      </c>
      <c r="E164" s="36" t="s">
        <v>4003</v>
      </c>
      <c r="F164" s="36" t="s">
        <v>4004</v>
      </c>
      <c r="G164" s="36" t="s">
        <v>4005</v>
      </c>
      <c r="H164" s="36" t="s">
        <v>4006</v>
      </c>
      <c r="I164" s="36" t="s">
        <v>4007</v>
      </c>
      <c r="J164" s="36" t="s">
        <v>4008</v>
      </c>
      <c r="K164" s="36" t="s">
        <v>4009</v>
      </c>
      <c r="L164" s="36" t="s">
        <v>4010</v>
      </c>
      <c r="M164" s="36" t="s">
        <v>4011</v>
      </c>
      <c r="N164" s="36" t="s">
        <v>4012</v>
      </c>
      <c r="O164" s="36" t="s">
        <v>4013</v>
      </c>
      <c r="P164" s="36" t="s">
        <v>2312</v>
      </c>
    </row>
    <row r="165" spans="1:16">
      <c r="A165" s="132">
        <v>164</v>
      </c>
      <c r="B165" s="36" t="s">
        <v>4014</v>
      </c>
      <c r="C165" s="36" t="s">
        <v>4015</v>
      </c>
      <c r="D165" s="36" t="s">
        <v>4016</v>
      </c>
      <c r="E165" s="36" t="s">
        <v>4017</v>
      </c>
      <c r="F165" s="36" t="s">
        <v>4018</v>
      </c>
      <c r="G165" s="36" t="s">
        <v>4019</v>
      </c>
      <c r="H165" s="36" t="s">
        <v>4020</v>
      </c>
      <c r="I165" s="36" t="s">
        <v>4021</v>
      </c>
      <c r="J165" s="36" t="s">
        <v>4022</v>
      </c>
      <c r="K165" s="36" t="s">
        <v>4023</v>
      </c>
      <c r="L165" s="36" t="s">
        <v>4024</v>
      </c>
      <c r="M165" s="36" t="s">
        <v>4025</v>
      </c>
      <c r="N165" s="36" t="s">
        <v>4026</v>
      </c>
      <c r="O165" s="36" t="s">
        <v>4027</v>
      </c>
      <c r="P165" s="36" t="s">
        <v>4014</v>
      </c>
    </row>
    <row r="166" spans="1:16">
      <c r="A166" s="132">
        <v>165</v>
      </c>
      <c r="B166" s="36" t="s">
        <v>4028</v>
      </c>
      <c r="C166" s="36" t="s">
        <v>4029</v>
      </c>
      <c r="D166" s="36" t="s">
        <v>4030</v>
      </c>
      <c r="E166" s="36" t="s">
        <v>4031</v>
      </c>
      <c r="F166" s="36" t="s">
        <v>4032</v>
      </c>
      <c r="G166" s="36" t="s">
        <v>4033</v>
      </c>
      <c r="H166" s="36" t="s">
        <v>4034</v>
      </c>
      <c r="I166" s="36" t="s">
        <v>4035</v>
      </c>
      <c r="J166" s="36" t="s">
        <v>4036</v>
      </c>
      <c r="K166" s="36" t="s">
        <v>4037</v>
      </c>
      <c r="L166" s="36" t="s">
        <v>4038</v>
      </c>
      <c r="M166" s="36" t="s">
        <v>4039</v>
      </c>
      <c r="N166" s="36" t="s">
        <v>4040</v>
      </c>
      <c r="O166" s="36" t="s">
        <v>4041</v>
      </c>
      <c r="P166" s="36" t="s">
        <v>4028</v>
      </c>
    </row>
    <row r="167" spans="1:16">
      <c r="A167" s="132">
        <v>166</v>
      </c>
      <c r="B167" s="36" t="s">
        <v>4042</v>
      </c>
      <c r="C167" s="36" t="s">
        <v>4043</v>
      </c>
      <c r="D167" s="36" t="s">
        <v>4044</v>
      </c>
      <c r="E167" s="36" t="s">
        <v>4045</v>
      </c>
      <c r="F167" s="36" t="s">
        <v>4046</v>
      </c>
      <c r="G167" s="36" t="s">
        <v>4047</v>
      </c>
      <c r="H167" s="36" t="s">
        <v>4048</v>
      </c>
      <c r="I167" s="36" t="s">
        <v>4049</v>
      </c>
      <c r="J167" s="36" t="s">
        <v>4050</v>
      </c>
      <c r="K167" s="36" t="s">
        <v>4051</v>
      </c>
      <c r="L167" s="36" t="s">
        <v>4052</v>
      </c>
      <c r="M167" s="36" t="s">
        <v>4053</v>
      </c>
      <c r="N167" s="36" t="s">
        <v>4053</v>
      </c>
      <c r="O167" s="36" t="s">
        <v>4054</v>
      </c>
      <c r="P167" s="36" t="s">
        <v>4042</v>
      </c>
    </row>
    <row r="168" spans="1:16">
      <c r="A168" s="132">
        <v>167</v>
      </c>
      <c r="B168" s="36" t="s">
        <v>4055</v>
      </c>
      <c r="C168" s="36" t="s">
        <v>4056</v>
      </c>
      <c r="D168" s="36" t="s">
        <v>4057</v>
      </c>
      <c r="E168" s="36" t="s">
        <v>4058</v>
      </c>
      <c r="F168" s="36" t="s">
        <v>4059</v>
      </c>
      <c r="G168" s="36" t="s">
        <v>4060</v>
      </c>
      <c r="H168" s="36" t="s">
        <v>4061</v>
      </c>
      <c r="I168" s="36" t="s">
        <v>4062</v>
      </c>
      <c r="J168" s="36" t="s">
        <v>4063</v>
      </c>
      <c r="K168" s="36" t="s">
        <v>4064</v>
      </c>
      <c r="L168" s="36" t="s">
        <v>4065</v>
      </c>
      <c r="M168" s="36" t="s">
        <v>4066</v>
      </c>
      <c r="N168" s="36" t="s">
        <v>4067</v>
      </c>
      <c r="O168" s="36" t="s">
        <v>4068</v>
      </c>
      <c r="P168" s="36" t="s">
        <v>4055</v>
      </c>
    </row>
    <row r="169" spans="1:16">
      <c r="A169" s="132">
        <v>168</v>
      </c>
      <c r="B169" s="36" t="s">
        <v>4069</v>
      </c>
      <c r="C169" s="36" t="s">
        <v>4070</v>
      </c>
      <c r="D169" s="36" t="s">
        <v>4071</v>
      </c>
      <c r="E169" s="36" t="s">
        <v>4072</v>
      </c>
      <c r="F169" s="36" t="s">
        <v>4073</v>
      </c>
      <c r="G169" s="36" t="s">
        <v>4074</v>
      </c>
      <c r="H169" s="36" t="s">
        <v>4075</v>
      </c>
      <c r="I169" s="36" t="s">
        <v>4076</v>
      </c>
      <c r="J169" s="36" t="s">
        <v>4077</v>
      </c>
      <c r="K169" s="36" t="s">
        <v>4078</v>
      </c>
      <c r="L169" s="36" t="s">
        <v>4079</v>
      </c>
      <c r="M169" s="36" t="s">
        <v>4080</v>
      </c>
      <c r="N169" s="36" t="s">
        <v>4081</v>
      </c>
      <c r="O169" s="36" t="s">
        <v>4082</v>
      </c>
      <c r="P169" s="36" t="s">
        <v>4069</v>
      </c>
    </row>
    <row r="170" spans="1:16">
      <c r="A170" s="132">
        <v>169</v>
      </c>
      <c r="B170" s="36" t="s">
        <v>4083</v>
      </c>
      <c r="C170" s="36" t="s">
        <v>4084</v>
      </c>
      <c r="D170" s="36" t="s">
        <v>4085</v>
      </c>
      <c r="E170" s="36" t="s">
        <v>4086</v>
      </c>
      <c r="F170" s="36" t="s">
        <v>4087</v>
      </c>
      <c r="G170" s="36" t="s">
        <v>4088</v>
      </c>
      <c r="H170" s="36" t="s">
        <v>4089</v>
      </c>
      <c r="I170" s="36" t="s">
        <v>4090</v>
      </c>
      <c r="J170" s="36" t="s">
        <v>4091</v>
      </c>
      <c r="K170" s="36" t="s">
        <v>4092</v>
      </c>
      <c r="L170" s="36" t="s">
        <v>4093</v>
      </c>
      <c r="M170" s="36" t="s">
        <v>4094</v>
      </c>
      <c r="N170" s="36" t="s">
        <v>4095</v>
      </c>
      <c r="O170" s="36" t="s">
        <v>4096</v>
      </c>
      <c r="P170" s="36" t="s">
        <v>4083</v>
      </c>
    </row>
    <row r="171" spans="1:16">
      <c r="A171" s="132">
        <v>170</v>
      </c>
      <c r="B171" s="36" t="s">
        <v>4097</v>
      </c>
      <c r="C171" s="36" t="s">
        <v>4098</v>
      </c>
      <c r="D171" s="36" t="s">
        <v>4099</v>
      </c>
      <c r="E171" s="36" t="s">
        <v>4100</v>
      </c>
      <c r="F171" s="36" t="s">
        <v>4101</v>
      </c>
      <c r="G171" s="36" t="s">
        <v>4102</v>
      </c>
      <c r="H171" s="36" t="s">
        <v>4103</v>
      </c>
      <c r="I171" s="36" t="s">
        <v>4104</v>
      </c>
      <c r="J171" s="36" t="s">
        <v>4105</v>
      </c>
      <c r="K171" s="36" t="s">
        <v>4106</v>
      </c>
      <c r="L171" s="36" t="s">
        <v>4107</v>
      </c>
      <c r="M171" s="36" t="s">
        <v>4108</v>
      </c>
      <c r="N171" s="36" t="s">
        <v>4109</v>
      </c>
      <c r="O171" s="36" t="s">
        <v>4110</v>
      </c>
      <c r="P171" s="36" t="s">
        <v>4097</v>
      </c>
    </row>
    <row r="172" spans="1:16">
      <c r="A172" s="132">
        <v>171</v>
      </c>
      <c r="B172" s="36" t="s">
        <v>4111</v>
      </c>
      <c r="C172" s="36" t="s">
        <v>4112</v>
      </c>
      <c r="D172" s="36" t="s">
        <v>4113</v>
      </c>
      <c r="E172" s="36" t="s">
        <v>4114</v>
      </c>
      <c r="F172" s="36" t="s">
        <v>4115</v>
      </c>
      <c r="G172" s="36" t="s">
        <v>4116</v>
      </c>
      <c r="H172" s="36" t="s">
        <v>4117</v>
      </c>
      <c r="I172" s="36" t="s">
        <v>4118</v>
      </c>
      <c r="J172" s="36" t="s">
        <v>4119</v>
      </c>
      <c r="K172" s="36" t="s">
        <v>4120</v>
      </c>
      <c r="L172" s="36" t="s">
        <v>4121</v>
      </c>
      <c r="M172" s="36" t="s">
        <v>4122</v>
      </c>
      <c r="N172" s="36" t="s">
        <v>4123</v>
      </c>
      <c r="O172" s="36" t="s">
        <v>4124</v>
      </c>
      <c r="P172" s="36" t="s">
        <v>4111</v>
      </c>
    </row>
    <row r="173" spans="1:16">
      <c r="A173" s="132">
        <v>172</v>
      </c>
      <c r="B173" s="36" t="s">
        <v>4125</v>
      </c>
      <c r="C173" s="36" t="s">
        <v>4126</v>
      </c>
      <c r="D173" s="36" t="s">
        <v>4127</v>
      </c>
      <c r="E173" s="36" t="s">
        <v>4128</v>
      </c>
      <c r="F173" s="36" t="s">
        <v>4129</v>
      </c>
      <c r="G173" s="36" t="s">
        <v>4130</v>
      </c>
      <c r="H173" s="36" t="s">
        <v>4131</v>
      </c>
      <c r="I173" s="36" t="s">
        <v>4132</v>
      </c>
      <c r="J173" s="36" t="s">
        <v>4133</v>
      </c>
      <c r="K173" s="36" t="s">
        <v>4134</v>
      </c>
      <c r="L173" s="36" t="s">
        <v>4135</v>
      </c>
      <c r="M173" s="36" t="s">
        <v>4136</v>
      </c>
      <c r="N173" s="36" t="s">
        <v>4137</v>
      </c>
      <c r="O173" s="36" t="s">
        <v>4138</v>
      </c>
      <c r="P173" s="36" t="s">
        <v>4125</v>
      </c>
    </row>
    <row r="174" spans="1:16">
      <c r="A174" s="132">
        <v>173</v>
      </c>
      <c r="B174" s="36" t="s">
        <v>4139</v>
      </c>
      <c r="C174" s="36" t="s">
        <v>4140</v>
      </c>
      <c r="D174" s="36" t="s">
        <v>4141</v>
      </c>
      <c r="E174" s="36" t="s">
        <v>4142</v>
      </c>
      <c r="F174" s="36" t="s">
        <v>4143</v>
      </c>
      <c r="G174" s="36" t="s">
        <v>4144</v>
      </c>
      <c r="H174" s="36" t="s">
        <v>4145</v>
      </c>
      <c r="I174" s="36" t="s">
        <v>4144</v>
      </c>
      <c r="J174" s="36" t="s">
        <v>4146</v>
      </c>
      <c r="K174" s="36" t="s">
        <v>4147</v>
      </c>
      <c r="L174" s="36" t="s">
        <v>4148</v>
      </c>
      <c r="M174" s="36" t="s">
        <v>4148</v>
      </c>
      <c r="N174" s="36" t="s">
        <v>4148</v>
      </c>
      <c r="O174" s="36" t="s">
        <v>4149</v>
      </c>
      <c r="P174" s="36" t="s">
        <v>4139</v>
      </c>
    </row>
    <row r="175" spans="1:16">
      <c r="A175" s="132">
        <v>174</v>
      </c>
      <c r="B175" s="36" t="s">
        <v>4150</v>
      </c>
      <c r="C175" s="36" t="s">
        <v>4151</v>
      </c>
      <c r="D175" s="36" t="s">
        <v>4152</v>
      </c>
      <c r="E175" s="36" t="s">
        <v>4153</v>
      </c>
      <c r="F175" s="36" t="s">
        <v>4154</v>
      </c>
      <c r="G175" s="36" t="s">
        <v>4155</v>
      </c>
      <c r="H175" s="36" t="s">
        <v>4156</v>
      </c>
      <c r="I175" s="36" t="s">
        <v>4157</v>
      </c>
      <c r="J175" s="36" t="s">
        <v>4158</v>
      </c>
      <c r="K175" s="36" t="s">
        <v>4159</v>
      </c>
      <c r="L175" s="36" t="s">
        <v>4160</v>
      </c>
      <c r="M175" s="36" t="s">
        <v>4161</v>
      </c>
      <c r="N175" s="36" t="s">
        <v>4162</v>
      </c>
      <c r="O175" s="36" t="s">
        <v>4163</v>
      </c>
      <c r="P175" s="36" t="s">
        <v>4150</v>
      </c>
    </row>
    <row r="176" spans="1:16">
      <c r="A176" s="132">
        <v>175</v>
      </c>
      <c r="B176" s="36" t="s">
        <v>4150</v>
      </c>
      <c r="C176" s="36" t="s">
        <v>4164</v>
      </c>
      <c r="D176" s="36" t="s">
        <v>4165</v>
      </c>
      <c r="E176" s="36" t="s">
        <v>4153</v>
      </c>
      <c r="F176" s="36" t="s">
        <v>4154</v>
      </c>
      <c r="G176" s="36" t="s">
        <v>4166</v>
      </c>
      <c r="H176" s="36" t="s">
        <v>4167</v>
      </c>
      <c r="I176" s="36" t="s">
        <v>4168</v>
      </c>
      <c r="J176" s="36" t="s">
        <v>4169</v>
      </c>
      <c r="K176" s="36" t="s">
        <v>4170</v>
      </c>
      <c r="L176" s="36" t="s">
        <v>4171</v>
      </c>
      <c r="M176" s="36" t="s">
        <v>4172</v>
      </c>
      <c r="N176" s="36" t="s">
        <v>4173</v>
      </c>
      <c r="O176" s="36" t="s">
        <v>4174</v>
      </c>
      <c r="P176" s="36" t="s">
        <v>4175</v>
      </c>
    </row>
    <row r="177" spans="1:16">
      <c r="A177" s="132">
        <v>176</v>
      </c>
      <c r="B177" s="36" t="s">
        <v>4150</v>
      </c>
      <c r="C177" s="36" t="s">
        <v>4151</v>
      </c>
      <c r="D177" s="36" t="s">
        <v>4152</v>
      </c>
      <c r="E177" s="36" t="s">
        <v>4153</v>
      </c>
      <c r="F177" s="36" t="s">
        <v>4154</v>
      </c>
      <c r="G177" s="36" t="s">
        <v>4155</v>
      </c>
      <c r="H177" s="36" t="s">
        <v>4156</v>
      </c>
      <c r="I177" s="36" t="s">
        <v>4157</v>
      </c>
      <c r="J177" s="36" t="s">
        <v>4176</v>
      </c>
      <c r="K177" s="36" t="s">
        <v>4177</v>
      </c>
      <c r="L177" s="36" t="s">
        <v>4159</v>
      </c>
      <c r="M177" s="36" t="s">
        <v>4178</v>
      </c>
      <c r="N177" s="36" t="s">
        <v>4179</v>
      </c>
      <c r="O177" s="36" t="s">
        <v>4180</v>
      </c>
      <c r="P177" s="36" t="s">
        <v>4150</v>
      </c>
    </row>
    <row r="178" spans="1:16">
      <c r="A178" s="132">
        <v>177</v>
      </c>
      <c r="B178" s="36" t="s">
        <v>4181</v>
      </c>
      <c r="C178" s="36" t="s">
        <v>4182</v>
      </c>
      <c r="D178" s="36" t="s">
        <v>4183</v>
      </c>
      <c r="E178" s="36" t="s">
        <v>4184</v>
      </c>
      <c r="F178" s="36" t="s">
        <v>4185</v>
      </c>
      <c r="G178" s="36" t="s">
        <v>4186</v>
      </c>
      <c r="H178" s="36" t="s">
        <v>4187</v>
      </c>
      <c r="I178" s="36" t="s">
        <v>4188</v>
      </c>
      <c r="J178" s="36" t="s">
        <v>4189</v>
      </c>
      <c r="K178" s="36" t="s">
        <v>4190</v>
      </c>
      <c r="L178" s="36" t="s">
        <v>4191</v>
      </c>
      <c r="M178" s="36" t="s">
        <v>4189</v>
      </c>
      <c r="N178" s="36" t="s">
        <v>4192</v>
      </c>
      <c r="O178" s="36" t="s">
        <v>4193</v>
      </c>
      <c r="P178" s="36" t="s">
        <v>4181</v>
      </c>
    </row>
    <row r="179" spans="1:16">
      <c r="A179" s="132">
        <v>178</v>
      </c>
      <c r="B179" s="36" t="s">
        <v>4194</v>
      </c>
      <c r="C179" s="36" t="s">
        <v>4195</v>
      </c>
      <c r="D179" s="36" t="s">
        <v>4196</v>
      </c>
      <c r="E179" s="36" t="s">
        <v>4197</v>
      </c>
      <c r="F179" s="36" t="s">
        <v>4198</v>
      </c>
      <c r="G179" s="36" t="s">
        <v>4199</v>
      </c>
      <c r="H179" s="36" t="s">
        <v>4200</v>
      </c>
      <c r="I179" s="36" t="s">
        <v>4201</v>
      </c>
      <c r="J179" s="36" t="s">
        <v>4194</v>
      </c>
      <c r="K179" s="36" t="s">
        <v>4198</v>
      </c>
      <c r="L179" s="36" t="s">
        <v>4202</v>
      </c>
      <c r="M179" s="36" t="s">
        <v>4194</v>
      </c>
      <c r="N179" s="36" t="s">
        <v>4203</v>
      </c>
      <c r="O179" s="36" t="s">
        <v>4204</v>
      </c>
      <c r="P179" s="36" t="s">
        <v>4194</v>
      </c>
    </row>
    <row r="180" spans="1:16">
      <c r="A180" s="132">
        <v>179</v>
      </c>
      <c r="B180" s="36" t="s">
        <v>4205</v>
      </c>
      <c r="C180" s="36" t="s">
        <v>4206</v>
      </c>
      <c r="D180" s="36" t="s">
        <v>4207</v>
      </c>
      <c r="E180" s="36" t="s">
        <v>4208</v>
      </c>
      <c r="F180" s="36" t="s">
        <v>4209</v>
      </c>
      <c r="G180" s="36" t="s">
        <v>4210</v>
      </c>
      <c r="H180" s="36" t="s">
        <v>4211</v>
      </c>
      <c r="I180" s="36" t="s">
        <v>4212</v>
      </c>
      <c r="J180" s="36" t="s">
        <v>4213</v>
      </c>
      <c r="K180" s="36" t="s">
        <v>4214</v>
      </c>
      <c r="L180" s="36" t="s">
        <v>4215</v>
      </c>
      <c r="M180" s="36" t="s">
        <v>4216</v>
      </c>
      <c r="N180" s="36" t="s">
        <v>4217</v>
      </c>
      <c r="O180" s="36" t="s">
        <v>4218</v>
      </c>
      <c r="P180" s="36" t="s">
        <v>4205</v>
      </c>
    </row>
    <row r="181" spans="1:16">
      <c r="A181" s="132">
        <v>180</v>
      </c>
      <c r="B181" s="36" t="s">
        <v>4219</v>
      </c>
      <c r="C181" s="36" t="s">
        <v>4220</v>
      </c>
      <c r="D181" s="36" t="s">
        <v>4221</v>
      </c>
      <c r="E181" s="36" t="s">
        <v>4222</v>
      </c>
      <c r="F181" s="36" t="s">
        <v>4223</v>
      </c>
      <c r="G181" s="36" t="s">
        <v>4224</v>
      </c>
      <c r="H181" s="36" t="s">
        <v>4225</v>
      </c>
      <c r="I181" s="36" t="s">
        <v>4226</v>
      </c>
      <c r="J181" s="36" t="s">
        <v>4227</v>
      </c>
      <c r="K181" s="36" t="s">
        <v>4228</v>
      </c>
      <c r="L181" s="36" t="s">
        <v>4229</v>
      </c>
      <c r="M181" s="36" t="s">
        <v>4230</v>
      </c>
      <c r="N181" s="36" t="s">
        <v>4231</v>
      </c>
      <c r="O181" s="36" t="s">
        <v>4232</v>
      </c>
      <c r="P181" s="36" t="s">
        <v>4219</v>
      </c>
    </row>
    <row r="182" spans="1:16">
      <c r="A182" s="132">
        <v>181</v>
      </c>
      <c r="B182" s="36" t="s">
        <v>4233</v>
      </c>
      <c r="C182" s="36" t="s">
        <v>4234</v>
      </c>
      <c r="D182" s="36" t="s">
        <v>4235</v>
      </c>
      <c r="E182" s="36" t="s">
        <v>4236</v>
      </c>
      <c r="F182" s="36" t="s">
        <v>4237</v>
      </c>
      <c r="G182" s="36" t="s">
        <v>4238</v>
      </c>
      <c r="H182" s="36" t="s">
        <v>4239</v>
      </c>
      <c r="I182" s="36" t="s">
        <v>4240</v>
      </c>
      <c r="J182" s="36" t="s">
        <v>4241</v>
      </c>
      <c r="K182" s="36" t="s">
        <v>4242</v>
      </c>
      <c r="L182" s="36" t="s">
        <v>4243</v>
      </c>
      <c r="M182" s="36" t="s">
        <v>4244</v>
      </c>
      <c r="N182" s="36" t="s">
        <v>4245</v>
      </c>
      <c r="O182" s="36" t="s">
        <v>4246</v>
      </c>
      <c r="P182" s="36" t="s">
        <v>4233</v>
      </c>
    </row>
    <row r="183" spans="1:16">
      <c r="A183" s="132">
        <v>182</v>
      </c>
      <c r="B183" s="36" t="s">
        <v>4247</v>
      </c>
      <c r="C183" s="36" t="s">
        <v>4248</v>
      </c>
      <c r="D183" s="36" t="s">
        <v>4249</v>
      </c>
      <c r="E183" s="36" t="s">
        <v>4250</v>
      </c>
      <c r="F183" s="36" t="s">
        <v>4251</v>
      </c>
      <c r="G183" s="36" t="s">
        <v>4252</v>
      </c>
      <c r="H183" s="36" t="s">
        <v>4253</v>
      </c>
      <c r="I183" s="36" t="s">
        <v>4254</v>
      </c>
      <c r="J183" s="36" t="s">
        <v>4255</v>
      </c>
      <c r="K183" s="36" t="s">
        <v>4256</v>
      </c>
      <c r="L183" s="36" t="s">
        <v>4257</v>
      </c>
      <c r="M183" s="36" t="s">
        <v>4258</v>
      </c>
      <c r="N183" s="36" t="s">
        <v>4259</v>
      </c>
      <c r="O183" s="36" t="s">
        <v>4260</v>
      </c>
      <c r="P183" s="36" t="s">
        <v>4247</v>
      </c>
    </row>
    <row r="184" spans="1:16">
      <c r="A184" s="132">
        <v>183</v>
      </c>
      <c r="B184" s="36" t="s">
        <v>4261</v>
      </c>
      <c r="C184" s="36" t="s">
        <v>4262</v>
      </c>
      <c r="D184" s="36" t="s">
        <v>4263</v>
      </c>
      <c r="E184" s="36" t="s">
        <v>4264</v>
      </c>
      <c r="F184" s="36" t="s">
        <v>4265</v>
      </c>
      <c r="G184" s="36" t="s">
        <v>4266</v>
      </c>
      <c r="H184" s="36" t="s">
        <v>4267</v>
      </c>
      <c r="I184" s="36" t="s">
        <v>4268</v>
      </c>
      <c r="J184" s="36" t="s">
        <v>4269</v>
      </c>
      <c r="K184" s="36" t="s">
        <v>4270</v>
      </c>
      <c r="L184" s="36" t="s">
        <v>4271</v>
      </c>
      <c r="M184" s="36" t="s">
        <v>4272</v>
      </c>
      <c r="N184" s="36" t="s">
        <v>4273</v>
      </c>
      <c r="O184" s="36" t="s">
        <v>4274</v>
      </c>
      <c r="P184" s="36" t="s">
        <v>4261</v>
      </c>
    </row>
    <row r="185" spans="1:16">
      <c r="A185" s="132">
        <v>184</v>
      </c>
      <c r="B185" s="36" t="s">
        <v>4275</v>
      </c>
      <c r="C185" s="36" t="s">
        <v>4262</v>
      </c>
      <c r="D185" s="36" t="s">
        <v>4276</v>
      </c>
      <c r="E185" s="36" t="s">
        <v>4277</v>
      </c>
      <c r="F185" s="36" t="s">
        <v>4278</v>
      </c>
      <c r="G185" s="36" t="s">
        <v>4279</v>
      </c>
      <c r="H185" s="36" t="s">
        <v>4280</v>
      </c>
      <c r="I185" s="36" t="s">
        <v>4281</v>
      </c>
      <c r="J185" s="36" t="s">
        <v>4282</v>
      </c>
      <c r="K185" s="36" t="s">
        <v>4283</v>
      </c>
      <c r="L185" s="36" t="s">
        <v>4284</v>
      </c>
      <c r="M185" s="36" t="s">
        <v>4285</v>
      </c>
      <c r="N185" s="36" t="s">
        <v>4286</v>
      </c>
      <c r="O185" s="36" t="s">
        <v>4287</v>
      </c>
      <c r="P185" s="36" t="s">
        <v>4275</v>
      </c>
    </row>
    <row r="186" spans="1:16">
      <c r="A186" s="132">
        <v>185</v>
      </c>
      <c r="B186" s="36" t="s">
        <v>4288</v>
      </c>
      <c r="C186" s="36" t="s">
        <v>4289</v>
      </c>
      <c r="D186" s="36" t="s">
        <v>4288</v>
      </c>
      <c r="E186" s="36" t="s">
        <v>4290</v>
      </c>
      <c r="F186" s="36" t="s">
        <v>4291</v>
      </c>
      <c r="G186" s="36" t="s">
        <v>4292</v>
      </c>
      <c r="H186" s="36" t="s">
        <v>4293</v>
      </c>
      <c r="I186" s="36" t="s">
        <v>4294</v>
      </c>
      <c r="J186" s="36" t="s">
        <v>4295</v>
      </c>
      <c r="K186" s="36" t="s">
        <v>4296</v>
      </c>
      <c r="L186" s="36" t="s">
        <v>4297</v>
      </c>
      <c r="M186" s="36" t="s">
        <v>4298</v>
      </c>
      <c r="N186" s="36" t="s">
        <v>4299</v>
      </c>
      <c r="O186" s="36" t="s">
        <v>4300</v>
      </c>
      <c r="P186" s="36" t="s">
        <v>4288</v>
      </c>
    </row>
    <row r="187" spans="1:16">
      <c r="A187" s="132">
        <v>186</v>
      </c>
      <c r="B187" s="36" t="s">
        <v>4301</v>
      </c>
      <c r="C187" s="36" t="s">
        <v>4302</v>
      </c>
      <c r="D187" s="36" t="s">
        <v>4303</v>
      </c>
      <c r="E187" s="36" t="s">
        <v>4304</v>
      </c>
      <c r="F187" s="36" t="s">
        <v>4305</v>
      </c>
      <c r="G187" s="36" t="s">
        <v>4306</v>
      </c>
      <c r="H187" s="36" t="s">
        <v>4307</v>
      </c>
      <c r="I187" s="36" t="s">
        <v>4308</v>
      </c>
      <c r="J187" s="36" t="s">
        <v>4309</v>
      </c>
      <c r="K187" s="36" t="s">
        <v>4310</v>
      </c>
      <c r="L187" s="36" t="s">
        <v>4311</v>
      </c>
      <c r="M187" s="36" t="s">
        <v>4312</v>
      </c>
      <c r="N187" s="36" t="s">
        <v>4313</v>
      </c>
      <c r="O187" s="36" t="s">
        <v>4314</v>
      </c>
      <c r="P187" s="36" t="s">
        <v>4301</v>
      </c>
    </row>
    <row r="188" spans="1:16">
      <c r="A188" s="132">
        <v>187</v>
      </c>
      <c r="B188" s="36" t="s">
        <v>4315</v>
      </c>
      <c r="C188" s="36" t="s">
        <v>4316</v>
      </c>
      <c r="D188" s="36" t="s">
        <v>4317</v>
      </c>
      <c r="E188" s="36" t="s">
        <v>4318</v>
      </c>
      <c r="F188" s="36" t="s">
        <v>4319</v>
      </c>
      <c r="G188" s="36" t="s">
        <v>4320</v>
      </c>
      <c r="H188" s="36" t="s">
        <v>4321</v>
      </c>
      <c r="I188" s="36" t="s">
        <v>4322</v>
      </c>
      <c r="J188" s="36" t="s">
        <v>4323</v>
      </c>
      <c r="K188" s="36" t="s">
        <v>4324</v>
      </c>
      <c r="L188" s="36" t="s">
        <v>4325</v>
      </c>
      <c r="M188" s="36" t="s">
        <v>4326</v>
      </c>
      <c r="N188" s="36" t="s">
        <v>4327</v>
      </c>
      <c r="O188" s="36" t="s">
        <v>4328</v>
      </c>
      <c r="P188" s="36" t="s">
        <v>4315</v>
      </c>
    </row>
    <row r="189" spans="1:16">
      <c r="A189" s="132">
        <v>188</v>
      </c>
      <c r="B189" s="36" t="s">
        <v>4329</v>
      </c>
      <c r="C189" s="36" t="s">
        <v>4330</v>
      </c>
      <c r="D189" s="36" t="s">
        <v>4331</v>
      </c>
      <c r="E189" s="36" t="s">
        <v>4332</v>
      </c>
      <c r="F189" s="36" t="s">
        <v>4333</v>
      </c>
      <c r="G189" s="36" t="s">
        <v>4334</v>
      </c>
      <c r="H189" s="36" t="s">
        <v>4335</v>
      </c>
      <c r="I189" s="36" t="s">
        <v>4336</v>
      </c>
      <c r="J189" s="36" t="s">
        <v>4337</v>
      </c>
      <c r="K189" s="36" t="s">
        <v>4338</v>
      </c>
      <c r="L189" s="36" t="s">
        <v>4339</v>
      </c>
      <c r="M189" s="36" t="s">
        <v>4340</v>
      </c>
      <c r="N189" s="36" t="s">
        <v>4341</v>
      </c>
      <c r="O189" s="36" t="s">
        <v>4342</v>
      </c>
      <c r="P189" s="36" t="s">
        <v>4329</v>
      </c>
    </row>
    <row r="190" spans="1:16">
      <c r="A190" s="132">
        <v>189</v>
      </c>
      <c r="B190" s="36" t="s">
        <v>4343</v>
      </c>
      <c r="C190" s="36" t="s">
        <v>4344</v>
      </c>
      <c r="D190" s="36" t="s">
        <v>4345</v>
      </c>
      <c r="E190" s="36" t="s">
        <v>4346</v>
      </c>
      <c r="F190" s="36" t="s">
        <v>4347</v>
      </c>
      <c r="G190" s="36" t="s">
        <v>4348</v>
      </c>
      <c r="H190" s="36" t="s">
        <v>4349</v>
      </c>
      <c r="I190" s="36" t="s">
        <v>4350</v>
      </c>
      <c r="J190" s="36" t="s">
        <v>4351</v>
      </c>
      <c r="K190" s="36" t="s">
        <v>4352</v>
      </c>
      <c r="L190" s="36" t="s">
        <v>4353</v>
      </c>
      <c r="M190" s="36" t="s">
        <v>4354</v>
      </c>
      <c r="N190" s="36" t="s">
        <v>4355</v>
      </c>
      <c r="O190" s="36" t="s">
        <v>4356</v>
      </c>
      <c r="P190" s="36" t="s">
        <v>4357</v>
      </c>
    </row>
    <row r="191" spans="1:16">
      <c r="A191" s="132">
        <v>190</v>
      </c>
      <c r="B191" s="36" t="s">
        <v>4358</v>
      </c>
      <c r="C191" s="36" t="s">
        <v>4359</v>
      </c>
      <c r="D191" s="36" t="s">
        <v>4360</v>
      </c>
      <c r="E191" s="36" t="s">
        <v>4361</v>
      </c>
      <c r="F191" s="36" t="s">
        <v>4362</v>
      </c>
      <c r="G191" s="36" t="s">
        <v>4363</v>
      </c>
      <c r="H191" s="36" t="s">
        <v>4364</v>
      </c>
      <c r="I191" s="36" t="s">
        <v>4365</v>
      </c>
      <c r="J191" s="36" t="s">
        <v>4366</v>
      </c>
      <c r="K191" s="36" t="s">
        <v>4367</v>
      </c>
      <c r="L191" s="36" t="s">
        <v>4368</v>
      </c>
      <c r="M191" s="36" t="s">
        <v>4369</v>
      </c>
      <c r="N191" s="36" t="s">
        <v>4370</v>
      </c>
      <c r="O191" s="36" t="s">
        <v>4371</v>
      </c>
      <c r="P191" s="36" t="s">
        <v>4372</v>
      </c>
    </row>
    <row r="192" spans="1:16">
      <c r="A192" s="132">
        <v>191</v>
      </c>
      <c r="B192" s="36" t="s">
        <v>4373</v>
      </c>
      <c r="C192" s="36" t="s">
        <v>4374</v>
      </c>
      <c r="D192" s="36" t="s">
        <v>4375</v>
      </c>
      <c r="E192" s="36" t="s">
        <v>4376</v>
      </c>
      <c r="F192" s="36" t="s">
        <v>4377</v>
      </c>
      <c r="G192" s="36" t="s">
        <v>4378</v>
      </c>
      <c r="H192" s="36" t="s">
        <v>4379</v>
      </c>
      <c r="I192" s="36" t="s">
        <v>4380</v>
      </c>
      <c r="J192" s="36" t="s">
        <v>4381</v>
      </c>
      <c r="K192" s="36" t="s">
        <v>4382</v>
      </c>
      <c r="L192" s="36" t="s">
        <v>4383</v>
      </c>
      <c r="M192" s="36" t="s">
        <v>4384</v>
      </c>
      <c r="N192" s="36" t="s">
        <v>4385</v>
      </c>
      <c r="O192" s="36" t="s">
        <v>4386</v>
      </c>
      <c r="P192" s="36" t="s">
        <v>4373</v>
      </c>
    </row>
    <row r="193" spans="1:16">
      <c r="A193" s="132">
        <v>192</v>
      </c>
      <c r="B193" s="36" t="s">
        <v>4387</v>
      </c>
      <c r="C193" s="36" t="s">
        <v>4388</v>
      </c>
      <c r="D193" s="36" t="s">
        <v>4389</v>
      </c>
      <c r="E193" s="36" t="s">
        <v>4390</v>
      </c>
      <c r="F193" s="36" t="s">
        <v>4391</v>
      </c>
      <c r="G193" s="36" t="s">
        <v>4392</v>
      </c>
      <c r="H193" s="36" t="s">
        <v>4393</v>
      </c>
      <c r="I193" s="36" t="s">
        <v>4394</v>
      </c>
      <c r="J193" s="36" t="s">
        <v>4395</v>
      </c>
      <c r="K193" s="36" t="s">
        <v>4396</v>
      </c>
      <c r="L193" s="36" t="s">
        <v>4397</v>
      </c>
      <c r="M193" s="36" t="s">
        <v>4398</v>
      </c>
      <c r="N193" s="36" t="s">
        <v>4399</v>
      </c>
      <c r="O193" s="36" t="s">
        <v>4400</v>
      </c>
      <c r="P193" s="36" t="s">
        <v>4387</v>
      </c>
    </row>
    <row r="194" spans="1:16">
      <c r="A194" s="132">
        <v>193</v>
      </c>
      <c r="B194" s="36" t="s">
        <v>4401</v>
      </c>
      <c r="C194" s="36" t="s">
        <v>4402</v>
      </c>
      <c r="D194" s="36" t="s">
        <v>4403</v>
      </c>
      <c r="E194" s="36" t="s">
        <v>4404</v>
      </c>
      <c r="F194" s="36" t="s">
        <v>4405</v>
      </c>
      <c r="G194" s="36" t="s">
        <v>4406</v>
      </c>
      <c r="H194" s="36" t="s">
        <v>4407</v>
      </c>
      <c r="I194" s="36" t="s">
        <v>4408</v>
      </c>
      <c r="J194" s="36" t="s">
        <v>4409</v>
      </c>
      <c r="K194" s="36" t="s">
        <v>4410</v>
      </c>
      <c r="L194" s="36" t="s">
        <v>4411</v>
      </c>
      <c r="M194" s="36" t="s">
        <v>4412</v>
      </c>
      <c r="N194" s="36" t="s">
        <v>4413</v>
      </c>
      <c r="O194" s="36" t="s">
        <v>4414</v>
      </c>
      <c r="P194" s="36" t="s">
        <v>4401</v>
      </c>
    </row>
    <row r="195" spans="1:16">
      <c r="A195" s="132">
        <v>194</v>
      </c>
      <c r="B195" s="36" t="s">
        <v>4415</v>
      </c>
      <c r="C195" s="36" t="s">
        <v>4416</v>
      </c>
      <c r="D195" s="36" t="s">
        <v>4417</v>
      </c>
      <c r="E195" s="36" t="s">
        <v>4418</v>
      </c>
      <c r="F195" s="36" t="s">
        <v>4419</v>
      </c>
      <c r="G195" s="36" t="s">
        <v>4420</v>
      </c>
      <c r="H195" s="36" t="s">
        <v>4421</v>
      </c>
      <c r="I195" s="36" t="s">
        <v>4422</v>
      </c>
      <c r="J195" s="36" t="s">
        <v>4423</v>
      </c>
      <c r="K195" s="36" t="s">
        <v>4424</v>
      </c>
      <c r="L195" s="36" t="s">
        <v>4425</v>
      </c>
      <c r="M195" s="36" t="s">
        <v>4426</v>
      </c>
      <c r="N195" s="36" t="s">
        <v>4427</v>
      </c>
      <c r="O195" s="36" t="s">
        <v>4428</v>
      </c>
      <c r="P195" s="36" t="s">
        <v>4415</v>
      </c>
    </row>
    <row r="196" spans="1:16">
      <c r="A196" s="132">
        <v>195</v>
      </c>
      <c r="B196" s="36" t="s">
        <v>4429</v>
      </c>
      <c r="C196" s="36" t="s">
        <v>4430</v>
      </c>
      <c r="D196" s="36" t="s">
        <v>4431</v>
      </c>
      <c r="E196" s="36" t="s">
        <v>4432</v>
      </c>
      <c r="F196" s="36" t="s">
        <v>4433</v>
      </c>
      <c r="G196" s="36" t="s">
        <v>4434</v>
      </c>
      <c r="H196" s="36" t="s">
        <v>4435</v>
      </c>
      <c r="I196" s="36" t="s">
        <v>4436</v>
      </c>
      <c r="J196" s="36" t="s">
        <v>4437</v>
      </c>
      <c r="K196" s="36" t="s">
        <v>4438</v>
      </c>
      <c r="L196" s="36" t="s">
        <v>4439</v>
      </c>
      <c r="M196" s="36" t="s">
        <v>4440</v>
      </c>
      <c r="N196" s="36" t="s">
        <v>4441</v>
      </c>
      <c r="O196" s="36" t="s">
        <v>4442</v>
      </c>
      <c r="P196" s="36" t="s">
        <v>4429</v>
      </c>
    </row>
    <row r="197" spans="1:16">
      <c r="A197" s="132">
        <v>196</v>
      </c>
      <c r="B197" s="36" t="s">
        <v>4443</v>
      </c>
      <c r="C197" s="36" t="s">
        <v>4444</v>
      </c>
      <c r="D197" s="36" t="s">
        <v>4445</v>
      </c>
      <c r="E197" s="36" t="s">
        <v>4446</v>
      </c>
      <c r="F197" s="36" t="s">
        <v>4447</v>
      </c>
      <c r="G197" s="36" t="s">
        <v>4448</v>
      </c>
      <c r="H197" s="36" t="s">
        <v>4449</v>
      </c>
      <c r="I197" s="36" t="s">
        <v>4450</v>
      </c>
      <c r="J197" s="36" t="s">
        <v>4451</v>
      </c>
      <c r="K197" s="36" t="s">
        <v>4452</v>
      </c>
      <c r="L197" s="36" t="s">
        <v>4453</v>
      </c>
      <c r="M197" s="36" t="s">
        <v>4454</v>
      </c>
      <c r="N197" s="36" t="s">
        <v>4455</v>
      </c>
      <c r="O197" s="36" t="s">
        <v>4456</v>
      </c>
      <c r="P197" s="36" t="s">
        <v>4443</v>
      </c>
    </row>
    <row r="198" spans="1:16">
      <c r="A198" s="132">
        <v>197</v>
      </c>
      <c r="B198" s="36" t="s">
        <v>4457</v>
      </c>
      <c r="C198" s="36" t="s">
        <v>4458</v>
      </c>
      <c r="D198" s="36" t="s">
        <v>4459</v>
      </c>
      <c r="E198" s="36" t="s">
        <v>4460</v>
      </c>
      <c r="F198" s="36" t="s">
        <v>4461</v>
      </c>
      <c r="G198" s="36" t="s">
        <v>4462</v>
      </c>
      <c r="H198" s="36" t="s">
        <v>4463</v>
      </c>
      <c r="I198" s="36" t="s">
        <v>4464</v>
      </c>
      <c r="J198" s="36" t="s">
        <v>4465</v>
      </c>
      <c r="K198" s="36" t="s">
        <v>4466</v>
      </c>
      <c r="L198" s="36" t="s">
        <v>4467</v>
      </c>
      <c r="M198" s="36" t="s">
        <v>4468</v>
      </c>
      <c r="N198" s="36" t="s">
        <v>4469</v>
      </c>
      <c r="O198" s="36" t="s">
        <v>4470</v>
      </c>
      <c r="P198" s="36" t="s">
        <v>4457</v>
      </c>
    </row>
    <row r="199" spans="1:16">
      <c r="A199" s="132">
        <v>198</v>
      </c>
      <c r="B199" s="36" t="s">
        <v>4471</v>
      </c>
      <c r="C199" s="36" t="s">
        <v>4471</v>
      </c>
      <c r="D199" s="36" t="s">
        <v>4471</v>
      </c>
      <c r="E199" s="36" t="s">
        <v>4471</v>
      </c>
      <c r="F199" s="36" t="s">
        <v>4471</v>
      </c>
      <c r="G199" s="36" t="s">
        <v>4471</v>
      </c>
      <c r="H199" s="36" t="s">
        <v>4471</v>
      </c>
      <c r="I199" s="36" t="s">
        <v>4471</v>
      </c>
      <c r="J199" s="36" t="s">
        <v>4471</v>
      </c>
      <c r="K199" s="36" t="s">
        <v>4471</v>
      </c>
      <c r="L199" s="36" t="s">
        <v>4471</v>
      </c>
      <c r="M199" s="36" t="s">
        <v>4471</v>
      </c>
      <c r="N199" s="36" t="s">
        <v>4471</v>
      </c>
      <c r="O199" s="36" t="s">
        <v>4471</v>
      </c>
      <c r="P199" s="36" t="s">
        <v>4471</v>
      </c>
    </row>
    <row r="200" spans="1:16">
      <c r="A200" s="132">
        <v>199</v>
      </c>
      <c r="B200" s="36" t="s">
        <v>4472</v>
      </c>
      <c r="C200" s="36" t="s">
        <v>4473</v>
      </c>
      <c r="D200" s="36" t="s">
        <v>4474</v>
      </c>
      <c r="E200" s="36" t="s">
        <v>4475</v>
      </c>
      <c r="F200" s="36" t="s">
        <v>4476</v>
      </c>
      <c r="G200" s="36" t="s">
        <v>4477</v>
      </c>
      <c r="H200" s="36" t="s">
        <v>4478</v>
      </c>
      <c r="I200" s="36" t="s">
        <v>4479</v>
      </c>
      <c r="J200" s="36" t="s">
        <v>4480</v>
      </c>
      <c r="K200" s="36" t="s">
        <v>4481</v>
      </c>
      <c r="L200" s="36" t="s">
        <v>4482</v>
      </c>
      <c r="M200" s="36" t="s">
        <v>4483</v>
      </c>
      <c r="N200" s="36" t="s">
        <v>4484</v>
      </c>
      <c r="O200" s="36" t="s">
        <v>4485</v>
      </c>
      <c r="P200" s="36" t="s">
        <v>4472</v>
      </c>
    </row>
    <row r="201" spans="1:16">
      <c r="A201" s="132">
        <v>200</v>
      </c>
      <c r="B201" s="36" t="s">
        <v>4486</v>
      </c>
      <c r="C201" s="36" t="s">
        <v>4487</v>
      </c>
      <c r="D201" s="36" t="s">
        <v>4488</v>
      </c>
      <c r="E201" s="36" t="s">
        <v>4489</v>
      </c>
      <c r="F201" s="36" t="s">
        <v>4490</v>
      </c>
      <c r="G201" s="36" t="s">
        <v>4491</v>
      </c>
      <c r="H201" s="36" t="s">
        <v>4492</v>
      </c>
      <c r="I201" s="36" t="s">
        <v>4493</v>
      </c>
      <c r="J201" s="36" t="s">
        <v>4494</v>
      </c>
      <c r="K201" s="36" t="s">
        <v>4495</v>
      </c>
      <c r="L201" s="36" t="s">
        <v>4496</v>
      </c>
      <c r="M201" s="36" t="s">
        <v>4497</v>
      </c>
      <c r="N201" s="36" t="s">
        <v>4498</v>
      </c>
      <c r="O201" s="36" t="s">
        <v>4499</v>
      </c>
      <c r="P201" s="36" t="s">
        <v>4486</v>
      </c>
    </row>
    <row r="202" spans="1:16">
      <c r="A202" s="132">
        <v>201</v>
      </c>
      <c r="B202" s="36" t="s">
        <v>4500</v>
      </c>
      <c r="C202" s="36" t="s">
        <v>4501</v>
      </c>
      <c r="D202" s="36" t="s">
        <v>4502</v>
      </c>
      <c r="E202" s="36" t="s">
        <v>4503</v>
      </c>
      <c r="F202" s="36" t="s">
        <v>4504</v>
      </c>
      <c r="G202" s="36" t="s">
        <v>4505</v>
      </c>
      <c r="H202" s="36" t="s">
        <v>4506</v>
      </c>
      <c r="I202" s="36" t="s">
        <v>4507</v>
      </c>
      <c r="J202" s="36" t="s">
        <v>4508</v>
      </c>
      <c r="K202" s="36" t="s">
        <v>4509</v>
      </c>
      <c r="L202" s="36" t="s">
        <v>4510</v>
      </c>
      <c r="M202" s="36" t="s">
        <v>4511</v>
      </c>
      <c r="N202" s="36" t="s">
        <v>4512</v>
      </c>
      <c r="O202" s="36" t="s">
        <v>4513</v>
      </c>
      <c r="P202" s="36" t="s">
        <v>4500</v>
      </c>
    </row>
    <row r="203" spans="1:16" ht="13.95" customHeight="1">
      <c r="A203" s="132">
        <v>202</v>
      </c>
      <c r="B203" s="36" t="s">
        <v>4514</v>
      </c>
      <c r="C203" s="36" t="s">
        <v>4515</v>
      </c>
      <c r="D203" s="36" t="s">
        <v>4516</v>
      </c>
      <c r="E203" s="36" t="s">
        <v>4517</v>
      </c>
      <c r="F203" s="36" t="s">
        <v>4518</v>
      </c>
      <c r="G203" s="36" t="s">
        <v>4519</v>
      </c>
      <c r="H203" s="36" t="s">
        <v>4520</v>
      </c>
      <c r="I203" s="36" t="s">
        <v>4521</v>
      </c>
      <c r="J203" s="36" t="s">
        <v>4522</v>
      </c>
      <c r="K203" s="36" t="s">
        <v>4523</v>
      </c>
      <c r="L203" s="36" t="s">
        <v>4524</v>
      </c>
      <c r="M203" s="36" t="s">
        <v>4525</v>
      </c>
      <c r="N203" s="36" t="s">
        <v>4526</v>
      </c>
      <c r="O203" s="36" t="s">
        <v>4527</v>
      </c>
      <c r="P203" s="36" t="s">
        <v>4514</v>
      </c>
    </row>
    <row r="204" spans="1:16">
      <c r="A204" s="132">
        <v>203</v>
      </c>
      <c r="B204" s="36" t="s">
        <v>4528</v>
      </c>
      <c r="C204" s="36" t="s">
        <v>4529</v>
      </c>
      <c r="D204" s="36" t="s">
        <v>4530</v>
      </c>
      <c r="E204" s="36" t="s">
        <v>4531</v>
      </c>
      <c r="F204" s="36" t="s">
        <v>4532</v>
      </c>
      <c r="G204" s="36" t="s">
        <v>4533</v>
      </c>
      <c r="H204" s="36" t="s">
        <v>4534</v>
      </c>
      <c r="I204" s="36" t="s">
        <v>4535</v>
      </c>
      <c r="J204" s="36" t="s">
        <v>4536</v>
      </c>
      <c r="K204" s="36" t="s">
        <v>4537</v>
      </c>
      <c r="L204" s="36" t="s">
        <v>4538</v>
      </c>
      <c r="M204" s="36" t="s">
        <v>4539</v>
      </c>
      <c r="N204" s="36" t="s">
        <v>4540</v>
      </c>
      <c r="O204" s="36" t="s">
        <v>4535</v>
      </c>
      <c r="P204" s="36" t="s">
        <v>4528</v>
      </c>
    </row>
    <row r="205" spans="1:16">
      <c r="A205" s="132">
        <v>204</v>
      </c>
      <c r="B205" s="36" t="s">
        <v>4541</v>
      </c>
      <c r="C205" s="36" t="s">
        <v>4542</v>
      </c>
      <c r="D205" s="36" t="s">
        <v>4543</v>
      </c>
      <c r="E205" s="36" t="s">
        <v>4544</v>
      </c>
      <c r="F205" s="36" t="s">
        <v>4545</v>
      </c>
      <c r="G205" s="36" t="s">
        <v>4546</v>
      </c>
      <c r="H205" s="36" t="s">
        <v>4547</v>
      </c>
      <c r="I205" s="36" t="s">
        <v>4548</v>
      </c>
      <c r="J205" s="36" t="s">
        <v>4549</v>
      </c>
      <c r="K205" s="36" t="s">
        <v>4550</v>
      </c>
      <c r="L205" s="36" t="s">
        <v>4551</v>
      </c>
      <c r="M205" s="36" t="s">
        <v>4552</v>
      </c>
      <c r="N205" s="36" t="s">
        <v>4551</v>
      </c>
      <c r="O205" s="36" t="s">
        <v>4553</v>
      </c>
      <c r="P205" s="36" t="s">
        <v>4541</v>
      </c>
    </row>
    <row r="206" spans="1:16">
      <c r="A206" s="132">
        <v>205</v>
      </c>
      <c r="B206" s="36" t="s">
        <v>4554</v>
      </c>
      <c r="C206" s="36" t="s">
        <v>4555</v>
      </c>
      <c r="D206" s="36" t="s">
        <v>4556</v>
      </c>
      <c r="E206" s="36" t="s">
        <v>4557</v>
      </c>
      <c r="F206" s="36" t="s">
        <v>4558</v>
      </c>
      <c r="G206" s="36" t="s">
        <v>4559</v>
      </c>
      <c r="H206" s="36" t="s">
        <v>4560</v>
      </c>
      <c r="I206" s="36" t="s">
        <v>4558</v>
      </c>
      <c r="J206" s="36" t="s">
        <v>4561</v>
      </c>
      <c r="K206" s="36" t="s">
        <v>4562</v>
      </c>
      <c r="L206" s="36" t="s">
        <v>4563</v>
      </c>
      <c r="M206" s="36" t="s">
        <v>4564</v>
      </c>
      <c r="N206" s="36" t="s">
        <v>4565</v>
      </c>
      <c r="O206" s="36" t="s">
        <v>4566</v>
      </c>
      <c r="P206" s="36" t="s">
        <v>4554</v>
      </c>
    </row>
    <row r="207" spans="1:16">
      <c r="A207" s="132">
        <v>206</v>
      </c>
      <c r="B207" s="36" t="s">
        <v>4567</v>
      </c>
      <c r="C207" s="36" t="s">
        <v>4568</v>
      </c>
      <c r="D207" s="36" t="s">
        <v>4569</v>
      </c>
      <c r="E207" s="36" t="s">
        <v>4570</v>
      </c>
      <c r="F207" s="36" t="s">
        <v>4571</v>
      </c>
      <c r="G207" s="36" t="s">
        <v>4572</v>
      </c>
      <c r="H207" s="36" t="s">
        <v>4573</v>
      </c>
      <c r="I207" s="36" t="s">
        <v>4574</v>
      </c>
      <c r="J207" s="36" t="s">
        <v>4575</v>
      </c>
      <c r="K207" s="36" t="s">
        <v>4576</v>
      </c>
      <c r="L207" s="36" t="s">
        <v>4577</v>
      </c>
      <c r="M207" s="36" t="s">
        <v>4578</v>
      </c>
      <c r="N207" s="36" t="s">
        <v>4579</v>
      </c>
      <c r="O207" s="36" t="s">
        <v>4580</v>
      </c>
      <c r="P207" s="36" t="s">
        <v>4567</v>
      </c>
    </row>
    <row r="208" spans="1:16">
      <c r="A208" s="132">
        <v>207</v>
      </c>
      <c r="B208" s="36" t="s">
        <v>4581</v>
      </c>
      <c r="C208" s="36" t="s">
        <v>4582</v>
      </c>
      <c r="D208" s="36" t="s">
        <v>4583</v>
      </c>
      <c r="E208" s="36" t="s">
        <v>4584</v>
      </c>
      <c r="F208" s="36" t="s">
        <v>4585</v>
      </c>
      <c r="G208" s="36" t="s">
        <v>4586</v>
      </c>
      <c r="H208" s="36" t="s">
        <v>4587</v>
      </c>
      <c r="I208" s="36" t="s">
        <v>4588</v>
      </c>
      <c r="J208" s="36" t="s">
        <v>4589</v>
      </c>
      <c r="K208" s="36" t="s">
        <v>4590</v>
      </c>
      <c r="L208" s="36" t="s">
        <v>4591</v>
      </c>
      <c r="M208" s="36" t="s">
        <v>4592</v>
      </c>
      <c r="N208" s="36" t="s">
        <v>4593</v>
      </c>
      <c r="O208" s="36" t="s">
        <v>4594</v>
      </c>
      <c r="P208" s="36" t="s">
        <v>4581</v>
      </c>
    </row>
    <row r="209" spans="1:16">
      <c r="A209" s="132">
        <v>208</v>
      </c>
      <c r="B209" s="36" t="s">
        <v>4595</v>
      </c>
      <c r="C209" s="36" t="s">
        <v>4596</v>
      </c>
      <c r="D209" s="36" t="s">
        <v>4597</v>
      </c>
      <c r="E209" s="36" t="s">
        <v>4598</v>
      </c>
      <c r="F209" s="36" t="s">
        <v>4599</v>
      </c>
      <c r="G209" s="36" t="s">
        <v>4600</v>
      </c>
      <c r="H209" s="36" t="s">
        <v>4601</v>
      </c>
      <c r="I209" s="36" t="s">
        <v>4602</v>
      </c>
      <c r="J209" s="36" t="s">
        <v>4603</v>
      </c>
      <c r="K209" s="36" t="s">
        <v>4604</v>
      </c>
      <c r="L209" s="36" t="s">
        <v>4605</v>
      </c>
      <c r="M209" s="36" t="s">
        <v>4606</v>
      </c>
      <c r="N209" s="36" t="s">
        <v>4607</v>
      </c>
      <c r="O209" s="36" t="s">
        <v>4608</v>
      </c>
      <c r="P209" s="36" t="s">
        <v>4595</v>
      </c>
    </row>
    <row r="210" spans="1:16">
      <c r="A210" s="132">
        <v>209</v>
      </c>
      <c r="B210" s="36" t="s">
        <v>4609</v>
      </c>
      <c r="C210" s="36" t="s">
        <v>4610</v>
      </c>
      <c r="D210" s="36" t="s">
        <v>4611</v>
      </c>
      <c r="E210" s="36" t="s">
        <v>4612</v>
      </c>
      <c r="F210" s="36" t="s">
        <v>4613</v>
      </c>
      <c r="G210" s="36" t="s">
        <v>4614</v>
      </c>
      <c r="H210" s="36" t="s">
        <v>4615</v>
      </c>
      <c r="I210" s="36" t="s">
        <v>4616</v>
      </c>
      <c r="J210" s="36" t="s">
        <v>4617</v>
      </c>
      <c r="K210" s="36" t="s">
        <v>4618</v>
      </c>
      <c r="L210" s="36" t="s">
        <v>4619</v>
      </c>
      <c r="M210" s="36" t="s">
        <v>4620</v>
      </c>
      <c r="N210" s="36" t="s">
        <v>4621</v>
      </c>
      <c r="O210" s="36" t="s">
        <v>4622</v>
      </c>
      <c r="P210" s="36" t="s">
        <v>4609</v>
      </c>
    </row>
    <row r="211" spans="1:16">
      <c r="A211" s="132">
        <v>210</v>
      </c>
      <c r="B211" s="36" t="s">
        <v>4623</v>
      </c>
      <c r="C211" s="36" t="s">
        <v>4624</v>
      </c>
      <c r="D211" s="36" t="s">
        <v>4625</v>
      </c>
      <c r="E211" s="36" t="s">
        <v>4626</v>
      </c>
      <c r="F211" s="36" t="s">
        <v>4627</v>
      </c>
      <c r="G211" s="36" t="s">
        <v>4628</v>
      </c>
      <c r="H211" s="36" t="s">
        <v>4629</v>
      </c>
      <c r="I211" s="36" t="s">
        <v>4630</v>
      </c>
      <c r="J211" s="36" t="s">
        <v>4631</v>
      </c>
      <c r="K211" s="36" t="s">
        <v>4632</v>
      </c>
      <c r="L211" s="36" t="s">
        <v>4633</v>
      </c>
      <c r="M211" s="36" t="s">
        <v>4634</v>
      </c>
      <c r="N211" s="36" t="s">
        <v>4635</v>
      </c>
      <c r="O211" s="36" t="s">
        <v>4636</v>
      </c>
      <c r="P211" s="36" t="s">
        <v>4623</v>
      </c>
    </row>
    <row r="212" spans="1:16">
      <c r="A212" s="132">
        <v>211</v>
      </c>
      <c r="B212" s="36" t="s">
        <v>4637</v>
      </c>
      <c r="C212" s="36" t="s">
        <v>4638</v>
      </c>
      <c r="D212" s="36" t="s">
        <v>4639</v>
      </c>
      <c r="E212" s="36" t="s">
        <v>4640</v>
      </c>
      <c r="F212" s="36" t="s">
        <v>4641</v>
      </c>
      <c r="G212" s="36" t="s">
        <v>4642</v>
      </c>
      <c r="H212" s="36" t="s">
        <v>4643</v>
      </c>
      <c r="I212" s="36" t="s">
        <v>4644</v>
      </c>
      <c r="J212" s="36" t="s">
        <v>4645</v>
      </c>
      <c r="K212" s="36" t="s">
        <v>4646</v>
      </c>
      <c r="L212" s="36" t="s">
        <v>4647</v>
      </c>
      <c r="M212" s="36" t="s">
        <v>4648</v>
      </c>
      <c r="N212" s="36" t="s">
        <v>4649</v>
      </c>
      <c r="O212" s="36" t="s">
        <v>4650</v>
      </c>
      <c r="P212" s="36" t="s">
        <v>4637</v>
      </c>
    </row>
    <row r="213" spans="1:16">
      <c r="A213" s="132">
        <v>212</v>
      </c>
      <c r="B213" s="36" t="s">
        <v>4651</v>
      </c>
      <c r="C213" s="36" t="s">
        <v>4652</v>
      </c>
      <c r="D213" s="36" t="s">
        <v>4653</v>
      </c>
      <c r="E213" s="36" t="s">
        <v>4654</v>
      </c>
      <c r="F213" s="36" t="s">
        <v>4655</v>
      </c>
      <c r="G213" s="36" t="s">
        <v>4656</v>
      </c>
      <c r="H213" s="36" t="s">
        <v>4657</v>
      </c>
      <c r="I213" s="36" t="s">
        <v>4658</v>
      </c>
      <c r="J213" s="36" t="s">
        <v>4659</v>
      </c>
      <c r="K213" s="36" t="s">
        <v>4660</v>
      </c>
      <c r="L213" s="36" t="s">
        <v>4661</v>
      </c>
      <c r="M213" s="36" t="s">
        <v>4662</v>
      </c>
      <c r="N213" s="36" t="s">
        <v>4663</v>
      </c>
      <c r="O213" s="36" t="s">
        <v>4664</v>
      </c>
      <c r="P213" s="36" t="s">
        <v>4651</v>
      </c>
    </row>
    <row r="214" spans="1:16">
      <c r="A214" s="132">
        <v>213</v>
      </c>
      <c r="B214" s="36" t="s">
        <v>4665</v>
      </c>
      <c r="C214" s="36" t="s">
        <v>4666</v>
      </c>
      <c r="D214" s="36" t="s">
        <v>4667</v>
      </c>
      <c r="E214" s="36" t="s">
        <v>4668</v>
      </c>
      <c r="F214" s="36" t="s">
        <v>4669</v>
      </c>
      <c r="G214" s="36" t="s">
        <v>4670</v>
      </c>
      <c r="H214" s="36" t="s">
        <v>4671</v>
      </c>
      <c r="I214" s="36" t="s">
        <v>4672</v>
      </c>
      <c r="J214" s="36" t="s">
        <v>4673</v>
      </c>
      <c r="K214" s="36" t="s">
        <v>4674</v>
      </c>
      <c r="L214" s="36" t="s">
        <v>4675</v>
      </c>
      <c r="M214" s="36" t="s">
        <v>4676</v>
      </c>
      <c r="N214" s="36" t="s">
        <v>4677</v>
      </c>
      <c r="O214" s="36" t="s">
        <v>4678</v>
      </c>
      <c r="P214" s="36" t="s">
        <v>4665</v>
      </c>
    </row>
    <row r="215" spans="1:16">
      <c r="A215" s="132">
        <v>214</v>
      </c>
      <c r="B215" s="36" t="s">
        <v>4679</v>
      </c>
      <c r="C215" s="36" t="s">
        <v>4680</v>
      </c>
      <c r="D215" s="36" t="s">
        <v>4681</v>
      </c>
      <c r="E215" s="36" t="s">
        <v>4682</v>
      </c>
      <c r="F215" s="36" t="s">
        <v>4683</v>
      </c>
      <c r="G215" s="36" t="s">
        <v>4684</v>
      </c>
      <c r="H215" s="36" t="s">
        <v>4685</v>
      </c>
      <c r="I215" s="36" t="s">
        <v>4686</v>
      </c>
      <c r="J215" s="36" t="s">
        <v>4687</v>
      </c>
      <c r="K215" s="36" t="s">
        <v>4688</v>
      </c>
      <c r="L215" s="36" t="s">
        <v>4689</v>
      </c>
      <c r="M215" s="36" t="s">
        <v>4690</v>
      </c>
      <c r="N215" s="36" t="s">
        <v>4691</v>
      </c>
      <c r="O215" s="36" t="s">
        <v>4692</v>
      </c>
      <c r="P215" s="36" t="s">
        <v>4679</v>
      </c>
    </row>
    <row r="216" spans="1:16">
      <c r="A216" s="132">
        <v>215</v>
      </c>
      <c r="B216" s="36" t="s">
        <v>4693</v>
      </c>
      <c r="C216" s="36" t="s">
        <v>4694</v>
      </c>
      <c r="D216" s="36" t="s">
        <v>4695</v>
      </c>
      <c r="E216" s="36" t="s">
        <v>4696</v>
      </c>
      <c r="F216" s="36" t="s">
        <v>4697</v>
      </c>
      <c r="G216" s="36" t="s">
        <v>4698</v>
      </c>
      <c r="H216" s="36" t="s">
        <v>4699</v>
      </c>
      <c r="I216" s="36" t="s">
        <v>4700</v>
      </c>
      <c r="J216" s="36" t="s">
        <v>4701</v>
      </c>
      <c r="K216" s="36" t="s">
        <v>4702</v>
      </c>
      <c r="L216" s="36" t="s">
        <v>4703</v>
      </c>
      <c r="M216" s="36" t="s">
        <v>4704</v>
      </c>
      <c r="N216" s="36" t="s">
        <v>4705</v>
      </c>
      <c r="O216" s="36" t="s">
        <v>4706</v>
      </c>
      <c r="P216" s="36" t="s">
        <v>4693</v>
      </c>
    </row>
    <row r="217" spans="1:16" ht="13.95" customHeight="1">
      <c r="A217" s="132">
        <v>216</v>
      </c>
      <c r="B217" s="36" t="s">
        <v>4707</v>
      </c>
      <c r="C217" s="36" t="s">
        <v>4708</v>
      </c>
      <c r="D217" s="36" t="s">
        <v>4709</v>
      </c>
      <c r="E217" s="36" t="s">
        <v>4710</v>
      </c>
      <c r="F217" s="36" t="s">
        <v>4711</v>
      </c>
      <c r="G217" s="36" t="s">
        <v>4712</v>
      </c>
      <c r="H217" s="36" t="s">
        <v>4713</v>
      </c>
      <c r="I217" s="36" t="s">
        <v>4714</v>
      </c>
      <c r="J217" s="36" t="s">
        <v>4715</v>
      </c>
      <c r="K217" s="36" t="s">
        <v>4716</v>
      </c>
      <c r="L217" s="36" t="s">
        <v>4717</v>
      </c>
      <c r="M217" s="36" t="s">
        <v>4718</v>
      </c>
      <c r="N217" s="36" t="s">
        <v>4719</v>
      </c>
      <c r="O217" s="36" t="s">
        <v>4720</v>
      </c>
      <c r="P217" s="36" t="s">
        <v>4707</v>
      </c>
    </row>
    <row r="218" spans="1:16">
      <c r="A218" s="132">
        <v>217</v>
      </c>
      <c r="B218" s="36" t="s">
        <v>4721</v>
      </c>
      <c r="C218" s="36" t="s">
        <v>4722</v>
      </c>
      <c r="D218" s="36" t="s">
        <v>4723</v>
      </c>
      <c r="E218" s="36" t="s">
        <v>4724</v>
      </c>
      <c r="F218" s="36" t="s">
        <v>4725</v>
      </c>
      <c r="G218" s="36" t="s">
        <v>4726</v>
      </c>
      <c r="H218" s="36" t="s">
        <v>4727</v>
      </c>
      <c r="I218" s="36" t="s">
        <v>4728</v>
      </c>
      <c r="J218" s="36" t="s">
        <v>4729</v>
      </c>
      <c r="K218" s="36" t="s">
        <v>4730</v>
      </c>
      <c r="L218" s="36" t="s">
        <v>4731</v>
      </c>
      <c r="M218" s="36" t="s">
        <v>4732</v>
      </c>
      <c r="N218" s="36" t="s">
        <v>4733</v>
      </c>
      <c r="O218" s="36" t="s">
        <v>4734</v>
      </c>
      <c r="P218" s="36" t="s">
        <v>4721</v>
      </c>
    </row>
    <row r="219" spans="1:16">
      <c r="A219" s="132">
        <v>218</v>
      </c>
      <c r="B219" s="36" t="s">
        <v>4735</v>
      </c>
      <c r="C219" s="36" t="s">
        <v>4736</v>
      </c>
      <c r="D219" s="36" t="s">
        <v>4737</v>
      </c>
      <c r="E219" s="36" t="s">
        <v>4738</v>
      </c>
      <c r="F219" s="36" t="s">
        <v>4739</v>
      </c>
      <c r="G219" s="36" t="s">
        <v>4740</v>
      </c>
      <c r="H219" s="36" t="s">
        <v>4741</v>
      </c>
      <c r="I219" s="36" t="s">
        <v>4742</v>
      </c>
      <c r="J219" s="36" t="s">
        <v>4743</v>
      </c>
      <c r="K219" s="36" t="s">
        <v>4744</v>
      </c>
      <c r="L219" s="36" t="s">
        <v>4745</v>
      </c>
      <c r="M219" s="36" t="s">
        <v>4746</v>
      </c>
      <c r="N219" s="36" t="s">
        <v>4747</v>
      </c>
      <c r="O219" s="36" t="s">
        <v>4748</v>
      </c>
      <c r="P219" s="36" t="s">
        <v>4735</v>
      </c>
    </row>
    <row r="220" spans="1:16">
      <c r="A220" s="132">
        <v>219</v>
      </c>
      <c r="B220" s="36" t="s">
        <v>4749</v>
      </c>
      <c r="C220" s="36" t="s">
        <v>4750</v>
      </c>
      <c r="D220" s="36" t="s">
        <v>4751</v>
      </c>
      <c r="E220" s="36" t="s">
        <v>4752</v>
      </c>
      <c r="F220" s="36" t="s">
        <v>4753</v>
      </c>
      <c r="G220" s="36" t="s">
        <v>4754</v>
      </c>
      <c r="H220" s="36" t="s">
        <v>4755</v>
      </c>
      <c r="I220" s="36" t="s">
        <v>4756</v>
      </c>
      <c r="J220" s="36" t="s">
        <v>4757</v>
      </c>
      <c r="K220" s="36" t="s">
        <v>4758</v>
      </c>
      <c r="L220" s="36" t="s">
        <v>4759</v>
      </c>
      <c r="M220" s="36" t="s">
        <v>4760</v>
      </c>
      <c r="N220" s="36" t="s">
        <v>4761</v>
      </c>
      <c r="O220" s="36" t="s">
        <v>4762</v>
      </c>
      <c r="P220" s="36" t="s">
        <v>4749</v>
      </c>
    </row>
    <row r="221" spans="1:16">
      <c r="A221" s="132">
        <v>220</v>
      </c>
      <c r="B221" s="36" t="s">
        <v>4763</v>
      </c>
      <c r="C221" s="36" t="s">
        <v>4764</v>
      </c>
      <c r="D221" s="36" t="s">
        <v>4765</v>
      </c>
      <c r="E221" s="36" t="s">
        <v>4766</v>
      </c>
      <c r="F221" s="36" t="s">
        <v>4767</v>
      </c>
      <c r="G221" s="36" t="s">
        <v>4768</v>
      </c>
      <c r="H221" s="36" t="s">
        <v>4769</v>
      </c>
      <c r="I221" s="36" t="s">
        <v>4770</v>
      </c>
      <c r="J221" s="36" t="s">
        <v>4771</v>
      </c>
      <c r="K221" s="36" t="s">
        <v>4772</v>
      </c>
      <c r="L221" s="36" t="s">
        <v>4773</v>
      </c>
      <c r="M221" s="36" t="s">
        <v>4774</v>
      </c>
      <c r="N221" s="36" t="s">
        <v>4775</v>
      </c>
      <c r="O221" s="36" t="s">
        <v>4776</v>
      </c>
      <c r="P221" s="36" t="s">
        <v>4763</v>
      </c>
    </row>
    <row r="222" spans="1:16">
      <c r="A222" s="132">
        <v>221</v>
      </c>
      <c r="B222" s="36" t="s">
        <v>4777</v>
      </c>
      <c r="C222" s="36" t="s">
        <v>4778</v>
      </c>
      <c r="D222" s="36" t="s">
        <v>4779</v>
      </c>
      <c r="E222" s="36" t="s">
        <v>4780</v>
      </c>
      <c r="F222" s="36" t="s">
        <v>4781</v>
      </c>
      <c r="G222" s="36" t="s">
        <v>4782</v>
      </c>
      <c r="H222" s="36" t="s">
        <v>4783</v>
      </c>
      <c r="I222" s="36" t="s">
        <v>4784</v>
      </c>
      <c r="J222" s="36" t="s">
        <v>4785</v>
      </c>
      <c r="K222" s="36" t="s">
        <v>4786</v>
      </c>
      <c r="L222" s="36" t="s">
        <v>4787</v>
      </c>
      <c r="M222" s="36" t="s">
        <v>4788</v>
      </c>
      <c r="N222" s="36" t="s">
        <v>4789</v>
      </c>
      <c r="O222" s="36" t="s">
        <v>4790</v>
      </c>
      <c r="P222" s="36" t="s">
        <v>4777</v>
      </c>
    </row>
    <row r="223" spans="1:16">
      <c r="A223" s="132">
        <v>222</v>
      </c>
      <c r="B223" s="36" t="s">
        <v>4791</v>
      </c>
      <c r="C223" s="36" t="s">
        <v>4792</v>
      </c>
      <c r="D223" s="36" t="s">
        <v>4793</v>
      </c>
      <c r="E223" s="36" t="s">
        <v>4794</v>
      </c>
      <c r="F223" s="36" t="s">
        <v>4795</v>
      </c>
      <c r="G223" s="36" t="s">
        <v>4796</v>
      </c>
      <c r="H223" s="36" t="s">
        <v>4797</v>
      </c>
      <c r="I223" s="36" t="s">
        <v>4798</v>
      </c>
      <c r="J223" s="36" t="s">
        <v>4799</v>
      </c>
      <c r="K223" s="36" t="s">
        <v>4800</v>
      </c>
      <c r="L223" s="36" t="s">
        <v>4801</v>
      </c>
      <c r="M223" s="36" t="s">
        <v>4802</v>
      </c>
      <c r="N223" s="36" t="s">
        <v>4803</v>
      </c>
      <c r="O223" s="36" t="s">
        <v>4804</v>
      </c>
      <c r="P223" s="36" t="s">
        <v>4791</v>
      </c>
    </row>
    <row r="224" spans="1:16">
      <c r="A224" s="132">
        <v>223</v>
      </c>
      <c r="B224" s="36" t="s">
        <v>4805</v>
      </c>
      <c r="C224" s="36" t="s">
        <v>4806</v>
      </c>
      <c r="D224" s="36" t="s">
        <v>4807</v>
      </c>
      <c r="E224" s="36" t="s">
        <v>4808</v>
      </c>
      <c r="F224" s="36" t="s">
        <v>4809</v>
      </c>
      <c r="G224" s="36" t="s">
        <v>4810</v>
      </c>
      <c r="H224" s="36" t="s">
        <v>4811</v>
      </c>
      <c r="I224" s="36" t="s">
        <v>4812</v>
      </c>
      <c r="J224" s="36" t="s">
        <v>4813</v>
      </c>
      <c r="K224" s="36" t="s">
        <v>4814</v>
      </c>
      <c r="L224" s="36" t="s">
        <v>4815</v>
      </c>
      <c r="M224" s="36" t="s">
        <v>4816</v>
      </c>
      <c r="N224" s="36" t="s">
        <v>4817</v>
      </c>
      <c r="O224" s="36" t="s">
        <v>4818</v>
      </c>
      <c r="P224" s="36" t="s">
        <v>4805</v>
      </c>
    </row>
    <row r="225" spans="1:16">
      <c r="A225" s="132">
        <v>224</v>
      </c>
      <c r="B225" s="36" t="s">
        <v>4819</v>
      </c>
      <c r="C225" s="36" t="s">
        <v>4820</v>
      </c>
      <c r="D225" s="36" t="s">
        <v>4821</v>
      </c>
      <c r="E225" s="36" t="s">
        <v>4822</v>
      </c>
      <c r="F225" s="36" t="s">
        <v>4823</v>
      </c>
      <c r="G225" s="36" t="s">
        <v>4824</v>
      </c>
      <c r="H225" s="36" t="s">
        <v>4825</v>
      </c>
      <c r="I225" s="36" t="s">
        <v>4826</v>
      </c>
      <c r="J225" s="36" t="s">
        <v>4827</v>
      </c>
      <c r="K225" s="36" t="s">
        <v>4828</v>
      </c>
      <c r="L225" s="36" t="s">
        <v>4829</v>
      </c>
      <c r="M225" s="36" t="s">
        <v>4830</v>
      </c>
      <c r="N225" s="36" t="s">
        <v>4831</v>
      </c>
      <c r="O225" s="36" t="s">
        <v>4832</v>
      </c>
      <c r="P225" s="36" t="s">
        <v>4819</v>
      </c>
    </row>
    <row r="226" spans="1:16">
      <c r="A226" s="132">
        <v>225</v>
      </c>
      <c r="B226" s="36" t="s">
        <v>4833</v>
      </c>
      <c r="C226" s="36" t="s">
        <v>4834</v>
      </c>
      <c r="D226" s="36" t="s">
        <v>4835</v>
      </c>
      <c r="E226" s="36" t="s">
        <v>4836</v>
      </c>
      <c r="F226" s="36" t="s">
        <v>4837</v>
      </c>
      <c r="G226" s="36" t="s">
        <v>4838</v>
      </c>
      <c r="H226" s="36" t="s">
        <v>4839</v>
      </c>
      <c r="I226" s="36" t="s">
        <v>4840</v>
      </c>
      <c r="J226" s="36" t="s">
        <v>4841</v>
      </c>
      <c r="K226" s="36" t="s">
        <v>4842</v>
      </c>
      <c r="L226" s="36" t="s">
        <v>4843</v>
      </c>
      <c r="M226" s="36" t="s">
        <v>4844</v>
      </c>
      <c r="N226" s="36" t="s">
        <v>4845</v>
      </c>
      <c r="O226" s="36" t="s">
        <v>4846</v>
      </c>
      <c r="P226" s="36" t="s">
        <v>4833</v>
      </c>
    </row>
    <row r="227" spans="1:16">
      <c r="A227" s="132">
        <v>226</v>
      </c>
      <c r="B227" s="36" t="s">
        <v>4847</v>
      </c>
      <c r="C227" s="36" t="s">
        <v>4848</v>
      </c>
      <c r="D227" s="36" t="s">
        <v>4849</v>
      </c>
      <c r="E227" s="36" t="s">
        <v>4850</v>
      </c>
      <c r="F227" s="36" t="s">
        <v>4851</v>
      </c>
      <c r="G227" s="36" t="s">
        <v>4852</v>
      </c>
      <c r="H227" s="36" t="s">
        <v>4853</v>
      </c>
      <c r="I227" s="36" t="s">
        <v>4854</v>
      </c>
      <c r="J227" s="36" t="s">
        <v>4855</v>
      </c>
      <c r="K227" s="36" t="s">
        <v>4856</v>
      </c>
      <c r="L227" s="36" t="s">
        <v>4857</v>
      </c>
      <c r="M227" s="36" t="s">
        <v>4858</v>
      </c>
      <c r="N227" s="36" t="s">
        <v>4859</v>
      </c>
      <c r="O227" s="36" t="s">
        <v>4860</v>
      </c>
      <c r="P227" s="36" t="s">
        <v>4847</v>
      </c>
    </row>
    <row r="228" spans="1:16">
      <c r="A228" s="132">
        <v>227</v>
      </c>
      <c r="B228" s="36" t="s">
        <v>4861</v>
      </c>
      <c r="C228" s="36" t="s">
        <v>4862</v>
      </c>
      <c r="D228" s="36" t="s">
        <v>4863</v>
      </c>
      <c r="E228" s="36" t="s">
        <v>4864</v>
      </c>
      <c r="F228" s="36" t="s">
        <v>4865</v>
      </c>
      <c r="G228" s="36" t="s">
        <v>4866</v>
      </c>
      <c r="H228" s="36" t="s">
        <v>4867</v>
      </c>
      <c r="I228" s="36" t="s">
        <v>4868</v>
      </c>
      <c r="J228" s="36" t="s">
        <v>4869</v>
      </c>
      <c r="K228" s="36" t="s">
        <v>4870</v>
      </c>
      <c r="L228" s="36" t="s">
        <v>4871</v>
      </c>
      <c r="M228" s="36" t="s">
        <v>4872</v>
      </c>
      <c r="N228" s="36" t="s">
        <v>4873</v>
      </c>
      <c r="O228" s="36" t="s">
        <v>4874</v>
      </c>
      <c r="P228" s="36" t="s">
        <v>4861</v>
      </c>
    </row>
    <row r="229" spans="1:16">
      <c r="A229" s="132">
        <v>228</v>
      </c>
      <c r="B229" s="36" t="s">
        <v>4875</v>
      </c>
      <c r="C229" s="36" t="s">
        <v>4876</v>
      </c>
      <c r="D229" s="36" t="s">
        <v>4877</v>
      </c>
      <c r="E229" s="36" t="s">
        <v>4878</v>
      </c>
      <c r="F229" s="36" t="s">
        <v>4879</v>
      </c>
      <c r="G229" s="36" t="s">
        <v>4880</v>
      </c>
      <c r="H229" s="36" t="s">
        <v>4881</v>
      </c>
      <c r="I229" s="36" t="s">
        <v>4882</v>
      </c>
      <c r="J229" s="36" t="s">
        <v>4883</v>
      </c>
      <c r="K229" s="36" t="s">
        <v>4884</v>
      </c>
      <c r="L229" s="36" t="s">
        <v>4885</v>
      </c>
      <c r="M229" s="36" t="s">
        <v>4886</v>
      </c>
      <c r="N229" s="36" t="s">
        <v>4887</v>
      </c>
      <c r="O229" s="36" t="s">
        <v>4888</v>
      </c>
      <c r="P229" s="36" t="s">
        <v>4875</v>
      </c>
    </row>
    <row r="230" spans="1:16">
      <c r="A230" s="132">
        <v>229</v>
      </c>
      <c r="B230" s="36" t="s">
        <v>4889</v>
      </c>
      <c r="C230" s="36" t="s">
        <v>4890</v>
      </c>
      <c r="D230" s="36" t="s">
        <v>4891</v>
      </c>
      <c r="E230" s="36" t="s">
        <v>4892</v>
      </c>
      <c r="F230" s="36" t="s">
        <v>4893</v>
      </c>
      <c r="G230" s="36" t="s">
        <v>4894</v>
      </c>
      <c r="H230" s="36" t="s">
        <v>4895</v>
      </c>
      <c r="I230" s="36" t="s">
        <v>4896</v>
      </c>
      <c r="J230" s="36" t="s">
        <v>4897</v>
      </c>
      <c r="K230" s="36" t="s">
        <v>4898</v>
      </c>
      <c r="L230" s="36" t="s">
        <v>4899</v>
      </c>
      <c r="M230" s="36" t="s">
        <v>4900</v>
      </c>
      <c r="N230" s="36" t="s">
        <v>4901</v>
      </c>
      <c r="O230" s="36" t="s">
        <v>4902</v>
      </c>
      <c r="P230" s="36" t="s">
        <v>4889</v>
      </c>
    </row>
    <row r="231" spans="1:16">
      <c r="A231" s="132">
        <v>230</v>
      </c>
      <c r="B231" s="36" t="s">
        <v>4903</v>
      </c>
      <c r="C231" s="36" t="s">
        <v>4904</v>
      </c>
      <c r="D231" s="36" t="s">
        <v>4905</v>
      </c>
      <c r="E231" s="36" t="s">
        <v>4906</v>
      </c>
      <c r="F231" s="36" t="s">
        <v>4907</v>
      </c>
      <c r="G231" s="36" t="s">
        <v>4908</v>
      </c>
      <c r="H231" s="36" t="s">
        <v>4909</v>
      </c>
      <c r="I231" s="36" t="s">
        <v>4910</v>
      </c>
      <c r="J231" s="36" t="s">
        <v>4911</v>
      </c>
      <c r="K231" s="36" t="s">
        <v>4912</v>
      </c>
      <c r="L231" s="36" t="s">
        <v>4913</v>
      </c>
      <c r="M231" s="36" t="s">
        <v>4914</v>
      </c>
      <c r="N231" s="36" t="s">
        <v>4915</v>
      </c>
      <c r="O231" s="36" t="s">
        <v>4916</v>
      </c>
      <c r="P231" s="36" t="s">
        <v>4903</v>
      </c>
    </row>
    <row r="232" spans="1:16">
      <c r="A232" s="132">
        <v>231</v>
      </c>
      <c r="B232" s="36" t="s">
        <v>4917</v>
      </c>
      <c r="C232" s="36" t="s">
        <v>4918</v>
      </c>
      <c r="D232" s="36" t="s">
        <v>4919</v>
      </c>
      <c r="E232" s="36" t="s">
        <v>4920</v>
      </c>
      <c r="F232" s="36" t="s">
        <v>4921</v>
      </c>
      <c r="G232" s="36" t="s">
        <v>4922</v>
      </c>
      <c r="H232" s="36" t="s">
        <v>4923</v>
      </c>
      <c r="I232" s="36" t="s">
        <v>4924</v>
      </c>
      <c r="J232" s="36" t="s">
        <v>4925</v>
      </c>
      <c r="K232" s="36" t="s">
        <v>4926</v>
      </c>
      <c r="L232" s="36" t="s">
        <v>4927</v>
      </c>
      <c r="M232" s="36" t="s">
        <v>4928</v>
      </c>
      <c r="N232" s="36" t="s">
        <v>4929</v>
      </c>
      <c r="O232" s="36" t="s">
        <v>4930</v>
      </c>
      <c r="P232" s="36" t="s">
        <v>4917</v>
      </c>
    </row>
    <row r="233" spans="1:16">
      <c r="A233" s="132">
        <v>232</v>
      </c>
      <c r="B233" s="36" t="s">
        <v>4931</v>
      </c>
      <c r="C233" s="36" t="s">
        <v>4932</v>
      </c>
      <c r="D233" s="36" t="s">
        <v>4933</v>
      </c>
      <c r="E233" s="36" t="s">
        <v>4934</v>
      </c>
      <c r="F233" s="36" t="s">
        <v>4935</v>
      </c>
      <c r="G233" s="36" t="s">
        <v>4936</v>
      </c>
      <c r="H233" s="36" t="s">
        <v>4937</v>
      </c>
      <c r="I233" s="36" t="s">
        <v>4938</v>
      </c>
      <c r="J233" s="36" t="s">
        <v>4939</v>
      </c>
      <c r="K233" s="36" t="s">
        <v>4940</v>
      </c>
      <c r="L233" s="36" t="s">
        <v>4941</v>
      </c>
      <c r="M233" s="36" t="s">
        <v>4942</v>
      </c>
      <c r="N233" s="36" t="s">
        <v>4943</v>
      </c>
      <c r="O233" s="36" t="s">
        <v>4944</v>
      </c>
      <c r="P233" s="36" t="s">
        <v>4931</v>
      </c>
    </row>
    <row r="234" spans="1:16" ht="13.95" customHeight="1">
      <c r="A234" s="132">
        <v>233</v>
      </c>
      <c r="B234" s="36" t="s">
        <v>4945</v>
      </c>
      <c r="C234" s="36" t="s">
        <v>4946</v>
      </c>
      <c r="D234" s="36" t="s">
        <v>4947</v>
      </c>
      <c r="E234" s="36" t="s">
        <v>4948</v>
      </c>
      <c r="F234" s="36" t="s">
        <v>4949</v>
      </c>
      <c r="G234" s="36" t="s">
        <v>4950</v>
      </c>
      <c r="H234" s="36" t="s">
        <v>4951</v>
      </c>
      <c r="I234" s="36" t="s">
        <v>4949</v>
      </c>
      <c r="J234" s="36" t="s">
        <v>4952</v>
      </c>
      <c r="K234" s="36" t="s">
        <v>4953</v>
      </c>
      <c r="L234" s="36" t="s">
        <v>4954</v>
      </c>
      <c r="M234" s="36" t="s">
        <v>4955</v>
      </c>
      <c r="N234" s="36" t="s">
        <v>4955</v>
      </c>
      <c r="O234" s="36" t="s">
        <v>4956</v>
      </c>
      <c r="P234" s="36" t="s">
        <v>4945</v>
      </c>
    </row>
    <row r="235" spans="1:16">
      <c r="A235" s="132">
        <v>234</v>
      </c>
      <c r="B235" s="36" t="s">
        <v>4957</v>
      </c>
      <c r="C235" s="36" t="s">
        <v>4958</v>
      </c>
      <c r="D235" s="36" t="s">
        <v>4959</v>
      </c>
      <c r="E235" s="36" t="s">
        <v>4960</v>
      </c>
      <c r="F235" s="36" t="s">
        <v>4961</v>
      </c>
      <c r="G235" s="36" t="s">
        <v>4962</v>
      </c>
      <c r="H235" s="36" t="s">
        <v>4963</v>
      </c>
      <c r="I235" s="36" t="s">
        <v>4964</v>
      </c>
      <c r="J235" s="36" t="s">
        <v>4965</v>
      </c>
      <c r="K235" s="36" t="s">
        <v>4966</v>
      </c>
      <c r="L235" s="36" t="s">
        <v>4967</v>
      </c>
      <c r="M235" s="36" t="s">
        <v>4968</v>
      </c>
      <c r="N235" s="36" t="s">
        <v>4968</v>
      </c>
      <c r="O235" s="36" t="s">
        <v>4969</v>
      </c>
      <c r="P235" s="36" t="s">
        <v>4957</v>
      </c>
    </row>
    <row r="236" spans="1:16">
      <c r="A236" s="132">
        <v>235</v>
      </c>
      <c r="B236" s="36" t="s">
        <v>4970</v>
      </c>
      <c r="C236" s="36" t="s">
        <v>4971</v>
      </c>
      <c r="D236" s="36" t="s">
        <v>4972</v>
      </c>
      <c r="E236" s="36" t="s">
        <v>4973</v>
      </c>
      <c r="F236" s="36" t="s">
        <v>4974</v>
      </c>
      <c r="G236" s="36" t="s">
        <v>4975</v>
      </c>
      <c r="H236" s="36" t="s">
        <v>4976</v>
      </c>
      <c r="I236" s="36" t="s">
        <v>4977</v>
      </c>
      <c r="J236" s="36" t="s">
        <v>4978</v>
      </c>
      <c r="K236" s="36" t="s">
        <v>4979</v>
      </c>
      <c r="L236" s="36" t="s">
        <v>4980</v>
      </c>
      <c r="M236" s="36" t="s">
        <v>4981</v>
      </c>
      <c r="N236" s="36" t="s">
        <v>4982</v>
      </c>
      <c r="O236" s="36" t="s">
        <v>4983</v>
      </c>
      <c r="P236" s="36" t="s">
        <v>4970</v>
      </c>
    </row>
    <row r="237" spans="1:16">
      <c r="A237" s="132">
        <v>236</v>
      </c>
      <c r="B237" s="36" t="s">
        <v>4984</v>
      </c>
      <c r="C237" s="36" t="s">
        <v>4985</v>
      </c>
      <c r="D237" s="36" t="s">
        <v>4986</v>
      </c>
      <c r="E237" s="36" t="s">
        <v>4987</v>
      </c>
      <c r="F237" s="36" t="s">
        <v>4988</v>
      </c>
      <c r="G237" s="36" t="s">
        <v>4989</v>
      </c>
      <c r="H237" s="36" t="s">
        <v>4990</v>
      </c>
      <c r="I237" s="36" t="s">
        <v>4991</v>
      </c>
      <c r="J237" s="36" t="s">
        <v>4992</v>
      </c>
      <c r="K237" s="36" t="s">
        <v>4993</v>
      </c>
      <c r="L237" s="36" t="s">
        <v>4994</v>
      </c>
      <c r="M237" s="36" t="s">
        <v>4995</v>
      </c>
      <c r="N237" s="36" t="s">
        <v>4996</v>
      </c>
      <c r="O237" s="36" t="s">
        <v>4997</v>
      </c>
      <c r="P237" s="36" t="s">
        <v>4984</v>
      </c>
    </row>
    <row r="238" spans="1:16">
      <c r="A238" s="132">
        <v>237</v>
      </c>
      <c r="B238" s="36" t="s">
        <v>4998</v>
      </c>
      <c r="C238" s="36" t="s">
        <v>4999</v>
      </c>
      <c r="D238" s="36" t="s">
        <v>5000</v>
      </c>
      <c r="E238" s="36" t="s">
        <v>5001</v>
      </c>
      <c r="F238" s="36" t="s">
        <v>5002</v>
      </c>
      <c r="G238" s="36" t="s">
        <v>5003</v>
      </c>
      <c r="H238" s="36" t="s">
        <v>5004</v>
      </c>
      <c r="I238" s="36" t="s">
        <v>5005</v>
      </c>
      <c r="J238" s="36" t="s">
        <v>5006</v>
      </c>
      <c r="K238" s="36" t="s">
        <v>5007</v>
      </c>
      <c r="L238" s="36" t="s">
        <v>5008</v>
      </c>
      <c r="M238" s="36" t="s">
        <v>5009</v>
      </c>
      <c r="N238" s="36" t="s">
        <v>5010</v>
      </c>
      <c r="O238" s="36" t="s">
        <v>5011</v>
      </c>
      <c r="P238" s="36" t="s">
        <v>4998</v>
      </c>
    </row>
    <row r="239" spans="1:16">
      <c r="A239" s="132">
        <v>238</v>
      </c>
      <c r="B239" s="36" t="s">
        <v>5012</v>
      </c>
      <c r="C239" s="36" t="s">
        <v>5013</v>
      </c>
      <c r="D239" s="36" t="s">
        <v>5014</v>
      </c>
      <c r="E239" s="36" t="s">
        <v>5015</v>
      </c>
      <c r="F239" s="36" t="s">
        <v>5016</v>
      </c>
      <c r="G239" s="36" t="s">
        <v>5017</v>
      </c>
      <c r="H239" s="36" t="s">
        <v>5018</v>
      </c>
      <c r="I239" s="36" t="s">
        <v>5016</v>
      </c>
      <c r="J239" s="36" t="s">
        <v>5019</v>
      </c>
      <c r="K239" s="36" t="s">
        <v>5020</v>
      </c>
      <c r="L239" s="36" t="s">
        <v>5021</v>
      </c>
      <c r="M239" s="36" t="s">
        <v>5022</v>
      </c>
      <c r="N239" s="36" t="s">
        <v>5023</v>
      </c>
      <c r="O239" s="36" t="s">
        <v>5024</v>
      </c>
      <c r="P239" s="36" t="s">
        <v>5012</v>
      </c>
    </row>
    <row r="240" spans="1:16">
      <c r="A240" s="132">
        <v>239</v>
      </c>
      <c r="B240" s="36" t="s">
        <v>5025</v>
      </c>
      <c r="C240" s="36" t="s">
        <v>5026</v>
      </c>
      <c r="D240" s="36" t="s">
        <v>5027</v>
      </c>
      <c r="E240" s="36" t="s">
        <v>5028</v>
      </c>
      <c r="F240" s="36" t="s">
        <v>5029</v>
      </c>
      <c r="G240" s="36" t="s">
        <v>5030</v>
      </c>
      <c r="H240" s="36" t="s">
        <v>5031</v>
      </c>
      <c r="I240" s="36" t="s">
        <v>5032</v>
      </c>
      <c r="J240" s="36" t="s">
        <v>5033</v>
      </c>
      <c r="K240" s="36" t="s">
        <v>5034</v>
      </c>
      <c r="L240" s="36" t="s">
        <v>5035</v>
      </c>
      <c r="M240" s="36" t="s">
        <v>5036</v>
      </c>
      <c r="N240" s="36" t="s">
        <v>5037</v>
      </c>
      <c r="O240" s="36" t="s">
        <v>5038</v>
      </c>
      <c r="P240" s="36" t="s">
        <v>5025</v>
      </c>
    </row>
    <row r="241" spans="1:16">
      <c r="A241" s="132">
        <v>240</v>
      </c>
      <c r="B241" s="36" t="s">
        <v>5039</v>
      </c>
      <c r="C241" s="36" t="s">
        <v>5040</v>
      </c>
      <c r="D241" s="36" t="s">
        <v>5041</v>
      </c>
      <c r="E241" s="36" t="s">
        <v>5042</v>
      </c>
      <c r="F241" s="36" t="s">
        <v>5043</v>
      </c>
      <c r="G241" s="36" t="s">
        <v>5044</v>
      </c>
      <c r="H241" s="36" t="s">
        <v>5045</v>
      </c>
      <c r="I241" s="36" t="s">
        <v>5046</v>
      </c>
      <c r="J241" s="36" t="s">
        <v>5047</v>
      </c>
      <c r="K241" s="36" t="s">
        <v>5048</v>
      </c>
      <c r="L241" s="36" t="s">
        <v>5049</v>
      </c>
      <c r="M241" s="36" t="s">
        <v>5050</v>
      </c>
      <c r="N241" s="36" t="s">
        <v>5051</v>
      </c>
      <c r="O241" s="36" t="s">
        <v>5052</v>
      </c>
      <c r="P241" s="36" t="s">
        <v>5039</v>
      </c>
    </row>
    <row r="242" spans="1:16">
      <c r="A242" s="132">
        <v>241</v>
      </c>
      <c r="B242" s="36" t="s">
        <v>5053</v>
      </c>
      <c r="C242" s="36" t="s">
        <v>5054</v>
      </c>
      <c r="D242" s="36" t="s">
        <v>5055</v>
      </c>
      <c r="E242" s="36" t="s">
        <v>5056</v>
      </c>
      <c r="F242" s="36" t="s">
        <v>5057</v>
      </c>
      <c r="G242" s="36" t="s">
        <v>5058</v>
      </c>
      <c r="H242" s="36" t="s">
        <v>5059</v>
      </c>
      <c r="I242" s="36" t="s">
        <v>5060</v>
      </c>
      <c r="J242" s="36" t="s">
        <v>5061</v>
      </c>
      <c r="K242" s="36" t="s">
        <v>5062</v>
      </c>
      <c r="L242" s="36" t="s">
        <v>5063</v>
      </c>
      <c r="M242" s="36" t="s">
        <v>5064</v>
      </c>
      <c r="N242" s="36" t="s">
        <v>5065</v>
      </c>
      <c r="O242" s="36" t="s">
        <v>5066</v>
      </c>
      <c r="P242" s="36" t="s">
        <v>5053</v>
      </c>
    </row>
    <row r="243" spans="1:16">
      <c r="A243" s="132">
        <v>242</v>
      </c>
      <c r="B243" s="36" t="s">
        <v>5067</v>
      </c>
      <c r="C243" s="36" t="s">
        <v>5068</v>
      </c>
      <c r="D243" s="36" t="s">
        <v>5069</v>
      </c>
      <c r="E243" s="36" t="s">
        <v>5070</v>
      </c>
      <c r="F243" s="36" t="s">
        <v>5071</v>
      </c>
      <c r="G243" s="36" t="s">
        <v>5072</v>
      </c>
      <c r="H243" s="36" t="s">
        <v>5073</v>
      </c>
      <c r="I243" s="36" t="s">
        <v>5074</v>
      </c>
      <c r="J243" s="36" t="s">
        <v>5075</v>
      </c>
      <c r="K243" s="36" t="s">
        <v>5076</v>
      </c>
      <c r="L243" s="36" t="s">
        <v>5077</v>
      </c>
      <c r="M243" s="36" t="s">
        <v>5078</v>
      </c>
      <c r="N243" s="36" t="s">
        <v>5079</v>
      </c>
      <c r="O243" s="36" t="s">
        <v>5080</v>
      </c>
      <c r="P243" s="36" t="s">
        <v>5067</v>
      </c>
    </row>
    <row r="244" spans="1:16">
      <c r="A244" s="132">
        <v>243</v>
      </c>
      <c r="B244" s="36" t="s">
        <v>5081</v>
      </c>
      <c r="C244" s="36" t="s">
        <v>5082</v>
      </c>
      <c r="D244" s="36" t="s">
        <v>5083</v>
      </c>
      <c r="E244" s="36" t="s">
        <v>5084</v>
      </c>
      <c r="F244" s="36" t="s">
        <v>5085</v>
      </c>
      <c r="G244" s="36" t="s">
        <v>5086</v>
      </c>
      <c r="H244" s="36" t="s">
        <v>5087</v>
      </c>
      <c r="I244" s="36" t="s">
        <v>5088</v>
      </c>
      <c r="J244" s="36" t="s">
        <v>5089</v>
      </c>
      <c r="K244" s="36" t="s">
        <v>5090</v>
      </c>
      <c r="L244" s="36" t="s">
        <v>5091</v>
      </c>
      <c r="M244" s="36" t="s">
        <v>5092</v>
      </c>
      <c r="N244" s="36" t="s">
        <v>5093</v>
      </c>
      <c r="O244" s="36" t="s">
        <v>5094</v>
      </c>
      <c r="P244" s="36" t="s">
        <v>5081</v>
      </c>
    </row>
    <row r="245" spans="1:16" ht="13.95" customHeight="1">
      <c r="A245" s="132">
        <v>244</v>
      </c>
      <c r="B245" s="36" t="s">
        <v>5095</v>
      </c>
      <c r="C245" s="36" t="s">
        <v>5096</v>
      </c>
      <c r="D245" s="36" t="s">
        <v>5097</v>
      </c>
      <c r="E245" s="36" t="s">
        <v>5098</v>
      </c>
      <c r="F245" s="36" t="s">
        <v>5099</v>
      </c>
      <c r="G245" s="36" t="s">
        <v>5100</v>
      </c>
      <c r="H245" s="36" t="s">
        <v>5101</v>
      </c>
      <c r="I245" s="36" t="s">
        <v>5102</v>
      </c>
      <c r="J245" s="36" t="s">
        <v>5103</v>
      </c>
      <c r="K245" s="36" t="s">
        <v>5104</v>
      </c>
      <c r="L245" s="36" t="s">
        <v>5105</v>
      </c>
      <c r="M245" s="36" t="s">
        <v>5103</v>
      </c>
      <c r="N245" s="36" t="s">
        <v>5103</v>
      </c>
      <c r="O245" s="36" t="s">
        <v>5106</v>
      </c>
      <c r="P245" s="36" t="s">
        <v>5103</v>
      </c>
    </row>
    <row r="246" spans="1:16">
      <c r="A246" s="132">
        <v>245</v>
      </c>
      <c r="B246" s="36" t="s">
        <v>5107</v>
      </c>
      <c r="C246" s="36" t="s">
        <v>5108</v>
      </c>
      <c r="D246" s="36" t="s">
        <v>5109</v>
      </c>
      <c r="E246" s="36" t="s">
        <v>5110</v>
      </c>
      <c r="F246" s="36" t="s">
        <v>5111</v>
      </c>
      <c r="G246" s="36" t="s">
        <v>5112</v>
      </c>
      <c r="H246" s="36" t="s">
        <v>5113</v>
      </c>
      <c r="I246" s="36" t="s">
        <v>5114</v>
      </c>
      <c r="J246" s="36" t="s">
        <v>5115</v>
      </c>
      <c r="K246" s="36" t="s">
        <v>5116</v>
      </c>
      <c r="L246" s="36" t="s">
        <v>5117</v>
      </c>
      <c r="M246" s="36" t="s">
        <v>5118</v>
      </c>
      <c r="N246" s="36" t="s">
        <v>5118</v>
      </c>
      <c r="O246" s="36" t="s">
        <v>5119</v>
      </c>
      <c r="P246" s="36" t="s">
        <v>5107</v>
      </c>
    </row>
    <row r="247" spans="1:16">
      <c r="A247" s="132">
        <v>246</v>
      </c>
      <c r="B247" s="36" t="s">
        <v>5120</v>
      </c>
      <c r="C247" s="36" t="s">
        <v>5121</v>
      </c>
      <c r="D247" s="36" t="s">
        <v>5122</v>
      </c>
      <c r="E247" s="36" t="s">
        <v>5123</v>
      </c>
      <c r="F247" s="36" t="s">
        <v>5124</v>
      </c>
      <c r="G247" s="36" t="s">
        <v>5125</v>
      </c>
      <c r="H247" s="36" t="s">
        <v>5126</v>
      </c>
      <c r="I247" s="36" t="s">
        <v>5127</v>
      </c>
      <c r="J247" s="36" t="s">
        <v>5128</v>
      </c>
      <c r="K247" s="36" t="s">
        <v>5129</v>
      </c>
      <c r="L247" s="36" t="s">
        <v>5130</v>
      </c>
      <c r="M247" s="36" t="s">
        <v>5131</v>
      </c>
      <c r="N247" s="36" t="s">
        <v>5132</v>
      </c>
      <c r="O247" s="36" t="s">
        <v>5133</v>
      </c>
      <c r="P247" s="36" t="s">
        <v>5120</v>
      </c>
    </row>
    <row r="248" spans="1:16">
      <c r="A248" s="132">
        <v>247</v>
      </c>
      <c r="B248" s="36" t="s">
        <v>5134</v>
      </c>
      <c r="C248" s="36" t="s">
        <v>5135</v>
      </c>
      <c r="D248" s="36" t="s">
        <v>5136</v>
      </c>
      <c r="E248" s="36" t="s">
        <v>5137</v>
      </c>
      <c r="F248" s="36" t="s">
        <v>5138</v>
      </c>
      <c r="G248" s="36" t="s">
        <v>5139</v>
      </c>
      <c r="H248" s="36" t="s">
        <v>5140</v>
      </c>
      <c r="I248" s="36" t="s">
        <v>5141</v>
      </c>
      <c r="J248" s="36" t="s">
        <v>5142</v>
      </c>
      <c r="K248" s="36" t="s">
        <v>5143</v>
      </c>
      <c r="L248" s="36" t="s">
        <v>5144</v>
      </c>
      <c r="M248" s="36" t="s">
        <v>5145</v>
      </c>
      <c r="N248" s="36" t="s">
        <v>5146</v>
      </c>
      <c r="O248" s="36" t="s">
        <v>5147</v>
      </c>
      <c r="P248" s="36" t="s">
        <v>5148</v>
      </c>
    </row>
    <row r="249" spans="1:16">
      <c r="A249" s="132">
        <v>248</v>
      </c>
      <c r="B249" s="36" t="s">
        <v>5149</v>
      </c>
      <c r="C249" s="36" t="s">
        <v>5150</v>
      </c>
      <c r="D249" s="36" t="s">
        <v>5151</v>
      </c>
      <c r="E249" s="36" t="s">
        <v>5152</v>
      </c>
      <c r="F249" s="36" t="s">
        <v>5153</v>
      </c>
      <c r="G249" s="36" t="s">
        <v>5154</v>
      </c>
      <c r="H249" s="36" t="s">
        <v>5155</v>
      </c>
      <c r="I249" s="36" t="s">
        <v>5156</v>
      </c>
      <c r="J249" s="36" t="s">
        <v>5157</v>
      </c>
      <c r="K249" s="36" t="s">
        <v>5158</v>
      </c>
      <c r="L249" s="36" t="s">
        <v>5159</v>
      </c>
      <c r="M249" s="36" t="s">
        <v>5160</v>
      </c>
      <c r="N249" s="36" t="s">
        <v>5161</v>
      </c>
      <c r="O249" s="36" t="s">
        <v>5162</v>
      </c>
      <c r="P249" s="36" t="s">
        <v>5149</v>
      </c>
    </row>
    <row r="250" spans="1:16">
      <c r="A250" s="132">
        <v>249</v>
      </c>
      <c r="B250" s="36" t="s">
        <v>5163</v>
      </c>
      <c r="C250" s="36" t="s">
        <v>5164</v>
      </c>
      <c r="D250" s="36" t="s">
        <v>5165</v>
      </c>
      <c r="E250" s="36" t="s">
        <v>5166</v>
      </c>
      <c r="F250" s="36" t="s">
        <v>5167</v>
      </c>
      <c r="G250" s="36" t="s">
        <v>5168</v>
      </c>
      <c r="H250" s="36" t="s">
        <v>5169</v>
      </c>
      <c r="I250" s="36" t="s">
        <v>5170</v>
      </c>
      <c r="J250" s="36" t="s">
        <v>5171</v>
      </c>
      <c r="K250" s="36" t="s">
        <v>5172</v>
      </c>
      <c r="L250" s="36" t="s">
        <v>5173</v>
      </c>
      <c r="M250" s="36" t="s">
        <v>5174</v>
      </c>
      <c r="N250" s="36" t="s">
        <v>5175</v>
      </c>
      <c r="O250" s="36" t="s">
        <v>5176</v>
      </c>
      <c r="P250" s="36" t="s">
        <v>5163</v>
      </c>
    </row>
    <row r="251" spans="1:16">
      <c r="A251" s="132">
        <v>250</v>
      </c>
      <c r="B251" s="36" t="s">
        <v>5177</v>
      </c>
      <c r="C251" s="36" t="s">
        <v>5178</v>
      </c>
      <c r="D251" s="36" t="s">
        <v>5179</v>
      </c>
      <c r="E251" s="36" t="s">
        <v>5180</v>
      </c>
      <c r="F251" s="36" t="s">
        <v>5181</v>
      </c>
      <c r="G251" s="36" t="s">
        <v>5182</v>
      </c>
      <c r="H251" s="36" t="s">
        <v>5183</v>
      </c>
      <c r="I251" s="36" t="s">
        <v>5184</v>
      </c>
      <c r="J251" s="36" t="s">
        <v>5185</v>
      </c>
      <c r="K251" s="36" t="s">
        <v>5186</v>
      </c>
      <c r="L251" s="36" t="s">
        <v>5187</v>
      </c>
      <c r="M251" s="36" t="s">
        <v>5188</v>
      </c>
      <c r="N251" s="36" t="s">
        <v>5189</v>
      </c>
      <c r="O251" s="36" t="s">
        <v>5190</v>
      </c>
      <c r="P251" s="36" t="s">
        <v>5177</v>
      </c>
    </row>
    <row r="252" spans="1:16">
      <c r="A252" s="132">
        <v>251</v>
      </c>
      <c r="B252" s="36" t="s">
        <v>5191</v>
      </c>
      <c r="C252" s="36" t="s">
        <v>5192</v>
      </c>
      <c r="D252" s="36" t="s">
        <v>5193</v>
      </c>
      <c r="E252" s="36" t="s">
        <v>5194</v>
      </c>
      <c r="F252" s="36" t="s">
        <v>5195</v>
      </c>
      <c r="G252" s="36" t="s">
        <v>5196</v>
      </c>
      <c r="H252" s="36" t="s">
        <v>5197</v>
      </c>
      <c r="I252" s="36" t="s">
        <v>5198</v>
      </c>
      <c r="J252" s="36" t="s">
        <v>5199</v>
      </c>
      <c r="K252" s="36" t="s">
        <v>5200</v>
      </c>
      <c r="L252" s="36" t="s">
        <v>5201</v>
      </c>
      <c r="M252" s="36" t="s">
        <v>5202</v>
      </c>
      <c r="N252" s="36" t="s">
        <v>5203</v>
      </c>
      <c r="O252" s="36" t="s">
        <v>5204</v>
      </c>
      <c r="P252" s="36" t="s">
        <v>5191</v>
      </c>
    </row>
    <row r="253" spans="1:16">
      <c r="A253" s="132">
        <v>252</v>
      </c>
      <c r="B253" s="36" t="s">
        <v>5205</v>
      </c>
      <c r="C253" s="36" t="s">
        <v>5206</v>
      </c>
      <c r="D253" s="36" t="s">
        <v>5207</v>
      </c>
      <c r="E253" s="36" t="s">
        <v>5208</v>
      </c>
      <c r="F253" s="36" t="s">
        <v>5209</v>
      </c>
      <c r="G253" s="36" t="s">
        <v>5210</v>
      </c>
      <c r="H253" s="36" t="s">
        <v>5211</v>
      </c>
      <c r="I253" s="36" t="s">
        <v>5212</v>
      </c>
      <c r="J253" s="36" t="s">
        <v>5213</v>
      </c>
      <c r="K253" s="36" t="s">
        <v>5214</v>
      </c>
      <c r="L253" s="36" t="s">
        <v>5215</v>
      </c>
      <c r="M253" s="36" t="s">
        <v>5216</v>
      </c>
      <c r="N253" s="36" t="s">
        <v>5217</v>
      </c>
      <c r="O253" s="36" t="s">
        <v>5218</v>
      </c>
      <c r="P253" s="36" t="s">
        <v>2171</v>
      </c>
    </row>
    <row r="254" spans="1:16">
      <c r="A254" s="132">
        <v>253</v>
      </c>
      <c r="B254" s="36" t="s">
        <v>5219</v>
      </c>
      <c r="C254" s="36" t="s">
        <v>5220</v>
      </c>
      <c r="D254" s="36" t="s">
        <v>5221</v>
      </c>
      <c r="E254" s="36" t="s">
        <v>5222</v>
      </c>
      <c r="F254" s="36" t="s">
        <v>5223</v>
      </c>
      <c r="G254" s="36" t="s">
        <v>5224</v>
      </c>
      <c r="H254" s="36" t="s">
        <v>5225</v>
      </c>
      <c r="I254" s="36" t="s">
        <v>5226</v>
      </c>
      <c r="J254" s="36" t="s">
        <v>5227</v>
      </c>
      <c r="K254" s="36" t="s">
        <v>5228</v>
      </c>
      <c r="L254" s="36" t="s">
        <v>5229</v>
      </c>
      <c r="M254" s="36" t="s">
        <v>5230</v>
      </c>
      <c r="N254" s="36" t="s">
        <v>5231</v>
      </c>
      <c r="O254" s="36" t="s">
        <v>5232</v>
      </c>
      <c r="P254" s="36" t="s">
        <v>5219</v>
      </c>
    </row>
    <row r="255" spans="1:16">
      <c r="A255" s="132">
        <v>254</v>
      </c>
      <c r="B255" s="36" t="s">
        <v>5233</v>
      </c>
      <c r="C255" s="36" t="s">
        <v>5234</v>
      </c>
      <c r="D255" s="36" t="s">
        <v>5235</v>
      </c>
      <c r="E255" s="36" t="s">
        <v>5236</v>
      </c>
      <c r="F255" s="36" t="s">
        <v>5237</v>
      </c>
      <c r="G255" s="36" t="s">
        <v>5238</v>
      </c>
      <c r="H255" s="36" t="s">
        <v>5239</v>
      </c>
      <c r="I255" s="36" t="s">
        <v>5240</v>
      </c>
      <c r="J255" s="36" t="s">
        <v>5241</v>
      </c>
      <c r="K255" s="36" t="s">
        <v>5242</v>
      </c>
      <c r="L255" s="36" t="s">
        <v>5243</v>
      </c>
      <c r="M255" s="36" t="s">
        <v>5244</v>
      </c>
      <c r="N255" s="36" t="s">
        <v>5245</v>
      </c>
      <c r="O255" s="36" t="s">
        <v>5246</v>
      </c>
      <c r="P255" s="36" t="s">
        <v>5233</v>
      </c>
    </row>
    <row r="256" spans="1:16">
      <c r="A256" s="132">
        <v>255</v>
      </c>
      <c r="B256" s="36" t="s">
        <v>5247</v>
      </c>
      <c r="C256" s="36" t="s">
        <v>5248</v>
      </c>
      <c r="D256" s="36" t="s">
        <v>5249</v>
      </c>
      <c r="E256" s="36" t="s">
        <v>5250</v>
      </c>
      <c r="F256" s="36" t="s">
        <v>5251</v>
      </c>
      <c r="G256" s="36" t="s">
        <v>5252</v>
      </c>
      <c r="H256" s="36" t="s">
        <v>5253</v>
      </c>
      <c r="I256" s="36" t="s">
        <v>5254</v>
      </c>
      <c r="J256" s="36" t="s">
        <v>5255</v>
      </c>
      <c r="K256" s="36" t="s">
        <v>5256</v>
      </c>
      <c r="L256" s="36" t="s">
        <v>5257</v>
      </c>
      <c r="M256" s="36" t="s">
        <v>5258</v>
      </c>
      <c r="N256" s="36" t="s">
        <v>5259</v>
      </c>
      <c r="O256" s="36" t="s">
        <v>5260</v>
      </c>
      <c r="P256" s="36" t="s">
        <v>5247</v>
      </c>
    </row>
    <row r="257" spans="1:16">
      <c r="A257" s="132">
        <v>256</v>
      </c>
      <c r="B257" s="36" t="s">
        <v>5261</v>
      </c>
      <c r="C257" s="36" t="s">
        <v>5262</v>
      </c>
      <c r="D257" s="36" t="s">
        <v>5263</v>
      </c>
      <c r="E257" s="36" t="s">
        <v>5264</v>
      </c>
      <c r="F257" s="36" t="s">
        <v>5265</v>
      </c>
      <c r="G257" s="36" t="s">
        <v>5266</v>
      </c>
      <c r="H257" s="36" t="s">
        <v>5267</v>
      </c>
      <c r="I257" s="36" t="s">
        <v>5268</v>
      </c>
      <c r="J257" s="36" t="s">
        <v>5269</v>
      </c>
      <c r="K257" s="36" t="s">
        <v>5270</v>
      </c>
      <c r="L257" s="36" t="s">
        <v>5271</v>
      </c>
      <c r="M257" s="36" t="s">
        <v>5272</v>
      </c>
      <c r="N257" s="36" t="s">
        <v>5273</v>
      </c>
      <c r="O257" s="36" t="s">
        <v>5274</v>
      </c>
      <c r="P257" s="36" t="s">
        <v>5261</v>
      </c>
    </row>
    <row r="258" spans="1:16">
      <c r="A258" s="132">
        <v>257</v>
      </c>
      <c r="B258" s="36" t="s">
        <v>5275</v>
      </c>
      <c r="C258" s="36" t="s">
        <v>5276</v>
      </c>
      <c r="D258" s="36" t="s">
        <v>5277</v>
      </c>
      <c r="E258" s="36" t="s">
        <v>5278</v>
      </c>
      <c r="F258" s="36" t="s">
        <v>5279</v>
      </c>
      <c r="G258" s="36" t="s">
        <v>5280</v>
      </c>
      <c r="H258" s="36" t="s">
        <v>5281</v>
      </c>
      <c r="I258" s="36" t="s">
        <v>5282</v>
      </c>
      <c r="J258" s="36" t="s">
        <v>5283</v>
      </c>
      <c r="K258" s="36" t="s">
        <v>5284</v>
      </c>
      <c r="L258" s="36" t="s">
        <v>5285</v>
      </c>
      <c r="M258" s="36" t="s">
        <v>5286</v>
      </c>
      <c r="N258" s="36" t="s">
        <v>5287</v>
      </c>
      <c r="O258" s="36" t="s">
        <v>5288</v>
      </c>
      <c r="P258" s="36" t="s">
        <v>5275</v>
      </c>
    </row>
    <row r="259" spans="1:16">
      <c r="A259" s="132">
        <v>258</v>
      </c>
      <c r="B259" s="36" t="s">
        <v>5289</v>
      </c>
      <c r="C259" s="36" t="s">
        <v>5290</v>
      </c>
      <c r="D259" s="36" t="s">
        <v>5291</v>
      </c>
      <c r="E259" s="36" t="s">
        <v>5292</v>
      </c>
      <c r="F259" s="36" t="s">
        <v>5293</v>
      </c>
      <c r="G259" s="36" t="s">
        <v>5294</v>
      </c>
      <c r="H259" s="36" t="s">
        <v>5295</v>
      </c>
      <c r="I259" s="36" t="s">
        <v>5296</v>
      </c>
      <c r="J259" s="36" t="s">
        <v>5297</v>
      </c>
      <c r="K259" s="36" t="s">
        <v>5298</v>
      </c>
      <c r="L259" s="36" t="s">
        <v>5299</v>
      </c>
      <c r="M259" s="36" t="s">
        <v>5300</v>
      </c>
      <c r="N259" s="36" t="s">
        <v>5301</v>
      </c>
      <c r="O259" s="36" t="s">
        <v>5302</v>
      </c>
      <c r="P259" s="36" t="s">
        <v>5289</v>
      </c>
    </row>
    <row r="260" spans="1:16">
      <c r="A260" s="132">
        <v>259</v>
      </c>
      <c r="B260" s="36" t="s">
        <v>5303</v>
      </c>
      <c r="C260" s="36" t="s">
        <v>5304</v>
      </c>
      <c r="D260" s="36" t="s">
        <v>5305</v>
      </c>
      <c r="E260" s="36" t="s">
        <v>5306</v>
      </c>
      <c r="F260" s="36" t="s">
        <v>5307</v>
      </c>
      <c r="G260" s="36" t="s">
        <v>5308</v>
      </c>
      <c r="H260" s="36" t="s">
        <v>5309</v>
      </c>
      <c r="I260" s="36" t="s">
        <v>5310</v>
      </c>
      <c r="J260" s="36" t="s">
        <v>5311</v>
      </c>
      <c r="K260" s="36" t="s">
        <v>5312</v>
      </c>
      <c r="L260" s="36" t="s">
        <v>5313</v>
      </c>
      <c r="M260" s="36" t="s">
        <v>5314</v>
      </c>
      <c r="N260" s="36" t="s">
        <v>5315</v>
      </c>
      <c r="O260" s="36" t="s">
        <v>5316</v>
      </c>
      <c r="P260" s="36" t="s">
        <v>5303</v>
      </c>
    </row>
    <row r="261" spans="1:16">
      <c r="A261" s="132">
        <v>260</v>
      </c>
      <c r="B261" s="36" t="s">
        <v>5317</v>
      </c>
      <c r="C261" s="36" t="s">
        <v>5318</v>
      </c>
      <c r="D261" s="36" t="s">
        <v>5319</v>
      </c>
      <c r="E261" s="36" t="s">
        <v>2361</v>
      </c>
      <c r="F261" s="36" t="s">
        <v>5320</v>
      </c>
      <c r="G261" s="36" t="s">
        <v>5321</v>
      </c>
      <c r="H261" s="36" t="s">
        <v>5322</v>
      </c>
      <c r="I261" s="36" t="s">
        <v>5323</v>
      </c>
      <c r="J261" s="36" t="s">
        <v>5324</v>
      </c>
      <c r="K261" s="36" t="s">
        <v>5325</v>
      </c>
      <c r="L261" s="36" t="s">
        <v>5326</v>
      </c>
      <c r="M261" s="36" t="s">
        <v>5327</v>
      </c>
      <c r="N261" s="36" t="s">
        <v>5326</v>
      </c>
      <c r="O261" s="36" t="s">
        <v>5328</v>
      </c>
      <c r="P261" s="36" t="s">
        <v>5317</v>
      </c>
    </row>
    <row r="262" spans="1:16" ht="13.95" customHeight="1">
      <c r="A262" s="132">
        <v>261</v>
      </c>
      <c r="B262" s="36" t="s">
        <v>5329</v>
      </c>
      <c r="C262" s="36" t="s">
        <v>5330</v>
      </c>
      <c r="D262" s="36" t="s">
        <v>5331</v>
      </c>
      <c r="E262" s="36" t="s">
        <v>5332</v>
      </c>
      <c r="F262" s="36" t="s">
        <v>5333</v>
      </c>
      <c r="G262" s="36" t="s">
        <v>5334</v>
      </c>
      <c r="H262" s="36" t="s">
        <v>5335</v>
      </c>
      <c r="I262" s="36" t="s">
        <v>5336</v>
      </c>
      <c r="J262" s="36" t="s">
        <v>5337</v>
      </c>
      <c r="K262" s="36" t="s">
        <v>5338</v>
      </c>
      <c r="L262" s="36" t="s">
        <v>5339</v>
      </c>
      <c r="M262" s="36" t="s">
        <v>5340</v>
      </c>
      <c r="N262" s="36" t="s">
        <v>5341</v>
      </c>
      <c r="O262" s="36" t="s">
        <v>5342</v>
      </c>
      <c r="P262" s="36" t="s">
        <v>5329</v>
      </c>
    </row>
    <row r="263" spans="1:16">
      <c r="A263" s="132">
        <v>262</v>
      </c>
      <c r="B263" s="36" t="s">
        <v>5343</v>
      </c>
      <c r="C263" s="36" t="s">
        <v>5344</v>
      </c>
      <c r="D263" s="36" t="s">
        <v>5345</v>
      </c>
      <c r="E263" s="36" t="s">
        <v>5346</v>
      </c>
      <c r="F263" s="36" t="s">
        <v>5347</v>
      </c>
      <c r="G263" s="36" t="s">
        <v>5348</v>
      </c>
      <c r="H263" s="36" t="s">
        <v>5349</v>
      </c>
      <c r="I263" s="36" t="s">
        <v>5350</v>
      </c>
      <c r="J263" s="36" t="s">
        <v>5351</v>
      </c>
      <c r="K263" s="36" t="s">
        <v>5352</v>
      </c>
      <c r="L263" s="36" t="s">
        <v>5353</v>
      </c>
      <c r="M263" s="36" t="s">
        <v>5354</v>
      </c>
      <c r="N263" s="36" t="s">
        <v>5355</v>
      </c>
      <c r="O263" s="36" t="s">
        <v>5356</v>
      </c>
      <c r="P263" s="36" t="s">
        <v>5343</v>
      </c>
    </row>
    <row r="264" spans="1:16">
      <c r="A264" s="132">
        <v>263</v>
      </c>
      <c r="B264" s="36" t="s">
        <v>5357</v>
      </c>
      <c r="C264" s="36" t="s">
        <v>5358</v>
      </c>
      <c r="D264" s="36" t="s">
        <v>2359</v>
      </c>
      <c r="E264" s="36" t="s">
        <v>5359</v>
      </c>
      <c r="F264" s="36" t="s">
        <v>5360</v>
      </c>
      <c r="G264" s="36" t="s">
        <v>5361</v>
      </c>
      <c r="H264" s="36" t="s">
        <v>5362</v>
      </c>
      <c r="I264" s="36" t="s">
        <v>5363</v>
      </c>
      <c r="J264" s="36" t="s">
        <v>5364</v>
      </c>
      <c r="K264" s="36" t="s">
        <v>5365</v>
      </c>
      <c r="L264" s="36" t="s">
        <v>5366</v>
      </c>
      <c r="M264" s="36" t="s">
        <v>5367</v>
      </c>
      <c r="N264" s="36" t="s">
        <v>5368</v>
      </c>
      <c r="O264" s="36" t="s">
        <v>5369</v>
      </c>
      <c r="P264" s="36" t="s">
        <v>5357</v>
      </c>
    </row>
    <row r="265" spans="1:16">
      <c r="A265" s="132">
        <v>264</v>
      </c>
      <c r="B265" s="36" t="s">
        <v>5370</v>
      </c>
      <c r="C265" s="36" t="s">
        <v>5371</v>
      </c>
      <c r="D265" s="36" t="s">
        <v>5372</v>
      </c>
      <c r="E265" s="36" t="s">
        <v>5373</v>
      </c>
      <c r="F265" s="36" t="s">
        <v>5374</v>
      </c>
      <c r="G265" s="36" t="s">
        <v>5375</v>
      </c>
      <c r="H265" s="36" t="s">
        <v>5376</v>
      </c>
      <c r="I265" s="36" t="s">
        <v>5377</v>
      </c>
      <c r="J265" s="36" t="s">
        <v>5378</v>
      </c>
      <c r="K265" s="36" t="s">
        <v>5379</v>
      </c>
      <c r="L265" s="36" t="s">
        <v>5380</v>
      </c>
      <c r="M265" s="36" t="s">
        <v>5381</v>
      </c>
      <c r="N265" s="36" t="s">
        <v>5382</v>
      </c>
      <c r="O265" s="36" t="s">
        <v>5383</v>
      </c>
      <c r="P265" s="36" t="s">
        <v>5370</v>
      </c>
    </row>
    <row r="266" spans="1:16">
      <c r="A266" s="132">
        <v>265</v>
      </c>
      <c r="B266" s="36" t="s">
        <v>5384</v>
      </c>
      <c r="C266" s="36" t="s">
        <v>5385</v>
      </c>
      <c r="D266" s="36" t="s">
        <v>5386</v>
      </c>
      <c r="E266" s="36" t="s">
        <v>5387</v>
      </c>
      <c r="F266" s="36" t="s">
        <v>5388</v>
      </c>
      <c r="G266" s="36" t="s">
        <v>5389</v>
      </c>
      <c r="H266" s="36" t="s">
        <v>5390</v>
      </c>
      <c r="I266" s="36" t="s">
        <v>5391</v>
      </c>
      <c r="J266" s="36" t="s">
        <v>5392</v>
      </c>
      <c r="K266" s="36" t="s">
        <v>5393</v>
      </c>
      <c r="L266" s="36" t="s">
        <v>5394</v>
      </c>
      <c r="M266" s="36" t="s">
        <v>5395</v>
      </c>
      <c r="N266" s="36" t="s">
        <v>5396</v>
      </c>
      <c r="O266" s="36" t="s">
        <v>5397</v>
      </c>
      <c r="P266" s="36" t="s">
        <v>5384</v>
      </c>
    </row>
    <row r="267" spans="1:16">
      <c r="A267" s="132">
        <v>266</v>
      </c>
      <c r="B267" s="36" t="s">
        <v>5398</v>
      </c>
      <c r="C267" s="36" t="s">
        <v>5399</v>
      </c>
      <c r="D267" s="36" t="s">
        <v>5400</v>
      </c>
      <c r="E267" s="36" t="s">
        <v>5401</v>
      </c>
      <c r="F267" s="36" t="s">
        <v>5402</v>
      </c>
      <c r="G267" s="36" t="s">
        <v>5403</v>
      </c>
      <c r="H267" s="36" t="s">
        <v>5404</v>
      </c>
      <c r="I267" s="36" t="s">
        <v>5405</v>
      </c>
      <c r="J267" s="36" t="s">
        <v>5406</v>
      </c>
      <c r="K267" s="36" t="s">
        <v>5407</v>
      </c>
      <c r="L267" s="36" t="s">
        <v>5408</v>
      </c>
      <c r="M267" s="36" t="s">
        <v>5409</v>
      </c>
      <c r="N267" s="36" t="s">
        <v>5410</v>
      </c>
      <c r="O267" s="36" t="s">
        <v>5411</v>
      </c>
      <c r="P267" s="36" t="s">
        <v>5398</v>
      </c>
    </row>
    <row r="268" spans="1:16">
      <c r="A268" s="132">
        <v>267</v>
      </c>
      <c r="B268" s="36" t="s">
        <v>5412</v>
      </c>
      <c r="C268" s="36" t="s">
        <v>5413</v>
      </c>
      <c r="D268" s="36" t="s">
        <v>5414</v>
      </c>
      <c r="E268" s="36" t="s">
        <v>5415</v>
      </c>
      <c r="F268" s="36" t="s">
        <v>5416</v>
      </c>
      <c r="G268" s="36" t="s">
        <v>5417</v>
      </c>
      <c r="H268" s="36" t="s">
        <v>5418</v>
      </c>
      <c r="I268" s="36" t="s">
        <v>5419</v>
      </c>
      <c r="J268" s="36" t="s">
        <v>5420</v>
      </c>
      <c r="K268" s="36" t="s">
        <v>5421</v>
      </c>
      <c r="L268" s="36" t="s">
        <v>5422</v>
      </c>
      <c r="M268" s="36" t="s">
        <v>5423</v>
      </c>
      <c r="N268" s="36" t="s">
        <v>5424</v>
      </c>
      <c r="O268" s="36" t="s">
        <v>5425</v>
      </c>
      <c r="P268" s="36" t="s">
        <v>5412</v>
      </c>
    </row>
    <row r="269" spans="1:16">
      <c r="A269" s="132">
        <v>268</v>
      </c>
      <c r="B269" s="36" t="s">
        <v>5426</v>
      </c>
      <c r="C269" s="36" t="s">
        <v>5427</v>
      </c>
      <c r="D269" s="36" t="s">
        <v>5428</v>
      </c>
      <c r="E269" s="36" t="s">
        <v>5429</v>
      </c>
      <c r="F269" s="36" t="s">
        <v>5430</v>
      </c>
      <c r="G269" s="36" t="s">
        <v>5431</v>
      </c>
      <c r="H269" s="36" t="s">
        <v>5432</v>
      </c>
      <c r="I269" s="36" t="s">
        <v>5433</v>
      </c>
      <c r="J269" s="36" t="s">
        <v>5434</v>
      </c>
      <c r="K269" s="36" t="s">
        <v>5435</v>
      </c>
      <c r="L269" s="36" t="s">
        <v>5436</v>
      </c>
      <c r="M269" s="36" t="s">
        <v>5437</v>
      </c>
      <c r="N269" s="36" t="s">
        <v>5438</v>
      </c>
      <c r="O269" s="36" t="s">
        <v>5439</v>
      </c>
      <c r="P269" s="36" t="s">
        <v>5426</v>
      </c>
    </row>
    <row r="270" spans="1:16">
      <c r="A270" s="132">
        <v>269</v>
      </c>
      <c r="B270" s="36" t="s">
        <v>5440</v>
      </c>
      <c r="C270" s="36" t="s">
        <v>5441</v>
      </c>
      <c r="D270" s="36" t="s">
        <v>5442</v>
      </c>
      <c r="E270" s="36" t="s">
        <v>5443</v>
      </c>
      <c r="F270" s="36" t="s">
        <v>5444</v>
      </c>
      <c r="G270" s="36" t="s">
        <v>5445</v>
      </c>
      <c r="H270" s="36" t="s">
        <v>5446</v>
      </c>
      <c r="I270" s="36" t="s">
        <v>5447</v>
      </c>
      <c r="J270" s="36" t="s">
        <v>5448</v>
      </c>
      <c r="K270" s="36" t="s">
        <v>5449</v>
      </c>
      <c r="L270" s="36" t="s">
        <v>5450</v>
      </c>
      <c r="M270" s="36" t="s">
        <v>5451</v>
      </c>
      <c r="N270" s="36" t="s">
        <v>5452</v>
      </c>
      <c r="O270" s="36" t="s">
        <v>5453</v>
      </c>
      <c r="P270" s="36" t="s">
        <v>5440</v>
      </c>
    </row>
    <row r="271" spans="1:16">
      <c r="A271" s="132">
        <v>270</v>
      </c>
      <c r="B271" s="36" t="s">
        <v>5454</v>
      </c>
      <c r="C271" s="36" t="s">
        <v>5455</v>
      </c>
      <c r="D271" s="36" t="s">
        <v>5456</v>
      </c>
      <c r="E271" s="36" t="s">
        <v>5457</v>
      </c>
      <c r="F271" s="36" t="s">
        <v>5458</v>
      </c>
      <c r="G271" s="36" t="s">
        <v>5459</v>
      </c>
      <c r="H271" s="36" t="s">
        <v>5460</v>
      </c>
      <c r="I271" s="36" t="s">
        <v>5461</v>
      </c>
      <c r="J271" s="36" t="s">
        <v>5462</v>
      </c>
      <c r="K271" s="36" t="s">
        <v>5463</v>
      </c>
      <c r="L271" s="36" t="s">
        <v>5464</v>
      </c>
      <c r="M271" s="36" t="s">
        <v>5465</v>
      </c>
      <c r="N271" s="36" t="s">
        <v>5466</v>
      </c>
      <c r="O271" s="36" t="s">
        <v>5467</v>
      </c>
      <c r="P271" s="36" t="s">
        <v>5454</v>
      </c>
    </row>
    <row r="272" spans="1:16">
      <c r="A272" s="132">
        <v>271</v>
      </c>
      <c r="B272" s="36" t="s">
        <v>5468</v>
      </c>
      <c r="C272" s="36" t="s">
        <v>5469</v>
      </c>
      <c r="D272" s="36" t="s">
        <v>5470</v>
      </c>
      <c r="E272" s="36" t="s">
        <v>5471</v>
      </c>
      <c r="F272" s="36" t="s">
        <v>5472</v>
      </c>
      <c r="G272" s="36" t="s">
        <v>5473</v>
      </c>
      <c r="H272" s="36" t="s">
        <v>5474</v>
      </c>
      <c r="I272" s="36" t="s">
        <v>5475</v>
      </c>
      <c r="J272" s="36" t="s">
        <v>5476</v>
      </c>
      <c r="K272" s="36" t="s">
        <v>5477</v>
      </c>
      <c r="L272" s="36" t="s">
        <v>5478</v>
      </c>
      <c r="M272" s="36" t="s">
        <v>5479</v>
      </c>
      <c r="N272" s="36" t="s">
        <v>5480</v>
      </c>
      <c r="O272" s="36" t="s">
        <v>5481</v>
      </c>
      <c r="P272" s="36" t="s">
        <v>5468</v>
      </c>
    </row>
    <row r="273" spans="1:16">
      <c r="A273" s="132">
        <v>272</v>
      </c>
      <c r="B273" s="36" t="s">
        <v>5482</v>
      </c>
      <c r="C273" s="36" t="s">
        <v>5483</v>
      </c>
      <c r="D273" s="36" t="s">
        <v>5484</v>
      </c>
      <c r="E273" s="36" t="s">
        <v>5485</v>
      </c>
      <c r="F273" s="36" t="s">
        <v>5486</v>
      </c>
      <c r="G273" s="36" t="s">
        <v>5487</v>
      </c>
      <c r="H273" s="36" t="s">
        <v>5488</v>
      </c>
      <c r="I273" s="36" t="s">
        <v>5489</v>
      </c>
      <c r="J273" s="36" t="s">
        <v>5490</v>
      </c>
      <c r="K273" s="36" t="s">
        <v>5491</v>
      </c>
      <c r="L273" s="36" t="s">
        <v>5492</v>
      </c>
      <c r="M273" s="36" t="s">
        <v>5493</v>
      </c>
      <c r="N273" s="36" t="s">
        <v>5494</v>
      </c>
      <c r="O273" s="36" t="s">
        <v>5495</v>
      </c>
      <c r="P273" s="36" t="s">
        <v>5482</v>
      </c>
    </row>
    <row r="274" spans="1:16">
      <c r="A274" s="132">
        <v>273</v>
      </c>
      <c r="B274" s="36" t="s">
        <v>5496</v>
      </c>
      <c r="C274" s="36" t="s">
        <v>5497</v>
      </c>
      <c r="D274" s="36" t="s">
        <v>5498</v>
      </c>
      <c r="E274" s="36" t="s">
        <v>5499</v>
      </c>
      <c r="F274" s="36" t="s">
        <v>5500</v>
      </c>
      <c r="G274" s="36" t="s">
        <v>5501</v>
      </c>
      <c r="H274" s="36" t="s">
        <v>5502</v>
      </c>
      <c r="I274" s="36" t="s">
        <v>5503</v>
      </c>
      <c r="J274" s="36" t="s">
        <v>5504</v>
      </c>
      <c r="K274" s="36" t="s">
        <v>5505</v>
      </c>
      <c r="L274" s="36" t="s">
        <v>5506</v>
      </c>
      <c r="M274" s="36" t="s">
        <v>5507</v>
      </c>
      <c r="N274" s="36" t="s">
        <v>5506</v>
      </c>
      <c r="O274" s="36" t="s">
        <v>5508</v>
      </c>
      <c r="P274" s="36" t="s">
        <v>5496</v>
      </c>
    </row>
    <row r="275" spans="1:16">
      <c r="A275" s="132">
        <v>274</v>
      </c>
      <c r="B275" s="36" t="s">
        <v>5509</v>
      </c>
      <c r="C275" s="36" t="s">
        <v>5510</v>
      </c>
      <c r="D275" s="36" t="s">
        <v>5511</v>
      </c>
      <c r="E275" s="36" t="s">
        <v>5512</v>
      </c>
      <c r="F275" s="36" t="s">
        <v>5513</v>
      </c>
      <c r="G275" s="36" t="s">
        <v>5514</v>
      </c>
      <c r="H275" s="36" t="s">
        <v>5515</v>
      </c>
      <c r="I275" s="36" t="s">
        <v>5516</v>
      </c>
      <c r="J275" s="36" t="s">
        <v>5517</v>
      </c>
      <c r="K275" s="36" t="s">
        <v>5518</v>
      </c>
      <c r="L275" s="36" t="s">
        <v>5519</v>
      </c>
      <c r="M275" s="36" t="s">
        <v>5520</v>
      </c>
      <c r="N275" s="36" t="s">
        <v>5521</v>
      </c>
      <c r="O275" s="36" t="s">
        <v>5522</v>
      </c>
      <c r="P275" s="36" t="s">
        <v>5509</v>
      </c>
    </row>
    <row r="276" spans="1:16">
      <c r="A276" s="132">
        <v>275</v>
      </c>
      <c r="B276" s="36" t="s">
        <v>5523</v>
      </c>
      <c r="C276" s="36" t="s">
        <v>5524</v>
      </c>
      <c r="D276" s="36" t="s">
        <v>5525</v>
      </c>
      <c r="E276" s="36" t="s">
        <v>5526</v>
      </c>
      <c r="F276" s="36" t="s">
        <v>5527</v>
      </c>
      <c r="G276" s="36" t="s">
        <v>5528</v>
      </c>
      <c r="H276" s="36" t="s">
        <v>5529</v>
      </c>
      <c r="I276" s="36" t="s">
        <v>5530</v>
      </c>
      <c r="J276" s="36" t="s">
        <v>5531</v>
      </c>
      <c r="K276" s="36" t="s">
        <v>5532</v>
      </c>
      <c r="L276" s="36" t="s">
        <v>5533</v>
      </c>
      <c r="M276" s="36" t="s">
        <v>5534</v>
      </c>
      <c r="N276" s="36" t="s">
        <v>5535</v>
      </c>
      <c r="O276" s="36" t="s">
        <v>5536</v>
      </c>
      <c r="P276" s="36" t="s">
        <v>5523</v>
      </c>
    </row>
    <row r="277" spans="1:16">
      <c r="A277" s="132">
        <v>276</v>
      </c>
      <c r="B277" s="36" t="s">
        <v>5537</v>
      </c>
      <c r="C277" s="36" t="s">
        <v>5538</v>
      </c>
      <c r="D277" s="36" t="s">
        <v>5539</v>
      </c>
      <c r="E277" s="36" t="s">
        <v>5540</v>
      </c>
      <c r="F277" s="36" t="s">
        <v>5541</v>
      </c>
      <c r="G277" s="36" t="s">
        <v>5542</v>
      </c>
      <c r="H277" s="36" t="s">
        <v>5543</v>
      </c>
      <c r="I277" s="36" t="s">
        <v>5544</v>
      </c>
      <c r="J277" s="36" t="s">
        <v>5545</v>
      </c>
      <c r="K277" s="36" t="s">
        <v>5546</v>
      </c>
      <c r="L277" s="36" t="s">
        <v>5547</v>
      </c>
      <c r="M277" s="36" t="s">
        <v>5548</v>
      </c>
      <c r="N277" s="36" t="s">
        <v>5549</v>
      </c>
      <c r="O277" s="36" t="s">
        <v>5550</v>
      </c>
      <c r="P277" s="36" t="s">
        <v>5537</v>
      </c>
    </row>
    <row r="278" spans="1:16">
      <c r="A278" s="132">
        <v>277</v>
      </c>
      <c r="B278" s="36" t="s">
        <v>5551</v>
      </c>
      <c r="C278" s="36" t="s">
        <v>5552</v>
      </c>
      <c r="D278" s="36" t="s">
        <v>5553</v>
      </c>
      <c r="E278" s="36" t="s">
        <v>5554</v>
      </c>
      <c r="F278" s="36" t="s">
        <v>5555</v>
      </c>
      <c r="G278" s="36" t="s">
        <v>5556</v>
      </c>
      <c r="H278" s="36" t="s">
        <v>5557</v>
      </c>
      <c r="I278" s="36" t="s">
        <v>5558</v>
      </c>
      <c r="J278" s="36" t="s">
        <v>5559</v>
      </c>
      <c r="K278" s="36" t="s">
        <v>5560</v>
      </c>
      <c r="L278" s="36" t="s">
        <v>5561</v>
      </c>
      <c r="M278" s="36" t="s">
        <v>5562</v>
      </c>
      <c r="N278" s="36" t="s">
        <v>5563</v>
      </c>
      <c r="O278" s="36" t="s">
        <v>5564</v>
      </c>
      <c r="P278" s="36" t="s">
        <v>5551</v>
      </c>
    </row>
    <row r="279" spans="1:16">
      <c r="A279" s="132">
        <v>278</v>
      </c>
      <c r="B279" s="36" t="s">
        <v>5565</v>
      </c>
      <c r="C279" s="36" t="s">
        <v>5566</v>
      </c>
      <c r="D279" s="36" t="s">
        <v>5567</v>
      </c>
      <c r="E279" s="36" t="s">
        <v>5568</v>
      </c>
      <c r="F279" s="36" t="s">
        <v>5569</v>
      </c>
      <c r="G279" s="36" t="s">
        <v>5570</v>
      </c>
      <c r="H279" s="36" t="s">
        <v>5571</v>
      </c>
      <c r="I279" s="36" t="s">
        <v>5572</v>
      </c>
      <c r="J279" s="36" t="s">
        <v>5573</v>
      </c>
      <c r="K279" s="36" t="s">
        <v>5574</v>
      </c>
      <c r="L279" s="36" t="s">
        <v>5575</v>
      </c>
      <c r="M279" s="36" t="s">
        <v>5576</v>
      </c>
      <c r="N279" s="36" t="s">
        <v>5577</v>
      </c>
      <c r="O279" s="36" t="s">
        <v>5578</v>
      </c>
      <c r="P279" s="36" t="s">
        <v>5565</v>
      </c>
    </row>
    <row r="280" spans="1:16">
      <c r="A280" s="132">
        <v>279</v>
      </c>
      <c r="B280" s="36" t="s">
        <v>5579</v>
      </c>
      <c r="C280" s="36" t="s">
        <v>5580</v>
      </c>
      <c r="D280" s="36" t="s">
        <v>5581</v>
      </c>
      <c r="E280" s="36" t="s">
        <v>5582</v>
      </c>
      <c r="F280" s="36" t="s">
        <v>5583</v>
      </c>
      <c r="G280" s="36" t="s">
        <v>5584</v>
      </c>
      <c r="H280" s="36" t="s">
        <v>5585</v>
      </c>
      <c r="I280" s="36" t="s">
        <v>5586</v>
      </c>
      <c r="J280" s="36" t="s">
        <v>5587</v>
      </c>
      <c r="K280" s="36" t="s">
        <v>5588</v>
      </c>
      <c r="L280" s="36" t="s">
        <v>5589</v>
      </c>
      <c r="M280" s="36" t="s">
        <v>5590</v>
      </c>
      <c r="N280" s="36" t="s">
        <v>5591</v>
      </c>
      <c r="O280" s="36" t="s">
        <v>5592</v>
      </c>
      <c r="P280" s="36" t="s">
        <v>5579</v>
      </c>
    </row>
    <row r="281" spans="1:16">
      <c r="A281" s="132">
        <v>280</v>
      </c>
      <c r="B281" s="36" t="s">
        <v>5593</v>
      </c>
      <c r="C281" s="36" t="s">
        <v>5594</v>
      </c>
      <c r="D281" s="36" t="s">
        <v>5595</v>
      </c>
      <c r="E281" s="36" t="s">
        <v>5596</v>
      </c>
      <c r="F281" s="36" t="s">
        <v>5597</v>
      </c>
      <c r="G281" s="36" t="s">
        <v>5598</v>
      </c>
      <c r="H281" s="36" t="s">
        <v>5599</v>
      </c>
      <c r="I281" s="36" t="s">
        <v>5600</v>
      </c>
      <c r="J281" s="36" t="s">
        <v>5601</v>
      </c>
      <c r="K281" s="36" t="s">
        <v>5602</v>
      </c>
      <c r="L281" s="36" t="s">
        <v>5603</v>
      </c>
      <c r="M281" s="36" t="s">
        <v>5604</v>
      </c>
      <c r="N281" s="36" t="s">
        <v>5605</v>
      </c>
      <c r="O281" s="36" t="s">
        <v>5606</v>
      </c>
      <c r="P281" s="36" t="s">
        <v>5607</v>
      </c>
    </row>
    <row r="282" spans="1:16" ht="13.95" customHeight="1">
      <c r="A282" s="132">
        <v>281</v>
      </c>
      <c r="B282" s="36" t="s">
        <v>5608</v>
      </c>
      <c r="C282" s="36" t="s">
        <v>5609</v>
      </c>
      <c r="D282" s="36" t="s">
        <v>5610</v>
      </c>
      <c r="E282" s="36" t="s">
        <v>5611</v>
      </c>
      <c r="F282" s="36" t="s">
        <v>5612</v>
      </c>
      <c r="G282" s="36" t="s">
        <v>5613</v>
      </c>
      <c r="H282" s="36" t="s">
        <v>5614</v>
      </c>
      <c r="I282" s="36" t="s">
        <v>5615</v>
      </c>
      <c r="J282" s="36" t="s">
        <v>5616</v>
      </c>
      <c r="K282" s="36" t="s">
        <v>5617</v>
      </c>
      <c r="L282" s="36" t="s">
        <v>5618</v>
      </c>
      <c r="M282" s="36" t="s">
        <v>5619</v>
      </c>
      <c r="N282" s="36" t="s">
        <v>5620</v>
      </c>
      <c r="O282" s="36" t="s">
        <v>5621</v>
      </c>
      <c r="P282" s="36" t="s">
        <v>5622</v>
      </c>
    </row>
    <row r="283" spans="1:16">
      <c r="A283" s="132">
        <v>282</v>
      </c>
      <c r="B283" s="36" t="s">
        <v>5623</v>
      </c>
      <c r="C283" s="36" t="s">
        <v>5624</v>
      </c>
      <c r="D283" s="36" t="s">
        <v>5625</v>
      </c>
      <c r="E283" s="36" t="s">
        <v>5626</v>
      </c>
      <c r="F283" s="36" t="s">
        <v>5627</v>
      </c>
      <c r="G283" s="36" t="s">
        <v>5628</v>
      </c>
      <c r="H283" s="36" t="s">
        <v>5629</v>
      </c>
      <c r="I283" s="36" t="s">
        <v>5630</v>
      </c>
      <c r="J283" s="36" t="s">
        <v>5631</v>
      </c>
      <c r="K283" s="36" t="s">
        <v>5632</v>
      </c>
      <c r="L283" s="36" t="s">
        <v>5633</v>
      </c>
      <c r="M283" s="36" t="s">
        <v>5634</v>
      </c>
      <c r="N283" s="36" t="s">
        <v>5635</v>
      </c>
      <c r="O283" s="36" t="s">
        <v>5636</v>
      </c>
      <c r="P283" s="36" t="s">
        <v>5637</v>
      </c>
    </row>
    <row r="284" spans="1:16">
      <c r="A284" s="132">
        <v>283</v>
      </c>
      <c r="B284" s="36" t="s">
        <v>5638</v>
      </c>
      <c r="C284" s="36" t="s">
        <v>5639</v>
      </c>
      <c r="D284" s="36" t="s">
        <v>5640</v>
      </c>
      <c r="E284" s="36" t="s">
        <v>5641</v>
      </c>
      <c r="F284" s="36" t="s">
        <v>5642</v>
      </c>
      <c r="G284" s="36" t="s">
        <v>5643</v>
      </c>
      <c r="H284" s="36" t="s">
        <v>5644</v>
      </c>
      <c r="I284" s="36" t="s">
        <v>5645</v>
      </c>
      <c r="J284" s="36" t="s">
        <v>5646</v>
      </c>
      <c r="K284" s="36" t="s">
        <v>5647</v>
      </c>
      <c r="L284" s="36" t="s">
        <v>5648</v>
      </c>
      <c r="M284" s="36" t="s">
        <v>5649</v>
      </c>
      <c r="N284" s="36" t="s">
        <v>5650</v>
      </c>
      <c r="O284" s="36" t="s">
        <v>5651</v>
      </c>
      <c r="P284" s="36" t="s">
        <v>5652</v>
      </c>
    </row>
    <row r="285" spans="1:16">
      <c r="A285" s="132">
        <v>284</v>
      </c>
      <c r="B285" s="36" t="s">
        <v>5653</v>
      </c>
      <c r="C285" s="36" t="s">
        <v>5654</v>
      </c>
      <c r="D285" s="36" t="s">
        <v>5655</v>
      </c>
      <c r="E285" s="36" t="s">
        <v>5656</v>
      </c>
      <c r="F285" s="36" t="s">
        <v>5657</v>
      </c>
      <c r="G285" s="36" t="s">
        <v>5658</v>
      </c>
      <c r="H285" s="36" t="s">
        <v>5659</v>
      </c>
      <c r="I285" s="36" t="s">
        <v>5660</v>
      </c>
      <c r="J285" s="36" t="s">
        <v>5661</v>
      </c>
      <c r="K285" s="36" t="s">
        <v>5662</v>
      </c>
      <c r="L285" s="36" t="s">
        <v>5663</v>
      </c>
      <c r="M285" s="36" t="s">
        <v>5664</v>
      </c>
      <c r="N285" s="36" t="s">
        <v>5665</v>
      </c>
      <c r="O285" s="36" t="s">
        <v>5666</v>
      </c>
      <c r="P285" s="36" t="s">
        <v>5653</v>
      </c>
    </row>
    <row r="286" spans="1:16">
      <c r="A286" s="132">
        <v>285</v>
      </c>
      <c r="B286" s="36" t="s">
        <v>5667</v>
      </c>
      <c r="C286" s="36" t="s">
        <v>5668</v>
      </c>
      <c r="D286" s="36" t="s">
        <v>5669</v>
      </c>
      <c r="E286" s="36" t="s">
        <v>5670</v>
      </c>
      <c r="F286" s="36" t="s">
        <v>5671</v>
      </c>
      <c r="G286" s="36" t="s">
        <v>5672</v>
      </c>
      <c r="H286" s="36" t="s">
        <v>5673</v>
      </c>
      <c r="I286" s="36" t="s">
        <v>5674</v>
      </c>
      <c r="J286" s="36" t="s">
        <v>5675</v>
      </c>
      <c r="K286" s="36" t="s">
        <v>5676</v>
      </c>
      <c r="L286" s="36" t="s">
        <v>5677</v>
      </c>
      <c r="M286" s="36" t="s">
        <v>5678</v>
      </c>
      <c r="N286" s="36" t="s">
        <v>5679</v>
      </c>
      <c r="O286" s="36" t="s">
        <v>5676</v>
      </c>
      <c r="P286" s="36" t="s">
        <v>5667</v>
      </c>
    </row>
    <row r="287" spans="1:16">
      <c r="A287" s="132">
        <v>286</v>
      </c>
      <c r="B287" s="36" t="s">
        <v>2132</v>
      </c>
      <c r="C287" s="36" t="s">
        <v>5680</v>
      </c>
      <c r="D287" s="36" t="s">
        <v>5681</v>
      </c>
      <c r="E287" s="36" t="s">
        <v>5682</v>
      </c>
      <c r="F287" s="36" t="s">
        <v>2132</v>
      </c>
      <c r="G287" s="36" t="s">
        <v>5682</v>
      </c>
      <c r="H287" s="36" t="s">
        <v>5683</v>
      </c>
      <c r="I287" s="36" t="s">
        <v>5683</v>
      </c>
      <c r="J287" s="36" t="s">
        <v>2132</v>
      </c>
      <c r="K287" s="36" t="s">
        <v>5684</v>
      </c>
      <c r="L287" s="36" t="s">
        <v>2132</v>
      </c>
      <c r="M287" s="36" t="s">
        <v>5685</v>
      </c>
      <c r="N287" s="36" t="s">
        <v>5685</v>
      </c>
      <c r="O287" s="36" t="s">
        <v>2132</v>
      </c>
      <c r="P287" s="36" t="s">
        <v>2132</v>
      </c>
    </row>
    <row r="288" spans="1:16">
      <c r="A288" s="132">
        <v>287</v>
      </c>
      <c r="B288" s="36" t="s">
        <v>5686</v>
      </c>
      <c r="C288" s="36" t="s">
        <v>5687</v>
      </c>
      <c r="D288" s="36" t="s">
        <v>5688</v>
      </c>
      <c r="E288" s="36" t="s">
        <v>5689</v>
      </c>
      <c r="F288" s="36" t="s">
        <v>5690</v>
      </c>
      <c r="G288" s="36" t="s">
        <v>5691</v>
      </c>
      <c r="H288" s="36" t="s">
        <v>5692</v>
      </c>
      <c r="I288" s="36" t="s">
        <v>5693</v>
      </c>
      <c r="J288" s="36" t="s">
        <v>5694</v>
      </c>
      <c r="K288" s="36" t="s">
        <v>5695</v>
      </c>
      <c r="L288" s="36" t="s">
        <v>5696</v>
      </c>
      <c r="M288" s="36" t="s">
        <v>5697</v>
      </c>
      <c r="N288" s="36" t="s">
        <v>5697</v>
      </c>
      <c r="O288" s="36" t="s">
        <v>5698</v>
      </c>
      <c r="P288" s="36" t="s">
        <v>5686</v>
      </c>
    </row>
    <row r="289" spans="1:16" ht="13.95" customHeight="1">
      <c r="A289" s="132">
        <v>288</v>
      </c>
      <c r="B289" s="36" t="s">
        <v>5699</v>
      </c>
      <c r="C289" s="36" t="s">
        <v>5700</v>
      </c>
      <c r="D289" s="36" t="s">
        <v>5701</v>
      </c>
      <c r="E289" s="36" t="s">
        <v>5702</v>
      </c>
      <c r="F289" s="36" t="s">
        <v>5703</v>
      </c>
      <c r="G289" s="36" t="s">
        <v>5704</v>
      </c>
      <c r="H289" s="36" t="s">
        <v>5705</v>
      </c>
      <c r="I289" s="36" t="s">
        <v>5706</v>
      </c>
      <c r="J289" s="36" t="s">
        <v>5707</v>
      </c>
      <c r="K289" s="36" t="s">
        <v>5708</v>
      </c>
      <c r="L289" s="36" t="s">
        <v>5709</v>
      </c>
      <c r="M289" s="36" t="s">
        <v>5710</v>
      </c>
      <c r="N289" s="36" t="s">
        <v>5711</v>
      </c>
      <c r="O289" s="36" t="s">
        <v>5712</v>
      </c>
      <c r="P289" s="36" t="s">
        <v>5699</v>
      </c>
    </row>
    <row r="290" spans="1:16">
      <c r="A290" s="132">
        <v>289</v>
      </c>
      <c r="B290" s="36" t="s">
        <v>5713</v>
      </c>
      <c r="C290" s="36" t="s">
        <v>5714</v>
      </c>
      <c r="D290" s="36" t="s">
        <v>5715</v>
      </c>
      <c r="E290" s="36" t="s">
        <v>5716</v>
      </c>
      <c r="F290" s="36" t="s">
        <v>5717</v>
      </c>
      <c r="G290" s="36" t="s">
        <v>5718</v>
      </c>
      <c r="H290" s="36" t="s">
        <v>5719</v>
      </c>
      <c r="I290" s="36" t="s">
        <v>5720</v>
      </c>
      <c r="J290" s="36" t="s">
        <v>5721</v>
      </c>
      <c r="K290" s="36" t="s">
        <v>5722</v>
      </c>
      <c r="L290" s="36" t="s">
        <v>5723</v>
      </c>
      <c r="M290" s="36" t="s">
        <v>5724</v>
      </c>
      <c r="N290" s="36" t="s">
        <v>5725</v>
      </c>
      <c r="O290" s="36" t="s">
        <v>5726</v>
      </c>
      <c r="P290" s="36" t="s">
        <v>5713</v>
      </c>
    </row>
    <row r="291" spans="1:16">
      <c r="A291" s="132">
        <v>290</v>
      </c>
      <c r="B291" s="36" t="s">
        <v>5727</v>
      </c>
      <c r="C291" s="36" t="s">
        <v>5728</v>
      </c>
      <c r="D291" s="36" t="s">
        <v>5729</v>
      </c>
      <c r="E291" s="36" t="s">
        <v>5730</v>
      </c>
      <c r="F291" s="36" t="s">
        <v>5731</v>
      </c>
      <c r="G291" s="36" t="s">
        <v>5732</v>
      </c>
      <c r="H291" s="36" t="s">
        <v>5733</v>
      </c>
      <c r="I291" s="36" t="s">
        <v>5734</v>
      </c>
      <c r="J291" s="36" t="s">
        <v>5735</v>
      </c>
      <c r="K291" s="36" t="s">
        <v>5736</v>
      </c>
      <c r="L291" s="36" t="s">
        <v>5737</v>
      </c>
      <c r="M291" s="36" t="s">
        <v>5738</v>
      </c>
      <c r="N291" s="36" t="s">
        <v>5739</v>
      </c>
      <c r="O291" s="36" t="s">
        <v>5740</v>
      </c>
      <c r="P291" s="36" t="s">
        <v>5727</v>
      </c>
    </row>
    <row r="292" spans="1:16">
      <c r="A292" s="132">
        <v>291</v>
      </c>
      <c r="B292" s="36" t="s">
        <v>5741</v>
      </c>
      <c r="C292" s="36" t="s">
        <v>5742</v>
      </c>
      <c r="D292" s="36" t="s">
        <v>5729</v>
      </c>
      <c r="E292" s="36" t="s">
        <v>5743</v>
      </c>
      <c r="F292" s="36" t="s">
        <v>5744</v>
      </c>
      <c r="G292" s="36" t="s">
        <v>5745</v>
      </c>
      <c r="H292" s="36" t="s">
        <v>5746</v>
      </c>
      <c r="I292" s="36" t="s">
        <v>5747</v>
      </c>
      <c r="J292" s="36" t="s">
        <v>5748</v>
      </c>
      <c r="K292" s="36" t="s">
        <v>5749</v>
      </c>
      <c r="L292" s="36" t="s">
        <v>5750</v>
      </c>
      <c r="M292" s="36" t="s">
        <v>5751</v>
      </c>
      <c r="N292" s="36" t="s">
        <v>5752</v>
      </c>
      <c r="O292" s="36" t="s">
        <v>5753</v>
      </c>
      <c r="P292" s="36" t="s">
        <v>5741</v>
      </c>
    </row>
    <row r="293" spans="1:16">
      <c r="A293" s="132">
        <v>292</v>
      </c>
      <c r="B293" s="36" t="s">
        <v>5754</v>
      </c>
      <c r="C293" s="36" t="s">
        <v>5755</v>
      </c>
      <c r="D293" s="36" t="s">
        <v>5756</v>
      </c>
      <c r="E293" s="36" t="s">
        <v>5757</v>
      </c>
      <c r="F293" s="36" t="s">
        <v>5758</v>
      </c>
      <c r="G293" s="36" t="s">
        <v>5759</v>
      </c>
      <c r="H293" s="36" t="s">
        <v>5760</v>
      </c>
      <c r="I293" s="36" t="s">
        <v>5761</v>
      </c>
      <c r="J293" s="36" t="s">
        <v>5762</v>
      </c>
      <c r="K293" s="36" t="s">
        <v>5763</v>
      </c>
      <c r="L293" s="36" t="s">
        <v>5764</v>
      </c>
      <c r="M293" s="36" t="s">
        <v>5765</v>
      </c>
      <c r="N293" s="36" t="s">
        <v>5766</v>
      </c>
      <c r="O293" s="36" t="s">
        <v>5767</v>
      </c>
      <c r="P293" s="36" t="s">
        <v>5754</v>
      </c>
    </row>
    <row r="294" spans="1:16">
      <c r="A294" s="132">
        <v>293</v>
      </c>
      <c r="B294" s="36" t="s">
        <v>5768</v>
      </c>
      <c r="C294" s="36" t="s">
        <v>5769</v>
      </c>
      <c r="D294" s="36" t="s">
        <v>5770</v>
      </c>
      <c r="E294" s="36" t="s">
        <v>5771</v>
      </c>
      <c r="F294" s="36" t="s">
        <v>5772</v>
      </c>
      <c r="G294" s="36" t="s">
        <v>5773</v>
      </c>
      <c r="H294" s="36" t="s">
        <v>5774</v>
      </c>
      <c r="I294" s="36" t="s">
        <v>5775</v>
      </c>
      <c r="J294" s="36" t="s">
        <v>5776</v>
      </c>
      <c r="K294" s="36" t="s">
        <v>5777</v>
      </c>
      <c r="L294" s="36" t="s">
        <v>5778</v>
      </c>
      <c r="M294" s="36" t="s">
        <v>5779</v>
      </c>
      <c r="N294" s="36" t="s">
        <v>5780</v>
      </c>
      <c r="O294" s="36" t="s">
        <v>5781</v>
      </c>
      <c r="P294" s="36" t="s">
        <v>5768</v>
      </c>
    </row>
    <row r="295" spans="1:16">
      <c r="A295" s="132">
        <v>294</v>
      </c>
      <c r="B295" s="36" t="s">
        <v>5782</v>
      </c>
      <c r="C295" s="36" t="s">
        <v>5783</v>
      </c>
      <c r="D295" s="36" t="s">
        <v>5784</v>
      </c>
      <c r="E295" s="36" t="s">
        <v>5785</v>
      </c>
      <c r="F295" s="36" t="s">
        <v>5786</v>
      </c>
      <c r="G295" s="36" t="s">
        <v>5787</v>
      </c>
      <c r="H295" s="36" t="s">
        <v>5788</v>
      </c>
      <c r="I295" s="36" t="s">
        <v>5789</v>
      </c>
      <c r="J295" s="36" t="s">
        <v>5790</v>
      </c>
      <c r="K295" s="36" t="s">
        <v>5791</v>
      </c>
      <c r="L295" s="36" t="s">
        <v>5792</v>
      </c>
      <c r="M295" s="36" t="s">
        <v>5793</v>
      </c>
      <c r="N295" s="36" t="s">
        <v>5794</v>
      </c>
      <c r="O295" s="36" t="s">
        <v>5795</v>
      </c>
      <c r="P295" s="36" t="s">
        <v>5782</v>
      </c>
    </row>
    <row r="296" spans="1:16">
      <c r="A296" s="132">
        <v>295</v>
      </c>
      <c r="B296" s="36" t="s">
        <v>5796</v>
      </c>
      <c r="C296" s="36" t="s">
        <v>5797</v>
      </c>
      <c r="D296" s="36" t="s">
        <v>5798</v>
      </c>
      <c r="E296" s="36" t="s">
        <v>5799</v>
      </c>
      <c r="F296" s="36" t="s">
        <v>5800</v>
      </c>
      <c r="G296" s="36" t="s">
        <v>5801</v>
      </c>
      <c r="H296" s="36" t="s">
        <v>5802</v>
      </c>
      <c r="I296" s="36" t="s">
        <v>5803</v>
      </c>
      <c r="J296" s="36" t="s">
        <v>5804</v>
      </c>
      <c r="K296" s="36" t="s">
        <v>5805</v>
      </c>
      <c r="L296" s="36" t="s">
        <v>5806</v>
      </c>
      <c r="M296" s="36" t="s">
        <v>5807</v>
      </c>
      <c r="N296" s="36" t="s">
        <v>5808</v>
      </c>
      <c r="O296" s="36" t="s">
        <v>5809</v>
      </c>
      <c r="P296" s="36" t="s">
        <v>5796</v>
      </c>
    </row>
    <row r="297" spans="1:16">
      <c r="A297" s="132">
        <v>296</v>
      </c>
      <c r="B297" s="36" t="s">
        <v>5810</v>
      </c>
      <c r="C297" s="36" t="s">
        <v>5811</v>
      </c>
      <c r="D297" s="36" t="s">
        <v>5812</v>
      </c>
      <c r="E297" s="36" t="s">
        <v>5813</v>
      </c>
      <c r="F297" s="36" t="s">
        <v>5814</v>
      </c>
      <c r="G297" s="36" t="s">
        <v>5815</v>
      </c>
      <c r="H297" s="36" t="s">
        <v>5816</v>
      </c>
      <c r="I297" s="36" t="s">
        <v>5817</v>
      </c>
      <c r="J297" s="36" t="s">
        <v>5818</v>
      </c>
      <c r="K297" s="36" t="s">
        <v>5819</v>
      </c>
      <c r="L297" s="36" t="s">
        <v>5820</v>
      </c>
      <c r="M297" s="36" t="s">
        <v>5821</v>
      </c>
      <c r="N297" s="36" t="s">
        <v>5822</v>
      </c>
      <c r="O297" s="36" t="s">
        <v>5823</v>
      </c>
      <c r="P297" s="36" t="s">
        <v>5810</v>
      </c>
    </row>
    <row r="298" spans="1:16">
      <c r="A298" s="132">
        <v>297</v>
      </c>
      <c r="B298" s="36" t="s">
        <v>5824</v>
      </c>
      <c r="C298" s="36" t="s">
        <v>5825</v>
      </c>
      <c r="D298" s="36" t="s">
        <v>5826</v>
      </c>
      <c r="E298" s="36" t="s">
        <v>5827</v>
      </c>
      <c r="F298" s="36" t="s">
        <v>5828</v>
      </c>
      <c r="G298" s="36" t="s">
        <v>5829</v>
      </c>
      <c r="H298" s="36" t="s">
        <v>5830</v>
      </c>
      <c r="I298" s="36" t="s">
        <v>5831</v>
      </c>
      <c r="J298" s="36" t="s">
        <v>5832</v>
      </c>
      <c r="K298" s="36" t="s">
        <v>5833</v>
      </c>
      <c r="L298" s="36" t="s">
        <v>5834</v>
      </c>
      <c r="M298" s="36" t="s">
        <v>5835</v>
      </c>
      <c r="N298" s="36" t="s">
        <v>5836</v>
      </c>
      <c r="O298" s="36" t="s">
        <v>5837</v>
      </c>
      <c r="P298" s="36" t="s">
        <v>5824</v>
      </c>
    </row>
    <row r="299" spans="1:16">
      <c r="A299" s="132">
        <v>298</v>
      </c>
      <c r="B299" s="36" t="s">
        <v>5838</v>
      </c>
      <c r="C299" s="36" t="s">
        <v>5839</v>
      </c>
      <c r="D299" s="36" t="s">
        <v>5840</v>
      </c>
      <c r="E299" s="36" t="s">
        <v>5841</v>
      </c>
      <c r="F299" s="36" t="s">
        <v>5842</v>
      </c>
      <c r="G299" s="36" t="s">
        <v>5843</v>
      </c>
      <c r="H299" s="36" t="s">
        <v>5844</v>
      </c>
      <c r="I299" s="36" t="s">
        <v>5845</v>
      </c>
      <c r="J299" s="36" t="s">
        <v>5846</v>
      </c>
      <c r="K299" s="36" t="s">
        <v>5847</v>
      </c>
      <c r="L299" s="36" t="s">
        <v>5848</v>
      </c>
      <c r="M299" s="36" t="s">
        <v>5849</v>
      </c>
      <c r="N299" s="36" t="s">
        <v>5850</v>
      </c>
      <c r="O299" s="36" t="s">
        <v>5851</v>
      </c>
      <c r="P299" s="36" t="s">
        <v>5838</v>
      </c>
    </row>
    <row r="300" spans="1:16">
      <c r="A300" s="132">
        <v>299</v>
      </c>
      <c r="B300" s="36" t="s">
        <v>5852</v>
      </c>
      <c r="C300" s="36" t="s">
        <v>5853</v>
      </c>
      <c r="D300" s="36" t="s">
        <v>5854</v>
      </c>
      <c r="E300" s="36" t="s">
        <v>5855</v>
      </c>
      <c r="F300" s="36" t="s">
        <v>5856</v>
      </c>
      <c r="G300" s="36" t="s">
        <v>5857</v>
      </c>
      <c r="H300" s="36" t="s">
        <v>5858</v>
      </c>
      <c r="I300" s="36" t="s">
        <v>5859</v>
      </c>
      <c r="J300" s="36" t="s">
        <v>5860</v>
      </c>
      <c r="K300" s="36" t="s">
        <v>5861</v>
      </c>
      <c r="L300" s="36" t="s">
        <v>5862</v>
      </c>
      <c r="M300" s="36" t="s">
        <v>5863</v>
      </c>
      <c r="N300" s="36" t="s">
        <v>5864</v>
      </c>
      <c r="O300" s="36" t="s">
        <v>5865</v>
      </c>
      <c r="P300" s="36" t="s">
        <v>5852</v>
      </c>
    </row>
    <row r="301" spans="1:16">
      <c r="A301" s="132">
        <v>300</v>
      </c>
      <c r="B301" s="36" t="s">
        <v>5866</v>
      </c>
      <c r="C301" s="36" t="s">
        <v>5867</v>
      </c>
      <c r="D301" s="36" t="s">
        <v>5868</v>
      </c>
      <c r="E301" s="36" t="s">
        <v>5869</v>
      </c>
      <c r="F301" s="36" t="s">
        <v>5870</v>
      </c>
      <c r="G301" s="36" t="s">
        <v>5871</v>
      </c>
      <c r="H301" s="36" t="s">
        <v>5872</v>
      </c>
      <c r="I301" s="36" t="s">
        <v>5873</v>
      </c>
      <c r="J301" s="36" t="s">
        <v>5874</v>
      </c>
      <c r="K301" s="36" t="s">
        <v>5875</v>
      </c>
      <c r="L301" s="36" t="s">
        <v>5876</v>
      </c>
      <c r="M301" s="36" t="s">
        <v>5877</v>
      </c>
      <c r="N301" s="36" t="s">
        <v>5878</v>
      </c>
      <c r="O301" s="36" t="s">
        <v>5879</v>
      </c>
      <c r="P301" s="36" t="s">
        <v>5866</v>
      </c>
    </row>
    <row r="302" spans="1:16">
      <c r="A302" s="132">
        <v>301</v>
      </c>
      <c r="B302" s="36" t="s">
        <v>5880</v>
      </c>
      <c r="C302" s="36" t="s">
        <v>5881</v>
      </c>
      <c r="D302" s="36" t="s">
        <v>5882</v>
      </c>
      <c r="E302" s="36" t="s">
        <v>5883</v>
      </c>
      <c r="F302" s="36" t="s">
        <v>5884</v>
      </c>
      <c r="G302" s="36" t="s">
        <v>5885</v>
      </c>
      <c r="H302" s="36" t="s">
        <v>5886</v>
      </c>
      <c r="I302" s="36" t="s">
        <v>5887</v>
      </c>
      <c r="J302" s="36" t="s">
        <v>5888</v>
      </c>
      <c r="K302" s="36" t="s">
        <v>5889</v>
      </c>
      <c r="L302" s="36" t="s">
        <v>5890</v>
      </c>
      <c r="M302" s="36" t="s">
        <v>5891</v>
      </c>
      <c r="N302" s="36" t="s">
        <v>5892</v>
      </c>
      <c r="O302" s="36" t="s">
        <v>5893</v>
      </c>
      <c r="P302" s="36" t="s">
        <v>5880</v>
      </c>
    </row>
    <row r="303" spans="1:16">
      <c r="A303" s="132">
        <v>302</v>
      </c>
      <c r="B303" s="36" t="s">
        <v>5894</v>
      </c>
      <c r="C303" s="36" t="s">
        <v>5895</v>
      </c>
      <c r="D303" s="36" t="s">
        <v>5894</v>
      </c>
      <c r="E303" s="36" t="s">
        <v>5896</v>
      </c>
      <c r="F303" s="36" t="s">
        <v>5897</v>
      </c>
      <c r="G303" s="36" t="s">
        <v>5898</v>
      </c>
      <c r="H303" s="36" t="s">
        <v>5899</v>
      </c>
      <c r="I303" s="36" t="s">
        <v>5900</v>
      </c>
      <c r="J303" s="36" t="s">
        <v>5901</v>
      </c>
      <c r="K303" s="36" t="s">
        <v>5902</v>
      </c>
      <c r="L303" s="36" t="s">
        <v>5903</v>
      </c>
      <c r="M303" s="36" t="s">
        <v>5904</v>
      </c>
      <c r="N303" s="36" t="s">
        <v>5905</v>
      </c>
      <c r="O303" s="36" t="s">
        <v>5906</v>
      </c>
      <c r="P303" s="36" t="s">
        <v>5894</v>
      </c>
    </row>
    <row r="304" spans="1:16">
      <c r="A304" s="132">
        <v>303</v>
      </c>
      <c r="B304" s="36" t="s">
        <v>5907</v>
      </c>
      <c r="C304" s="36" t="s">
        <v>5908</v>
      </c>
      <c r="D304" s="36" t="s">
        <v>5909</v>
      </c>
      <c r="E304" s="36" t="s">
        <v>5910</v>
      </c>
      <c r="F304" s="36" t="s">
        <v>5911</v>
      </c>
      <c r="G304" s="36" t="s">
        <v>5912</v>
      </c>
      <c r="H304" s="36" t="s">
        <v>5913</v>
      </c>
      <c r="I304" s="36" t="s">
        <v>5914</v>
      </c>
      <c r="J304" s="36" t="s">
        <v>5915</v>
      </c>
      <c r="K304" s="36" t="s">
        <v>5916</v>
      </c>
      <c r="L304" s="36" t="s">
        <v>5917</v>
      </c>
      <c r="M304" s="36" t="s">
        <v>5918</v>
      </c>
      <c r="N304" s="36" t="s">
        <v>5919</v>
      </c>
      <c r="O304" s="36" t="s">
        <v>5920</v>
      </c>
      <c r="P304" s="36" t="s">
        <v>5907</v>
      </c>
    </row>
    <row r="305" spans="1:16">
      <c r="A305" s="132">
        <v>304</v>
      </c>
      <c r="B305" s="36" t="s">
        <v>5921</v>
      </c>
      <c r="C305" s="36" t="s">
        <v>5922</v>
      </c>
      <c r="D305" s="36" t="s">
        <v>5923</v>
      </c>
      <c r="E305" s="36" t="s">
        <v>5924</v>
      </c>
      <c r="F305" s="36" t="s">
        <v>5925</v>
      </c>
      <c r="G305" s="36" t="s">
        <v>5926</v>
      </c>
      <c r="H305" s="36" t="s">
        <v>5927</v>
      </c>
      <c r="I305" s="36" t="s">
        <v>5928</v>
      </c>
      <c r="J305" s="36" t="s">
        <v>5921</v>
      </c>
      <c r="K305" s="36" t="s">
        <v>5929</v>
      </c>
      <c r="L305" s="36" t="s">
        <v>5930</v>
      </c>
      <c r="M305" s="36" t="s">
        <v>5931</v>
      </c>
      <c r="N305" s="36" t="s">
        <v>5932</v>
      </c>
      <c r="O305" s="36" t="s">
        <v>5933</v>
      </c>
      <c r="P305" s="36" t="s">
        <v>5921</v>
      </c>
    </row>
    <row r="306" spans="1:16">
      <c r="A306" s="132">
        <v>305</v>
      </c>
      <c r="B306" s="36" t="s">
        <v>5934</v>
      </c>
      <c r="C306" s="36" t="s">
        <v>5935</v>
      </c>
      <c r="D306" s="36" t="s">
        <v>5936</v>
      </c>
      <c r="E306" s="36" t="s">
        <v>5937</v>
      </c>
      <c r="F306" s="36" t="s">
        <v>5938</v>
      </c>
      <c r="G306" s="36" t="s">
        <v>5939</v>
      </c>
      <c r="H306" s="36" t="s">
        <v>5940</v>
      </c>
      <c r="I306" s="36" t="s">
        <v>5941</v>
      </c>
      <c r="J306" s="36" t="s">
        <v>5942</v>
      </c>
      <c r="K306" s="36" t="s">
        <v>5943</v>
      </c>
      <c r="L306" s="36" t="s">
        <v>5944</v>
      </c>
      <c r="M306" s="36" t="s">
        <v>5945</v>
      </c>
      <c r="N306" s="36" t="s">
        <v>5946</v>
      </c>
      <c r="O306" s="36" t="s">
        <v>5947</v>
      </c>
      <c r="P306" s="36" t="s">
        <v>5934</v>
      </c>
    </row>
    <row r="307" spans="1:16">
      <c r="A307" s="132">
        <v>306</v>
      </c>
      <c r="B307" s="36" t="s">
        <v>5948</v>
      </c>
      <c r="C307" s="36" t="s">
        <v>5949</v>
      </c>
      <c r="D307" s="36" t="s">
        <v>5950</v>
      </c>
      <c r="E307" s="36" t="s">
        <v>5951</v>
      </c>
      <c r="F307" s="36" t="s">
        <v>5952</v>
      </c>
      <c r="G307" s="36" t="s">
        <v>5953</v>
      </c>
      <c r="H307" s="36" t="s">
        <v>5954</v>
      </c>
      <c r="I307" s="36" t="s">
        <v>5955</v>
      </c>
      <c r="J307" s="36" t="s">
        <v>5956</v>
      </c>
      <c r="K307" s="36" t="s">
        <v>5957</v>
      </c>
      <c r="L307" s="36" t="s">
        <v>5958</v>
      </c>
      <c r="M307" s="36" t="s">
        <v>5959</v>
      </c>
      <c r="N307" s="36" t="s">
        <v>5960</v>
      </c>
      <c r="O307" s="36" t="s">
        <v>5961</v>
      </c>
      <c r="P307" s="36" t="s">
        <v>5948</v>
      </c>
    </row>
    <row r="308" spans="1:16">
      <c r="A308" s="132">
        <v>307</v>
      </c>
      <c r="B308" s="36" t="s">
        <v>5962</v>
      </c>
      <c r="C308" s="36" t="s">
        <v>5962</v>
      </c>
      <c r="D308" s="36" t="s">
        <v>5963</v>
      </c>
      <c r="E308" s="36" t="s">
        <v>5964</v>
      </c>
      <c r="F308" s="36" t="s">
        <v>5965</v>
      </c>
      <c r="G308" s="36" t="s">
        <v>5966</v>
      </c>
      <c r="H308" s="36" t="s">
        <v>5967</v>
      </c>
      <c r="I308" s="36" t="s">
        <v>5968</v>
      </c>
      <c r="J308" s="36" t="s">
        <v>5969</v>
      </c>
      <c r="K308" s="36" t="s">
        <v>5970</v>
      </c>
      <c r="L308" s="36" t="s">
        <v>5971</v>
      </c>
      <c r="M308" s="36" t="s">
        <v>5962</v>
      </c>
      <c r="N308" s="36" t="s">
        <v>5972</v>
      </c>
      <c r="O308" s="36" t="s">
        <v>5970</v>
      </c>
      <c r="P308" s="36" t="s">
        <v>5962</v>
      </c>
    </row>
    <row r="309" spans="1:16">
      <c r="A309" s="132">
        <v>308</v>
      </c>
      <c r="B309" s="36" t="s">
        <v>5973</v>
      </c>
      <c r="C309" s="36" t="s">
        <v>5974</v>
      </c>
      <c r="D309" s="36" t="s">
        <v>5975</v>
      </c>
      <c r="E309" s="36" t="s">
        <v>5976</v>
      </c>
      <c r="F309" s="36" t="s">
        <v>5977</v>
      </c>
      <c r="G309" s="36" t="s">
        <v>5978</v>
      </c>
      <c r="H309" s="36" t="s">
        <v>5979</v>
      </c>
      <c r="I309" s="36" t="s">
        <v>5980</v>
      </c>
      <c r="J309" s="36" t="s">
        <v>5981</v>
      </c>
      <c r="K309" s="36" t="s">
        <v>5982</v>
      </c>
      <c r="L309" s="36" t="s">
        <v>5983</v>
      </c>
      <c r="M309" s="36" t="s">
        <v>5984</v>
      </c>
      <c r="N309" s="36" t="s">
        <v>5985</v>
      </c>
      <c r="O309" s="36" t="s">
        <v>5986</v>
      </c>
      <c r="P309" s="36" t="s">
        <v>5973</v>
      </c>
    </row>
    <row r="310" spans="1:16">
      <c r="A310" s="132">
        <v>309</v>
      </c>
      <c r="B310" s="36" t="s">
        <v>5987</v>
      </c>
      <c r="C310" s="36" t="s">
        <v>5988</v>
      </c>
      <c r="D310" s="36" t="s">
        <v>5989</v>
      </c>
      <c r="E310" s="36" t="s">
        <v>5990</v>
      </c>
      <c r="F310" s="36" t="s">
        <v>5991</v>
      </c>
      <c r="G310" s="36" t="s">
        <v>5992</v>
      </c>
      <c r="H310" s="36" t="s">
        <v>5993</v>
      </c>
      <c r="I310" s="36" t="s">
        <v>5994</v>
      </c>
      <c r="J310" s="36" t="s">
        <v>5995</v>
      </c>
      <c r="K310" s="36" t="s">
        <v>5996</v>
      </c>
      <c r="L310" s="36" t="s">
        <v>5997</v>
      </c>
      <c r="M310" s="36" t="s">
        <v>5998</v>
      </c>
      <c r="N310" s="36" t="s">
        <v>5999</v>
      </c>
      <c r="O310" s="36" t="s">
        <v>6000</v>
      </c>
      <c r="P310" s="36" t="s">
        <v>5987</v>
      </c>
    </row>
    <row r="311" spans="1:16">
      <c r="A311" s="132">
        <v>310</v>
      </c>
      <c r="B311" s="36" t="s">
        <v>6001</v>
      </c>
      <c r="C311" s="36" t="s">
        <v>6002</v>
      </c>
      <c r="D311" s="36" t="s">
        <v>6003</v>
      </c>
      <c r="E311" s="36" t="s">
        <v>6004</v>
      </c>
      <c r="F311" s="36" t="s">
        <v>6005</v>
      </c>
      <c r="G311" s="36" t="s">
        <v>6006</v>
      </c>
      <c r="H311" s="36" t="s">
        <v>6007</v>
      </c>
      <c r="I311" s="36" t="s">
        <v>6008</v>
      </c>
      <c r="J311" s="36" t="s">
        <v>6009</v>
      </c>
      <c r="K311" s="36" t="s">
        <v>6010</v>
      </c>
      <c r="L311" s="36" t="s">
        <v>6011</v>
      </c>
      <c r="M311" s="36" t="s">
        <v>6012</v>
      </c>
      <c r="N311" s="36" t="s">
        <v>6013</v>
      </c>
      <c r="O311" s="36" t="s">
        <v>6014</v>
      </c>
      <c r="P311" s="36" t="s">
        <v>6015</v>
      </c>
    </row>
    <row r="312" spans="1:16">
      <c r="A312" s="132">
        <v>311</v>
      </c>
      <c r="B312" s="36" t="s">
        <v>6016</v>
      </c>
      <c r="C312" s="36" t="s">
        <v>6017</v>
      </c>
      <c r="D312" s="36" t="s">
        <v>6018</v>
      </c>
      <c r="E312" s="36" t="s">
        <v>6019</v>
      </c>
      <c r="F312" s="36" t="s">
        <v>6020</v>
      </c>
      <c r="G312" s="36" t="s">
        <v>6021</v>
      </c>
      <c r="H312" s="36" t="s">
        <v>6022</v>
      </c>
      <c r="I312" s="36" t="s">
        <v>6023</v>
      </c>
      <c r="J312" s="36" t="s">
        <v>6024</v>
      </c>
      <c r="K312" s="36" t="s">
        <v>6025</v>
      </c>
      <c r="L312" s="36" t="s">
        <v>6026</v>
      </c>
      <c r="M312" s="36" t="s">
        <v>6027</v>
      </c>
      <c r="N312" s="36" t="s">
        <v>6028</v>
      </c>
      <c r="O312" s="36" t="s">
        <v>6029</v>
      </c>
      <c r="P312" s="36" t="s">
        <v>6016</v>
      </c>
    </row>
    <row r="313" spans="1:16">
      <c r="A313" s="132">
        <v>312</v>
      </c>
      <c r="B313" s="36" t="s">
        <v>6030</v>
      </c>
      <c r="C313" s="36" t="s">
        <v>6031</v>
      </c>
      <c r="D313" s="36" t="s">
        <v>6032</v>
      </c>
      <c r="E313" s="36" t="s">
        <v>6033</v>
      </c>
      <c r="F313" s="36" t="s">
        <v>6034</v>
      </c>
      <c r="G313" s="36" t="s">
        <v>6035</v>
      </c>
      <c r="H313" s="36" t="s">
        <v>6036</v>
      </c>
      <c r="I313" s="36" t="s">
        <v>6037</v>
      </c>
      <c r="J313" s="36" t="s">
        <v>6038</v>
      </c>
      <c r="K313" s="36" t="s">
        <v>6039</v>
      </c>
      <c r="L313" s="36" t="s">
        <v>6040</v>
      </c>
      <c r="M313" s="36" t="s">
        <v>6041</v>
      </c>
      <c r="N313" s="36" t="s">
        <v>6042</v>
      </c>
      <c r="O313" s="36" t="s">
        <v>6043</v>
      </c>
      <c r="P313" s="36" t="s">
        <v>6030</v>
      </c>
    </row>
    <row r="314" spans="1:16">
      <c r="A314" s="132">
        <v>313</v>
      </c>
      <c r="B314" s="36" t="s">
        <v>6044</v>
      </c>
      <c r="C314" s="36" t="s">
        <v>6045</v>
      </c>
      <c r="D314" s="36" t="s">
        <v>6046</v>
      </c>
      <c r="E314" s="36" t="s">
        <v>6047</v>
      </c>
      <c r="F314" s="36" t="s">
        <v>6048</v>
      </c>
      <c r="G314" s="36" t="s">
        <v>6049</v>
      </c>
      <c r="H314" s="36" t="s">
        <v>6050</v>
      </c>
      <c r="I314" s="36" t="s">
        <v>6051</v>
      </c>
      <c r="J314" s="36" t="s">
        <v>6052</v>
      </c>
      <c r="K314" s="36" t="s">
        <v>6053</v>
      </c>
      <c r="L314" s="36" t="s">
        <v>6054</v>
      </c>
      <c r="M314" s="36" t="s">
        <v>6055</v>
      </c>
      <c r="N314" s="36" t="s">
        <v>6056</v>
      </c>
      <c r="O314" s="36" t="s">
        <v>6057</v>
      </c>
      <c r="P314" s="36" t="s">
        <v>6044</v>
      </c>
    </row>
    <row r="315" spans="1:16" ht="13.95" customHeight="1">
      <c r="A315" s="132">
        <v>314</v>
      </c>
      <c r="B315" s="36" t="s">
        <v>6058</v>
      </c>
      <c r="C315" s="36" t="s">
        <v>6059</v>
      </c>
      <c r="D315" s="36" t="s">
        <v>6060</v>
      </c>
      <c r="E315" s="36" t="s">
        <v>6061</v>
      </c>
      <c r="F315" s="36" t="s">
        <v>6062</v>
      </c>
      <c r="G315" s="36" t="s">
        <v>6063</v>
      </c>
      <c r="H315" s="36" t="s">
        <v>6064</v>
      </c>
      <c r="I315" s="36" t="s">
        <v>6065</v>
      </c>
      <c r="J315" s="36" t="s">
        <v>6066</v>
      </c>
      <c r="K315" s="36" t="s">
        <v>6067</v>
      </c>
      <c r="L315" s="36" t="s">
        <v>6068</v>
      </c>
      <c r="M315" s="36" t="s">
        <v>6069</v>
      </c>
      <c r="N315" s="36" t="s">
        <v>6070</v>
      </c>
      <c r="O315" s="36" t="s">
        <v>6071</v>
      </c>
      <c r="P315" s="36" t="s">
        <v>6058</v>
      </c>
    </row>
    <row r="316" spans="1:16" ht="13.95" customHeight="1">
      <c r="A316" s="132">
        <v>315</v>
      </c>
      <c r="B316" s="36" t="s">
        <v>6072</v>
      </c>
      <c r="C316" s="36" t="s">
        <v>6073</v>
      </c>
      <c r="D316" s="36" t="s">
        <v>6074</v>
      </c>
      <c r="E316" s="36" t="s">
        <v>6075</v>
      </c>
      <c r="F316" s="36" t="s">
        <v>6076</v>
      </c>
      <c r="G316" s="36" t="s">
        <v>6077</v>
      </c>
      <c r="H316" s="36" t="s">
        <v>6078</v>
      </c>
      <c r="I316" s="36" t="s">
        <v>6079</v>
      </c>
      <c r="J316" s="36" t="s">
        <v>6080</v>
      </c>
      <c r="K316" s="36" t="s">
        <v>6081</v>
      </c>
      <c r="L316" s="36" t="s">
        <v>6082</v>
      </c>
      <c r="M316" s="36" t="s">
        <v>6083</v>
      </c>
      <c r="N316" s="36" t="s">
        <v>6084</v>
      </c>
      <c r="O316" s="36" t="s">
        <v>6085</v>
      </c>
      <c r="P316" s="36" t="s">
        <v>6072</v>
      </c>
    </row>
    <row r="317" spans="1:16">
      <c r="A317" s="132">
        <v>316</v>
      </c>
      <c r="B317" s="36" t="s">
        <v>6086</v>
      </c>
      <c r="C317" s="36" t="s">
        <v>6087</v>
      </c>
      <c r="D317" s="36" t="s">
        <v>6088</v>
      </c>
      <c r="E317" s="36" t="s">
        <v>6089</v>
      </c>
      <c r="F317" s="36" t="s">
        <v>6090</v>
      </c>
      <c r="G317" s="36" t="s">
        <v>6091</v>
      </c>
      <c r="H317" s="36" t="s">
        <v>6092</v>
      </c>
      <c r="I317" s="36" t="s">
        <v>6093</v>
      </c>
      <c r="J317" s="36" t="s">
        <v>6094</v>
      </c>
      <c r="K317" s="36" t="s">
        <v>6095</v>
      </c>
      <c r="L317" s="36" t="s">
        <v>6096</v>
      </c>
      <c r="M317" s="36" t="s">
        <v>6097</v>
      </c>
      <c r="N317" s="36" t="s">
        <v>6098</v>
      </c>
      <c r="O317" s="36" t="s">
        <v>6099</v>
      </c>
      <c r="P317" s="36" t="s">
        <v>6086</v>
      </c>
    </row>
    <row r="318" spans="1:16">
      <c r="A318" s="132">
        <v>317</v>
      </c>
      <c r="B318" s="36" t="s">
        <v>6100</v>
      </c>
      <c r="C318" s="36" t="s">
        <v>6101</v>
      </c>
      <c r="D318" s="36" t="s">
        <v>6102</v>
      </c>
      <c r="E318" s="36" t="s">
        <v>6103</v>
      </c>
      <c r="F318" s="36" t="s">
        <v>6104</v>
      </c>
      <c r="G318" s="36" t="s">
        <v>6105</v>
      </c>
      <c r="H318" s="36" t="s">
        <v>6106</v>
      </c>
      <c r="I318" s="36" t="s">
        <v>6107</v>
      </c>
      <c r="J318" s="36" t="s">
        <v>6108</v>
      </c>
      <c r="K318" s="36" t="s">
        <v>6109</v>
      </c>
      <c r="L318" s="36" t="s">
        <v>6110</v>
      </c>
      <c r="M318" s="36" t="s">
        <v>6111</v>
      </c>
      <c r="N318" s="36" t="s">
        <v>6112</v>
      </c>
      <c r="O318" s="36" t="s">
        <v>6113</v>
      </c>
      <c r="P318" s="36" t="s">
        <v>6100</v>
      </c>
    </row>
    <row r="319" spans="1:16">
      <c r="A319" s="132">
        <v>318</v>
      </c>
      <c r="B319" s="36" t="s">
        <v>6114</v>
      </c>
      <c r="C319" s="36" t="s">
        <v>6115</v>
      </c>
      <c r="D319" s="36" t="s">
        <v>6116</v>
      </c>
      <c r="E319" s="36" t="s">
        <v>6117</v>
      </c>
      <c r="F319" s="36" t="s">
        <v>6118</v>
      </c>
      <c r="G319" s="36" t="s">
        <v>6119</v>
      </c>
      <c r="H319" s="36" t="s">
        <v>6120</v>
      </c>
      <c r="I319" s="36" t="s">
        <v>6121</v>
      </c>
      <c r="J319" s="36" t="s">
        <v>6122</v>
      </c>
      <c r="K319" s="36" t="s">
        <v>6123</v>
      </c>
      <c r="L319" s="36" t="s">
        <v>6124</v>
      </c>
      <c r="M319" s="36" t="s">
        <v>6125</v>
      </c>
      <c r="N319" s="36" t="s">
        <v>6126</v>
      </c>
      <c r="O319" s="36" t="s">
        <v>6127</v>
      </c>
      <c r="P319" s="36" t="s">
        <v>6114</v>
      </c>
    </row>
    <row r="320" spans="1:16">
      <c r="A320" s="132">
        <v>319</v>
      </c>
      <c r="B320" s="36" t="s">
        <v>6128</v>
      </c>
      <c r="C320" s="36" t="s">
        <v>6129</v>
      </c>
      <c r="D320" s="36" t="s">
        <v>6130</v>
      </c>
      <c r="E320" s="36" t="s">
        <v>6131</v>
      </c>
      <c r="F320" s="36" t="s">
        <v>6132</v>
      </c>
      <c r="G320" s="36" t="s">
        <v>6133</v>
      </c>
      <c r="H320" s="36" t="s">
        <v>6134</v>
      </c>
      <c r="I320" s="36" t="s">
        <v>6135</v>
      </c>
      <c r="J320" s="36" t="s">
        <v>6136</v>
      </c>
      <c r="K320" s="36" t="s">
        <v>6137</v>
      </c>
      <c r="L320" s="36" t="s">
        <v>6138</v>
      </c>
      <c r="M320" s="36" t="s">
        <v>6139</v>
      </c>
      <c r="N320" s="36" t="s">
        <v>6140</v>
      </c>
      <c r="O320" s="36" t="s">
        <v>6141</v>
      </c>
      <c r="P320" s="36" t="s">
        <v>6128</v>
      </c>
    </row>
    <row r="321" spans="1:16">
      <c r="A321" s="132">
        <v>320</v>
      </c>
      <c r="B321" s="36" t="s">
        <v>6142</v>
      </c>
      <c r="C321" s="36" t="s">
        <v>6143</v>
      </c>
      <c r="D321" s="36" t="s">
        <v>6144</v>
      </c>
      <c r="E321" s="36" t="s">
        <v>6145</v>
      </c>
      <c r="F321" s="36" t="s">
        <v>6146</v>
      </c>
      <c r="G321" s="36" t="s">
        <v>6147</v>
      </c>
      <c r="H321" s="36" t="s">
        <v>6148</v>
      </c>
      <c r="I321" s="36" t="s">
        <v>6149</v>
      </c>
      <c r="J321" s="36" t="s">
        <v>6150</v>
      </c>
      <c r="K321" s="36" t="s">
        <v>6151</v>
      </c>
      <c r="L321" s="36" t="s">
        <v>6152</v>
      </c>
      <c r="M321" s="36" t="s">
        <v>6153</v>
      </c>
      <c r="N321" s="36" t="s">
        <v>6154</v>
      </c>
      <c r="O321" s="36" t="s">
        <v>6155</v>
      </c>
      <c r="P321" s="36" t="s">
        <v>6142</v>
      </c>
    </row>
    <row r="322" spans="1:16" ht="13.95" customHeight="1">
      <c r="A322" s="132">
        <v>321</v>
      </c>
      <c r="B322" s="36" t="s">
        <v>6156</v>
      </c>
      <c r="C322" s="36" t="s">
        <v>6143</v>
      </c>
      <c r="D322" s="36" t="s">
        <v>6157</v>
      </c>
      <c r="E322" s="36" t="s">
        <v>6145</v>
      </c>
      <c r="F322" s="36" t="s">
        <v>6146</v>
      </c>
      <c r="G322" s="36" t="s">
        <v>6147</v>
      </c>
      <c r="H322" s="36" t="s">
        <v>6148</v>
      </c>
      <c r="I322" s="36" t="s">
        <v>6158</v>
      </c>
      <c r="J322" s="36" t="s">
        <v>6159</v>
      </c>
      <c r="K322" s="36" t="s">
        <v>6160</v>
      </c>
      <c r="L322" s="36" t="s">
        <v>6151</v>
      </c>
      <c r="M322" s="36" t="s">
        <v>6161</v>
      </c>
      <c r="N322" s="36" t="s">
        <v>6162</v>
      </c>
      <c r="O322" s="36" t="s">
        <v>6163</v>
      </c>
      <c r="P322" s="36" t="s">
        <v>6156</v>
      </c>
    </row>
    <row r="323" spans="1:16">
      <c r="A323" s="132">
        <v>322</v>
      </c>
      <c r="B323" s="36" t="s">
        <v>6164</v>
      </c>
      <c r="C323" s="36" t="s">
        <v>6165</v>
      </c>
      <c r="D323" s="36" t="s">
        <v>6166</v>
      </c>
      <c r="E323" s="36" t="s">
        <v>6167</v>
      </c>
      <c r="F323" s="36" t="s">
        <v>6168</v>
      </c>
      <c r="G323" s="36" t="s">
        <v>6169</v>
      </c>
      <c r="H323" s="36" t="s">
        <v>6170</v>
      </c>
      <c r="I323" s="36" t="s">
        <v>6171</v>
      </c>
      <c r="J323" s="36" t="s">
        <v>6172</v>
      </c>
      <c r="K323" s="36" t="s">
        <v>6173</v>
      </c>
      <c r="L323" s="36" t="s">
        <v>6174</v>
      </c>
      <c r="M323" s="36" t="s">
        <v>6175</v>
      </c>
      <c r="N323" s="36" t="s">
        <v>6176</v>
      </c>
      <c r="O323" s="36" t="s">
        <v>6177</v>
      </c>
      <c r="P323" s="36" t="s">
        <v>6164</v>
      </c>
    </row>
    <row r="324" spans="1:16">
      <c r="A324" s="132">
        <v>323</v>
      </c>
      <c r="B324" s="36" t="s">
        <v>6178</v>
      </c>
      <c r="C324" s="36" t="s">
        <v>6179</v>
      </c>
      <c r="D324" s="36" t="s">
        <v>6180</v>
      </c>
      <c r="E324" s="36" t="s">
        <v>6181</v>
      </c>
      <c r="F324" s="36" t="s">
        <v>6182</v>
      </c>
      <c r="G324" s="36" t="s">
        <v>6183</v>
      </c>
      <c r="H324" s="36" t="s">
        <v>6184</v>
      </c>
      <c r="I324" s="36" t="s">
        <v>6185</v>
      </c>
      <c r="J324" s="36" t="s">
        <v>6186</v>
      </c>
      <c r="K324" s="36" t="s">
        <v>6187</v>
      </c>
      <c r="L324" s="36" t="s">
        <v>6188</v>
      </c>
      <c r="M324" s="36" t="s">
        <v>6189</v>
      </c>
      <c r="N324" s="36" t="s">
        <v>6190</v>
      </c>
      <c r="O324" s="36" t="s">
        <v>6191</v>
      </c>
      <c r="P324" s="36" t="s">
        <v>6178</v>
      </c>
    </row>
    <row r="325" spans="1:16" ht="13.95" customHeight="1">
      <c r="A325" s="132">
        <v>324</v>
      </c>
      <c r="B325" s="36" t="s">
        <v>6192</v>
      </c>
      <c r="C325" s="36" t="s">
        <v>6179</v>
      </c>
      <c r="D325" s="36" t="s">
        <v>6193</v>
      </c>
      <c r="E325" s="36" t="s">
        <v>6181</v>
      </c>
      <c r="F325" s="36" t="s">
        <v>6182</v>
      </c>
      <c r="G325" s="36" t="s">
        <v>6183</v>
      </c>
      <c r="H325" s="36" t="s">
        <v>6184</v>
      </c>
      <c r="I325" s="36" t="s">
        <v>6194</v>
      </c>
      <c r="J325" s="36" t="s">
        <v>6195</v>
      </c>
      <c r="K325" s="36" t="s">
        <v>6196</v>
      </c>
      <c r="L325" s="36" t="s">
        <v>6187</v>
      </c>
      <c r="M325" s="36" t="s">
        <v>6197</v>
      </c>
      <c r="N325" s="36" t="s">
        <v>6198</v>
      </c>
      <c r="O325" s="36" t="s">
        <v>6199</v>
      </c>
      <c r="P325" s="36" t="s">
        <v>6192</v>
      </c>
    </row>
    <row r="326" spans="1:16" s="553" customFormat="1" ht="13.95" customHeight="1">
      <c r="A326" s="132">
        <v>325</v>
      </c>
      <c r="B326" s="36" t="s">
        <v>39114</v>
      </c>
      <c r="C326" s="36" t="s">
        <v>39101</v>
      </c>
      <c r="D326" s="36" t="s">
        <v>39102</v>
      </c>
      <c r="E326" s="36" t="s">
        <v>39103</v>
      </c>
      <c r="F326" s="36" t="s">
        <v>39104</v>
      </c>
      <c r="G326" s="36" t="s">
        <v>39105</v>
      </c>
      <c r="H326" s="36" t="s">
        <v>39106</v>
      </c>
      <c r="I326" s="36" t="s">
        <v>39107</v>
      </c>
      <c r="J326" s="36" t="s">
        <v>39108</v>
      </c>
      <c r="K326" s="36" t="s">
        <v>39109</v>
      </c>
      <c r="L326" s="36" t="s">
        <v>39110</v>
      </c>
      <c r="M326" s="36" t="s">
        <v>39111</v>
      </c>
      <c r="N326" s="36" t="s">
        <v>39112</v>
      </c>
      <c r="O326" s="36" t="s">
        <v>39113</v>
      </c>
      <c r="P326" s="36" t="s">
        <v>39114</v>
      </c>
    </row>
    <row r="327" spans="1:16" ht="13.95" customHeight="1">
      <c r="A327" s="132">
        <v>326</v>
      </c>
      <c r="B327" s="36" t="s">
        <v>6200</v>
      </c>
      <c r="C327" s="36" t="s">
        <v>6201</v>
      </c>
      <c r="D327" s="36" t="s">
        <v>6202</v>
      </c>
      <c r="E327" s="36" t="s">
        <v>6203</v>
      </c>
      <c r="F327" s="36" t="s">
        <v>6204</v>
      </c>
      <c r="G327" s="36" t="s">
        <v>6205</v>
      </c>
      <c r="H327" s="36" t="s">
        <v>6206</v>
      </c>
      <c r="I327" s="36" t="s">
        <v>6207</v>
      </c>
      <c r="J327" s="36" t="s">
        <v>6208</v>
      </c>
      <c r="K327" s="36" t="s">
        <v>6209</v>
      </c>
      <c r="L327" s="36" t="s">
        <v>6210</v>
      </c>
      <c r="M327" s="36" t="s">
        <v>6211</v>
      </c>
      <c r="N327" s="36" t="s">
        <v>6212</v>
      </c>
      <c r="O327" s="36" t="s">
        <v>6213</v>
      </c>
      <c r="P327" s="36" t="s">
        <v>6200</v>
      </c>
    </row>
    <row r="328" spans="1:16" ht="13.95" customHeight="1">
      <c r="A328" s="132">
        <v>327</v>
      </c>
      <c r="B328" s="36" t="s">
        <v>6214</v>
      </c>
      <c r="C328" s="36" t="s">
        <v>6215</v>
      </c>
      <c r="D328" s="36" t="s">
        <v>6216</v>
      </c>
      <c r="E328" s="36" t="s">
        <v>6217</v>
      </c>
      <c r="F328" s="36" t="s">
        <v>6218</v>
      </c>
      <c r="G328" s="36" t="s">
        <v>6219</v>
      </c>
      <c r="H328" s="36" t="s">
        <v>6220</v>
      </c>
      <c r="I328" s="36" t="s">
        <v>6221</v>
      </c>
      <c r="J328" s="36" t="s">
        <v>6222</v>
      </c>
      <c r="K328" s="36" t="s">
        <v>6223</v>
      </c>
      <c r="L328" s="36" t="s">
        <v>6224</v>
      </c>
      <c r="M328" s="36" t="s">
        <v>6225</v>
      </c>
      <c r="N328" s="36" t="s">
        <v>6226</v>
      </c>
      <c r="O328" s="36" t="s">
        <v>6227</v>
      </c>
      <c r="P328" s="36" t="s">
        <v>6214</v>
      </c>
    </row>
    <row r="329" spans="1:16" ht="13.95" customHeight="1">
      <c r="A329" s="132">
        <v>328</v>
      </c>
      <c r="B329" s="36" t="s">
        <v>6228</v>
      </c>
      <c r="C329" s="36" t="s">
        <v>6229</v>
      </c>
      <c r="D329" s="36" t="s">
        <v>6230</v>
      </c>
      <c r="E329" s="36" t="s">
        <v>6231</v>
      </c>
      <c r="F329" s="36" t="s">
        <v>6232</v>
      </c>
      <c r="G329" s="36" t="s">
        <v>6233</v>
      </c>
      <c r="H329" s="36" t="s">
        <v>6234</v>
      </c>
      <c r="I329" s="36" t="s">
        <v>6235</v>
      </c>
      <c r="J329" s="36" t="s">
        <v>6236</v>
      </c>
      <c r="K329" s="36" t="s">
        <v>6237</v>
      </c>
      <c r="L329" s="36" t="s">
        <v>6238</v>
      </c>
      <c r="M329" s="36" t="s">
        <v>6239</v>
      </c>
      <c r="N329" s="36" t="s">
        <v>6240</v>
      </c>
      <c r="O329" s="36" t="s">
        <v>6241</v>
      </c>
      <c r="P329" s="36" t="s">
        <v>6228</v>
      </c>
    </row>
    <row r="330" spans="1:16" ht="13.95" customHeight="1">
      <c r="A330" s="132">
        <v>329</v>
      </c>
      <c r="B330" s="36" t="s">
        <v>6242</v>
      </c>
      <c r="C330" s="36" t="s">
        <v>6243</v>
      </c>
      <c r="D330" s="36" t="s">
        <v>6244</v>
      </c>
      <c r="E330" s="36" t="s">
        <v>6245</v>
      </c>
      <c r="F330" s="36" t="s">
        <v>6246</v>
      </c>
      <c r="G330" s="36" t="s">
        <v>6247</v>
      </c>
      <c r="H330" s="36" t="s">
        <v>6248</v>
      </c>
      <c r="I330" s="36" t="s">
        <v>6249</v>
      </c>
      <c r="J330" s="36" t="s">
        <v>6250</v>
      </c>
      <c r="K330" s="36" t="s">
        <v>6251</v>
      </c>
      <c r="L330" s="36" t="s">
        <v>6252</v>
      </c>
      <c r="M330" s="36" t="s">
        <v>6253</v>
      </c>
      <c r="N330" s="36" t="s">
        <v>6254</v>
      </c>
      <c r="O330" s="36" t="s">
        <v>6255</v>
      </c>
      <c r="P330" s="36" t="s">
        <v>6242</v>
      </c>
    </row>
    <row r="331" spans="1:16" ht="13.95" customHeight="1">
      <c r="A331" s="132">
        <v>330</v>
      </c>
      <c r="B331" s="36" t="s">
        <v>6256</v>
      </c>
      <c r="C331" s="36" t="s">
        <v>6257</v>
      </c>
      <c r="D331" s="36" t="s">
        <v>6258</v>
      </c>
      <c r="E331" s="36" t="s">
        <v>6259</v>
      </c>
      <c r="F331" s="36" t="s">
        <v>6260</v>
      </c>
      <c r="G331" s="36" t="s">
        <v>6261</v>
      </c>
      <c r="H331" s="36" t="s">
        <v>6262</v>
      </c>
      <c r="I331" s="36" t="s">
        <v>6263</v>
      </c>
      <c r="J331" s="36" t="s">
        <v>6264</v>
      </c>
      <c r="K331" s="36" t="s">
        <v>6265</v>
      </c>
      <c r="L331" s="36" t="s">
        <v>6266</v>
      </c>
      <c r="M331" s="36" t="s">
        <v>6267</v>
      </c>
      <c r="N331" s="36" t="s">
        <v>6268</v>
      </c>
      <c r="O331" s="36" t="s">
        <v>6269</v>
      </c>
      <c r="P331" s="36" t="s">
        <v>6256</v>
      </c>
    </row>
    <row r="332" spans="1:16" ht="13.95" customHeight="1">
      <c r="A332" s="132">
        <v>331</v>
      </c>
      <c r="B332" s="36" t="s">
        <v>6270</v>
      </c>
      <c r="C332" s="36" t="s">
        <v>6271</v>
      </c>
      <c r="D332" s="36" t="s">
        <v>6272</v>
      </c>
      <c r="E332" s="36" t="s">
        <v>6273</v>
      </c>
      <c r="F332" s="36" t="s">
        <v>6274</v>
      </c>
      <c r="G332" s="36" t="s">
        <v>6275</v>
      </c>
      <c r="H332" s="36" t="s">
        <v>6276</v>
      </c>
      <c r="I332" s="36" t="s">
        <v>6277</v>
      </c>
      <c r="J332" s="36" t="s">
        <v>6278</v>
      </c>
      <c r="K332" s="36" t="s">
        <v>6279</v>
      </c>
      <c r="L332" s="36" t="s">
        <v>6280</v>
      </c>
      <c r="M332" s="36" t="s">
        <v>6281</v>
      </c>
      <c r="N332" s="36" t="s">
        <v>6282</v>
      </c>
      <c r="O332" s="36" t="s">
        <v>6283</v>
      </c>
      <c r="P332" s="36" t="s">
        <v>6270</v>
      </c>
    </row>
    <row r="333" spans="1:16" ht="13.95" customHeight="1">
      <c r="A333" s="132">
        <v>332</v>
      </c>
      <c r="B333" s="36" t="s">
        <v>6284</v>
      </c>
      <c r="C333" s="36" t="s">
        <v>6285</v>
      </c>
      <c r="D333" s="36" t="s">
        <v>6286</v>
      </c>
      <c r="E333" s="36" t="s">
        <v>6287</v>
      </c>
      <c r="F333" s="36" t="s">
        <v>6288</v>
      </c>
      <c r="G333" s="36" t="s">
        <v>6285</v>
      </c>
      <c r="H333" s="36" t="s">
        <v>6289</v>
      </c>
      <c r="I333" s="36" t="s">
        <v>6288</v>
      </c>
      <c r="J333" s="36" t="s">
        <v>6290</v>
      </c>
      <c r="K333" s="36" t="s">
        <v>6291</v>
      </c>
      <c r="L333" s="36" t="s">
        <v>6292</v>
      </c>
      <c r="M333" s="36" t="s">
        <v>6293</v>
      </c>
      <c r="N333" s="36" t="s">
        <v>6292</v>
      </c>
      <c r="O333" s="36" t="s">
        <v>6294</v>
      </c>
      <c r="P333" s="36" t="s">
        <v>6284</v>
      </c>
    </row>
    <row r="334" spans="1:16" ht="13.95" customHeight="1">
      <c r="A334" s="132">
        <v>333</v>
      </c>
      <c r="B334" s="36" t="s">
        <v>6295</v>
      </c>
      <c r="C334" s="36" t="s">
        <v>6296</v>
      </c>
      <c r="D334" s="36" t="s">
        <v>6297</v>
      </c>
      <c r="E334" s="36" t="s">
        <v>6298</v>
      </c>
      <c r="F334" s="36" t="s">
        <v>6299</v>
      </c>
      <c r="G334" s="36" t="s">
        <v>6300</v>
      </c>
      <c r="H334" s="36" t="s">
        <v>6301</v>
      </c>
      <c r="I334" s="36" t="s">
        <v>6302</v>
      </c>
      <c r="J334" s="36" t="s">
        <v>6303</v>
      </c>
      <c r="K334" s="36" t="s">
        <v>6304</v>
      </c>
      <c r="L334" s="36" t="s">
        <v>6305</v>
      </c>
      <c r="M334" s="36" t="s">
        <v>6306</v>
      </c>
      <c r="N334" s="36" t="s">
        <v>6307</v>
      </c>
      <c r="O334" s="36" t="s">
        <v>6308</v>
      </c>
      <c r="P334" s="36" t="s">
        <v>6295</v>
      </c>
    </row>
    <row r="335" spans="1:16">
      <c r="A335" s="132">
        <v>334</v>
      </c>
      <c r="B335" s="36" t="s">
        <v>6309</v>
      </c>
      <c r="C335" s="36" t="s">
        <v>6310</v>
      </c>
      <c r="D335" s="36" t="s">
        <v>6311</v>
      </c>
      <c r="E335" s="36" t="s">
        <v>6312</v>
      </c>
      <c r="F335" s="36" t="s">
        <v>6313</v>
      </c>
      <c r="G335" s="36" t="s">
        <v>6314</v>
      </c>
      <c r="H335" s="36" t="s">
        <v>6315</v>
      </c>
      <c r="I335" s="36" t="s">
        <v>6316</v>
      </c>
      <c r="J335" s="36" t="s">
        <v>6317</v>
      </c>
      <c r="K335" s="36" t="s">
        <v>6318</v>
      </c>
      <c r="L335" s="36" t="s">
        <v>6319</v>
      </c>
      <c r="M335" s="36" t="s">
        <v>6320</v>
      </c>
      <c r="N335" s="36" t="s">
        <v>6321</v>
      </c>
      <c r="O335" s="36" t="s">
        <v>6322</v>
      </c>
      <c r="P335" s="36" t="s">
        <v>6309</v>
      </c>
    </row>
    <row r="336" spans="1:16">
      <c r="A336" s="132">
        <v>335</v>
      </c>
      <c r="B336" s="36" t="s">
        <v>6323</v>
      </c>
      <c r="C336" s="36" t="s">
        <v>6324</v>
      </c>
      <c r="D336" s="36" t="s">
        <v>6325</v>
      </c>
      <c r="E336" s="36" t="s">
        <v>6326</v>
      </c>
      <c r="F336" s="36" t="s">
        <v>6327</v>
      </c>
      <c r="G336" s="36" t="s">
        <v>6328</v>
      </c>
      <c r="H336" s="36" t="s">
        <v>6329</v>
      </c>
      <c r="I336" s="36" t="s">
        <v>6330</v>
      </c>
      <c r="J336" s="36" t="s">
        <v>6331</v>
      </c>
      <c r="K336" s="36" t="s">
        <v>6332</v>
      </c>
      <c r="L336" s="36" t="s">
        <v>6333</v>
      </c>
      <c r="M336" s="36" t="s">
        <v>6334</v>
      </c>
      <c r="N336" s="36" t="s">
        <v>6335</v>
      </c>
      <c r="O336" s="36" t="s">
        <v>6336</v>
      </c>
      <c r="P336" s="36" t="s">
        <v>6337</v>
      </c>
    </row>
    <row r="337" spans="1:16">
      <c r="A337" s="132">
        <v>336</v>
      </c>
      <c r="B337" s="36" t="s">
        <v>6338</v>
      </c>
      <c r="C337" s="36" t="s">
        <v>6339</v>
      </c>
      <c r="D337" s="36" t="s">
        <v>6340</v>
      </c>
      <c r="E337" s="36" t="s">
        <v>6341</v>
      </c>
      <c r="F337" s="36" t="s">
        <v>6342</v>
      </c>
      <c r="G337" s="36" t="s">
        <v>6343</v>
      </c>
      <c r="H337" s="36" t="s">
        <v>6344</v>
      </c>
      <c r="I337" s="36" t="s">
        <v>6345</v>
      </c>
      <c r="J337" s="36" t="s">
        <v>6346</v>
      </c>
      <c r="K337" s="36" t="s">
        <v>6332</v>
      </c>
      <c r="L337" s="36" t="s">
        <v>6347</v>
      </c>
      <c r="M337" s="36" t="s">
        <v>6348</v>
      </c>
      <c r="N337" s="36" t="s">
        <v>6349</v>
      </c>
      <c r="O337" s="36" t="s">
        <v>6350</v>
      </c>
      <c r="P337" s="36" t="s">
        <v>6351</v>
      </c>
    </row>
    <row r="338" spans="1:16">
      <c r="A338" s="132">
        <v>337</v>
      </c>
      <c r="B338" s="36" t="s">
        <v>6352</v>
      </c>
      <c r="C338" s="36" t="s">
        <v>6353</v>
      </c>
      <c r="D338" s="36" t="s">
        <v>6354</v>
      </c>
      <c r="E338" s="36" t="s">
        <v>6355</v>
      </c>
      <c r="F338" s="36" t="s">
        <v>6356</v>
      </c>
      <c r="G338" s="36" t="s">
        <v>6357</v>
      </c>
      <c r="H338" s="36" t="s">
        <v>6358</v>
      </c>
      <c r="I338" s="36" t="s">
        <v>6359</v>
      </c>
      <c r="J338" s="36" t="s">
        <v>6360</v>
      </c>
      <c r="K338" s="36" t="s">
        <v>6361</v>
      </c>
      <c r="L338" s="36" t="s">
        <v>6362</v>
      </c>
      <c r="M338" s="36" t="s">
        <v>6363</v>
      </c>
      <c r="N338" s="36" t="s">
        <v>6364</v>
      </c>
      <c r="O338" s="36" t="s">
        <v>6365</v>
      </c>
      <c r="P338" s="36" t="s">
        <v>6352</v>
      </c>
    </row>
    <row r="339" spans="1:16">
      <c r="A339" s="132">
        <v>338</v>
      </c>
      <c r="B339" s="36" t="s">
        <v>6366</v>
      </c>
      <c r="C339" s="36" t="s">
        <v>6367</v>
      </c>
      <c r="D339" s="36" t="s">
        <v>6368</v>
      </c>
      <c r="E339" s="36" t="s">
        <v>6369</v>
      </c>
      <c r="F339" s="36" t="s">
        <v>6370</v>
      </c>
      <c r="G339" s="36" t="s">
        <v>6371</v>
      </c>
      <c r="H339" s="36" t="s">
        <v>6372</v>
      </c>
      <c r="I339" s="36" t="s">
        <v>6373</v>
      </c>
      <c r="J339" s="36" t="s">
        <v>6374</v>
      </c>
      <c r="K339" s="36" t="s">
        <v>6375</v>
      </c>
      <c r="L339" s="36" t="s">
        <v>6376</v>
      </c>
      <c r="M339" s="36" t="s">
        <v>6377</v>
      </c>
      <c r="N339" s="36" t="s">
        <v>6378</v>
      </c>
      <c r="O339" s="36" t="s">
        <v>6379</v>
      </c>
      <c r="P339" s="36" t="s">
        <v>6366</v>
      </c>
    </row>
    <row r="340" spans="1:16">
      <c r="A340" s="132">
        <v>339</v>
      </c>
      <c r="B340" s="36" t="s">
        <v>6380</v>
      </c>
      <c r="C340" s="36" t="s">
        <v>6381</v>
      </c>
      <c r="D340" s="36" t="s">
        <v>6382</v>
      </c>
      <c r="E340" s="36" t="s">
        <v>6383</v>
      </c>
      <c r="F340" s="36" t="s">
        <v>6384</v>
      </c>
      <c r="G340" s="36" t="s">
        <v>6385</v>
      </c>
      <c r="H340" s="36" t="s">
        <v>6386</v>
      </c>
      <c r="I340" s="36" t="s">
        <v>6387</v>
      </c>
      <c r="J340" s="36" t="s">
        <v>6388</v>
      </c>
      <c r="K340" s="36" t="s">
        <v>6389</v>
      </c>
      <c r="L340" s="36" t="s">
        <v>6390</v>
      </c>
      <c r="M340" s="36" t="s">
        <v>6391</v>
      </c>
      <c r="N340" s="36" t="s">
        <v>6392</v>
      </c>
      <c r="O340" s="36" t="s">
        <v>6393</v>
      </c>
      <c r="P340" s="36" t="s">
        <v>6380</v>
      </c>
    </row>
    <row r="341" spans="1:16">
      <c r="A341" s="132">
        <v>340</v>
      </c>
      <c r="B341" s="36" t="s">
        <v>6394</v>
      </c>
      <c r="C341" s="36" t="s">
        <v>6395</v>
      </c>
      <c r="D341" s="36" t="s">
        <v>6396</v>
      </c>
      <c r="E341" s="36" t="s">
        <v>6397</v>
      </c>
      <c r="F341" s="36" t="s">
        <v>6398</v>
      </c>
      <c r="G341" s="36" t="s">
        <v>6399</v>
      </c>
      <c r="H341" s="36" t="s">
        <v>6400</v>
      </c>
      <c r="I341" s="36" t="s">
        <v>4240</v>
      </c>
      <c r="J341" s="36" t="s">
        <v>6401</v>
      </c>
      <c r="K341" s="36" t="s">
        <v>6402</v>
      </c>
      <c r="L341" s="36" t="s">
        <v>6403</v>
      </c>
      <c r="M341" s="36" t="s">
        <v>6404</v>
      </c>
      <c r="N341" s="36" t="s">
        <v>6405</v>
      </c>
      <c r="O341" s="36" t="s">
        <v>6406</v>
      </c>
      <c r="P341" s="36" t="s">
        <v>6394</v>
      </c>
    </row>
    <row r="342" spans="1:16">
      <c r="A342" s="132">
        <v>341</v>
      </c>
      <c r="B342" s="36" t="s">
        <v>6407</v>
      </c>
      <c r="C342" s="36" t="s">
        <v>6408</v>
      </c>
      <c r="D342" s="36" t="s">
        <v>6409</v>
      </c>
      <c r="E342" s="36" t="s">
        <v>6410</v>
      </c>
      <c r="F342" s="36" t="s">
        <v>4237</v>
      </c>
      <c r="G342" s="36" t="s">
        <v>6411</v>
      </c>
      <c r="H342" s="36" t="s">
        <v>6412</v>
      </c>
      <c r="I342" s="36" t="s">
        <v>6413</v>
      </c>
      <c r="J342" s="36" t="s">
        <v>6414</v>
      </c>
      <c r="K342" s="36" t="s">
        <v>6415</v>
      </c>
      <c r="L342" s="36" t="s">
        <v>6416</v>
      </c>
      <c r="M342" s="36" t="s">
        <v>6417</v>
      </c>
      <c r="N342" s="36" t="s">
        <v>6418</v>
      </c>
      <c r="O342" s="36" t="s">
        <v>6419</v>
      </c>
      <c r="P342" s="36" t="s">
        <v>6407</v>
      </c>
    </row>
    <row r="343" spans="1:16">
      <c r="A343" s="132">
        <v>342</v>
      </c>
      <c r="B343" s="36" t="s">
        <v>6420</v>
      </c>
      <c r="C343" s="36" t="s">
        <v>6421</v>
      </c>
      <c r="D343" s="36" t="s">
        <v>6422</v>
      </c>
      <c r="E343" s="36" t="s">
        <v>6423</v>
      </c>
      <c r="F343" s="36" t="s">
        <v>6424</v>
      </c>
      <c r="G343" s="36" t="s">
        <v>6425</v>
      </c>
      <c r="H343" s="36" t="s">
        <v>6426</v>
      </c>
      <c r="I343" s="36" t="s">
        <v>6427</v>
      </c>
      <c r="J343" s="36" t="s">
        <v>6428</v>
      </c>
      <c r="K343" s="36" t="s">
        <v>6429</v>
      </c>
      <c r="L343" s="36" t="s">
        <v>6430</v>
      </c>
      <c r="M343" s="36" t="s">
        <v>6431</v>
      </c>
      <c r="N343" s="36" t="s">
        <v>6432</v>
      </c>
      <c r="O343" s="36" t="s">
        <v>6433</v>
      </c>
      <c r="P343" s="36" t="s">
        <v>6420</v>
      </c>
    </row>
    <row r="344" spans="1:16">
      <c r="A344" s="132">
        <v>343</v>
      </c>
      <c r="B344" s="36" t="s">
        <v>6434</v>
      </c>
      <c r="C344" s="36" t="s">
        <v>6435</v>
      </c>
      <c r="D344" s="36" t="s">
        <v>6436</v>
      </c>
      <c r="E344" s="36" t="s">
        <v>6437</v>
      </c>
      <c r="F344" s="36" t="s">
        <v>6438</v>
      </c>
      <c r="G344" s="36" t="s">
        <v>6439</v>
      </c>
      <c r="H344" s="36" t="s">
        <v>6440</v>
      </c>
      <c r="I344" s="36" t="s">
        <v>6441</v>
      </c>
      <c r="J344" s="36" t="s">
        <v>6442</v>
      </c>
      <c r="K344" s="36" t="s">
        <v>6443</v>
      </c>
      <c r="L344" s="36" t="s">
        <v>6444</v>
      </c>
      <c r="M344" s="36" t="s">
        <v>6445</v>
      </c>
      <c r="N344" s="36" t="s">
        <v>6446</v>
      </c>
      <c r="O344" s="36" t="s">
        <v>6447</v>
      </c>
      <c r="P344" s="36" t="s">
        <v>6434</v>
      </c>
    </row>
    <row r="345" spans="1:16">
      <c r="A345" s="132">
        <v>344</v>
      </c>
      <c r="B345" s="36" t="s">
        <v>6448</v>
      </c>
      <c r="C345" s="36" t="s">
        <v>6449</v>
      </c>
      <c r="D345" s="36" t="s">
        <v>6450</v>
      </c>
      <c r="E345" s="36" t="s">
        <v>6451</v>
      </c>
      <c r="F345" s="36" t="s">
        <v>6452</v>
      </c>
      <c r="G345" s="36" t="s">
        <v>6453</v>
      </c>
      <c r="H345" s="36" t="s">
        <v>6454</v>
      </c>
      <c r="I345" s="36" t="s">
        <v>6455</v>
      </c>
      <c r="J345" s="36" t="s">
        <v>6456</v>
      </c>
      <c r="K345" s="36" t="s">
        <v>6457</v>
      </c>
      <c r="L345" s="36" t="s">
        <v>6458</v>
      </c>
      <c r="M345" s="36" t="s">
        <v>6459</v>
      </c>
      <c r="N345" s="36" t="s">
        <v>6460</v>
      </c>
      <c r="O345" s="36" t="s">
        <v>6461</v>
      </c>
      <c r="P345" s="36" t="s">
        <v>6448</v>
      </c>
    </row>
    <row r="346" spans="1:16">
      <c r="A346" s="132">
        <v>345</v>
      </c>
      <c r="B346" s="36" t="s">
        <v>6462</v>
      </c>
      <c r="C346" s="36" t="s">
        <v>6463</v>
      </c>
      <c r="D346" s="36" t="s">
        <v>6464</v>
      </c>
      <c r="E346" s="36" t="s">
        <v>6465</v>
      </c>
      <c r="F346" s="36" t="s">
        <v>6466</v>
      </c>
      <c r="G346" s="36" t="s">
        <v>6467</v>
      </c>
      <c r="H346" s="36" t="s">
        <v>6468</v>
      </c>
      <c r="I346" s="36" t="s">
        <v>6455</v>
      </c>
      <c r="J346" s="36" t="s">
        <v>6469</v>
      </c>
      <c r="K346" s="36" t="s">
        <v>6470</v>
      </c>
      <c r="L346" s="36" t="s">
        <v>6471</v>
      </c>
      <c r="M346" s="36" t="s">
        <v>6472</v>
      </c>
      <c r="N346" s="36" t="s">
        <v>6473</v>
      </c>
      <c r="O346" s="36" t="s">
        <v>6474</v>
      </c>
      <c r="P346" s="36" t="s">
        <v>6462</v>
      </c>
    </row>
    <row r="347" spans="1:16">
      <c r="A347" s="132">
        <v>346</v>
      </c>
      <c r="B347" s="36" t="s">
        <v>6475</v>
      </c>
      <c r="C347" s="36" t="s">
        <v>6476</v>
      </c>
      <c r="D347" s="36" t="s">
        <v>6477</v>
      </c>
      <c r="E347" s="36" t="s">
        <v>6478</v>
      </c>
      <c r="F347" s="36" t="s">
        <v>6479</v>
      </c>
      <c r="G347" s="36" t="s">
        <v>6480</v>
      </c>
      <c r="H347" s="36" t="s">
        <v>6481</v>
      </c>
      <c r="I347" s="36" t="s">
        <v>6482</v>
      </c>
      <c r="J347" s="36" t="s">
        <v>6483</v>
      </c>
      <c r="K347" s="36" t="s">
        <v>6484</v>
      </c>
      <c r="L347" s="36" t="s">
        <v>6485</v>
      </c>
      <c r="M347" s="36" t="s">
        <v>6486</v>
      </c>
      <c r="N347" s="36" t="s">
        <v>6486</v>
      </c>
      <c r="O347" s="36" t="s">
        <v>6487</v>
      </c>
      <c r="P347" s="36" t="s">
        <v>6475</v>
      </c>
    </row>
    <row r="348" spans="1:16">
      <c r="A348" s="132">
        <v>347</v>
      </c>
      <c r="B348" s="36" t="s">
        <v>6488</v>
      </c>
      <c r="C348" s="36" t="s">
        <v>6489</v>
      </c>
      <c r="D348" s="36" t="s">
        <v>6297</v>
      </c>
      <c r="E348" s="36" t="s">
        <v>6490</v>
      </c>
      <c r="F348" s="36" t="s">
        <v>6299</v>
      </c>
      <c r="G348" s="36" t="s">
        <v>6491</v>
      </c>
      <c r="H348" s="36" t="s">
        <v>6492</v>
      </c>
      <c r="I348" s="36" t="s">
        <v>6493</v>
      </c>
      <c r="J348" s="36" t="s">
        <v>6494</v>
      </c>
      <c r="K348" s="36" t="s">
        <v>6495</v>
      </c>
      <c r="L348" s="36" t="s">
        <v>6496</v>
      </c>
      <c r="M348" s="36" t="s">
        <v>6497</v>
      </c>
      <c r="N348" s="36" t="s">
        <v>6498</v>
      </c>
      <c r="O348" s="36" t="s">
        <v>6499</v>
      </c>
      <c r="P348" s="36" t="s">
        <v>6488</v>
      </c>
    </row>
    <row r="349" spans="1:16">
      <c r="A349" s="132">
        <v>348</v>
      </c>
      <c r="B349" s="36" t="s">
        <v>6500</v>
      </c>
      <c r="C349" s="36" t="s">
        <v>6501</v>
      </c>
      <c r="D349" s="36" t="s">
        <v>6502</v>
      </c>
      <c r="E349" s="36" t="s">
        <v>6503</v>
      </c>
      <c r="F349" s="36" t="s">
        <v>6504</v>
      </c>
      <c r="G349" s="36" t="s">
        <v>6505</v>
      </c>
      <c r="H349" s="36" t="s">
        <v>6506</v>
      </c>
      <c r="I349" s="36" t="s">
        <v>6507</v>
      </c>
      <c r="J349" s="36" t="s">
        <v>6508</v>
      </c>
      <c r="K349" s="36" t="s">
        <v>6509</v>
      </c>
      <c r="L349" s="36" t="s">
        <v>6510</v>
      </c>
      <c r="M349" s="36" t="s">
        <v>6511</v>
      </c>
      <c r="N349" s="36" t="s">
        <v>6512</v>
      </c>
      <c r="O349" s="36" t="s">
        <v>6513</v>
      </c>
      <c r="P349" s="36" t="s">
        <v>6500</v>
      </c>
    </row>
    <row r="350" spans="1:16">
      <c r="A350" s="132">
        <v>349</v>
      </c>
      <c r="B350" s="36" t="s">
        <v>6514</v>
      </c>
      <c r="C350" s="36" t="s">
        <v>6515</v>
      </c>
      <c r="D350" s="36" t="s">
        <v>6516</v>
      </c>
      <c r="E350" s="36" t="s">
        <v>6517</v>
      </c>
      <c r="F350" s="36" t="s">
        <v>6518</v>
      </c>
      <c r="G350" s="36" t="s">
        <v>6515</v>
      </c>
      <c r="H350" s="36" t="s">
        <v>6515</v>
      </c>
      <c r="I350" s="36" t="s">
        <v>6518</v>
      </c>
      <c r="J350" s="36" t="s">
        <v>6519</v>
      </c>
      <c r="K350" s="36" t="s">
        <v>6520</v>
      </c>
      <c r="L350" s="36" t="s">
        <v>6521</v>
      </c>
      <c r="M350" s="36" t="s">
        <v>6519</v>
      </c>
      <c r="N350" s="36" t="s">
        <v>6521</v>
      </c>
      <c r="O350" s="36" t="s">
        <v>6522</v>
      </c>
      <c r="P350" s="36" t="s">
        <v>6514</v>
      </c>
    </row>
    <row r="351" spans="1:16">
      <c r="A351" s="132">
        <v>350</v>
      </c>
      <c r="B351" s="36" t="s">
        <v>6523</v>
      </c>
      <c r="C351" s="36" t="s">
        <v>6524</v>
      </c>
      <c r="D351" s="36" t="s">
        <v>6525</v>
      </c>
      <c r="E351" s="36" t="s">
        <v>6526</v>
      </c>
      <c r="F351" s="36" t="s">
        <v>6527</v>
      </c>
      <c r="G351" s="36" t="s">
        <v>6528</v>
      </c>
      <c r="H351" s="36" t="s">
        <v>6529</v>
      </c>
      <c r="I351" s="36" t="s">
        <v>6530</v>
      </c>
      <c r="J351" s="36" t="s">
        <v>6531</v>
      </c>
      <c r="K351" s="36" t="s">
        <v>6532</v>
      </c>
      <c r="L351" s="36" t="s">
        <v>6533</v>
      </c>
      <c r="M351" s="36" t="s">
        <v>6534</v>
      </c>
      <c r="N351" s="36" t="s">
        <v>6534</v>
      </c>
      <c r="O351" s="36" t="s">
        <v>6535</v>
      </c>
      <c r="P351" s="36" t="s">
        <v>6523</v>
      </c>
    </row>
    <row r="352" spans="1:16">
      <c r="A352" s="132">
        <v>351</v>
      </c>
      <c r="B352" s="36" t="s">
        <v>6536</v>
      </c>
      <c r="C352" s="36" t="s">
        <v>6537</v>
      </c>
      <c r="D352" s="36" t="s">
        <v>6538</v>
      </c>
      <c r="E352" s="36" t="s">
        <v>6539</v>
      </c>
      <c r="F352" s="36" t="s">
        <v>6540</v>
      </c>
      <c r="G352" s="36" t="s">
        <v>6541</v>
      </c>
      <c r="H352" s="36" t="s">
        <v>6542</v>
      </c>
      <c r="I352" s="36" t="s">
        <v>6543</v>
      </c>
      <c r="J352" s="36" t="s">
        <v>6544</v>
      </c>
      <c r="K352" s="36" t="s">
        <v>6545</v>
      </c>
      <c r="L352" s="36" t="s">
        <v>6546</v>
      </c>
      <c r="M352" s="36" t="s">
        <v>6547</v>
      </c>
      <c r="N352" s="36" t="s">
        <v>6548</v>
      </c>
      <c r="O352" s="36" t="s">
        <v>6549</v>
      </c>
      <c r="P352" s="36" t="s">
        <v>6536</v>
      </c>
    </row>
    <row r="353" spans="1:16">
      <c r="A353" s="132">
        <v>352</v>
      </c>
      <c r="B353" s="36" t="s">
        <v>6550</v>
      </c>
      <c r="C353" s="36" t="s">
        <v>6551</v>
      </c>
      <c r="D353" s="36" t="s">
        <v>6552</v>
      </c>
      <c r="E353" s="36" t="s">
        <v>6553</v>
      </c>
      <c r="F353" s="36" t="s">
        <v>6554</v>
      </c>
      <c r="G353" s="36" t="s">
        <v>6555</v>
      </c>
      <c r="H353" s="36" t="s">
        <v>6556</v>
      </c>
      <c r="I353" s="36" t="s">
        <v>6557</v>
      </c>
      <c r="J353" s="36" t="s">
        <v>6558</v>
      </c>
      <c r="K353" s="36" t="s">
        <v>6559</v>
      </c>
      <c r="L353" s="36" t="s">
        <v>6560</v>
      </c>
      <c r="M353" s="36" t="s">
        <v>6561</v>
      </c>
      <c r="N353" s="36" t="s">
        <v>6562</v>
      </c>
      <c r="O353" s="36" t="s">
        <v>6563</v>
      </c>
      <c r="P353" s="36" t="s">
        <v>6550</v>
      </c>
    </row>
    <row r="354" spans="1:16">
      <c r="A354" s="132">
        <v>353</v>
      </c>
      <c r="B354" s="36" t="s">
        <v>6564</v>
      </c>
      <c r="C354" s="36" t="s">
        <v>6565</v>
      </c>
      <c r="D354" s="36" t="s">
        <v>6566</v>
      </c>
      <c r="E354" s="36" t="s">
        <v>6567</v>
      </c>
      <c r="F354" s="36" t="s">
        <v>6568</v>
      </c>
      <c r="G354" s="36" t="s">
        <v>6569</v>
      </c>
      <c r="H354" s="36" t="s">
        <v>6570</v>
      </c>
      <c r="I354" s="36" t="s">
        <v>6571</v>
      </c>
      <c r="J354" s="36" t="s">
        <v>6572</v>
      </c>
      <c r="K354" s="36" t="s">
        <v>6573</v>
      </c>
      <c r="L354" s="36" t="s">
        <v>6574</v>
      </c>
      <c r="M354" s="36" t="s">
        <v>6575</v>
      </c>
      <c r="N354" s="36" t="s">
        <v>6576</v>
      </c>
      <c r="O354" s="36" t="s">
        <v>6577</v>
      </c>
      <c r="P354" s="36" t="s">
        <v>6564</v>
      </c>
    </row>
    <row r="355" spans="1:16">
      <c r="A355" s="132">
        <v>354</v>
      </c>
      <c r="B355" s="36" t="s">
        <v>6578</v>
      </c>
      <c r="C355" s="36" t="s">
        <v>6579</v>
      </c>
      <c r="D355" s="36" t="s">
        <v>6580</v>
      </c>
      <c r="E355" s="36" t="s">
        <v>6581</v>
      </c>
      <c r="F355" s="36" t="s">
        <v>6582</v>
      </c>
      <c r="G355" s="36" t="s">
        <v>6583</v>
      </c>
      <c r="H355" s="36" t="s">
        <v>6584</v>
      </c>
      <c r="I355" s="36" t="s">
        <v>6585</v>
      </c>
      <c r="J355" s="36" t="s">
        <v>6586</v>
      </c>
      <c r="K355" s="36" t="s">
        <v>6587</v>
      </c>
      <c r="L355" s="36" t="s">
        <v>6588</v>
      </c>
      <c r="M355" s="36" t="s">
        <v>6589</v>
      </c>
      <c r="N355" s="36" t="s">
        <v>6590</v>
      </c>
      <c r="O355" s="36" t="s">
        <v>6591</v>
      </c>
      <c r="P355" s="36" t="s">
        <v>6578</v>
      </c>
    </row>
    <row r="356" spans="1:16">
      <c r="A356" s="132">
        <v>355</v>
      </c>
      <c r="B356" s="36" t="s">
        <v>6592</v>
      </c>
      <c r="C356" s="36" t="s">
        <v>6593</v>
      </c>
      <c r="D356" s="36" t="s">
        <v>6594</v>
      </c>
      <c r="E356" s="36" t="s">
        <v>6595</v>
      </c>
      <c r="F356" s="36" t="s">
        <v>6527</v>
      </c>
      <c r="G356" s="36" t="s">
        <v>6596</v>
      </c>
      <c r="H356" s="36" t="s">
        <v>6597</v>
      </c>
      <c r="I356" s="36" t="s">
        <v>6598</v>
      </c>
      <c r="J356" s="36" t="s">
        <v>6599</v>
      </c>
      <c r="K356" s="36" t="s">
        <v>6600</v>
      </c>
      <c r="L356" s="36" t="s">
        <v>6601</v>
      </c>
      <c r="M356" s="36" t="s">
        <v>6602</v>
      </c>
      <c r="N356" s="36" t="s">
        <v>6603</v>
      </c>
      <c r="O356" s="36" t="s">
        <v>6604</v>
      </c>
      <c r="P356" s="36" t="s">
        <v>6592</v>
      </c>
    </row>
    <row r="357" spans="1:16">
      <c r="A357" s="132">
        <v>356</v>
      </c>
      <c r="B357" s="36" t="s">
        <v>6605</v>
      </c>
      <c r="C357" s="36" t="s">
        <v>6606</v>
      </c>
      <c r="D357" s="36" t="s">
        <v>6607</v>
      </c>
      <c r="E357" s="36" t="s">
        <v>6608</v>
      </c>
      <c r="F357" s="36" t="s">
        <v>6609</v>
      </c>
      <c r="G357" s="36" t="s">
        <v>6610</v>
      </c>
      <c r="H357" s="36" t="s">
        <v>6611</v>
      </c>
      <c r="I357" s="36" t="s">
        <v>6612</v>
      </c>
      <c r="J357" s="36" t="s">
        <v>6613</v>
      </c>
      <c r="K357" s="36" t="s">
        <v>6614</v>
      </c>
      <c r="L357" s="36" t="s">
        <v>6615</v>
      </c>
      <c r="M357" s="36" t="s">
        <v>6616</v>
      </c>
      <c r="N357" s="36" t="s">
        <v>6617</v>
      </c>
      <c r="O357" s="36" t="s">
        <v>6618</v>
      </c>
      <c r="P357" s="36" t="s">
        <v>6605</v>
      </c>
    </row>
    <row r="358" spans="1:16">
      <c r="A358" s="132">
        <v>357</v>
      </c>
      <c r="B358" s="36" t="s">
        <v>6619</v>
      </c>
      <c r="C358" s="36" t="s">
        <v>6620</v>
      </c>
      <c r="D358" s="36" t="s">
        <v>6621</v>
      </c>
      <c r="E358" s="36" t="s">
        <v>6622</v>
      </c>
      <c r="F358" s="36" t="s">
        <v>6623</v>
      </c>
      <c r="G358" s="36" t="s">
        <v>6624</v>
      </c>
      <c r="H358" s="36" t="s">
        <v>6625</v>
      </c>
      <c r="I358" s="36" t="s">
        <v>6626</v>
      </c>
      <c r="J358" s="36" t="s">
        <v>6627</v>
      </c>
      <c r="K358" s="36" t="s">
        <v>6628</v>
      </c>
      <c r="L358" s="36" t="s">
        <v>6629</v>
      </c>
      <c r="M358" s="36" t="s">
        <v>6630</v>
      </c>
      <c r="N358" s="36" t="s">
        <v>6631</v>
      </c>
      <c r="O358" s="36" t="s">
        <v>6632</v>
      </c>
      <c r="P358" s="36" t="s">
        <v>6619</v>
      </c>
    </row>
    <row r="359" spans="1:16">
      <c r="A359" s="132">
        <v>358</v>
      </c>
      <c r="B359" s="36" t="s">
        <v>6633</v>
      </c>
      <c r="C359" s="36" t="s">
        <v>6634</v>
      </c>
      <c r="D359" s="36" t="s">
        <v>6634</v>
      </c>
      <c r="E359" s="36" t="s">
        <v>6635</v>
      </c>
      <c r="F359" s="36" t="s">
        <v>3852</v>
      </c>
      <c r="G359" s="36" t="s">
        <v>6636</v>
      </c>
      <c r="H359" s="36" t="s">
        <v>6637</v>
      </c>
      <c r="I359" s="36" t="s">
        <v>6638</v>
      </c>
      <c r="J359" s="36" t="s">
        <v>6639</v>
      </c>
      <c r="K359" s="36" t="s">
        <v>6640</v>
      </c>
      <c r="L359" s="36" t="s">
        <v>6634</v>
      </c>
      <c r="M359" s="36" t="s">
        <v>6641</v>
      </c>
      <c r="N359" s="36" t="s">
        <v>6642</v>
      </c>
      <c r="O359" s="36" t="s">
        <v>6643</v>
      </c>
      <c r="P359" s="36" t="s">
        <v>6633</v>
      </c>
    </row>
    <row r="360" spans="1:16">
      <c r="A360" s="132">
        <v>359</v>
      </c>
      <c r="B360" s="36" t="s">
        <v>6644</v>
      </c>
      <c r="C360" s="36" t="s">
        <v>6645</v>
      </c>
      <c r="D360" s="36" t="s">
        <v>6646</v>
      </c>
      <c r="E360" s="36" t="s">
        <v>6647</v>
      </c>
      <c r="F360" s="36" t="s">
        <v>6648</v>
      </c>
      <c r="G360" s="36" t="s">
        <v>6649</v>
      </c>
      <c r="H360" s="36" t="s">
        <v>6650</v>
      </c>
      <c r="I360" s="36" t="s">
        <v>6651</v>
      </c>
      <c r="J360" s="36" t="s">
        <v>6652</v>
      </c>
      <c r="K360" s="36" t="s">
        <v>6653</v>
      </c>
      <c r="L360" s="36" t="s">
        <v>6654</v>
      </c>
      <c r="M360" s="36" t="s">
        <v>6655</v>
      </c>
      <c r="N360" s="36" t="s">
        <v>6656</v>
      </c>
      <c r="O360" s="36" t="s">
        <v>6657</v>
      </c>
      <c r="P360" s="36" t="s">
        <v>6644</v>
      </c>
    </row>
    <row r="361" spans="1:16">
      <c r="A361" s="132">
        <v>360</v>
      </c>
      <c r="B361" s="36" t="s">
        <v>6658</v>
      </c>
      <c r="C361" s="36" t="s">
        <v>6659</v>
      </c>
      <c r="D361" s="36" t="s">
        <v>6660</v>
      </c>
      <c r="E361" s="36" t="s">
        <v>6661</v>
      </c>
      <c r="F361" s="36" t="s">
        <v>6662</v>
      </c>
      <c r="G361" s="36" t="s">
        <v>6663</v>
      </c>
      <c r="H361" s="36" t="s">
        <v>6664</v>
      </c>
      <c r="I361" s="36" t="s">
        <v>6665</v>
      </c>
      <c r="J361" s="36" t="s">
        <v>6666</v>
      </c>
      <c r="K361" s="36" t="s">
        <v>6667</v>
      </c>
      <c r="L361" s="36" t="s">
        <v>6668</v>
      </c>
      <c r="M361" s="36" t="s">
        <v>6669</v>
      </c>
      <c r="N361" s="36" t="s">
        <v>6670</v>
      </c>
      <c r="O361" s="36" t="s">
        <v>6671</v>
      </c>
      <c r="P361" s="36" t="s">
        <v>6658</v>
      </c>
    </row>
    <row r="362" spans="1:16">
      <c r="A362" s="132">
        <v>361</v>
      </c>
      <c r="B362" s="36" t="s">
        <v>6672</v>
      </c>
      <c r="C362" s="36" t="s">
        <v>6673</v>
      </c>
      <c r="D362" s="36" t="s">
        <v>6674</v>
      </c>
      <c r="E362" s="36" t="s">
        <v>6675</v>
      </c>
      <c r="F362" s="36" t="s">
        <v>6676</v>
      </c>
      <c r="G362" s="36" t="s">
        <v>6677</v>
      </c>
      <c r="H362" s="36" t="s">
        <v>6678</v>
      </c>
      <c r="I362" s="36" t="s">
        <v>6679</v>
      </c>
      <c r="J362" s="36" t="s">
        <v>6680</v>
      </c>
      <c r="K362" s="36" t="s">
        <v>6681</v>
      </c>
      <c r="L362" s="36" t="s">
        <v>6682</v>
      </c>
      <c r="M362" s="36" t="s">
        <v>6683</v>
      </c>
      <c r="N362" s="36" t="s">
        <v>6684</v>
      </c>
      <c r="O362" s="36" t="s">
        <v>6685</v>
      </c>
      <c r="P362" s="36" t="s">
        <v>6672</v>
      </c>
    </row>
    <row r="363" spans="1:16">
      <c r="A363" s="132">
        <v>362</v>
      </c>
      <c r="B363" s="36" t="s">
        <v>6686</v>
      </c>
      <c r="C363" s="36" t="s">
        <v>6687</v>
      </c>
      <c r="D363" s="36" t="s">
        <v>6688</v>
      </c>
      <c r="E363" s="36" t="s">
        <v>6689</v>
      </c>
      <c r="F363" s="36" t="s">
        <v>6690</v>
      </c>
      <c r="G363" s="36" t="s">
        <v>6691</v>
      </c>
      <c r="H363" s="36" t="s">
        <v>6692</v>
      </c>
      <c r="I363" s="36" t="s">
        <v>6693</v>
      </c>
      <c r="J363" s="36" t="s">
        <v>6694</v>
      </c>
      <c r="K363" s="36" t="s">
        <v>6695</v>
      </c>
      <c r="L363" s="36" t="s">
        <v>6696</v>
      </c>
      <c r="M363" s="36" t="s">
        <v>6697</v>
      </c>
      <c r="N363" s="36" t="s">
        <v>6698</v>
      </c>
      <c r="O363" s="36" t="s">
        <v>6699</v>
      </c>
      <c r="P363" s="36" t="s">
        <v>6686</v>
      </c>
    </row>
    <row r="364" spans="1:16">
      <c r="A364" s="132">
        <v>363</v>
      </c>
      <c r="B364" s="36" t="s">
        <v>6700</v>
      </c>
      <c r="C364" s="36" t="s">
        <v>6701</v>
      </c>
      <c r="D364" s="36" t="s">
        <v>6702</v>
      </c>
      <c r="E364" s="36" t="s">
        <v>6703</v>
      </c>
      <c r="F364" s="36" t="s">
        <v>6704</v>
      </c>
      <c r="G364" s="36" t="s">
        <v>6705</v>
      </c>
      <c r="H364" s="36" t="s">
        <v>6706</v>
      </c>
      <c r="I364" s="36" t="s">
        <v>6707</v>
      </c>
      <c r="J364" s="36" t="s">
        <v>6708</v>
      </c>
      <c r="K364" s="36" t="s">
        <v>6709</v>
      </c>
      <c r="L364" s="36" t="s">
        <v>6710</v>
      </c>
      <c r="M364" s="36" t="s">
        <v>6711</v>
      </c>
      <c r="N364" s="36" t="s">
        <v>6712</v>
      </c>
      <c r="O364" s="36" t="s">
        <v>6713</v>
      </c>
      <c r="P364" s="36" t="s">
        <v>6700</v>
      </c>
    </row>
    <row r="365" spans="1:16">
      <c r="A365" s="132">
        <v>364</v>
      </c>
      <c r="B365" s="36" t="s">
        <v>6714</v>
      </c>
      <c r="C365" s="36" t="s">
        <v>6715</v>
      </c>
      <c r="D365" s="36" t="s">
        <v>6716</v>
      </c>
      <c r="E365" s="36" t="s">
        <v>6717</v>
      </c>
      <c r="F365" s="36" t="s">
        <v>6718</v>
      </c>
      <c r="G365" s="36" t="s">
        <v>6719</v>
      </c>
      <c r="H365" s="36" t="s">
        <v>6720</v>
      </c>
      <c r="I365" s="36" t="s">
        <v>6721</v>
      </c>
      <c r="J365" s="36" t="s">
        <v>6722</v>
      </c>
      <c r="K365" s="36" t="s">
        <v>6723</v>
      </c>
      <c r="L365" s="36" t="s">
        <v>6724</v>
      </c>
      <c r="M365" s="36" t="s">
        <v>6725</v>
      </c>
      <c r="N365" s="36" t="s">
        <v>6726</v>
      </c>
      <c r="O365" s="36" t="s">
        <v>6727</v>
      </c>
      <c r="P365" s="36" t="s">
        <v>6714</v>
      </c>
    </row>
    <row r="366" spans="1:16">
      <c r="A366" s="132">
        <v>365</v>
      </c>
      <c r="B366" s="36" t="s">
        <v>6728</v>
      </c>
      <c r="C366" s="36" t="s">
        <v>6729</v>
      </c>
      <c r="D366" s="36" t="s">
        <v>6730</v>
      </c>
      <c r="E366" s="36" t="s">
        <v>6731</v>
      </c>
      <c r="F366" s="36" t="s">
        <v>6732</v>
      </c>
      <c r="G366" s="36" t="s">
        <v>6733</v>
      </c>
      <c r="H366" s="36" t="s">
        <v>6734</v>
      </c>
      <c r="I366" s="36" t="s">
        <v>6735</v>
      </c>
      <c r="J366" s="36" t="s">
        <v>6736</v>
      </c>
      <c r="K366" s="36" t="s">
        <v>6737</v>
      </c>
      <c r="L366" s="36" t="s">
        <v>6738</v>
      </c>
      <c r="M366" s="36" t="s">
        <v>6739</v>
      </c>
      <c r="N366" s="36" t="s">
        <v>6740</v>
      </c>
      <c r="O366" s="36" t="s">
        <v>6741</v>
      </c>
      <c r="P366" s="36" t="s">
        <v>6728</v>
      </c>
    </row>
    <row r="367" spans="1:16">
      <c r="A367" s="132">
        <v>366</v>
      </c>
      <c r="B367" s="36" t="s">
        <v>6742</v>
      </c>
      <c r="C367" s="36" t="s">
        <v>6743</v>
      </c>
      <c r="D367" s="36" t="s">
        <v>6744</v>
      </c>
      <c r="E367" s="36" t="s">
        <v>6745</v>
      </c>
      <c r="F367" s="36" t="s">
        <v>6746</v>
      </c>
      <c r="G367" s="36" t="s">
        <v>6747</v>
      </c>
      <c r="H367" s="36" t="s">
        <v>6748</v>
      </c>
      <c r="I367" s="36" t="s">
        <v>6749</v>
      </c>
      <c r="J367" s="36" t="s">
        <v>6750</v>
      </c>
      <c r="K367" s="36" t="s">
        <v>6751</v>
      </c>
      <c r="L367" s="36" t="s">
        <v>6752</v>
      </c>
      <c r="M367" s="36" t="s">
        <v>6753</v>
      </c>
      <c r="N367" s="36" t="s">
        <v>6754</v>
      </c>
      <c r="O367" s="36" t="s">
        <v>6755</v>
      </c>
      <c r="P367" s="36" t="s">
        <v>6742</v>
      </c>
    </row>
    <row r="368" spans="1:16">
      <c r="A368" s="132">
        <v>367</v>
      </c>
      <c r="B368" s="36" t="s">
        <v>6756</v>
      </c>
      <c r="C368" s="36" t="s">
        <v>6757</v>
      </c>
      <c r="D368" s="36" t="s">
        <v>6758</v>
      </c>
      <c r="E368" s="36" t="s">
        <v>6759</v>
      </c>
      <c r="F368" s="36" t="s">
        <v>6760</v>
      </c>
      <c r="G368" s="36" t="s">
        <v>6761</v>
      </c>
      <c r="H368" s="36" t="s">
        <v>6762</v>
      </c>
      <c r="I368" s="36" t="s">
        <v>6763</v>
      </c>
      <c r="J368" s="36" t="s">
        <v>6764</v>
      </c>
      <c r="K368" s="36" t="s">
        <v>6765</v>
      </c>
      <c r="L368" s="36" t="s">
        <v>6766</v>
      </c>
      <c r="M368" s="36" t="s">
        <v>6767</v>
      </c>
      <c r="N368" s="36" t="s">
        <v>6768</v>
      </c>
      <c r="O368" s="36" t="s">
        <v>6769</v>
      </c>
      <c r="P368" s="36" t="s">
        <v>6756</v>
      </c>
    </row>
    <row r="369" spans="1:16">
      <c r="A369" s="132">
        <v>368</v>
      </c>
      <c r="B369" s="36" t="s">
        <v>6770</v>
      </c>
      <c r="C369" s="36" t="s">
        <v>6771</v>
      </c>
      <c r="D369" s="36" t="s">
        <v>6772</v>
      </c>
      <c r="E369" s="36" t="s">
        <v>6773</v>
      </c>
      <c r="F369" s="36" t="s">
        <v>6774</v>
      </c>
      <c r="G369" s="36" t="s">
        <v>6775</v>
      </c>
      <c r="H369" s="36" t="s">
        <v>6776</v>
      </c>
      <c r="I369" s="36" t="s">
        <v>6777</v>
      </c>
      <c r="J369" s="36" t="s">
        <v>6778</v>
      </c>
      <c r="K369" s="36" t="s">
        <v>6779</v>
      </c>
      <c r="L369" s="36" t="s">
        <v>6780</v>
      </c>
      <c r="M369" s="36" t="s">
        <v>6781</v>
      </c>
      <c r="N369" s="36" t="s">
        <v>6782</v>
      </c>
      <c r="O369" s="36" t="s">
        <v>6783</v>
      </c>
      <c r="P369" s="36" t="s">
        <v>6770</v>
      </c>
    </row>
    <row r="370" spans="1:16">
      <c r="A370" s="132">
        <v>369</v>
      </c>
      <c r="B370" s="36" t="s">
        <v>6784</v>
      </c>
      <c r="C370" s="36" t="s">
        <v>6785</v>
      </c>
      <c r="D370" s="36" t="s">
        <v>6786</v>
      </c>
      <c r="E370" s="36" t="s">
        <v>6787</v>
      </c>
      <c r="F370" s="36" t="s">
        <v>6788</v>
      </c>
      <c r="G370" s="36" t="s">
        <v>6789</v>
      </c>
      <c r="H370" s="36" t="s">
        <v>6790</v>
      </c>
      <c r="I370" s="36" t="s">
        <v>6791</v>
      </c>
      <c r="J370" s="36" t="s">
        <v>6792</v>
      </c>
      <c r="K370" s="36" t="s">
        <v>6793</v>
      </c>
      <c r="L370" s="36" t="s">
        <v>6794</v>
      </c>
      <c r="M370" s="36" t="s">
        <v>6795</v>
      </c>
      <c r="N370" s="36" t="s">
        <v>6795</v>
      </c>
      <c r="O370" s="36" t="s">
        <v>6796</v>
      </c>
      <c r="P370" s="36" t="s">
        <v>6784</v>
      </c>
    </row>
    <row r="371" spans="1:16">
      <c r="A371" s="132">
        <v>370</v>
      </c>
      <c r="B371" s="36" t="s">
        <v>6797</v>
      </c>
      <c r="C371" s="36" t="s">
        <v>6798</v>
      </c>
      <c r="D371" s="36" t="s">
        <v>6799</v>
      </c>
      <c r="E371" s="36" t="s">
        <v>6800</v>
      </c>
      <c r="F371" s="36" t="s">
        <v>6801</v>
      </c>
      <c r="G371" s="36" t="s">
        <v>6802</v>
      </c>
      <c r="H371" s="36" t="s">
        <v>6803</v>
      </c>
      <c r="I371" s="36" t="s">
        <v>6804</v>
      </c>
      <c r="J371" s="36" t="s">
        <v>6805</v>
      </c>
      <c r="K371" s="36" t="s">
        <v>6806</v>
      </c>
      <c r="L371" s="36" t="s">
        <v>6807</v>
      </c>
      <c r="M371" s="36" t="s">
        <v>6808</v>
      </c>
      <c r="N371" s="36" t="s">
        <v>6808</v>
      </c>
      <c r="O371" s="36" t="s">
        <v>6809</v>
      </c>
      <c r="P371" s="36" t="s">
        <v>6797</v>
      </c>
    </row>
    <row r="372" spans="1:16">
      <c r="A372" s="132">
        <v>371</v>
      </c>
      <c r="B372" s="36" t="s">
        <v>6810</v>
      </c>
      <c r="C372" s="36" t="s">
        <v>6811</v>
      </c>
      <c r="D372" s="36" t="s">
        <v>6812</v>
      </c>
      <c r="E372" s="36" t="s">
        <v>6813</v>
      </c>
      <c r="F372" s="36" t="s">
        <v>6814</v>
      </c>
      <c r="G372" s="36" t="s">
        <v>6815</v>
      </c>
      <c r="H372" s="36" t="s">
        <v>6816</v>
      </c>
      <c r="I372" s="36" t="s">
        <v>6817</v>
      </c>
      <c r="J372" s="36" t="s">
        <v>6818</v>
      </c>
      <c r="K372" s="36" t="s">
        <v>6819</v>
      </c>
      <c r="L372" s="36" t="s">
        <v>6820</v>
      </c>
      <c r="M372" s="36" t="s">
        <v>6821</v>
      </c>
      <c r="N372" s="36" t="s">
        <v>6822</v>
      </c>
      <c r="O372" s="36" t="s">
        <v>6823</v>
      </c>
      <c r="P372" s="36" t="s">
        <v>6810</v>
      </c>
    </row>
    <row r="373" spans="1:16">
      <c r="A373" s="132">
        <v>372</v>
      </c>
      <c r="B373" s="36" t="s">
        <v>6824</v>
      </c>
      <c r="C373" s="36" t="s">
        <v>6825</v>
      </c>
      <c r="D373" s="36" t="s">
        <v>6826</v>
      </c>
      <c r="E373" s="36" t="s">
        <v>6827</v>
      </c>
      <c r="F373" s="36" t="s">
        <v>6828</v>
      </c>
      <c r="G373" s="36" t="s">
        <v>6829</v>
      </c>
      <c r="H373" s="36" t="s">
        <v>6830</v>
      </c>
      <c r="I373" s="36" t="s">
        <v>6831</v>
      </c>
      <c r="J373" s="36" t="s">
        <v>6832</v>
      </c>
      <c r="K373" s="36" t="s">
        <v>6833</v>
      </c>
      <c r="L373" s="36" t="s">
        <v>6834</v>
      </c>
      <c r="M373" s="36" t="s">
        <v>6835</v>
      </c>
      <c r="N373" s="36" t="s">
        <v>6836</v>
      </c>
      <c r="O373" s="36" t="s">
        <v>6837</v>
      </c>
      <c r="P373" s="36" t="s">
        <v>6824</v>
      </c>
    </row>
    <row r="374" spans="1:16">
      <c r="A374" s="132">
        <v>373</v>
      </c>
      <c r="B374" s="36" t="s">
        <v>6838</v>
      </c>
      <c r="C374" s="36" t="s">
        <v>6839</v>
      </c>
      <c r="D374" s="36" t="s">
        <v>6840</v>
      </c>
      <c r="E374" s="36" t="s">
        <v>6841</v>
      </c>
      <c r="F374" s="36" t="s">
        <v>6842</v>
      </c>
      <c r="G374" s="36" t="s">
        <v>6843</v>
      </c>
      <c r="H374" s="36" t="s">
        <v>6844</v>
      </c>
      <c r="I374" s="36" t="s">
        <v>6845</v>
      </c>
      <c r="J374" s="36" t="s">
        <v>6846</v>
      </c>
      <c r="K374" s="36" t="s">
        <v>6847</v>
      </c>
      <c r="L374" s="36" t="s">
        <v>6848</v>
      </c>
      <c r="M374" s="36" t="s">
        <v>6849</v>
      </c>
      <c r="N374" s="36" t="s">
        <v>6850</v>
      </c>
      <c r="O374" s="36" t="s">
        <v>6851</v>
      </c>
      <c r="P374" s="36" t="s">
        <v>6838</v>
      </c>
    </row>
    <row r="375" spans="1:16">
      <c r="A375" s="132">
        <v>374</v>
      </c>
      <c r="B375" s="36" t="s">
        <v>6852</v>
      </c>
      <c r="C375" s="36" t="s">
        <v>6853</v>
      </c>
      <c r="D375" s="36" t="s">
        <v>6854</v>
      </c>
      <c r="E375" s="36" t="s">
        <v>6855</v>
      </c>
      <c r="F375" s="36" t="s">
        <v>6856</v>
      </c>
      <c r="G375" s="36" t="s">
        <v>6857</v>
      </c>
      <c r="H375" s="36" t="s">
        <v>6858</v>
      </c>
      <c r="I375" s="36" t="s">
        <v>6859</v>
      </c>
      <c r="J375" s="36" t="s">
        <v>6852</v>
      </c>
      <c r="K375" s="36" t="s">
        <v>6860</v>
      </c>
      <c r="L375" s="36" t="s">
        <v>6861</v>
      </c>
      <c r="M375" s="36" t="s">
        <v>6862</v>
      </c>
      <c r="N375" s="36" t="s">
        <v>6863</v>
      </c>
      <c r="O375" s="36" t="s">
        <v>6864</v>
      </c>
      <c r="P375" s="36" t="s">
        <v>6852</v>
      </c>
    </row>
    <row r="376" spans="1:16">
      <c r="A376" s="132">
        <v>375</v>
      </c>
      <c r="B376" s="36" t="s">
        <v>6865</v>
      </c>
      <c r="C376" s="36" t="s">
        <v>6866</v>
      </c>
      <c r="D376" s="36" t="s">
        <v>6867</v>
      </c>
      <c r="E376" s="36" t="s">
        <v>6868</v>
      </c>
      <c r="F376" s="36" t="s">
        <v>6869</v>
      </c>
      <c r="G376" s="36" t="s">
        <v>6870</v>
      </c>
      <c r="H376" s="36" t="s">
        <v>6871</v>
      </c>
      <c r="I376" s="36" t="s">
        <v>6872</v>
      </c>
      <c r="J376" s="36" t="s">
        <v>6873</v>
      </c>
      <c r="K376" s="36" t="s">
        <v>6874</v>
      </c>
      <c r="L376" s="36" t="s">
        <v>6875</v>
      </c>
      <c r="M376" s="36" t="s">
        <v>6876</v>
      </c>
      <c r="N376" s="36" t="s">
        <v>6877</v>
      </c>
      <c r="O376" s="36" t="s">
        <v>6878</v>
      </c>
      <c r="P376" s="36" t="s">
        <v>6865</v>
      </c>
    </row>
    <row r="377" spans="1:16">
      <c r="A377" s="132">
        <v>376</v>
      </c>
      <c r="B377" s="36" t="s">
        <v>6879</v>
      </c>
      <c r="C377" s="36" t="s">
        <v>6880</v>
      </c>
      <c r="D377" s="36" t="s">
        <v>6881</v>
      </c>
      <c r="E377" s="36" t="s">
        <v>6882</v>
      </c>
      <c r="F377" s="36" t="s">
        <v>6883</v>
      </c>
      <c r="G377" s="36" t="s">
        <v>6884</v>
      </c>
      <c r="H377" s="36" t="s">
        <v>6885</v>
      </c>
      <c r="I377" s="36" t="s">
        <v>6886</v>
      </c>
      <c r="J377" s="36" t="s">
        <v>6887</v>
      </c>
      <c r="K377" s="36" t="s">
        <v>6888</v>
      </c>
      <c r="L377" s="36" t="s">
        <v>6889</v>
      </c>
      <c r="M377" s="36" t="s">
        <v>6890</v>
      </c>
      <c r="N377" s="36" t="s">
        <v>6891</v>
      </c>
      <c r="O377" s="36" t="s">
        <v>6892</v>
      </c>
      <c r="P377" s="36" t="s">
        <v>6879</v>
      </c>
    </row>
    <row r="378" spans="1:16">
      <c r="A378" s="132">
        <v>377</v>
      </c>
      <c r="B378" s="36" t="s">
        <v>6893</v>
      </c>
      <c r="C378" s="36" t="s">
        <v>6894</v>
      </c>
      <c r="D378" s="36" t="s">
        <v>6895</v>
      </c>
      <c r="E378" s="36" t="s">
        <v>6896</v>
      </c>
      <c r="F378" s="36" t="s">
        <v>6897</v>
      </c>
      <c r="G378" s="36" t="s">
        <v>6898</v>
      </c>
      <c r="H378" s="36" t="s">
        <v>6899</v>
      </c>
      <c r="I378" s="36" t="s">
        <v>6900</v>
      </c>
      <c r="J378" s="36" t="s">
        <v>6901</v>
      </c>
      <c r="K378" s="36" t="s">
        <v>6902</v>
      </c>
      <c r="L378" s="36" t="s">
        <v>6903</v>
      </c>
      <c r="M378" s="36" t="s">
        <v>6893</v>
      </c>
      <c r="N378" s="36" t="s">
        <v>6904</v>
      </c>
      <c r="O378" s="36" t="s">
        <v>6905</v>
      </c>
      <c r="P378" s="36" t="s">
        <v>6893</v>
      </c>
    </row>
    <row r="379" spans="1:16">
      <c r="A379" s="132">
        <v>378</v>
      </c>
      <c r="B379" s="36" t="s">
        <v>6906</v>
      </c>
      <c r="C379" s="36" t="s">
        <v>6907</v>
      </c>
      <c r="D379" s="36" t="s">
        <v>3765</v>
      </c>
      <c r="E379" s="36" t="s">
        <v>6908</v>
      </c>
      <c r="F379" s="36" t="s">
        <v>6909</v>
      </c>
      <c r="G379" s="36" t="s">
        <v>6910</v>
      </c>
      <c r="H379" s="36" t="s">
        <v>6911</v>
      </c>
      <c r="I379" s="36" t="s">
        <v>6912</v>
      </c>
      <c r="J379" s="36" t="s">
        <v>6913</v>
      </c>
      <c r="K379" s="36" t="s">
        <v>6914</v>
      </c>
      <c r="L379" s="36" t="s">
        <v>6915</v>
      </c>
      <c r="M379" s="36" t="s">
        <v>6916</v>
      </c>
      <c r="N379" s="36" t="s">
        <v>6917</v>
      </c>
      <c r="O379" s="36" t="s">
        <v>6918</v>
      </c>
      <c r="P379" s="36" t="s">
        <v>6906</v>
      </c>
    </row>
    <row r="380" spans="1:16">
      <c r="A380" s="132">
        <v>379</v>
      </c>
      <c r="B380" s="36" t="s">
        <v>6919</v>
      </c>
      <c r="C380" s="36" t="s">
        <v>6920</v>
      </c>
      <c r="D380" s="36" t="s">
        <v>6921</v>
      </c>
      <c r="E380" s="36" t="s">
        <v>6922</v>
      </c>
      <c r="F380" s="36" t="s">
        <v>6923</v>
      </c>
      <c r="G380" s="36" t="s">
        <v>6924</v>
      </c>
      <c r="H380" s="36" t="s">
        <v>6925</v>
      </c>
      <c r="I380" s="36" t="s">
        <v>6926</v>
      </c>
      <c r="J380" s="36" t="s">
        <v>6927</v>
      </c>
      <c r="K380" s="36" t="s">
        <v>6928</v>
      </c>
      <c r="L380" s="36" t="s">
        <v>6929</v>
      </c>
      <c r="M380" s="36" t="s">
        <v>6930</v>
      </c>
      <c r="N380" s="36" t="s">
        <v>6931</v>
      </c>
      <c r="O380" s="36" t="s">
        <v>6932</v>
      </c>
      <c r="P380" s="36" t="s">
        <v>6919</v>
      </c>
    </row>
    <row r="381" spans="1:16">
      <c r="A381" s="132">
        <v>380</v>
      </c>
      <c r="B381" s="36" t="s">
        <v>6933</v>
      </c>
      <c r="C381" s="36" t="s">
        <v>6934</v>
      </c>
      <c r="D381" s="36" t="s">
        <v>6935</v>
      </c>
      <c r="E381" s="36" t="s">
        <v>6936</v>
      </c>
      <c r="F381" s="36" t="s">
        <v>6937</v>
      </c>
      <c r="G381" s="36" t="s">
        <v>6938</v>
      </c>
      <c r="H381" s="36" t="s">
        <v>6939</v>
      </c>
      <c r="I381" s="36" t="s">
        <v>6940</v>
      </c>
      <c r="J381" s="36" t="s">
        <v>6941</v>
      </c>
      <c r="K381" s="36" t="s">
        <v>6942</v>
      </c>
      <c r="L381" s="36" t="s">
        <v>6943</v>
      </c>
      <c r="M381" s="36" t="s">
        <v>6944</v>
      </c>
      <c r="N381" s="36" t="s">
        <v>6945</v>
      </c>
      <c r="O381" s="36" t="s">
        <v>6946</v>
      </c>
      <c r="P381" s="36" t="s">
        <v>6933</v>
      </c>
    </row>
    <row r="382" spans="1:16">
      <c r="A382" s="132">
        <v>381</v>
      </c>
      <c r="B382" s="36" t="s">
        <v>6947</v>
      </c>
      <c r="C382" s="36" t="s">
        <v>6948</v>
      </c>
      <c r="D382" s="36" t="s">
        <v>6949</v>
      </c>
      <c r="E382" s="36" t="s">
        <v>6950</v>
      </c>
      <c r="F382" s="36" t="s">
        <v>6950</v>
      </c>
      <c r="G382" s="36" t="s">
        <v>6951</v>
      </c>
      <c r="H382" s="36" t="s">
        <v>6952</v>
      </c>
      <c r="I382" s="36" t="s">
        <v>6953</v>
      </c>
      <c r="J382" s="36" t="s">
        <v>6954</v>
      </c>
      <c r="K382" s="36" t="s">
        <v>6955</v>
      </c>
      <c r="L382" s="36" t="s">
        <v>6956</v>
      </c>
      <c r="M382" s="36" t="s">
        <v>6956</v>
      </c>
      <c r="N382" s="36" t="s">
        <v>6957</v>
      </c>
      <c r="O382" s="36" t="s">
        <v>6958</v>
      </c>
      <c r="P382" s="36" t="s">
        <v>6947</v>
      </c>
    </row>
    <row r="383" spans="1:16">
      <c r="A383" s="132">
        <v>382</v>
      </c>
      <c r="B383" s="36" t="s">
        <v>6959</v>
      </c>
      <c r="C383" s="36" t="s">
        <v>6960</v>
      </c>
      <c r="D383" s="36" t="s">
        <v>6961</v>
      </c>
      <c r="E383" s="36" t="s">
        <v>6962</v>
      </c>
      <c r="F383" s="36" t="s">
        <v>6963</v>
      </c>
      <c r="G383" s="36" t="s">
        <v>6964</v>
      </c>
      <c r="H383" s="36" t="s">
        <v>6965</v>
      </c>
      <c r="I383" s="36" t="s">
        <v>6966</v>
      </c>
      <c r="J383" s="36" t="s">
        <v>6967</v>
      </c>
      <c r="K383" s="36" t="s">
        <v>6968</v>
      </c>
      <c r="L383" s="36" t="s">
        <v>6969</v>
      </c>
      <c r="M383" s="36" t="s">
        <v>6970</v>
      </c>
      <c r="N383" s="36" t="s">
        <v>6971</v>
      </c>
      <c r="O383" s="36" t="s">
        <v>6972</v>
      </c>
      <c r="P383" s="36" t="s">
        <v>6973</v>
      </c>
    </row>
    <row r="384" spans="1:16">
      <c r="A384" s="132">
        <v>383</v>
      </c>
      <c r="B384" s="36" t="s">
        <v>2354</v>
      </c>
      <c r="C384" s="36" t="s">
        <v>6974</v>
      </c>
      <c r="D384" s="36" t="s">
        <v>6975</v>
      </c>
      <c r="E384" s="36" t="s">
        <v>6976</v>
      </c>
      <c r="F384" s="36" t="s">
        <v>6977</v>
      </c>
      <c r="G384" s="36" t="s">
        <v>6978</v>
      </c>
      <c r="H384" s="36" t="s">
        <v>6979</v>
      </c>
      <c r="I384" s="36" t="s">
        <v>6980</v>
      </c>
      <c r="J384" s="36" t="s">
        <v>6981</v>
      </c>
      <c r="K384" s="36" t="s">
        <v>6982</v>
      </c>
      <c r="L384" s="36" t="s">
        <v>6983</v>
      </c>
      <c r="M384" s="36" t="s">
        <v>6984</v>
      </c>
      <c r="N384" s="36" t="s">
        <v>6985</v>
      </c>
      <c r="O384" s="36" t="s">
        <v>6986</v>
      </c>
      <c r="P384" s="36" t="s">
        <v>2354</v>
      </c>
    </row>
    <row r="385" spans="1:16">
      <c r="A385" s="132">
        <v>384</v>
      </c>
      <c r="B385" s="36" t="s">
        <v>6987</v>
      </c>
      <c r="C385" s="36" t="s">
        <v>6988</v>
      </c>
      <c r="D385" s="36" t="s">
        <v>6989</v>
      </c>
      <c r="E385" s="36" t="s">
        <v>6990</v>
      </c>
      <c r="F385" s="36" t="s">
        <v>6991</v>
      </c>
      <c r="G385" s="36" t="s">
        <v>6992</v>
      </c>
      <c r="H385" s="36" t="s">
        <v>6993</v>
      </c>
      <c r="I385" s="36" t="s">
        <v>6994</v>
      </c>
      <c r="J385" s="36" t="s">
        <v>6995</v>
      </c>
      <c r="K385" s="36" t="s">
        <v>6996</v>
      </c>
      <c r="L385" s="36" t="s">
        <v>6997</v>
      </c>
      <c r="M385" s="36" t="s">
        <v>6998</v>
      </c>
      <c r="N385" s="36" t="s">
        <v>6999</v>
      </c>
      <c r="O385" s="36" t="s">
        <v>7000</v>
      </c>
      <c r="P385" s="36" t="s">
        <v>6987</v>
      </c>
    </row>
    <row r="386" spans="1:16">
      <c r="A386" s="132">
        <v>385</v>
      </c>
      <c r="B386" s="36" t="s">
        <v>2352</v>
      </c>
      <c r="C386" s="36" t="s">
        <v>7001</v>
      </c>
      <c r="D386" s="36" t="s">
        <v>7002</v>
      </c>
      <c r="E386" s="36" t="s">
        <v>7003</v>
      </c>
      <c r="F386" s="36" t="s">
        <v>6977</v>
      </c>
      <c r="G386" s="36" t="s">
        <v>7004</v>
      </c>
      <c r="H386" s="36" t="s">
        <v>6979</v>
      </c>
      <c r="I386" s="36" t="s">
        <v>7005</v>
      </c>
      <c r="J386" s="36" t="s">
        <v>7006</v>
      </c>
      <c r="K386" s="36" t="s">
        <v>6982</v>
      </c>
      <c r="L386" s="36" t="s">
        <v>7007</v>
      </c>
      <c r="M386" s="36" t="s">
        <v>7008</v>
      </c>
      <c r="N386" s="36" t="s">
        <v>7009</v>
      </c>
      <c r="O386" s="36" t="s">
        <v>7010</v>
      </c>
      <c r="P386" s="36" t="s">
        <v>2352</v>
      </c>
    </row>
    <row r="387" spans="1:16">
      <c r="A387" s="132">
        <v>386</v>
      </c>
      <c r="B387" s="36" t="s">
        <v>7011</v>
      </c>
      <c r="C387" s="36" t="s">
        <v>7012</v>
      </c>
      <c r="D387" s="36" t="s">
        <v>7013</v>
      </c>
      <c r="E387" s="36" t="s">
        <v>7014</v>
      </c>
      <c r="F387" s="36" t="s">
        <v>7015</v>
      </c>
      <c r="G387" s="36" t="s">
        <v>7016</v>
      </c>
      <c r="H387" s="36" t="s">
        <v>7017</v>
      </c>
      <c r="I387" s="36" t="s">
        <v>7018</v>
      </c>
      <c r="J387" s="36" t="s">
        <v>7019</v>
      </c>
      <c r="K387" s="36" t="s">
        <v>7020</v>
      </c>
      <c r="L387" s="36" t="s">
        <v>7021</v>
      </c>
      <c r="M387" s="36" t="s">
        <v>7022</v>
      </c>
      <c r="N387" s="36" t="s">
        <v>7023</v>
      </c>
      <c r="O387" s="36" t="s">
        <v>7024</v>
      </c>
      <c r="P387" s="36" t="s">
        <v>7011</v>
      </c>
    </row>
    <row r="388" spans="1:16">
      <c r="A388" s="132">
        <v>387</v>
      </c>
      <c r="B388" s="36" t="s">
        <v>7025</v>
      </c>
      <c r="C388" s="36" t="s">
        <v>7026</v>
      </c>
      <c r="D388" s="36" t="s">
        <v>7027</v>
      </c>
      <c r="E388" s="36" t="s">
        <v>7028</v>
      </c>
      <c r="F388" s="36" t="s">
        <v>7029</v>
      </c>
      <c r="G388" s="36" t="s">
        <v>7030</v>
      </c>
      <c r="H388" s="36" t="s">
        <v>7031</v>
      </c>
      <c r="I388" s="36" t="s">
        <v>7032</v>
      </c>
      <c r="J388" s="36" t="s">
        <v>7033</v>
      </c>
      <c r="K388" s="36" t="s">
        <v>7034</v>
      </c>
      <c r="L388" s="36" t="s">
        <v>7035</v>
      </c>
      <c r="M388" s="36" t="s">
        <v>7036</v>
      </c>
      <c r="N388" s="36" t="s">
        <v>7037</v>
      </c>
      <c r="O388" s="36" t="s">
        <v>7038</v>
      </c>
      <c r="P388" s="36" t="s">
        <v>7025</v>
      </c>
    </row>
    <row r="389" spans="1:16">
      <c r="A389" s="132">
        <v>388</v>
      </c>
      <c r="B389" s="36" t="s">
        <v>7039</v>
      </c>
      <c r="C389" s="36" t="s">
        <v>7040</v>
      </c>
      <c r="D389" s="36" t="s">
        <v>7041</v>
      </c>
      <c r="E389" s="36" t="s">
        <v>7042</v>
      </c>
      <c r="F389" s="36" t="s">
        <v>7043</v>
      </c>
      <c r="G389" s="36" t="s">
        <v>7044</v>
      </c>
      <c r="H389" s="36" t="s">
        <v>7045</v>
      </c>
      <c r="I389" s="36" t="s">
        <v>7046</v>
      </c>
      <c r="J389" s="36" t="s">
        <v>7047</v>
      </c>
      <c r="K389" s="36" t="s">
        <v>7048</v>
      </c>
      <c r="L389" s="36" t="s">
        <v>7049</v>
      </c>
      <c r="M389" s="36" t="s">
        <v>7050</v>
      </c>
      <c r="N389" s="36" t="s">
        <v>7051</v>
      </c>
      <c r="O389" s="36" t="s">
        <v>7048</v>
      </c>
      <c r="P389" s="36" t="s">
        <v>7039</v>
      </c>
    </row>
    <row r="390" spans="1:16">
      <c r="A390" s="132">
        <v>389</v>
      </c>
      <c r="B390" s="36" t="s">
        <v>7052</v>
      </c>
      <c r="C390" s="36" t="s">
        <v>7053</v>
      </c>
      <c r="D390" s="36" t="s">
        <v>7054</v>
      </c>
      <c r="E390" s="36" t="s">
        <v>7055</v>
      </c>
      <c r="F390" s="36" t="s">
        <v>7056</v>
      </c>
      <c r="G390" s="36" t="s">
        <v>7057</v>
      </c>
      <c r="H390" s="36" t="s">
        <v>7058</v>
      </c>
      <c r="I390" s="36" t="s">
        <v>7059</v>
      </c>
      <c r="J390" s="36" t="s">
        <v>7060</v>
      </c>
      <c r="K390" s="36" t="s">
        <v>7061</v>
      </c>
      <c r="L390" s="36" t="s">
        <v>7062</v>
      </c>
      <c r="M390" s="36" t="s">
        <v>7063</v>
      </c>
      <c r="N390" s="36" t="s">
        <v>7064</v>
      </c>
      <c r="O390" s="36" t="s">
        <v>7061</v>
      </c>
      <c r="P390" s="36" t="s">
        <v>7052</v>
      </c>
    </row>
    <row r="391" spans="1:16">
      <c r="A391" s="132">
        <v>390</v>
      </c>
      <c r="B391" s="36" t="s">
        <v>7065</v>
      </c>
      <c r="C391" s="36" t="s">
        <v>7066</v>
      </c>
      <c r="D391" s="36" t="s">
        <v>7067</v>
      </c>
      <c r="E391" s="36" t="s">
        <v>7068</v>
      </c>
      <c r="F391" s="36" t="s">
        <v>7069</v>
      </c>
      <c r="G391" s="36" t="s">
        <v>7070</v>
      </c>
      <c r="H391" s="36" t="s">
        <v>7071</v>
      </c>
      <c r="I391" s="36" t="s">
        <v>7072</v>
      </c>
      <c r="J391" s="36" t="s">
        <v>7073</v>
      </c>
      <c r="K391" s="36" t="s">
        <v>7074</v>
      </c>
      <c r="L391" s="36" t="s">
        <v>7075</v>
      </c>
      <c r="M391" s="36" t="s">
        <v>7076</v>
      </c>
      <c r="N391" s="36" t="s">
        <v>7077</v>
      </c>
      <c r="O391" s="36" t="s">
        <v>7074</v>
      </c>
      <c r="P391" s="36" t="s">
        <v>7065</v>
      </c>
    </row>
    <row r="392" spans="1:16">
      <c r="A392" s="132">
        <v>391</v>
      </c>
      <c r="B392" s="36" t="s">
        <v>7078</v>
      </c>
      <c r="C392" s="36" t="s">
        <v>7079</v>
      </c>
      <c r="D392" s="36" t="s">
        <v>7080</v>
      </c>
      <c r="E392" s="36" t="s">
        <v>7081</v>
      </c>
      <c r="F392" s="36" t="s">
        <v>7082</v>
      </c>
      <c r="G392" s="36" t="s">
        <v>7083</v>
      </c>
      <c r="H392" s="36" t="s">
        <v>7084</v>
      </c>
      <c r="I392" s="36" t="s">
        <v>4202</v>
      </c>
      <c r="J392" s="36" t="s">
        <v>7085</v>
      </c>
      <c r="K392" s="36" t="s">
        <v>7086</v>
      </c>
      <c r="L392" s="36" t="s">
        <v>7087</v>
      </c>
      <c r="M392" s="36" t="s">
        <v>7088</v>
      </c>
      <c r="N392" s="36" t="s">
        <v>7089</v>
      </c>
      <c r="O392" s="36" t="s">
        <v>7090</v>
      </c>
      <c r="P392" s="36" t="s">
        <v>7078</v>
      </c>
    </row>
    <row r="393" spans="1:16">
      <c r="A393" s="132">
        <v>392</v>
      </c>
      <c r="B393" s="36" t="s">
        <v>7091</v>
      </c>
      <c r="C393" s="36" t="s">
        <v>7091</v>
      </c>
      <c r="D393" s="36" t="s">
        <v>7092</v>
      </c>
      <c r="E393" s="36" t="s">
        <v>7093</v>
      </c>
      <c r="F393" s="36" t="s">
        <v>7094</v>
      </c>
      <c r="G393" s="36" t="s">
        <v>7094</v>
      </c>
      <c r="H393" s="36" t="s">
        <v>7095</v>
      </c>
      <c r="I393" s="36" t="s">
        <v>7091</v>
      </c>
      <c r="J393" s="36" t="s">
        <v>7091</v>
      </c>
      <c r="K393" s="36" t="s">
        <v>7096</v>
      </c>
      <c r="L393" s="36" t="s">
        <v>7091</v>
      </c>
      <c r="M393" s="36" t="s">
        <v>7091</v>
      </c>
      <c r="N393" s="36" t="s">
        <v>7091</v>
      </c>
      <c r="O393" s="36" t="s">
        <v>7097</v>
      </c>
      <c r="P393" s="36" t="s">
        <v>7091</v>
      </c>
    </row>
    <row r="394" spans="1:16">
      <c r="A394" s="132">
        <v>393</v>
      </c>
      <c r="B394" s="36" t="s">
        <v>7098</v>
      </c>
      <c r="C394" s="36" t="s">
        <v>7099</v>
      </c>
      <c r="D394" s="36" t="s">
        <v>7100</v>
      </c>
      <c r="E394" s="36" t="s">
        <v>7101</v>
      </c>
      <c r="F394" s="36" t="s">
        <v>7102</v>
      </c>
      <c r="G394" s="36" t="s">
        <v>7103</v>
      </c>
      <c r="H394" s="36" t="s">
        <v>7104</v>
      </c>
      <c r="I394" s="36" t="s">
        <v>7105</v>
      </c>
      <c r="J394" s="36" t="s">
        <v>7106</v>
      </c>
      <c r="K394" s="36" t="s">
        <v>7107</v>
      </c>
      <c r="L394" s="36" t="s">
        <v>7108</v>
      </c>
      <c r="M394" s="36" t="s">
        <v>7109</v>
      </c>
      <c r="N394" s="36" t="s">
        <v>7110</v>
      </c>
      <c r="O394" s="36" t="s">
        <v>7111</v>
      </c>
      <c r="P394" s="36" t="s">
        <v>7098</v>
      </c>
    </row>
    <row r="395" spans="1:16">
      <c r="A395" s="132">
        <v>394</v>
      </c>
      <c r="B395" s="36" t="s">
        <v>7112</v>
      </c>
      <c r="C395" s="36" t="s">
        <v>7113</v>
      </c>
      <c r="D395" s="36" t="s">
        <v>7114</v>
      </c>
      <c r="E395" s="36" t="s">
        <v>7115</v>
      </c>
      <c r="F395" s="36" t="s">
        <v>7116</v>
      </c>
      <c r="G395" s="36" t="s">
        <v>7117</v>
      </c>
      <c r="H395" s="36" t="s">
        <v>7118</v>
      </c>
      <c r="I395" s="36" t="s">
        <v>7119</v>
      </c>
      <c r="J395" s="36" t="s">
        <v>7120</v>
      </c>
      <c r="K395" s="36" t="s">
        <v>7121</v>
      </c>
      <c r="L395" s="36" t="s">
        <v>7122</v>
      </c>
      <c r="M395" s="36" t="s">
        <v>7123</v>
      </c>
      <c r="N395" s="36" t="s">
        <v>7124</v>
      </c>
      <c r="O395" s="36" t="s">
        <v>7125</v>
      </c>
      <c r="P395" s="36" t="s">
        <v>7126</v>
      </c>
    </row>
    <row r="396" spans="1:16">
      <c r="A396" s="132">
        <v>395</v>
      </c>
      <c r="B396" s="36" t="s">
        <v>7127</v>
      </c>
      <c r="C396" s="36" t="s">
        <v>7128</v>
      </c>
      <c r="D396" s="36" t="s">
        <v>7129</v>
      </c>
      <c r="E396" s="36" t="s">
        <v>7130</v>
      </c>
      <c r="F396" s="36" t="s">
        <v>7131</v>
      </c>
      <c r="G396" s="36" t="s">
        <v>7132</v>
      </c>
      <c r="H396" s="36" t="s">
        <v>7133</v>
      </c>
      <c r="I396" s="36" t="s">
        <v>7134</v>
      </c>
      <c r="J396" s="36" t="s">
        <v>7135</v>
      </c>
      <c r="K396" s="36" t="s">
        <v>7136</v>
      </c>
      <c r="L396" s="36" t="s">
        <v>7137</v>
      </c>
      <c r="M396" s="36" t="s">
        <v>7138</v>
      </c>
      <c r="N396" s="36" t="s">
        <v>7139</v>
      </c>
      <c r="O396" s="36" t="s">
        <v>7140</v>
      </c>
      <c r="P396" s="36" t="s">
        <v>7127</v>
      </c>
    </row>
    <row r="397" spans="1:16">
      <c r="A397" s="132">
        <v>396</v>
      </c>
      <c r="B397" s="36" t="s">
        <v>7141</v>
      </c>
      <c r="C397" s="36" t="s">
        <v>7142</v>
      </c>
      <c r="D397" s="36" t="s">
        <v>7143</v>
      </c>
      <c r="E397" s="36" t="s">
        <v>7144</v>
      </c>
      <c r="F397" s="36" t="s">
        <v>7145</v>
      </c>
      <c r="G397" s="36" t="s">
        <v>7146</v>
      </c>
      <c r="H397" s="36" t="s">
        <v>7147</v>
      </c>
      <c r="I397" s="36" t="s">
        <v>7148</v>
      </c>
      <c r="J397" s="36" t="s">
        <v>7149</v>
      </c>
      <c r="K397" s="36" t="s">
        <v>7150</v>
      </c>
      <c r="L397" s="36" t="s">
        <v>7151</v>
      </c>
      <c r="M397" s="36" t="s">
        <v>7152</v>
      </c>
      <c r="N397" s="36" t="s">
        <v>7153</v>
      </c>
      <c r="O397" s="36" t="s">
        <v>7154</v>
      </c>
      <c r="P397" s="36" t="s">
        <v>7141</v>
      </c>
    </row>
    <row r="398" spans="1:16">
      <c r="A398" s="132">
        <v>397</v>
      </c>
      <c r="B398" s="36" t="s">
        <v>7155</v>
      </c>
      <c r="C398" s="36" t="s">
        <v>7156</v>
      </c>
      <c r="D398" s="36" t="s">
        <v>7157</v>
      </c>
      <c r="E398" s="36" t="s">
        <v>7158</v>
      </c>
      <c r="F398" s="36" t="s">
        <v>7159</v>
      </c>
      <c r="G398" s="36" t="s">
        <v>7160</v>
      </c>
      <c r="H398" s="36" t="s">
        <v>7161</v>
      </c>
      <c r="I398" s="36" t="s">
        <v>7162</v>
      </c>
      <c r="J398" s="36" t="s">
        <v>7163</v>
      </c>
      <c r="K398" s="36" t="s">
        <v>7164</v>
      </c>
      <c r="L398" s="36" t="s">
        <v>7165</v>
      </c>
      <c r="M398" s="36" t="s">
        <v>7166</v>
      </c>
      <c r="N398" s="36" t="s">
        <v>7167</v>
      </c>
      <c r="O398" s="36" t="s">
        <v>7168</v>
      </c>
      <c r="P398" s="36" t="s">
        <v>7155</v>
      </c>
    </row>
    <row r="399" spans="1:16">
      <c r="A399" s="132">
        <v>398</v>
      </c>
      <c r="B399" s="36" t="s">
        <v>7169</v>
      </c>
      <c r="C399" s="36" t="s">
        <v>7170</v>
      </c>
      <c r="D399" s="36" t="s">
        <v>7171</v>
      </c>
      <c r="E399" s="36" t="s">
        <v>7172</v>
      </c>
      <c r="F399" s="36" t="s">
        <v>7173</v>
      </c>
      <c r="G399" s="36" t="s">
        <v>7174</v>
      </c>
      <c r="H399" s="36" t="s">
        <v>7175</v>
      </c>
      <c r="I399" s="36" t="s">
        <v>7176</v>
      </c>
      <c r="J399" s="36" t="s">
        <v>7177</v>
      </c>
      <c r="K399" s="36" t="s">
        <v>7178</v>
      </c>
      <c r="L399" s="36" t="s">
        <v>7179</v>
      </c>
      <c r="M399" s="36" t="s">
        <v>7180</v>
      </c>
      <c r="N399" s="36" t="s">
        <v>7181</v>
      </c>
      <c r="O399" s="36" t="s">
        <v>7182</v>
      </c>
      <c r="P399" s="36" t="s">
        <v>7169</v>
      </c>
    </row>
    <row r="400" spans="1:16">
      <c r="A400" s="132">
        <v>399</v>
      </c>
      <c r="B400" s="36" t="s">
        <v>7183</v>
      </c>
      <c r="C400" s="36" t="s">
        <v>7184</v>
      </c>
      <c r="D400" s="36" t="s">
        <v>7185</v>
      </c>
      <c r="E400" s="36" t="s">
        <v>7186</v>
      </c>
      <c r="F400" s="36" t="s">
        <v>7187</v>
      </c>
      <c r="G400" s="36" t="s">
        <v>7188</v>
      </c>
      <c r="H400" s="36" t="s">
        <v>7189</v>
      </c>
      <c r="I400" s="36" t="s">
        <v>7190</v>
      </c>
      <c r="J400" s="36" t="s">
        <v>7191</v>
      </c>
      <c r="K400" s="36" t="s">
        <v>7192</v>
      </c>
      <c r="L400" s="36" t="s">
        <v>7193</v>
      </c>
      <c r="M400" s="36" t="s">
        <v>7194</v>
      </c>
      <c r="N400" s="36" t="s">
        <v>7195</v>
      </c>
      <c r="O400" s="36" t="s">
        <v>7196</v>
      </c>
      <c r="P400" s="36" t="s">
        <v>7183</v>
      </c>
    </row>
    <row r="401" spans="1:16">
      <c r="A401" s="132">
        <v>400</v>
      </c>
      <c r="B401" s="36" t="s">
        <v>7197</v>
      </c>
      <c r="C401" s="36" t="s">
        <v>7198</v>
      </c>
      <c r="D401" s="36" t="s">
        <v>7199</v>
      </c>
      <c r="E401" s="36" t="s">
        <v>7200</v>
      </c>
      <c r="F401" s="36" t="s">
        <v>7201</v>
      </c>
      <c r="G401" s="36" t="s">
        <v>7202</v>
      </c>
      <c r="H401" s="36" t="s">
        <v>7203</v>
      </c>
      <c r="I401" s="36" t="s">
        <v>7204</v>
      </c>
      <c r="J401" s="36" t="s">
        <v>7205</v>
      </c>
      <c r="K401" s="36" t="s">
        <v>7206</v>
      </c>
      <c r="L401" s="36" t="s">
        <v>7207</v>
      </c>
      <c r="M401" s="36" t="s">
        <v>7197</v>
      </c>
      <c r="N401" s="36" t="s">
        <v>7208</v>
      </c>
      <c r="O401" s="36" t="s">
        <v>7206</v>
      </c>
      <c r="P401" s="36" t="s">
        <v>7197</v>
      </c>
    </row>
    <row r="402" spans="1:16">
      <c r="A402" s="132">
        <v>401</v>
      </c>
      <c r="B402" s="36" t="s">
        <v>7209</v>
      </c>
      <c r="C402" s="36" t="s">
        <v>7210</v>
      </c>
      <c r="D402" s="36" t="s">
        <v>7211</v>
      </c>
      <c r="E402" s="36" t="s">
        <v>7212</v>
      </c>
      <c r="F402" s="36" t="s">
        <v>7213</v>
      </c>
      <c r="G402" s="36" t="s">
        <v>7214</v>
      </c>
      <c r="H402" s="36" t="s">
        <v>7215</v>
      </c>
      <c r="I402" s="36" t="s">
        <v>7216</v>
      </c>
      <c r="J402" s="36" t="s">
        <v>7217</v>
      </c>
      <c r="K402" s="36" t="s">
        <v>7218</v>
      </c>
      <c r="L402" s="36" t="s">
        <v>7219</v>
      </c>
      <c r="M402" s="36" t="s">
        <v>7220</v>
      </c>
      <c r="N402" s="36" t="s">
        <v>7221</v>
      </c>
      <c r="O402" s="36" t="s">
        <v>7222</v>
      </c>
      <c r="P402" s="36" t="s">
        <v>7209</v>
      </c>
    </row>
    <row r="403" spans="1:16">
      <c r="A403" s="132">
        <v>402</v>
      </c>
      <c r="B403" s="36" t="s">
        <v>7223</v>
      </c>
      <c r="C403" s="36" t="s">
        <v>7224</v>
      </c>
      <c r="D403" s="36" t="s">
        <v>7225</v>
      </c>
      <c r="E403" s="36" t="s">
        <v>7226</v>
      </c>
      <c r="F403" s="36" t="s">
        <v>7227</v>
      </c>
      <c r="G403" s="36" t="s">
        <v>7228</v>
      </c>
      <c r="H403" s="36" t="s">
        <v>7229</v>
      </c>
      <c r="I403" s="36" t="s">
        <v>7230</v>
      </c>
      <c r="J403" s="36" t="s">
        <v>7231</v>
      </c>
      <c r="K403" s="36" t="s">
        <v>7232</v>
      </c>
      <c r="L403" s="36" t="s">
        <v>7233</v>
      </c>
      <c r="M403" s="36" t="s">
        <v>7234</v>
      </c>
      <c r="N403" s="36" t="s">
        <v>7235</v>
      </c>
      <c r="O403" s="36" t="s">
        <v>7236</v>
      </c>
      <c r="P403" s="36" t="s">
        <v>7223</v>
      </c>
    </row>
    <row r="404" spans="1:16">
      <c r="A404" s="132">
        <v>403</v>
      </c>
      <c r="B404" s="36" t="s">
        <v>7237</v>
      </c>
      <c r="C404" s="36" t="s">
        <v>7238</v>
      </c>
      <c r="D404" s="36" t="s">
        <v>7239</v>
      </c>
      <c r="E404" s="36" t="s">
        <v>7240</v>
      </c>
      <c r="F404" s="36" t="s">
        <v>7237</v>
      </c>
      <c r="G404" s="36" t="s">
        <v>7241</v>
      </c>
      <c r="H404" s="36" t="s">
        <v>7242</v>
      </c>
      <c r="I404" s="36" t="s">
        <v>7243</v>
      </c>
      <c r="J404" s="36" t="s">
        <v>7237</v>
      </c>
      <c r="K404" s="36" t="s">
        <v>7244</v>
      </c>
      <c r="L404" s="36" t="s">
        <v>7237</v>
      </c>
      <c r="M404" s="36" t="s">
        <v>7237</v>
      </c>
      <c r="N404" s="36" t="s">
        <v>7237</v>
      </c>
      <c r="O404" s="36" t="s">
        <v>7244</v>
      </c>
      <c r="P404" s="36" t="s">
        <v>7237</v>
      </c>
    </row>
    <row r="405" spans="1:16">
      <c r="A405" s="132">
        <v>404</v>
      </c>
      <c r="B405" s="36" t="s">
        <v>7245</v>
      </c>
      <c r="C405" s="36" t="s">
        <v>7198</v>
      </c>
      <c r="D405" s="36" t="s">
        <v>7246</v>
      </c>
      <c r="E405" s="36" t="s">
        <v>7247</v>
      </c>
      <c r="F405" s="36" t="s">
        <v>7248</v>
      </c>
      <c r="G405" s="36" t="s">
        <v>7249</v>
      </c>
      <c r="H405" s="36" t="s">
        <v>7250</v>
      </c>
      <c r="I405" s="36" t="s">
        <v>7248</v>
      </c>
      <c r="J405" s="36" t="s">
        <v>7251</v>
      </c>
      <c r="K405" s="36" t="s">
        <v>7252</v>
      </c>
      <c r="L405" s="36" t="s">
        <v>7253</v>
      </c>
      <c r="M405" s="36" t="s">
        <v>7245</v>
      </c>
      <c r="N405" s="36" t="s">
        <v>7254</v>
      </c>
      <c r="O405" s="36" t="s">
        <v>7255</v>
      </c>
      <c r="P405" s="36" t="s">
        <v>7245</v>
      </c>
    </row>
    <row r="406" spans="1:16">
      <c r="A406" s="132">
        <v>405</v>
      </c>
      <c r="B406" s="36" t="s">
        <v>7256</v>
      </c>
      <c r="C406" s="36" t="s">
        <v>7257</v>
      </c>
      <c r="D406" s="36" t="s">
        <v>7258</v>
      </c>
      <c r="E406" s="36" t="s">
        <v>7259</v>
      </c>
      <c r="F406" s="36" t="s">
        <v>7260</v>
      </c>
      <c r="G406" s="36" t="s">
        <v>7261</v>
      </c>
      <c r="H406" s="36" t="s">
        <v>7262</v>
      </c>
      <c r="I406" s="36" t="s">
        <v>7263</v>
      </c>
      <c r="J406" s="36" t="s">
        <v>7264</v>
      </c>
      <c r="K406" s="36" t="s">
        <v>7265</v>
      </c>
      <c r="L406" s="36" t="s">
        <v>7266</v>
      </c>
      <c r="M406" s="36" t="s">
        <v>7267</v>
      </c>
      <c r="N406" s="36" t="s">
        <v>7268</v>
      </c>
      <c r="O406" s="36" t="s">
        <v>7269</v>
      </c>
      <c r="P406" s="36" t="s">
        <v>7256</v>
      </c>
    </row>
    <row r="407" spans="1:16">
      <c r="A407" s="132">
        <v>406</v>
      </c>
      <c r="B407" s="36" t="s">
        <v>7270</v>
      </c>
      <c r="C407" s="36" t="s">
        <v>7271</v>
      </c>
      <c r="D407" s="36" t="s">
        <v>7272</v>
      </c>
      <c r="E407" s="36" t="s">
        <v>7273</v>
      </c>
      <c r="F407" s="36" t="s">
        <v>7274</v>
      </c>
      <c r="G407" s="36" t="s">
        <v>7275</v>
      </c>
      <c r="H407" s="36" t="s">
        <v>7276</v>
      </c>
      <c r="I407" s="36" t="s">
        <v>7277</v>
      </c>
      <c r="J407" s="36" t="s">
        <v>7278</v>
      </c>
      <c r="K407" s="36" t="s">
        <v>7279</v>
      </c>
      <c r="L407" s="36" t="s">
        <v>7280</v>
      </c>
      <c r="M407" s="36" t="s">
        <v>7281</v>
      </c>
      <c r="N407" s="36" t="s">
        <v>7282</v>
      </c>
      <c r="O407" s="36" t="s">
        <v>7283</v>
      </c>
      <c r="P407" s="36" t="s">
        <v>7270</v>
      </c>
    </row>
    <row r="408" spans="1:16">
      <c r="A408" s="132">
        <v>407</v>
      </c>
      <c r="B408" s="36" t="s">
        <v>7284</v>
      </c>
      <c r="C408" s="36" t="s">
        <v>7285</v>
      </c>
      <c r="D408" s="36" t="s">
        <v>7286</v>
      </c>
      <c r="E408" s="36" t="s">
        <v>7287</v>
      </c>
      <c r="F408" s="36" t="s">
        <v>7288</v>
      </c>
      <c r="G408" s="36" t="s">
        <v>7289</v>
      </c>
      <c r="H408" s="36" t="s">
        <v>7290</v>
      </c>
      <c r="I408" s="36" t="s">
        <v>7291</v>
      </c>
      <c r="J408" s="36" t="s">
        <v>7292</v>
      </c>
      <c r="K408" s="36" t="s">
        <v>7293</v>
      </c>
      <c r="L408" s="36" t="s">
        <v>7294</v>
      </c>
      <c r="M408" s="36" t="s">
        <v>7295</v>
      </c>
      <c r="N408" s="36" t="s">
        <v>7296</v>
      </c>
      <c r="O408" s="36" t="s">
        <v>7297</v>
      </c>
      <c r="P408" s="36" t="s">
        <v>7298</v>
      </c>
    </row>
    <row r="409" spans="1:16">
      <c r="A409" s="132">
        <v>408</v>
      </c>
      <c r="B409" s="36" t="s">
        <v>7299</v>
      </c>
      <c r="C409" s="36" t="s">
        <v>7300</v>
      </c>
      <c r="D409" s="36" t="s">
        <v>7301</v>
      </c>
      <c r="E409" s="36" t="s">
        <v>7302</v>
      </c>
      <c r="F409" s="36" t="s">
        <v>7303</v>
      </c>
      <c r="G409" s="36" t="s">
        <v>7304</v>
      </c>
      <c r="H409" s="36" t="s">
        <v>7305</v>
      </c>
      <c r="I409" s="36" t="s">
        <v>7306</v>
      </c>
      <c r="J409" s="36" t="s">
        <v>7307</v>
      </c>
      <c r="K409" s="36" t="s">
        <v>7308</v>
      </c>
      <c r="L409" s="36" t="s">
        <v>7309</v>
      </c>
      <c r="M409" s="36" t="s">
        <v>7310</v>
      </c>
      <c r="N409" s="36" t="s">
        <v>7311</v>
      </c>
      <c r="O409" s="36" t="s">
        <v>7312</v>
      </c>
      <c r="P409" s="36" t="s">
        <v>7313</v>
      </c>
    </row>
    <row r="410" spans="1:16">
      <c r="A410" s="132">
        <v>409</v>
      </c>
      <c r="B410" s="36" t="s">
        <v>7314</v>
      </c>
      <c r="C410" s="36" t="s">
        <v>7315</v>
      </c>
      <c r="D410" s="36" t="s">
        <v>7316</v>
      </c>
      <c r="E410" s="36" t="s">
        <v>7273</v>
      </c>
      <c r="F410" s="36" t="s">
        <v>7317</v>
      </c>
      <c r="G410" s="36" t="s">
        <v>7318</v>
      </c>
      <c r="H410" s="36" t="s">
        <v>7319</v>
      </c>
      <c r="I410" s="36" t="s">
        <v>7320</v>
      </c>
      <c r="J410" s="36" t="s">
        <v>7321</v>
      </c>
      <c r="K410" s="36" t="s">
        <v>7322</v>
      </c>
      <c r="L410" s="36" t="s">
        <v>7323</v>
      </c>
      <c r="M410" s="36" t="s">
        <v>7324</v>
      </c>
      <c r="N410" s="36" t="s">
        <v>7325</v>
      </c>
      <c r="O410" s="36" t="s">
        <v>7326</v>
      </c>
      <c r="P410" s="36" t="s">
        <v>7314</v>
      </c>
    </row>
    <row r="411" spans="1:16">
      <c r="A411" s="132">
        <v>410</v>
      </c>
      <c r="B411" s="36" t="s">
        <v>7327</v>
      </c>
      <c r="C411" s="36" t="s">
        <v>7328</v>
      </c>
      <c r="D411" s="36" t="s">
        <v>7329</v>
      </c>
      <c r="E411" s="36" t="s">
        <v>7330</v>
      </c>
      <c r="F411" s="36" t="s">
        <v>7331</v>
      </c>
      <c r="G411" s="36" t="s">
        <v>7332</v>
      </c>
      <c r="H411" s="36" t="s">
        <v>7333</v>
      </c>
      <c r="I411" s="36" t="s">
        <v>7334</v>
      </c>
      <c r="J411" s="36" t="s">
        <v>7335</v>
      </c>
      <c r="K411" s="36" t="s">
        <v>7336</v>
      </c>
      <c r="L411" s="36" t="s">
        <v>7337</v>
      </c>
      <c r="M411" s="36" t="s">
        <v>7338</v>
      </c>
      <c r="N411" s="36" t="s">
        <v>7339</v>
      </c>
      <c r="O411" s="36" t="s">
        <v>7340</v>
      </c>
      <c r="P411" s="36" t="s">
        <v>7327</v>
      </c>
    </row>
    <row r="412" spans="1:16">
      <c r="A412" s="132">
        <v>411</v>
      </c>
      <c r="B412" s="36" t="s">
        <v>7341</v>
      </c>
      <c r="C412" s="36" t="s">
        <v>7342</v>
      </c>
      <c r="D412" s="36" t="s">
        <v>7343</v>
      </c>
      <c r="E412" s="36" t="s">
        <v>7344</v>
      </c>
      <c r="F412" s="36" t="s">
        <v>7345</v>
      </c>
      <c r="G412" s="36" t="s">
        <v>7346</v>
      </c>
      <c r="H412" s="36" t="s">
        <v>7347</v>
      </c>
      <c r="I412" s="36" t="s">
        <v>7348</v>
      </c>
      <c r="J412" s="36" t="s">
        <v>7349</v>
      </c>
      <c r="K412" s="36" t="s">
        <v>7350</v>
      </c>
      <c r="L412" s="36" t="s">
        <v>7351</v>
      </c>
      <c r="M412" s="36" t="s">
        <v>7352</v>
      </c>
      <c r="N412" s="36" t="s">
        <v>7353</v>
      </c>
      <c r="O412" s="36" t="s">
        <v>7354</v>
      </c>
      <c r="P412" s="36" t="s">
        <v>7341</v>
      </c>
    </row>
    <row r="413" spans="1:16">
      <c r="A413" s="132">
        <v>412</v>
      </c>
      <c r="B413" s="36" t="s">
        <v>7355</v>
      </c>
      <c r="C413" s="36" t="s">
        <v>7356</v>
      </c>
      <c r="D413" s="36" t="s">
        <v>7356</v>
      </c>
      <c r="E413" s="36" t="s">
        <v>7357</v>
      </c>
      <c r="F413" s="36" t="s">
        <v>7358</v>
      </c>
      <c r="G413" s="36" t="s">
        <v>7359</v>
      </c>
      <c r="H413" s="36" t="s">
        <v>7357</v>
      </c>
      <c r="I413" s="36" t="s">
        <v>7360</v>
      </c>
      <c r="J413" s="36" t="s">
        <v>7361</v>
      </c>
      <c r="K413" s="36" t="s">
        <v>7359</v>
      </c>
      <c r="L413" s="36" t="s">
        <v>7362</v>
      </c>
      <c r="M413" s="36" t="s">
        <v>7355</v>
      </c>
      <c r="N413" s="36" t="s">
        <v>7355</v>
      </c>
      <c r="O413" s="36" t="s">
        <v>7359</v>
      </c>
      <c r="P413" s="36" t="s">
        <v>7355</v>
      </c>
    </row>
    <row r="414" spans="1:16">
      <c r="A414" s="132">
        <v>413</v>
      </c>
      <c r="B414" s="36" t="s">
        <v>7363</v>
      </c>
      <c r="C414" s="36" t="s">
        <v>7364</v>
      </c>
      <c r="D414" s="36" t="s">
        <v>7364</v>
      </c>
      <c r="E414" s="36" t="s">
        <v>7365</v>
      </c>
      <c r="F414" s="36" t="s">
        <v>7366</v>
      </c>
      <c r="G414" s="36" t="s">
        <v>7367</v>
      </c>
      <c r="H414" s="36" t="s">
        <v>7365</v>
      </c>
      <c r="I414" s="36" t="s">
        <v>7368</v>
      </c>
      <c r="J414" s="36" t="s">
        <v>7369</v>
      </c>
      <c r="K414" s="36" t="s">
        <v>7367</v>
      </c>
      <c r="L414" s="36" t="s">
        <v>7370</v>
      </c>
      <c r="M414" s="36" t="s">
        <v>7363</v>
      </c>
      <c r="N414" s="36" t="s">
        <v>7363</v>
      </c>
      <c r="O414" s="36" t="s">
        <v>7367</v>
      </c>
      <c r="P414" s="36" t="s">
        <v>7363</v>
      </c>
    </row>
    <row r="415" spans="1:16">
      <c r="A415" s="132">
        <v>414</v>
      </c>
      <c r="B415" s="36" t="s">
        <v>7371</v>
      </c>
      <c r="C415" s="36" t="s">
        <v>7372</v>
      </c>
      <c r="D415" s="36" t="s">
        <v>7372</v>
      </c>
      <c r="E415" s="36" t="s">
        <v>7373</v>
      </c>
      <c r="F415" s="36" t="s">
        <v>7374</v>
      </c>
      <c r="G415" s="36" t="s">
        <v>7375</v>
      </c>
      <c r="H415" s="36" t="s">
        <v>7373</v>
      </c>
      <c r="I415" s="36" t="s">
        <v>7376</v>
      </c>
      <c r="J415" s="36" t="s">
        <v>7377</v>
      </c>
      <c r="K415" s="36" t="s">
        <v>7375</v>
      </c>
      <c r="L415" s="36" t="s">
        <v>7378</v>
      </c>
      <c r="M415" s="36" t="s">
        <v>7371</v>
      </c>
      <c r="N415" s="36" t="s">
        <v>7371</v>
      </c>
      <c r="O415" s="36" t="s">
        <v>7375</v>
      </c>
      <c r="P415" s="36" t="s">
        <v>7371</v>
      </c>
    </row>
    <row r="416" spans="1:16">
      <c r="A416" s="132">
        <v>415</v>
      </c>
      <c r="B416" s="36" t="s">
        <v>7379</v>
      </c>
      <c r="C416" s="36" t="s">
        <v>7380</v>
      </c>
      <c r="D416" s="36" t="s">
        <v>7380</v>
      </c>
      <c r="E416" s="36" t="s">
        <v>7381</v>
      </c>
      <c r="F416" s="36" t="s">
        <v>7382</v>
      </c>
      <c r="G416" s="36" t="s">
        <v>7383</v>
      </c>
      <c r="H416" s="36" t="s">
        <v>7381</v>
      </c>
      <c r="I416" s="36" t="s">
        <v>7384</v>
      </c>
      <c r="J416" s="36" t="s">
        <v>7385</v>
      </c>
      <c r="K416" s="36" t="s">
        <v>7383</v>
      </c>
      <c r="L416" s="36" t="s">
        <v>7386</v>
      </c>
      <c r="M416" s="36" t="s">
        <v>7379</v>
      </c>
      <c r="N416" s="36" t="s">
        <v>7379</v>
      </c>
      <c r="O416" s="36" t="s">
        <v>7383</v>
      </c>
      <c r="P416" s="36" t="s">
        <v>7379</v>
      </c>
    </row>
    <row r="417" spans="1:16">
      <c r="A417" s="132">
        <v>416</v>
      </c>
      <c r="B417" s="36" t="s">
        <v>7387</v>
      </c>
      <c r="C417" s="36" t="s">
        <v>7388</v>
      </c>
      <c r="D417" s="36" t="s">
        <v>7389</v>
      </c>
      <c r="E417" s="36" t="s">
        <v>7390</v>
      </c>
      <c r="F417" s="36" t="s">
        <v>7391</v>
      </c>
      <c r="G417" s="36" t="s">
        <v>7392</v>
      </c>
      <c r="H417" s="36" t="s">
        <v>7393</v>
      </c>
      <c r="I417" s="36" t="s">
        <v>7394</v>
      </c>
      <c r="J417" s="36" t="s">
        <v>7395</v>
      </c>
      <c r="K417" s="36" t="s">
        <v>7390</v>
      </c>
      <c r="L417" s="36" t="s">
        <v>7396</v>
      </c>
      <c r="M417" s="36" t="s">
        <v>7387</v>
      </c>
      <c r="N417" s="36" t="s">
        <v>7387</v>
      </c>
      <c r="O417" s="36" t="s">
        <v>7387</v>
      </c>
      <c r="P417" s="36" t="s">
        <v>7387</v>
      </c>
    </row>
    <row r="418" spans="1:16">
      <c r="A418" s="132">
        <v>417</v>
      </c>
      <c r="B418" s="36" t="s">
        <v>7397</v>
      </c>
      <c r="C418" s="36" t="s">
        <v>7398</v>
      </c>
      <c r="D418" s="36" t="s">
        <v>7399</v>
      </c>
      <c r="E418" s="36" t="s">
        <v>7400</v>
      </c>
      <c r="F418" s="36" t="s">
        <v>7401</v>
      </c>
      <c r="G418" s="36" t="s">
        <v>7402</v>
      </c>
      <c r="H418" s="36" t="s">
        <v>7403</v>
      </c>
      <c r="I418" s="36" t="s">
        <v>7404</v>
      </c>
      <c r="J418" s="36" t="s">
        <v>7405</v>
      </c>
      <c r="K418" s="36" t="s">
        <v>7406</v>
      </c>
      <c r="L418" s="36" t="s">
        <v>7407</v>
      </c>
      <c r="M418" s="36" t="s">
        <v>7408</v>
      </c>
      <c r="N418" s="36" t="s">
        <v>7409</v>
      </c>
      <c r="O418" s="36" t="s">
        <v>7410</v>
      </c>
      <c r="P418" s="36" t="s">
        <v>7397</v>
      </c>
    </row>
    <row r="419" spans="1:16">
      <c r="A419" s="132">
        <v>418</v>
      </c>
      <c r="B419" s="36" t="s">
        <v>7411</v>
      </c>
      <c r="C419" s="36" t="s">
        <v>7412</v>
      </c>
      <c r="D419" s="36" t="s">
        <v>7413</v>
      </c>
      <c r="E419" s="36" t="s">
        <v>7414</v>
      </c>
      <c r="F419" s="36" t="s">
        <v>7415</v>
      </c>
      <c r="G419" s="36" t="s">
        <v>7416</v>
      </c>
      <c r="H419" s="36" t="s">
        <v>7417</v>
      </c>
      <c r="I419" s="36" t="s">
        <v>7418</v>
      </c>
      <c r="J419" s="36" t="s">
        <v>7419</v>
      </c>
      <c r="K419" s="36" t="s">
        <v>7420</v>
      </c>
      <c r="L419" s="36" t="s">
        <v>7421</v>
      </c>
      <c r="M419" s="36" t="s">
        <v>7422</v>
      </c>
      <c r="N419" s="36" t="s">
        <v>7423</v>
      </c>
      <c r="O419" s="36" t="s">
        <v>7424</v>
      </c>
      <c r="P419" s="36" t="s">
        <v>7411</v>
      </c>
    </row>
    <row r="420" spans="1:16">
      <c r="A420" s="132">
        <v>419</v>
      </c>
      <c r="B420" s="36" t="s">
        <v>7425</v>
      </c>
      <c r="C420" s="36" t="s">
        <v>7426</v>
      </c>
      <c r="D420" s="36" t="s">
        <v>7427</v>
      </c>
      <c r="E420" s="36" t="s">
        <v>7428</v>
      </c>
      <c r="F420" s="36" t="s">
        <v>7429</v>
      </c>
      <c r="G420" s="36" t="s">
        <v>7430</v>
      </c>
      <c r="H420" s="36" t="s">
        <v>7431</v>
      </c>
      <c r="I420" s="36" t="s">
        <v>7432</v>
      </c>
      <c r="J420" s="36" t="s">
        <v>7433</v>
      </c>
      <c r="K420" s="36" t="s">
        <v>7434</v>
      </c>
      <c r="L420" s="36" t="s">
        <v>7435</v>
      </c>
      <c r="M420" s="36" t="s">
        <v>7436</v>
      </c>
      <c r="N420" s="36" t="s">
        <v>7437</v>
      </c>
      <c r="O420" s="36" t="s">
        <v>7438</v>
      </c>
      <c r="P420" s="36" t="s">
        <v>7425</v>
      </c>
    </row>
    <row r="421" spans="1:16">
      <c r="A421" s="132">
        <v>420</v>
      </c>
      <c r="B421" s="36" t="s">
        <v>7439</v>
      </c>
      <c r="C421" s="36" t="s">
        <v>7440</v>
      </c>
      <c r="D421" s="36" t="s">
        <v>7441</v>
      </c>
      <c r="E421" s="36" t="s">
        <v>7442</v>
      </c>
      <c r="F421" s="36" t="s">
        <v>7443</v>
      </c>
      <c r="G421" s="36" t="s">
        <v>7444</v>
      </c>
      <c r="H421" s="36" t="s">
        <v>7445</v>
      </c>
      <c r="I421" s="36" t="s">
        <v>7446</v>
      </c>
      <c r="J421" s="36" t="s">
        <v>7447</v>
      </c>
      <c r="K421" s="36" t="s">
        <v>7448</v>
      </c>
      <c r="L421" s="36" t="s">
        <v>7449</v>
      </c>
      <c r="M421" s="36" t="s">
        <v>7450</v>
      </c>
      <c r="N421" s="36" t="s">
        <v>7451</v>
      </c>
      <c r="O421" s="36" t="s">
        <v>7452</v>
      </c>
      <c r="P421" s="36" t="s">
        <v>7439</v>
      </c>
    </row>
    <row r="422" spans="1:16">
      <c r="A422" s="132">
        <v>421</v>
      </c>
      <c r="B422" s="36" t="s">
        <v>7453</v>
      </c>
      <c r="C422" s="36" t="s">
        <v>7412</v>
      </c>
      <c r="D422" s="36" t="s">
        <v>7454</v>
      </c>
      <c r="E422" s="36" t="s">
        <v>7455</v>
      </c>
      <c r="F422" s="36" t="s">
        <v>7456</v>
      </c>
      <c r="G422" s="36" t="s">
        <v>7457</v>
      </c>
      <c r="H422" s="36" t="s">
        <v>7458</v>
      </c>
      <c r="I422" s="36" t="s">
        <v>7459</v>
      </c>
      <c r="J422" s="36" t="s">
        <v>7460</v>
      </c>
      <c r="K422" s="36" t="s">
        <v>7461</v>
      </c>
      <c r="L422" s="36" t="s">
        <v>7462</v>
      </c>
      <c r="M422" s="36" t="s">
        <v>7463</v>
      </c>
      <c r="N422" s="36" t="s">
        <v>7464</v>
      </c>
      <c r="O422" s="36" t="s">
        <v>7465</v>
      </c>
      <c r="P422" s="36" t="s">
        <v>7453</v>
      </c>
    </row>
    <row r="423" spans="1:16">
      <c r="A423" s="132">
        <v>422</v>
      </c>
      <c r="B423" s="36" t="s">
        <v>7466</v>
      </c>
      <c r="C423" s="36" t="s">
        <v>7467</v>
      </c>
      <c r="D423" s="36" t="s">
        <v>7468</v>
      </c>
      <c r="E423" s="36" t="s">
        <v>7469</v>
      </c>
      <c r="F423" s="36" t="s">
        <v>7470</v>
      </c>
      <c r="G423" s="36" t="s">
        <v>7471</v>
      </c>
      <c r="H423" s="36" t="s">
        <v>7472</v>
      </c>
      <c r="I423" s="36" t="s">
        <v>7473</v>
      </c>
      <c r="J423" s="36" t="s">
        <v>7474</v>
      </c>
      <c r="K423" s="36" t="s">
        <v>7475</v>
      </c>
      <c r="L423" s="36" t="s">
        <v>7476</v>
      </c>
      <c r="M423" s="36" t="s">
        <v>7477</v>
      </c>
      <c r="N423" s="36" t="s">
        <v>7478</v>
      </c>
      <c r="O423" s="36" t="s">
        <v>7479</v>
      </c>
      <c r="P423" s="36" t="s">
        <v>7466</v>
      </c>
    </row>
    <row r="424" spans="1:16">
      <c r="A424" s="132">
        <v>423</v>
      </c>
      <c r="B424" s="36" t="s">
        <v>7480</v>
      </c>
      <c r="C424" s="36" t="s">
        <v>7481</v>
      </c>
      <c r="D424" s="36" t="s">
        <v>7482</v>
      </c>
      <c r="E424" s="36" t="s">
        <v>7483</v>
      </c>
      <c r="F424" s="36" t="s">
        <v>7484</v>
      </c>
      <c r="G424" s="36" t="s">
        <v>7485</v>
      </c>
      <c r="H424" s="36" t="s">
        <v>7486</v>
      </c>
      <c r="I424" s="36" t="s">
        <v>7487</v>
      </c>
      <c r="J424" s="36" t="s">
        <v>7488</v>
      </c>
      <c r="K424" s="36" t="s">
        <v>7489</v>
      </c>
      <c r="L424" s="36" t="s">
        <v>7490</v>
      </c>
      <c r="M424" s="36" t="s">
        <v>7491</v>
      </c>
      <c r="N424" s="36" t="s">
        <v>7492</v>
      </c>
      <c r="O424" s="36" t="s">
        <v>7493</v>
      </c>
      <c r="P424" s="36" t="s">
        <v>7480</v>
      </c>
    </row>
    <row r="425" spans="1:16">
      <c r="A425" s="132">
        <v>424</v>
      </c>
      <c r="B425" s="36" t="s">
        <v>7494</v>
      </c>
      <c r="C425" s="36" t="s">
        <v>7495</v>
      </c>
      <c r="D425" s="36" t="s">
        <v>7496</v>
      </c>
      <c r="E425" s="36" t="s">
        <v>7497</v>
      </c>
      <c r="F425" s="36" t="s">
        <v>7498</v>
      </c>
      <c r="G425" s="36" t="s">
        <v>7499</v>
      </c>
      <c r="H425" s="36" t="s">
        <v>7500</v>
      </c>
      <c r="I425" s="36" t="s">
        <v>7501</v>
      </c>
      <c r="J425" s="36" t="s">
        <v>7502</v>
      </c>
      <c r="K425" s="36" t="s">
        <v>7503</v>
      </c>
      <c r="L425" s="36" t="s">
        <v>7504</v>
      </c>
      <c r="M425" s="36" t="s">
        <v>7505</v>
      </c>
      <c r="N425" s="36" t="s">
        <v>7506</v>
      </c>
      <c r="O425" s="36" t="s">
        <v>7507</v>
      </c>
      <c r="P425" s="36" t="s">
        <v>7494</v>
      </c>
    </row>
    <row r="426" spans="1:16">
      <c r="A426" s="132">
        <v>425</v>
      </c>
      <c r="B426" s="36" t="s">
        <v>7508</v>
      </c>
      <c r="C426" s="36" t="s">
        <v>7495</v>
      </c>
      <c r="D426" s="36" t="s">
        <v>7496</v>
      </c>
      <c r="E426" s="36" t="s">
        <v>7509</v>
      </c>
      <c r="F426" s="36" t="s">
        <v>7510</v>
      </c>
      <c r="G426" s="36" t="s">
        <v>7511</v>
      </c>
      <c r="H426" s="36" t="s">
        <v>7512</v>
      </c>
      <c r="I426" s="36" t="s">
        <v>7513</v>
      </c>
      <c r="J426" s="36" t="s">
        <v>7514</v>
      </c>
      <c r="K426" s="36" t="s">
        <v>7515</v>
      </c>
      <c r="L426" s="36" t="s">
        <v>7516</v>
      </c>
      <c r="M426" s="36" t="s">
        <v>7517</v>
      </c>
      <c r="N426" s="36" t="s">
        <v>7518</v>
      </c>
      <c r="O426" s="36" t="s">
        <v>7507</v>
      </c>
      <c r="P426" s="36" t="s">
        <v>7508</v>
      </c>
    </row>
    <row r="427" spans="1:16">
      <c r="A427" s="132">
        <v>426</v>
      </c>
      <c r="B427" s="36" t="s">
        <v>7519</v>
      </c>
      <c r="C427" s="36" t="s">
        <v>7520</v>
      </c>
      <c r="D427" s="36" t="s">
        <v>7521</v>
      </c>
      <c r="E427" s="36" t="s">
        <v>7522</v>
      </c>
      <c r="F427" s="36" t="s">
        <v>7523</v>
      </c>
      <c r="G427" s="36" t="s">
        <v>7524</v>
      </c>
      <c r="H427" s="36" t="s">
        <v>7525</v>
      </c>
      <c r="I427" s="36" t="s">
        <v>7526</v>
      </c>
      <c r="J427" s="36" t="s">
        <v>7527</v>
      </c>
      <c r="K427" s="36" t="s">
        <v>7528</v>
      </c>
      <c r="L427" s="36" t="s">
        <v>7529</v>
      </c>
      <c r="M427" s="36" t="s">
        <v>7530</v>
      </c>
      <c r="N427" s="36" t="s">
        <v>7531</v>
      </c>
      <c r="O427" s="36" t="s">
        <v>7532</v>
      </c>
      <c r="P427" s="36" t="s">
        <v>7519</v>
      </c>
    </row>
    <row r="428" spans="1:16">
      <c r="A428" s="132">
        <v>427</v>
      </c>
      <c r="B428" s="36" t="s">
        <v>7533</v>
      </c>
      <c r="C428" s="36" t="s">
        <v>7534</v>
      </c>
      <c r="D428" s="36" t="s">
        <v>7535</v>
      </c>
      <c r="E428" s="36" t="s">
        <v>7536</v>
      </c>
      <c r="F428" s="36" t="s">
        <v>7537</v>
      </c>
      <c r="G428" s="36" t="s">
        <v>7538</v>
      </c>
      <c r="H428" s="36" t="s">
        <v>7539</v>
      </c>
      <c r="I428" s="36" t="s">
        <v>7540</v>
      </c>
      <c r="J428" s="36" t="s">
        <v>7541</v>
      </c>
      <c r="K428" s="36" t="s">
        <v>7542</v>
      </c>
      <c r="L428" s="36" t="s">
        <v>7543</v>
      </c>
      <c r="M428" s="36" t="s">
        <v>7544</v>
      </c>
      <c r="N428" s="36" t="s">
        <v>7545</v>
      </c>
      <c r="O428" s="36" t="s">
        <v>7546</v>
      </c>
      <c r="P428" s="36" t="s">
        <v>7533</v>
      </c>
    </row>
    <row r="429" spans="1:16">
      <c r="A429" s="132">
        <v>428</v>
      </c>
      <c r="B429" s="36" t="s">
        <v>7547</v>
      </c>
      <c r="C429" s="36" t="s">
        <v>7548</v>
      </c>
      <c r="D429" s="36" t="s">
        <v>7549</v>
      </c>
      <c r="E429" s="36" t="s">
        <v>7550</v>
      </c>
      <c r="F429" s="36" t="s">
        <v>7551</v>
      </c>
      <c r="G429" s="36" t="s">
        <v>7552</v>
      </c>
      <c r="H429" s="36" t="s">
        <v>7553</v>
      </c>
      <c r="I429" s="36" t="s">
        <v>7554</v>
      </c>
      <c r="J429" s="36" t="s">
        <v>7555</v>
      </c>
      <c r="K429" s="36" t="s">
        <v>7556</v>
      </c>
      <c r="L429" s="36" t="s">
        <v>7557</v>
      </c>
      <c r="M429" s="36" t="s">
        <v>7558</v>
      </c>
      <c r="N429" s="36" t="s">
        <v>7559</v>
      </c>
      <c r="O429" s="36" t="s">
        <v>7560</v>
      </c>
      <c r="P429" s="36" t="s">
        <v>7547</v>
      </c>
    </row>
    <row r="430" spans="1:16">
      <c r="A430" s="132">
        <v>429</v>
      </c>
      <c r="B430" s="36" t="s">
        <v>7561</v>
      </c>
      <c r="C430" s="36" t="s">
        <v>7562</v>
      </c>
      <c r="D430" s="36" t="s">
        <v>7563</v>
      </c>
      <c r="E430" s="36" t="s">
        <v>7564</v>
      </c>
      <c r="F430" s="36" t="s">
        <v>7565</v>
      </c>
      <c r="G430" s="36" t="s">
        <v>7566</v>
      </c>
      <c r="H430" s="36" t="s">
        <v>7567</v>
      </c>
      <c r="I430" s="36" t="s">
        <v>7568</v>
      </c>
      <c r="J430" s="36" t="s">
        <v>7569</v>
      </c>
      <c r="K430" s="36" t="s">
        <v>7570</v>
      </c>
      <c r="L430" s="36" t="s">
        <v>7571</v>
      </c>
      <c r="M430" s="36" t="s">
        <v>7572</v>
      </c>
      <c r="N430" s="36" t="s">
        <v>7573</v>
      </c>
      <c r="O430" s="36" t="s">
        <v>7574</v>
      </c>
      <c r="P430" s="36" t="s">
        <v>7561</v>
      </c>
    </row>
    <row r="431" spans="1:16">
      <c r="A431" s="132">
        <v>430</v>
      </c>
      <c r="B431" s="36" t="s">
        <v>7575</v>
      </c>
      <c r="C431" s="36" t="s">
        <v>7576</v>
      </c>
      <c r="D431" s="36" t="s">
        <v>7577</v>
      </c>
      <c r="E431" s="36" t="s">
        <v>7578</v>
      </c>
      <c r="F431" s="36" t="s">
        <v>7579</v>
      </c>
      <c r="G431" s="36" t="s">
        <v>7580</v>
      </c>
      <c r="H431" s="36" t="s">
        <v>7581</v>
      </c>
      <c r="I431" s="36" t="s">
        <v>7582</v>
      </c>
      <c r="J431" s="36" t="s">
        <v>7583</v>
      </c>
      <c r="K431" s="36" t="s">
        <v>7584</v>
      </c>
      <c r="L431" s="36" t="s">
        <v>7585</v>
      </c>
      <c r="M431" s="36" t="s">
        <v>7586</v>
      </c>
      <c r="N431" s="36" t="s">
        <v>7587</v>
      </c>
      <c r="O431" s="36" t="s">
        <v>7588</v>
      </c>
      <c r="P431" s="36" t="s">
        <v>7575</v>
      </c>
    </row>
    <row r="432" spans="1:16">
      <c r="A432" s="132">
        <v>431</v>
      </c>
      <c r="B432" s="36" t="s">
        <v>7589</v>
      </c>
      <c r="C432" s="36" t="s">
        <v>7590</v>
      </c>
      <c r="D432" s="36" t="s">
        <v>7591</v>
      </c>
      <c r="E432" s="36" t="s">
        <v>7592</v>
      </c>
      <c r="F432" s="36" t="s">
        <v>7593</v>
      </c>
      <c r="G432" s="36" t="s">
        <v>7594</v>
      </c>
      <c r="H432" s="36" t="s">
        <v>7595</v>
      </c>
      <c r="I432" s="36" t="s">
        <v>7596</v>
      </c>
      <c r="J432" s="36" t="s">
        <v>7597</v>
      </c>
      <c r="K432" s="36" t="s">
        <v>7598</v>
      </c>
      <c r="L432" s="36" t="s">
        <v>7599</v>
      </c>
      <c r="M432" s="36" t="s">
        <v>7600</v>
      </c>
      <c r="N432" s="36" t="s">
        <v>7600</v>
      </c>
      <c r="O432" s="36" t="s">
        <v>7601</v>
      </c>
      <c r="P432" s="36" t="s">
        <v>7589</v>
      </c>
    </row>
    <row r="433" spans="1:16">
      <c r="A433" s="132">
        <v>432</v>
      </c>
      <c r="B433" s="36" t="s">
        <v>7602</v>
      </c>
      <c r="C433" s="36" t="s">
        <v>7603</v>
      </c>
      <c r="D433" s="36" t="s">
        <v>7604</v>
      </c>
      <c r="E433" s="36" t="s">
        <v>7605</v>
      </c>
      <c r="F433" s="36" t="s">
        <v>7606</v>
      </c>
      <c r="G433" s="36" t="s">
        <v>7607</v>
      </c>
      <c r="H433" s="36" t="s">
        <v>7608</v>
      </c>
      <c r="I433" s="36" t="s">
        <v>7609</v>
      </c>
      <c r="J433" s="36" t="s">
        <v>7610</v>
      </c>
      <c r="K433" s="36" t="s">
        <v>7611</v>
      </c>
      <c r="L433" s="36" t="s">
        <v>7612</v>
      </c>
      <c r="M433" s="36" t="s">
        <v>7613</v>
      </c>
      <c r="N433" s="36" t="s">
        <v>7613</v>
      </c>
      <c r="O433" s="36" t="s">
        <v>7614</v>
      </c>
      <c r="P433" s="36" t="s">
        <v>7602</v>
      </c>
    </row>
    <row r="434" spans="1:16">
      <c r="A434" s="132">
        <v>433</v>
      </c>
      <c r="B434" s="36" t="s">
        <v>26</v>
      </c>
      <c r="C434" s="36" t="s">
        <v>7615</v>
      </c>
      <c r="D434" s="36" t="s">
        <v>7616</v>
      </c>
      <c r="E434" s="36" t="s">
        <v>7617</v>
      </c>
      <c r="F434" s="36" t="s">
        <v>7618</v>
      </c>
      <c r="G434" s="36" t="s">
        <v>7619</v>
      </c>
      <c r="H434" s="36" t="s">
        <v>7620</v>
      </c>
      <c r="I434" s="36" t="s">
        <v>7618</v>
      </c>
      <c r="J434" s="36" t="s">
        <v>7621</v>
      </c>
      <c r="K434" s="36" t="s">
        <v>7622</v>
      </c>
      <c r="L434" s="36" t="s">
        <v>7623</v>
      </c>
      <c r="M434" s="36" t="s">
        <v>7624</v>
      </c>
      <c r="N434" s="36" t="s">
        <v>26</v>
      </c>
      <c r="O434" s="36" t="s">
        <v>7625</v>
      </c>
      <c r="P434" s="36" t="s">
        <v>26</v>
      </c>
    </row>
    <row r="435" spans="1:16">
      <c r="A435" s="132">
        <v>434</v>
      </c>
      <c r="B435" s="36" t="s">
        <v>7626</v>
      </c>
      <c r="C435" s="36" t="s">
        <v>7627</v>
      </c>
      <c r="D435" s="36" t="s">
        <v>7628</v>
      </c>
      <c r="E435" s="36" t="s">
        <v>7629</v>
      </c>
      <c r="F435" s="36" t="s">
        <v>7630</v>
      </c>
      <c r="G435" s="36" t="s">
        <v>7631</v>
      </c>
      <c r="H435" s="36" t="s">
        <v>7632</v>
      </c>
      <c r="I435" s="36" t="s">
        <v>7633</v>
      </c>
      <c r="J435" s="36" t="s">
        <v>7634</v>
      </c>
      <c r="K435" s="36" t="s">
        <v>7635</v>
      </c>
      <c r="L435" s="36" t="s">
        <v>7636</v>
      </c>
      <c r="M435" s="36" t="s">
        <v>7637</v>
      </c>
      <c r="N435" s="36" t="s">
        <v>7638</v>
      </c>
      <c r="O435" s="36" t="s">
        <v>7639</v>
      </c>
      <c r="P435" s="36" t="s">
        <v>7626</v>
      </c>
    </row>
    <row r="436" spans="1:16">
      <c r="A436" s="132">
        <v>435</v>
      </c>
      <c r="B436" s="36" t="s">
        <v>7640</v>
      </c>
      <c r="C436" s="36" t="s">
        <v>7641</v>
      </c>
      <c r="D436" s="36" t="s">
        <v>7642</v>
      </c>
      <c r="E436" s="36" t="s">
        <v>7643</v>
      </c>
      <c r="F436" s="36" t="s">
        <v>7644</v>
      </c>
      <c r="G436" s="36" t="s">
        <v>7645</v>
      </c>
      <c r="H436" s="36" t="s">
        <v>7646</v>
      </c>
      <c r="I436" s="36" t="s">
        <v>7647</v>
      </c>
      <c r="J436" s="36" t="s">
        <v>7648</v>
      </c>
      <c r="K436" s="36" t="s">
        <v>7649</v>
      </c>
      <c r="L436" s="36" t="s">
        <v>7650</v>
      </c>
      <c r="M436" s="36" t="s">
        <v>7651</v>
      </c>
      <c r="N436" s="36" t="s">
        <v>7652</v>
      </c>
      <c r="O436" s="36" t="s">
        <v>7653</v>
      </c>
      <c r="P436" s="36" t="s">
        <v>7640</v>
      </c>
    </row>
    <row r="437" spans="1:16">
      <c r="A437" s="132">
        <v>436</v>
      </c>
      <c r="B437" s="36" t="s">
        <v>7654</v>
      </c>
      <c r="C437" s="36" t="s">
        <v>7655</v>
      </c>
      <c r="D437" s="36" t="s">
        <v>7656</v>
      </c>
      <c r="E437" s="36" t="s">
        <v>7657</v>
      </c>
      <c r="F437" s="36" t="s">
        <v>7658</v>
      </c>
      <c r="G437" s="36" t="s">
        <v>7659</v>
      </c>
      <c r="H437" s="36" t="s">
        <v>7660</v>
      </c>
      <c r="I437" s="36" t="s">
        <v>7661</v>
      </c>
      <c r="J437" s="36" t="s">
        <v>7662</v>
      </c>
      <c r="K437" s="36" t="s">
        <v>7663</v>
      </c>
      <c r="L437" s="36" t="s">
        <v>7664</v>
      </c>
      <c r="M437" s="36" t="s">
        <v>7665</v>
      </c>
      <c r="N437" s="36" t="s">
        <v>7665</v>
      </c>
      <c r="O437" s="36" t="s">
        <v>7666</v>
      </c>
      <c r="P437" s="36" t="s">
        <v>7654</v>
      </c>
    </row>
    <row r="438" spans="1:16">
      <c r="A438" s="132">
        <v>437</v>
      </c>
      <c r="B438" s="36" t="s">
        <v>7667</v>
      </c>
      <c r="C438" s="36" t="s">
        <v>7668</v>
      </c>
      <c r="D438" s="36" t="s">
        <v>7669</v>
      </c>
      <c r="E438" s="36" t="s">
        <v>7670</v>
      </c>
      <c r="F438" s="36" t="s">
        <v>7671</v>
      </c>
      <c r="G438" s="36" t="s">
        <v>7672</v>
      </c>
      <c r="H438" s="36" t="s">
        <v>7673</v>
      </c>
      <c r="I438" s="36" t="s">
        <v>7674</v>
      </c>
      <c r="J438" s="36" t="s">
        <v>7675</v>
      </c>
      <c r="K438" s="36" t="s">
        <v>7676</v>
      </c>
      <c r="L438" s="36" t="s">
        <v>7677</v>
      </c>
      <c r="M438" s="36" t="s">
        <v>7678</v>
      </c>
      <c r="N438" s="36" t="s">
        <v>7678</v>
      </c>
      <c r="O438" s="36" t="s">
        <v>7679</v>
      </c>
      <c r="P438" s="36" t="s">
        <v>7667</v>
      </c>
    </row>
    <row r="439" spans="1:16">
      <c r="A439" s="132">
        <v>438</v>
      </c>
      <c r="B439" s="36" t="s">
        <v>7680</v>
      </c>
      <c r="C439" s="36" t="s">
        <v>7681</v>
      </c>
      <c r="D439" s="36" t="s">
        <v>7682</v>
      </c>
      <c r="E439" s="36" t="s">
        <v>7683</v>
      </c>
      <c r="F439" s="36" t="s">
        <v>7684</v>
      </c>
      <c r="G439" s="36" t="s">
        <v>7685</v>
      </c>
      <c r="H439" s="36" t="s">
        <v>7686</v>
      </c>
      <c r="I439" s="36" t="s">
        <v>7687</v>
      </c>
      <c r="J439" s="36" t="s">
        <v>7688</v>
      </c>
      <c r="K439" s="36" t="s">
        <v>7689</v>
      </c>
      <c r="L439" s="36" t="s">
        <v>7690</v>
      </c>
      <c r="M439" s="36" t="s">
        <v>7691</v>
      </c>
      <c r="N439" s="36" t="s">
        <v>7692</v>
      </c>
      <c r="O439" s="36" t="s">
        <v>7693</v>
      </c>
      <c r="P439" s="36" t="s">
        <v>7680</v>
      </c>
    </row>
    <row r="440" spans="1:16">
      <c r="A440" s="132">
        <v>439</v>
      </c>
      <c r="B440" s="36" t="s">
        <v>7694</v>
      </c>
      <c r="C440" s="36" t="s">
        <v>7695</v>
      </c>
      <c r="D440" s="36" t="s">
        <v>7696</v>
      </c>
      <c r="E440" s="36" t="s">
        <v>7697</v>
      </c>
      <c r="F440" s="36" t="s">
        <v>7698</v>
      </c>
      <c r="G440" s="36" t="s">
        <v>7699</v>
      </c>
      <c r="H440" s="36" t="s">
        <v>7700</v>
      </c>
      <c r="I440" s="36" t="s">
        <v>7701</v>
      </c>
      <c r="J440" s="36" t="s">
        <v>7702</v>
      </c>
      <c r="K440" s="36" t="s">
        <v>7703</v>
      </c>
      <c r="L440" s="36" t="s">
        <v>7704</v>
      </c>
      <c r="M440" s="36" t="s">
        <v>7705</v>
      </c>
      <c r="N440" s="36" t="s">
        <v>7706</v>
      </c>
      <c r="O440" s="36" t="s">
        <v>7707</v>
      </c>
      <c r="P440" s="36" t="s">
        <v>7694</v>
      </c>
    </row>
    <row r="441" spans="1:16" ht="27.6">
      <c r="A441" s="132">
        <v>440</v>
      </c>
      <c r="B441" s="36" t="s">
        <v>7708</v>
      </c>
      <c r="C441" s="116" t="s">
        <v>7709</v>
      </c>
      <c r="D441" s="36" t="s">
        <v>7710</v>
      </c>
      <c r="E441" s="36" t="s">
        <v>7711</v>
      </c>
      <c r="F441" s="116" t="s">
        <v>7712</v>
      </c>
      <c r="G441" s="116" t="s">
        <v>7713</v>
      </c>
      <c r="H441" s="36" t="s">
        <v>7714</v>
      </c>
      <c r="I441" s="116" t="s">
        <v>7715</v>
      </c>
      <c r="J441" s="116" t="s">
        <v>7716</v>
      </c>
      <c r="K441" s="36" t="s">
        <v>7717</v>
      </c>
      <c r="L441" s="36" t="s">
        <v>7718</v>
      </c>
      <c r="M441" s="116" t="s">
        <v>7719</v>
      </c>
      <c r="N441" s="116" t="s">
        <v>7720</v>
      </c>
      <c r="O441" s="36" t="s">
        <v>7721</v>
      </c>
      <c r="P441" s="36" t="s">
        <v>7708</v>
      </c>
    </row>
    <row r="442" spans="1:16">
      <c r="A442" s="132">
        <v>441</v>
      </c>
      <c r="B442" s="36" t="s">
        <v>7722</v>
      </c>
      <c r="C442" s="36" t="s">
        <v>7723</v>
      </c>
      <c r="D442" s="36" t="s">
        <v>7724</v>
      </c>
      <c r="E442" s="36" t="s">
        <v>7725</v>
      </c>
      <c r="F442" s="36" t="s">
        <v>7726</v>
      </c>
      <c r="G442" s="36" t="s">
        <v>7727</v>
      </c>
      <c r="H442" s="36" t="s">
        <v>7728</v>
      </c>
      <c r="I442" s="36" t="s">
        <v>7729</v>
      </c>
      <c r="J442" s="36" t="s">
        <v>7730</v>
      </c>
      <c r="K442" s="36" t="s">
        <v>7731</v>
      </c>
      <c r="L442" s="36" t="s">
        <v>7732</v>
      </c>
      <c r="M442" s="36" t="s">
        <v>7733</v>
      </c>
      <c r="N442" s="36" t="s">
        <v>7734</v>
      </c>
      <c r="O442" s="36" t="s">
        <v>7735</v>
      </c>
      <c r="P442" s="36" t="s">
        <v>7722</v>
      </c>
    </row>
    <row r="443" spans="1:16">
      <c r="A443" s="132">
        <v>442</v>
      </c>
      <c r="B443" s="36" t="s">
        <v>7736</v>
      </c>
      <c r="C443" s="36" t="s">
        <v>7737</v>
      </c>
      <c r="D443" s="36" t="s">
        <v>7738</v>
      </c>
      <c r="E443" s="36" t="s">
        <v>7739</v>
      </c>
      <c r="F443" s="36" t="s">
        <v>7740</v>
      </c>
      <c r="G443" s="36" t="s">
        <v>7741</v>
      </c>
      <c r="H443" s="36" t="s">
        <v>7742</v>
      </c>
      <c r="I443" s="36" t="s">
        <v>7743</v>
      </c>
      <c r="J443" s="36" t="s">
        <v>7744</v>
      </c>
      <c r="K443" s="36" t="s">
        <v>7745</v>
      </c>
      <c r="L443" s="36" t="s">
        <v>7746</v>
      </c>
      <c r="M443" s="36" t="s">
        <v>7747</v>
      </c>
      <c r="N443" s="36" t="s">
        <v>7748</v>
      </c>
      <c r="O443" s="36" t="s">
        <v>7749</v>
      </c>
      <c r="P443" s="36" t="s">
        <v>7736</v>
      </c>
    </row>
    <row r="444" spans="1:16">
      <c r="A444" s="132">
        <v>443</v>
      </c>
      <c r="B444" s="36" t="s">
        <v>7750</v>
      </c>
      <c r="C444" s="36" t="s">
        <v>7751</v>
      </c>
      <c r="D444" s="36" t="s">
        <v>7752</v>
      </c>
      <c r="E444" s="36" t="s">
        <v>7753</v>
      </c>
      <c r="F444" s="36" t="s">
        <v>7754</v>
      </c>
      <c r="G444" s="36" t="s">
        <v>7755</v>
      </c>
      <c r="H444" s="36" t="s">
        <v>7756</v>
      </c>
      <c r="I444" s="36" t="s">
        <v>7757</v>
      </c>
      <c r="J444" s="36" t="s">
        <v>7758</v>
      </c>
      <c r="K444" s="36" t="s">
        <v>7759</v>
      </c>
      <c r="L444" s="36" t="s">
        <v>7760</v>
      </c>
      <c r="M444" s="36" t="s">
        <v>7761</v>
      </c>
      <c r="N444" s="36" t="s">
        <v>7762</v>
      </c>
      <c r="O444" s="36" t="s">
        <v>7763</v>
      </c>
      <c r="P444" s="36" t="s">
        <v>7750</v>
      </c>
    </row>
    <row r="445" spans="1:16">
      <c r="A445" s="132">
        <v>444</v>
      </c>
      <c r="B445" s="36" t="s">
        <v>29561</v>
      </c>
      <c r="C445" s="36" t="s">
        <v>29562</v>
      </c>
      <c r="D445" s="36" t="s">
        <v>29563</v>
      </c>
      <c r="E445" s="36" t="s">
        <v>29564</v>
      </c>
      <c r="F445" s="36" t="s">
        <v>29565</v>
      </c>
      <c r="G445" s="36" t="s">
        <v>29566</v>
      </c>
      <c r="H445" s="36" t="s">
        <v>7764</v>
      </c>
      <c r="I445" s="36" t="s">
        <v>29567</v>
      </c>
      <c r="J445" s="36" t="s">
        <v>29568</v>
      </c>
      <c r="K445" s="36" t="s">
        <v>29569</v>
      </c>
      <c r="L445" s="36" t="s">
        <v>29570</v>
      </c>
      <c r="M445" s="36" t="s">
        <v>29571</v>
      </c>
      <c r="N445" s="36" t="s">
        <v>29572</v>
      </c>
      <c r="O445" s="36" t="s">
        <v>29573</v>
      </c>
      <c r="P445" s="36" t="s">
        <v>29561</v>
      </c>
    </row>
    <row r="446" spans="1:16">
      <c r="A446" s="132">
        <v>445</v>
      </c>
      <c r="B446" s="36" t="s">
        <v>7765</v>
      </c>
      <c r="C446" s="36" t="s">
        <v>7765</v>
      </c>
      <c r="D446" s="36" t="s">
        <v>7765</v>
      </c>
      <c r="E446" s="36" t="s">
        <v>7765</v>
      </c>
      <c r="F446" s="36" t="s">
        <v>7765</v>
      </c>
      <c r="G446" s="36" t="s">
        <v>7765</v>
      </c>
      <c r="H446" s="36" t="s">
        <v>7765</v>
      </c>
      <c r="I446" s="36" t="s">
        <v>7765</v>
      </c>
      <c r="J446" s="36" t="s">
        <v>7765</v>
      </c>
      <c r="K446" s="36" t="s">
        <v>7765</v>
      </c>
      <c r="L446" s="36" t="s">
        <v>7765</v>
      </c>
      <c r="M446" s="36" t="s">
        <v>7765</v>
      </c>
      <c r="N446" s="36" t="s">
        <v>7765</v>
      </c>
      <c r="O446" s="36" t="s">
        <v>7765</v>
      </c>
      <c r="P446" s="36" t="s">
        <v>7765</v>
      </c>
    </row>
    <row r="447" spans="1:16">
      <c r="A447" s="132">
        <v>446</v>
      </c>
      <c r="B447" s="36" t="s">
        <v>7766</v>
      </c>
      <c r="C447" s="36" t="s">
        <v>7767</v>
      </c>
      <c r="D447" s="36" t="s">
        <v>7768</v>
      </c>
      <c r="E447" s="36" t="s">
        <v>7769</v>
      </c>
      <c r="F447" s="36" t="s">
        <v>7770</v>
      </c>
      <c r="G447" s="36" t="s">
        <v>7771</v>
      </c>
      <c r="H447" s="36" t="s">
        <v>7772</v>
      </c>
      <c r="I447" s="36" t="s">
        <v>7773</v>
      </c>
      <c r="J447" s="36" t="s">
        <v>7774</v>
      </c>
      <c r="K447" s="36" t="s">
        <v>7775</v>
      </c>
      <c r="L447" s="36" t="s">
        <v>7776</v>
      </c>
      <c r="M447" s="36" t="s">
        <v>7777</v>
      </c>
      <c r="N447" s="36" t="s">
        <v>7778</v>
      </c>
      <c r="O447" s="36" t="s">
        <v>7779</v>
      </c>
      <c r="P447" s="36" t="s">
        <v>7766</v>
      </c>
    </row>
    <row r="448" spans="1:16">
      <c r="A448" s="132">
        <v>447</v>
      </c>
      <c r="B448" s="36" t="s">
        <v>7780</v>
      </c>
      <c r="C448" s="36" t="s">
        <v>7781</v>
      </c>
      <c r="D448" s="36" t="s">
        <v>7782</v>
      </c>
      <c r="E448" s="36" t="s">
        <v>7783</v>
      </c>
      <c r="F448" s="36" t="s">
        <v>7784</v>
      </c>
      <c r="G448" s="36" t="s">
        <v>7785</v>
      </c>
      <c r="H448" s="36" t="s">
        <v>7786</v>
      </c>
      <c r="I448" s="36" t="s">
        <v>7787</v>
      </c>
      <c r="J448" s="36" t="s">
        <v>7788</v>
      </c>
      <c r="K448" s="36" t="s">
        <v>7789</v>
      </c>
      <c r="L448" s="36" t="s">
        <v>7790</v>
      </c>
      <c r="M448" s="36" t="s">
        <v>7791</v>
      </c>
      <c r="N448" s="36" t="s">
        <v>7792</v>
      </c>
      <c r="O448" s="36" t="s">
        <v>7793</v>
      </c>
      <c r="P448" s="36" t="s">
        <v>7780</v>
      </c>
    </row>
    <row r="449" spans="1:16">
      <c r="A449" s="132">
        <v>448</v>
      </c>
      <c r="B449" s="36" t="s">
        <v>7777</v>
      </c>
      <c r="C449" s="36" t="s">
        <v>7794</v>
      </c>
      <c r="D449" s="36" t="s">
        <v>7795</v>
      </c>
      <c r="E449" s="36" t="s">
        <v>7796</v>
      </c>
      <c r="F449" s="36" t="s">
        <v>7797</v>
      </c>
      <c r="G449" s="36" t="s">
        <v>7771</v>
      </c>
      <c r="H449" s="36" t="s">
        <v>7772</v>
      </c>
      <c r="I449" s="36" t="s">
        <v>7798</v>
      </c>
      <c r="J449" s="36" t="s">
        <v>7799</v>
      </c>
      <c r="K449" s="36" t="s">
        <v>7775</v>
      </c>
      <c r="L449" s="36" t="s">
        <v>7800</v>
      </c>
      <c r="M449" s="36" t="s">
        <v>7801</v>
      </c>
      <c r="N449" s="36" t="s">
        <v>7802</v>
      </c>
      <c r="O449" s="36" t="s">
        <v>7803</v>
      </c>
      <c r="P449" s="36" t="s">
        <v>7777</v>
      </c>
    </row>
    <row r="450" spans="1:16">
      <c r="A450" s="132">
        <v>449</v>
      </c>
      <c r="B450" s="36" t="s">
        <v>7804</v>
      </c>
      <c r="C450" s="36" t="s">
        <v>7805</v>
      </c>
      <c r="D450" s="36" t="s">
        <v>7806</v>
      </c>
      <c r="E450" s="36" t="s">
        <v>7807</v>
      </c>
      <c r="F450" s="36" t="s">
        <v>7808</v>
      </c>
      <c r="G450" s="36" t="s">
        <v>7809</v>
      </c>
      <c r="H450" s="36" t="s">
        <v>7810</v>
      </c>
      <c r="I450" s="36" t="s">
        <v>7811</v>
      </c>
      <c r="J450" s="36" t="s">
        <v>7812</v>
      </c>
      <c r="K450" s="36" t="s">
        <v>7813</v>
      </c>
      <c r="L450" s="36" t="s">
        <v>7814</v>
      </c>
      <c r="M450" s="36" t="s">
        <v>7815</v>
      </c>
      <c r="N450" s="36" t="s">
        <v>7816</v>
      </c>
      <c r="O450" s="36" t="s">
        <v>7817</v>
      </c>
      <c r="P450" s="36" t="s">
        <v>7804</v>
      </c>
    </row>
    <row r="451" spans="1:16">
      <c r="A451" s="132">
        <v>450</v>
      </c>
      <c r="B451" s="36" t="s">
        <v>7818</v>
      </c>
      <c r="C451" s="36" t="s">
        <v>7819</v>
      </c>
      <c r="D451" s="36" t="s">
        <v>7820</v>
      </c>
      <c r="E451" s="36" t="s">
        <v>7821</v>
      </c>
      <c r="F451" s="36" t="s">
        <v>7822</v>
      </c>
      <c r="G451" s="36" t="s">
        <v>7823</v>
      </c>
      <c r="H451" s="36" t="s">
        <v>7824</v>
      </c>
      <c r="I451" s="36" t="s">
        <v>7825</v>
      </c>
      <c r="J451" s="36" t="s">
        <v>7826</v>
      </c>
      <c r="K451" s="36" t="s">
        <v>7827</v>
      </c>
      <c r="L451" s="36" t="s">
        <v>7828</v>
      </c>
      <c r="M451" s="36" t="s">
        <v>7829</v>
      </c>
      <c r="N451" s="36" t="s">
        <v>7830</v>
      </c>
      <c r="O451" s="36" t="s">
        <v>7831</v>
      </c>
      <c r="P451" s="36" t="s">
        <v>7818</v>
      </c>
    </row>
    <row r="452" spans="1:16">
      <c r="A452" s="132">
        <v>451</v>
      </c>
      <c r="B452" s="36" t="s">
        <v>7832</v>
      </c>
      <c r="C452" s="36" t="s">
        <v>7819</v>
      </c>
      <c r="D452" s="36" t="s">
        <v>7820</v>
      </c>
      <c r="E452" s="36" t="s">
        <v>7833</v>
      </c>
      <c r="F452" s="36" t="s">
        <v>7822</v>
      </c>
      <c r="G452" s="36" t="s">
        <v>7834</v>
      </c>
      <c r="H452" s="36" t="s">
        <v>7835</v>
      </c>
      <c r="I452" s="36" t="s">
        <v>7836</v>
      </c>
      <c r="J452" s="36" t="s">
        <v>7837</v>
      </c>
      <c r="K452" s="36" t="s">
        <v>7838</v>
      </c>
      <c r="L452" s="36" t="s">
        <v>7839</v>
      </c>
      <c r="M452" s="36" t="s">
        <v>7840</v>
      </c>
      <c r="N452" s="36" t="s">
        <v>7841</v>
      </c>
      <c r="O452" s="36" t="s">
        <v>7842</v>
      </c>
      <c r="P452" s="36" t="s">
        <v>7832</v>
      </c>
    </row>
    <row r="453" spans="1:16">
      <c r="A453" s="132">
        <v>452</v>
      </c>
      <c r="B453" s="36" t="s">
        <v>7843</v>
      </c>
      <c r="C453" s="36" t="s">
        <v>7844</v>
      </c>
      <c r="D453" s="36" t="s">
        <v>7845</v>
      </c>
      <c r="E453" s="36" t="s">
        <v>7846</v>
      </c>
      <c r="F453" s="36" t="s">
        <v>7847</v>
      </c>
      <c r="G453" s="36" t="s">
        <v>7848</v>
      </c>
      <c r="H453" s="36" t="s">
        <v>7849</v>
      </c>
      <c r="I453" s="36" t="s">
        <v>7850</v>
      </c>
      <c r="J453" s="36" t="s">
        <v>7851</v>
      </c>
      <c r="K453" s="36" t="s">
        <v>7852</v>
      </c>
      <c r="L453" s="36" t="s">
        <v>7853</v>
      </c>
      <c r="M453" s="36" t="s">
        <v>7854</v>
      </c>
      <c r="N453" s="36" t="s">
        <v>7855</v>
      </c>
      <c r="O453" s="36" t="s">
        <v>7856</v>
      </c>
      <c r="P453" s="36" t="s">
        <v>7843</v>
      </c>
    </row>
    <row r="454" spans="1:16">
      <c r="A454" s="132">
        <v>453</v>
      </c>
      <c r="B454" s="36" t="s">
        <v>7857</v>
      </c>
      <c r="C454" s="36" t="s">
        <v>7858</v>
      </c>
      <c r="D454" s="36" t="s">
        <v>7859</v>
      </c>
      <c r="E454" s="36" t="s">
        <v>7860</v>
      </c>
      <c r="F454" s="36" t="s">
        <v>7861</v>
      </c>
      <c r="G454" s="36" t="s">
        <v>7862</v>
      </c>
      <c r="H454" s="36" t="s">
        <v>7863</v>
      </c>
      <c r="I454" s="36" t="s">
        <v>7864</v>
      </c>
      <c r="J454" s="36" t="s">
        <v>7865</v>
      </c>
      <c r="K454" s="36" t="s">
        <v>7866</v>
      </c>
      <c r="L454" s="36" t="s">
        <v>7867</v>
      </c>
      <c r="M454" s="36" t="s">
        <v>7868</v>
      </c>
      <c r="N454" s="36" t="s">
        <v>7869</v>
      </c>
      <c r="O454" s="36" t="s">
        <v>7870</v>
      </c>
      <c r="P454" s="36" t="s">
        <v>7857</v>
      </c>
    </row>
    <row r="455" spans="1:16">
      <c r="A455" s="132">
        <v>454</v>
      </c>
      <c r="B455" s="36" t="s">
        <v>7871</v>
      </c>
      <c r="C455" s="36" t="s">
        <v>7872</v>
      </c>
      <c r="D455" s="36" t="s">
        <v>7873</v>
      </c>
      <c r="E455" s="36" t="s">
        <v>7874</v>
      </c>
      <c r="F455" s="36" t="s">
        <v>7822</v>
      </c>
      <c r="G455" s="36" t="s">
        <v>7875</v>
      </c>
      <c r="H455" s="36" t="s">
        <v>7876</v>
      </c>
      <c r="I455" s="36" t="s">
        <v>7877</v>
      </c>
      <c r="J455" s="36" t="s">
        <v>7878</v>
      </c>
      <c r="K455" s="36" t="s">
        <v>7879</v>
      </c>
      <c r="L455" s="36" t="s">
        <v>7880</v>
      </c>
      <c r="M455" s="36" t="s">
        <v>7881</v>
      </c>
      <c r="N455" s="36" t="s">
        <v>7881</v>
      </c>
      <c r="O455" s="36" t="s">
        <v>7831</v>
      </c>
      <c r="P455" s="36" t="s">
        <v>7871</v>
      </c>
    </row>
    <row r="456" spans="1:16">
      <c r="A456" s="132">
        <v>455</v>
      </c>
      <c r="B456" s="36" t="s">
        <v>7882</v>
      </c>
      <c r="C456" s="36" t="s">
        <v>7883</v>
      </c>
      <c r="D456" s="36" t="s">
        <v>7884</v>
      </c>
      <c r="E456" s="36" t="s">
        <v>7885</v>
      </c>
      <c r="F456" s="36" t="s">
        <v>7886</v>
      </c>
      <c r="G456" s="36" t="s">
        <v>7887</v>
      </c>
      <c r="H456" s="36" t="s">
        <v>7888</v>
      </c>
      <c r="I456" s="36" t="s">
        <v>7889</v>
      </c>
      <c r="J456" s="36" t="s">
        <v>7890</v>
      </c>
      <c r="K456" s="36" t="s">
        <v>7891</v>
      </c>
      <c r="L456" s="36" t="s">
        <v>7892</v>
      </c>
      <c r="M456" s="36" t="s">
        <v>7893</v>
      </c>
      <c r="N456" s="36" t="s">
        <v>7894</v>
      </c>
      <c r="O456" s="36" t="s">
        <v>7895</v>
      </c>
      <c r="P456" s="36" t="s">
        <v>7882</v>
      </c>
    </row>
    <row r="457" spans="1:16">
      <c r="A457" s="132">
        <v>456</v>
      </c>
      <c r="B457" s="36" t="s">
        <v>7896</v>
      </c>
      <c r="C457" s="36" t="s">
        <v>7897</v>
      </c>
      <c r="D457" s="36" t="s">
        <v>7898</v>
      </c>
      <c r="E457" s="36" t="s">
        <v>7899</v>
      </c>
      <c r="F457" s="36" t="s">
        <v>7900</v>
      </c>
      <c r="G457" s="36" t="s">
        <v>7901</v>
      </c>
      <c r="H457" s="36" t="s">
        <v>7902</v>
      </c>
      <c r="I457" s="36" t="s">
        <v>7903</v>
      </c>
      <c r="J457" s="36" t="s">
        <v>7904</v>
      </c>
      <c r="K457" s="36" t="s">
        <v>7905</v>
      </c>
      <c r="L457" s="36" t="s">
        <v>7906</v>
      </c>
      <c r="M457" s="36" t="s">
        <v>7907</v>
      </c>
      <c r="N457" s="36" t="s">
        <v>7908</v>
      </c>
      <c r="O457" s="36" t="s">
        <v>7909</v>
      </c>
      <c r="P457" s="36" t="s">
        <v>7896</v>
      </c>
    </row>
    <row r="458" spans="1:16">
      <c r="A458" s="132">
        <v>457</v>
      </c>
      <c r="B458" s="36" t="s">
        <v>7910</v>
      </c>
      <c r="C458" s="36" t="s">
        <v>7911</v>
      </c>
      <c r="D458" s="36" t="s">
        <v>7912</v>
      </c>
      <c r="E458" s="36" t="s">
        <v>7913</v>
      </c>
      <c r="F458" s="36" t="s">
        <v>7914</v>
      </c>
      <c r="G458" s="36" t="s">
        <v>7915</v>
      </c>
      <c r="H458" s="36" t="s">
        <v>7916</v>
      </c>
      <c r="I458" s="36" t="s">
        <v>7917</v>
      </c>
      <c r="J458" s="36" t="s">
        <v>7918</v>
      </c>
      <c r="K458" s="36" t="s">
        <v>7919</v>
      </c>
      <c r="L458" s="36" t="s">
        <v>7920</v>
      </c>
      <c r="M458" s="36" t="s">
        <v>7921</v>
      </c>
      <c r="N458" s="36" t="s">
        <v>7922</v>
      </c>
      <c r="O458" s="36" t="s">
        <v>7923</v>
      </c>
      <c r="P458" s="36" t="s">
        <v>7910</v>
      </c>
    </row>
    <row r="459" spans="1:16">
      <c r="A459" s="132">
        <v>458</v>
      </c>
      <c r="B459" s="36" t="s">
        <v>7924</v>
      </c>
      <c r="C459" s="36" t="s">
        <v>7925</v>
      </c>
      <c r="D459" s="36" t="s">
        <v>7926</v>
      </c>
      <c r="E459" s="36" t="s">
        <v>7927</v>
      </c>
      <c r="F459" s="36" t="s">
        <v>7928</v>
      </c>
      <c r="G459" s="36" t="s">
        <v>7929</v>
      </c>
      <c r="H459" s="36" t="s">
        <v>7930</v>
      </c>
      <c r="I459" s="36" t="s">
        <v>7931</v>
      </c>
      <c r="J459" s="36" t="s">
        <v>7932</v>
      </c>
      <c r="K459" s="36" t="s">
        <v>7933</v>
      </c>
      <c r="L459" s="36" t="s">
        <v>7934</v>
      </c>
      <c r="M459" s="36" t="s">
        <v>7935</v>
      </c>
      <c r="N459" s="36" t="s">
        <v>7936</v>
      </c>
      <c r="O459" s="36" t="s">
        <v>7937</v>
      </c>
      <c r="P459" s="36" t="s">
        <v>7924</v>
      </c>
    </row>
    <row r="460" spans="1:16">
      <c r="A460" s="132">
        <v>459</v>
      </c>
      <c r="B460" s="36" t="s">
        <v>7938</v>
      </c>
      <c r="C460" s="36" t="s">
        <v>7939</v>
      </c>
      <c r="D460" s="36" t="s">
        <v>7940</v>
      </c>
      <c r="E460" s="36" t="s">
        <v>7941</v>
      </c>
      <c r="F460" s="36" t="s">
        <v>7942</v>
      </c>
      <c r="G460" s="36" t="s">
        <v>7943</v>
      </c>
      <c r="H460" s="36" t="s">
        <v>7944</v>
      </c>
      <c r="I460" s="36" t="s">
        <v>7945</v>
      </c>
      <c r="J460" s="36" t="s">
        <v>7946</v>
      </c>
      <c r="K460" s="36" t="s">
        <v>7947</v>
      </c>
      <c r="L460" s="36" t="s">
        <v>7948</v>
      </c>
      <c r="M460" s="36" t="s">
        <v>7949</v>
      </c>
      <c r="N460" s="36" t="s">
        <v>7950</v>
      </c>
      <c r="O460" s="36" t="s">
        <v>7951</v>
      </c>
      <c r="P460" s="36" t="s">
        <v>7938</v>
      </c>
    </row>
    <row r="461" spans="1:16">
      <c r="A461" s="132">
        <v>460</v>
      </c>
      <c r="B461" s="36" t="s">
        <v>7952</v>
      </c>
      <c r="C461" s="36" t="s">
        <v>7953</v>
      </c>
      <c r="D461" s="36" t="s">
        <v>7954</v>
      </c>
      <c r="E461" s="36" t="s">
        <v>7955</v>
      </c>
      <c r="F461" s="36" t="s">
        <v>7956</v>
      </c>
      <c r="G461" s="36" t="s">
        <v>7957</v>
      </c>
      <c r="H461" s="36" t="s">
        <v>7958</v>
      </c>
      <c r="I461" s="36" t="s">
        <v>7959</v>
      </c>
      <c r="J461" s="36" t="s">
        <v>7960</v>
      </c>
      <c r="K461" s="36" t="s">
        <v>7961</v>
      </c>
      <c r="L461" s="36" t="s">
        <v>7962</v>
      </c>
      <c r="M461" s="36" t="s">
        <v>7963</v>
      </c>
      <c r="N461" s="36" t="s">
        <v>7963</v>
      </c>
      <c r="O461" s="36" t="s">
        <v>7964</v>
      </c>
      <c r="P461" s="36" t="s">
        <v>7952</v>
      </c>
    </row>
    <row r="462" spans="1:16">
      <c r="A462" s="132">
        <v>461</v>
      </c>
      <c r="B462" s="36" t="s">
        <v>7965</v>
      </c>
      <c r="C462" s="36" t="s">
        <v>7966</v>
      </c>
      <c r="D462" s="36" t="s">
        <v>7967</v>
      </c>
      <c r="E462" s="36" t="s">
        <v>7968</v>
      </c>
      <c r="F462" s="36" t="s">
        <v>7969</v>
      </c>
      <c r="G462" s="36" t="s">
        <v>7970</v>
      </c>
      <c r="H462" s="36" t="s">
        <v>7971</v>
      </c>
      <c r="I462" s="36" t="s">
        <v>7972</v>
      </c>
      <c r="J462" s="36" t="s">
        <v>7973</v>
      </c>
      <c r="K462" s="36" t="s">
        <v>7974</v>
      </c>
      <c r="L462" s="36" t="s">
        <v>7975</v>
      </c>
      <c r="M462" s="36" t="s">
        <v>7976</v>
      </c>
      <c r="N462" s="36" t="s">
        <v>7977</v>
      </c>
      <c r="O462" s="36" t="s">
        <v>7978</v>
      </c>
      <c r="P462" s="36" t="s">
        <v>7965</v>
      </c>
    </row>
    <row r="463" spans="1:16">
      <c r="A463" s="132">
        <v>462</v>
      </c>
      <c r="B463" s="36" t="s">
        <v>7979</v>
      </c>
      <c r="C463" s="36" t="s">
        <v>7980</v>
      </c>
      <c r="D463" s="36" t="s">
        <v>7981</v>
      </c>
      <c r="E463" s="36" t="s">
        <v>7982</v>
      </c>
      <c r="F463" s="36" t="s">
        <v>7983</v>
      </c>
      <c r="G463" s="36" t="s">
        <v>7984</v>
      </c>
      <c r="H463" s="36" t="s">
        <v>7985</v>
      </c>
      <c r="I463" s="36" t="s">
        <v>7986</v>
      </c>
      <c r="J463" s="36" t="s">
        <v>7987</v>
      </c>
      <c r="K463" s="36" t="s">
        <v>7988</v>
      </c>
      <c r="L463" s="36" t="s">
        <v>7989</v>
      </c>
      <c r="M463" s="36" t="s">
        <v>7990</v>
      </c>
      <c r="N463" s="36" t="s">
        <v>7991</v>
      </c>
      <c r="O463" s="36" t="s">
        <v>7992</v>
      </c>
      <c r="P463" s="36" t="s">
        <v>7979</v>
      </c>
    </row>
    <row r="464" spans="1:16">
      <c r="A464" s="132">
        <v>463</v>
      </c>
      <c r="B464" s="36" t="s">
        <v>7993</v>
      </c>
      <c r="C464" s="36" t="s">
        <v>7994</v>
      </c>
      <c r="D464" s="36" t="s">
        <v>7995</v>
      </c>
      <c r="E464" s="36" t="s">
        <v>7996</v>
      </c>
      <c r="F464" s="36" t="s">
        <v>7997</v>
      </c>
      <c r="G464" s="36" t="s">
        <v>7998</v>
      </c>
      <c r="H464" s="36" t="s">
        <v>7999</v>
      </c>
      <c r="I464" s="36" t="s">
        <v>8000</v>
      </c>
      <c r="J464" s="36" t="s">
        <v>8001</v>
      </c>
      <c r="K464" s="36" t="s">
        <v>8002</v>
      </c>
      <c r="L464" s="36" t="s">
        <v>8003</v>
      </c>
      <c r="M464" s="36" t="s">
        <v>8004</v>
      </c>
      <c r="N464" s="36" t="s">
        <v>8005</v>
      </c>
      <c r="O464" s="36" t="s">
        <v>8006</v>
      </c>
      <c r="P464" s="36" t="s">
        <v>7993</v>
      </c>
    </row>
    <row r="465" spans="1:16">
      <c r="A465" s="132">
        <v>464</v>
      </c>
      <c r="B465" s="36" t="s">
        <v>8007</v>
      </c>
      <c r="C465" s="36" t="s">
        <v>8008</v>
      </c>
      <c r="D465" s="36" t="s">
        <v>8009</v>
      </c>
      <c r="E465" s="36" t="s">
        <v>8010</v>
      </c>
      <c r="F465" s="36" t="s">
        <v>8011</v>
      </c>
      <c r="G465" s="36" t="s">
        <v>8012</v>
      </c>
      <c r="H465" s="36" t="s">
        <v>8013</v>
      </c>
      <c r="I465" s="36" t="s">
        <v>8014</v>
      </c>
      <c r="J465" s="36" t="s">
        <v>8015</v>
      </c>
      <c r="K465" s="36" t="s">
        <v>8016</v>
      </c>
      <c r="L465" s="36" t="s">
        <v>8017</v>
      </c>
      <c r="M465" s="36" t="s">
        <v>8018</v>
      </c>
      <c r="N465" s="36" t="s">
        <v>8019</v>
      </c>
      <c r="O465" s="36" t="s">
        <v>8020</v>
      </c>
      <c r="P465" s="36" t="s">
        <v>8007</v>
      </c>
    </row>
    <row r="466" spans="1:16">
      <c r="A466" s="132">
        <v>465</v>
      </c>
      <c r="B466" s="36" t="s">
        <v>8021</v>
      </c>
      <c r="C466" s="36" t="s">
        <v>8022</v>
      </c>
      <c r="D466" s="36" t="s">
        <v>8023</v>
      </c>
      <c r="E466" s="36" t="s">
        <v>8024</v>
      </c>
      <c r="F466" s="36" t="s">
        <v>8025</v>
      </c>
      <c r="G466" s="36" t="s">
        <v>8026</v>
      </c>
      <c r="H466" s="36" t="s">
        <v>8027</v>
      </c>
      <c r="I466" s="36" t="s">
        <v>8028</v>
      </c>
      <c r="J466" s="36" t="s">
        <v>8029</v>
      </c>
      <c r="K466" s="36" t="s">
        <v>8030</v>
      </c>
      <c r="L466" s="36" t="s">
        <v>8031</v>
      </c>
      <c r="M466" s="36" t="s">
        <v>8032</v>
      </c>
      <c r="N466" s="36" t="s">
        <v>8033</v>
      </c>
      <c r="O466" s="36" t="s">
        <v>8034</v>
      </c>
      <c r="P466" s="36" t="s">
        <v>8021</v>
      </c>
    </row>
    <row r="467" spans="1:16">
      <c r="A467" s="132">
        <v>466</v>
      </c>
      <c r="B467" s="36" t="s">
        <v>8035</v>
      </c>
      <c r="C467" s="36" t="s">
        <v>8036</v>
      </c>
      <c r="D467" s="36" t="s">
        <v>8037</v>
      </c>
      <c r="E467" s="36" t="s">
        <v>8038</v>
      </c>
      <c r="F467" s="36" t="s">
        <v>8039</v>
      </c>
      <c r="G467" s="36" t="s">
        <v>8040</v>
      </c>
      <c r="H467" s="36" t="s">
        <v>8041</v>
      </c>
      <c r="I467" s="36" t="s">
        <v>8042</v>
      </c>
      <c r="J467" s="36" t="s">
        <v>8043</v>
      </c>
      <c r="K467" s="36" t="s">
        <v>8044</v>
      </c>
      <c r="L467" s="36" t="s">
        <v>8045</v>
      </c>
      <c r="M467" s="36" t="s">
        <v>8046</v>
      </c>
      <c r="N467" s="36" t="s">
        <v>8047</v>
      </c>
      <c r="O467" s="36" t="s">
        <v>8048</v>
      </c>
      <c r="P467" s="36" t="s">
        <v>8035</v>
      </c>
    </row>
    <row r="468" spans="1:16">
      <c r="A468" s="132">
        <v>467</v>
      </c>
      <c r="B468" s="36" t="s">
        <v>8049</v>
      </c>
      <c r="C468" s="36" t="s">
        <v>8050</v>
      </c>
      <c r="D468" s="36" t="s">
        <v>8051</v>
      </c>
      <c r="E468" s="36" t="s">
        <v>8052</v>
      </c>
      <c r="F468" s="36" t="s">
        <v>8053</v>
      </c>
      <c r="G468" s="36" t="s">
        <v>8054</v>
      </c>
      <c r="H468" s="36" t="s">
        <v>8055</v>
      </c>
      <c r="I468" s="36" t="s">
        <v>8056</v>
      </c>
      <c r="J468" s="36" t="s">
        <v>8057</v>
      </c>
      <c r="K468" s="36" t="s">
        <v>8058</v>
      </c>
      <c r="L468" s="36" t="s">
        <v>8059</v>
      </c>
      <c r="M468" s="36" t="s">
        <v>8060</v>
      </c>
      <c r="N468" s="36" t="s">
        <v>8061</v>
      </c>
      <c r="O468" s="36" t="s">
        <v>8062</v>
      </c>
      <c r="P468" s="36" t="s">
        <v>8049</v>
      </c>
    </row>
    <row r="469" spans="1:16">
      <c r="A469" s="132">
        <v>468</v>
      </c>
      <c r="B469" s="36" t="s">
        <v>8063</v>
      </c>
      <c r="C469" s="36" t="s">
        <v>8064</v>
      </c>
      <c r="D469" s="36" t="s">
        <v>8065</v>
      </c>
      <c r="E469" s="36" t="s">
        <v>8066</v>
      </c>
      <c r="F469" s="36" t="s">
        <v>8067</v>
      </c>
      <c r="G469" s="36" t="s">
        <v>8068</v>
      </c>
      <c r="H469" s="36" t="s">
        <v>8069</v>
      </c>
      <c r="I469" s="36" t="s">
        <v>8070</v>
      </c>
      <c r="J469" s="36" t="s">
        <v>8071</v>
      </c>
      <c r="K469" s="36" t="s">
        <v>8072</v>
      </c>
      <c r="L469" s="36" t="s">
        <v>8073</v>
      </c>
      <c r="M469" s="36" t="s">
        <v>8074</v>
      </c>
      <c r="N469" s="36" t="s">
        <v>8075</v>
      </c>
      <c r="O469" s="36" t="s">
        <v>8076</v>
      </c>
      <c r="P469" s="36" t="s">
        <v>8063</v>
      </c>
    </row>
    <row r="470" spans="1:16">
      <c r="A470" s="132">
        <v>469</v>
      </c>
      <c r="B470" s="36" t="s">
        <v>8077</v>
      </c>
      <c r="C470" s="36" t="s">
        <v>8078</v>
      </c>
      <c r="D470" s="36" t="s">
        <v>8079</v>
      </c>
      <c r="E470" s="36" t="s">
        <v>8080</v>
      </c>
      <c r="F470" s="36" t="s">
        <v>8081</v>
      </c>
      <c r="G470" s="36" t="s">
        <v>8082</v>
      </c>
      <c r="H470" s="36" t="s">
        <v>8083</v>
      </c>
      <c r="I470" s="36" t="s">
        <v>8084</v>
      </c>
      <c r="J470" s="36" t="s">
        <v>8085</v>
      </c>
      <c r="K470" s="36" t="s">
        <v>8086</v>
      </c>
      <c r="L470" s="36" t="s">
        <v>8087</v>
      </c>
      <c r="M470" s="36" t="s">
        <v>8088</v>
      </c>
      <c r="N470" s="36" t="s">
        <v>8089</v>
      </c>
      <c r="O470" s="36" t="s">
        <v>8090</v>
      </c>
      <c r="P470" s="36" t="s">
        <v>8077</v>
      </c>
    </row>
    <row r="471" spans="1:16">
      <c r="A471" s="132">
        <v>470</v>
      </c>
      <c r="B471" s="36" t="s">
        <v>8091</v>
      </c>
      <c r="C471" s="36" t="s">
        <v>8092</v>
      </c>
      <c r="D471" s="36" t="s">
        <v>8093</v>
      </c>
      <c r="E471" s="36" t="s">
        <v>8094</v>
      </c>
      <c r="F471" s="36" t="s">
        <v>8095</v>
      </c>
      <c r="G471" s="36" t="s">
        <v>8096</v>
      </c>
      <c r="H471" s="36" t="s">
        <v>8097</v>
      </c>
      <c r="I471" s="36" t="s">
        <v>8098</v>
      </c>
      <c r="J471" s="36" t="s">
        <v>8099</v>
      </c>
      <c r="K471" s="36" t="s">
        <v>8100</v>
      </c>
      <c r="L471" s="36" t="s">
        <v>8101</v>
      </c>
      <c r="M471" s="36" t="s">
        <v>8102</v>
      </c>
      <c r="N471" s="36" t="s">
        <v>8103</v>
      </c>
      <c r="O471" s="36" t="s">
        <v>8104</v>
      </c>
      <c r="P471" s="36" t="s">
        <v>8091</v>
      </c>
    </row>
    <row r="472" spans="1:16">
      <c r="A472" s="132">
        <v>471</v>
      </c>
      <c r="B472" s="36" t="s">
        <v>8105</v>
      </c>
      <c r="C472" s="36" t="s">
        <v>8106</v>
      </c>
      <c r="D472" s="36" t="s">
        <v>8107</v>
      </c>
      <c r="E472" s="36" t="s">
        <v>8108</v>
      </c>
      <c r="F472" s="36" t="s">
        <v>8109</v>
      </c>
      <c r="G472" s="36" t="s">
        <v>8110</v>
      </c>
      <c r="H472" s="36" t="s">
        <v>8111</v>
      </c>
      <c r="I472" s="36" t="s">
        <v>8112</v>
      </c>
      <c r="J472" s="36" t="s">
        <v>8113</v>
      </c>
      <c r="K472" s="36" t="s">
        <v>8114</v>
      </c>
      <c r="L472" s="36" t="s">
        <v>8115</v>
      </c>
      <c r="M472" s="36" t="s">
        <v>8116</v>
      </c>
      <c r="N472" s="36" t="s">
        <v>8117</v>
      </c>
      <c r="O472" s="36" t="s">
        <v>8118</v>
      </c>
      <c r="P472" s="36" t="s">
        <v>8105</v>
      </c>
    </row>
    <row r="473" spans="1:16">
      <c r="A473" s="132">
        <v>472</v>
      </c>
      <c r="B473" s="36" t="s">
        <v>8119</v>
      </c>
      <c r="C473" s="36" t="s">
        <v>8120</v>
      </c>
      <c r="D473" s="36" t="s">
        <v>8121</v>
      </c>
      <c r="E473" s="36" t="s">
        <v>8122</v>
      </c>
      <c r="F473" s="36" t="s">
        <v>8123</v>
      </c>
      <c r="G473" s="36" t="s">
        <v>8124</v>
      </c>
      <c r="H473" s="36" t="s">
        <v>8125</v>
      </c>
      <c r="I473" s="36" t="s">
        <v>8126</v>
      </c>
      <c r="J473" s="36" t="s">
        <v>8127</v>
      </c>
      <c r="K473" s="36" t="s">
        <v>8128</v>
      </c>
      <c r="L473" s="36" t="s">
        <v>8129</v>
      </c>
      <c r="M473" s="36" t="s">
        <v>8130</v>
      </c>
      <c r="N473" s="36" t="s">
        <v>8131</v>
      </c>
      <c r="O473" s="36" t="s">
        <v>8132</v>
      </c>
      <c r="P473" s="36" t="s">
        <v>8119</v>
      </c>
    </row>
    <row r="474" spans="1:16">
      <c r="A474" s="132">
        <v>473</v>
      </c>
      <c r="B474" s="36" t="s">
        <v>8133</v>
      </c>
      <c r="C474" s="36" t="s">
        <v>8134</v>
      </c>
      <c r="D474" s="36" t="s">
        <v>8135</v>
      </c>
      <c r="E474" s="36" t="s">
        <v>8136</v>
      </c>
      <c r="F474" s="36" t="s">
        <v>8137</v>
      </c>
      <c r="G474" s="36" t="s">
        <v>8138</v>
      </c>
      <c r="H474" s="36" t="s">
        <v>8139</v>
      </c>
      <c r="I474" s="36" t="s">
        <v>8140</v>
      </c>
      <c r="J474" s="36" t="s">
        <v>8141</v>
      </c>
      <c r="K474" s="36" t="s">
        <v>8142</v>
      </c>
      <c r="L474" s="36" t="s">
        <v>8143</v>
      </c>
      <c r="M474" s="36" t="s">
        <v>8144</v>
      </c>
      <c r="N474" s="36" t="s">
        <v>8145</v>
      </c>
      <c r="O474" s="36" t="s">
        <v>8146</v>
      </c>
      <c r="P474" s="36" t="s">
        <v>8133</v>
      </c>
    </row>
    <row r="475" spans="1:16">
      <c r="A475" s="132">
        <v>474</v>
      </c>
      <c r="B475" s="36" t="s">
        <v>8147</v>
      </c>
      <c r="C475" s="36" t="s">
        <v>8148</v>
      </c>
      <c r="D475" s="36" t="s">
        <v>8149</v>
      </c>
      <c r="E475" s="36" t="s">
        <v>8150</v>
      </c>
      <c r="F475" s="36" t="s">
        <v>8151</v>
      </c>
      <c r="G475" s="36" t="s">
        <v>8152</v>
      </c>
      <c r="H475" s="36" t="s">
        <v>8153</v>
      </c>
      <c r="I475" s="36" t="s">
        <v>8154</v>
      </c>
      <c r="J475" s="36" t="s">
        <v>8155</v>
      </c>
      <c r="K475" s="36" t="s">
        <v>8156</v>
      </c>
      <c r="L475" s="36" t="s">
        <v>8157</v>
      </c>
      <c r="M475" s="36" t="s">
        <v>8158</v>
      </c>
      <c r="N475" s="36" t="s">
        <v>8159</v>
      </c>
      <c r="O475" s="36" t="s">
        <v>8160</v>
      </c>
      <c r="P475" s="36" t="s">
        <v>8147</v>
      </c>
    </row>
    <row r="476" spans="1:16">
      <c r="A476" s="132">
        <v>475</v>
      </c>
      <c r="B476" s="36" t="s">
        <v>8161</v>
      </c>
      <c r="C476" s="36" t="s">
        <v>8162</v>
      </c>
      <c r="D476" s="36" t="s">
        <v>8163</v>
      </c>
      <c r="E476" s="36" t="s">
        <v>8164</v>
      </c>
      <c r="F476" s="36" t="s">
        <v>8165</v>
      </c>
      <c r="G476" s="36" t="s">
        <v>8166</v>
      </c>
      <c r="H476" s="36" t="s">
        <v>8167</v>
      </c>
      <c r="I476" s="36" t="s">
        <v>8168</v>
      </c>
      <c r="J476" s="36" t="s">
        <v>8169</v>
      </c>
      <c r="K476" s="36" t="s">
        <v>8170</v>
      </c>
      <c r="L476" s="36" t="s">
        <v>8171</v>
      </c>
      <c r="M476" s="36" t="s">
        <v>8172</v>
      </c>
      <c r="N476" s="36" t="s">
        <v>8173</v>
      </c>
      <c r="O476" s="36" t="s">
        <v>8174</v>
      </c>
      <c r="P476" s="36" t="s">
        <v>8161</v>
      </c>
    </row>
    <row r="477" spans="1:16">
      <c r="A477" s="132">
        <v>476</v>
      </c>
      <c r="B477" s="36" t="s">
        <v>8175</v>
      </c>
      <c r="C477" s="36" t="s">
        <v>8176</v>
      </c>
      <c r="D477" s="36" t="s">
        <v>8177</v>
      </c>
      <c r="E477" s="36" t="s">
        <v>8178</v>
      </c>
      <c r="F477" s="36" t="s">
        <v>8179</v>
      </c>
      <c r="G477" s="36" t="s">
        <v>8180</v>
      </c>
      <c r="H477" s="36" t="s">
        <v>8181</v>
      </c>
      <c r="I477" s="36" t="s">
        <v>8182</v>
      </c>
      <c r="J477" s="36" t="s">
        <v>8183</v>
      </c>
      <c r="K477" s="36" t="s">
        <v>8184</v>
      </c>
      <c r="L477" s="36" t="s">
        <v>8185</v>
      </c>
      <c r="M477" s="36" t="s">
        <v>8186</v>
      </c>
      <c r="N477" s="36" t="s">
        <v>8187</v>
      </c>
      <c r="O477" s="36" t="s">
        <v>8188</v>
      </c>
      <c r="P477" s="36" t="s">
        <v>8175</v>
      </c>
    </row>
    <row r="478" spans="1:16">
      <c r="A478" s="132">
        <v>477</v>
      </c>
      <c r="B478" s="36" t="s">
        <v>8189</v>
      </c>
      <c r="C478" s="36" t="s">
        <v>8190</v>
      </c>
      <c r="D478" s="36" t="s">
        <v>8191</v>
      </c>
      <c r="E478" s="36" t="s">
        <v>8192</v>
      </c>
      <c r="F478" s="36" t="s">
        <v>8193</v>
      </c>
      <c r="G478" s="36" t="s">
        <v>8194</v>
      </c>
      <c r="H478" s="36" t="s">
        <v>8195</v>
      </c>
      <c r="I478" s="36" t="s">
        <v>8196</v>
      </c>
      <c r="J478" s="36" t="s">
        <v>8197</v>
      </c>
      <c r="K478" s="36" t="s">
        <v>8198</v>
      </c>
      <c r="L478" s="36" t="s">
        <v>8199</v>
      </c>
      <c r="M478" s="36" t="s">
        <v>8200</v>
      </c>
      <c r="N478" s="36" t="s">
        <v>8201</v>
      </c>
      <c r="O478" s="36" t="s">
        <v>8202</v>
      </c>
      <c r="P478" s="36" t="s">
        <v>8189</v>
      </c>
    </row>
    <row r="479" spans="1:16">
      <c r="A479" s="132">
        <v>478</v>
      </c>
      <c r="B479" s="36" t="s">
        <v>8203</v>
      </c>
      <c r="C479" s="36" t="s">
        <v>8204</v>
      </c>
      <c r="D479" s="36" t="s">
        <v>8205</v>
      </c>
      <c r="E479" s="36" t="s">
        <v>8206</v>
      </c>
      <c r="F479" s="36" t="s">
        <v>8207</v>
      </c>
      <c r="G479" s="36" t="s">
        <v>8208</v>
      </c>
      <c r="H479" s="36" t="s">
        <v>8209</v>
      </c>
      <c r="I479" s="36" t="s">
        <v>8210</v>
      </c>
      <c r="J479" s="36" t="s">
        <v>8211</v>
      </c>
      <c r="K479" s="36" t="s">
        <v>8212</v>
      </c>
      <c r="L479" s="36" t="s">
        <v>8213</v>
      </c>
      <c r="M479" s="36" t="s">
        <v>8214</v>
      </c>
      <c r="N479" s="36" t="s">
        <v>8215</v>
      </c>
      <c r="O479" s="36" t="s">
        <v>8216</v>
      </c>
      <c r="P479" s="36" t="s">
        <v>8203</v>
      </c>
    </row>
    <row r="480" spans="1:16">
      <c r="A480" s="132">
        <v>479</v>
      </c>
      <c r="B480" s="36" t="s">
        <v>8217</v>
      </c>
      <c r="C480" s="36" t="s">
        <v>8218</v>
      </c>
      <c r="D480" s="36" t="s">
        <v>8219</v>
      </c>
      <c r="E480" s="36" t="s">
        <v>8220</v>
      </c>
      <c r="F480" s="36" t="s">
        <v>8221</v>
      </c>
      <c r="G480" s="36" t="s">
        <v>8222</v>
      </c>
      <c r="H480" s="36" t="s">
        <v>8223</v>
      </c>
      <c r="I480" s="36" t="s">
        <v>8224</v>
      </c>
      <c r="J480" s="36" t="s">
        <v>8225</v>
      </c>
      <c r="K480" s="36" t="s">
        <v>8226</v>
      </c>
      <c r="L480" s="36" t="s">
        <v>8227</v>
      </c>
      <c r="M480" s="36" t="s">
        <v>8228</v>
      </c>
      <c r="N480" s="36" t="s">
        <v>8229</v>
      </c>
      <c r="O480" s="36" t="s">
        <v>8230</v>
      </c>
      <c r="P480" s="36" t="s">
        <v>8217</v>
      </c>
    </row>
    <row r="481" spans="1:16">
      <c r="A481" s="132">
        <v>480</v>
      </c>
      <c r="B481" s="36" t="s">
        <v>8231</v>
      </c>
      <c r="C481" s="36" t="s">
        <v>8232</v>
      </c>
      <c r="D481" s="36" t="s">
        <v>8233</v>
      </c>
      <c r="E481" s="36" t="s">
        <v>8234</v>
      </c>
      <c r="F481" s="36" t="s">
        <v>8235</v>
      </c>
      <c r="G481" s="36" t="s">
        <v>8236</v>
      </c>
      <c r="H481" s="36" t="s">
        <v>8237</v>
      </c>
      <c r="I481" s="36" t="s">
        <v>8238</v>
      </c>
      <c r="J481" s="36" t="s">
        <v>8239</v>
      </c>
      <c r="K481" s="36" t="s">
        <v>8240</v>
      </c>
      <c r="L481" s="36" t="s">
        <v>8241</v>
      </c>
      <c r="M481" s="36" t="s">
        <v>8242</v>
      </c>
      <c r="N481" s="36" t="s">
        <v>8243</v>
      </c>
      <c r="O481" s="36" t="s">
        <v>8244</v>
      </c>
      <c r="P481" s="36" t="s">
        <v>8231</v>
      </c>
    </row>
    <row r="482" spans="1:16">
      <c r="A482" s="132">
        <v>481</v>
      </c>
      <c r="B482" s="36" t="s">
        <v>8245</v>
      </c>
      <c r="C482" s="36" t="s">
        <v>8246</v>
      </c>
      <c r="D482" s="36" t="s">
        <v>8247</v>
      </c>
      <c r="E482" s="36" t="s">
        <v>8245</v>
      </c>
      <c r="F482" s="36" t="s">
        <v>8245</v>
      </c>
      <c r="G482" s="36" t="s">
        <v>8248</v>
      </c>
      <c r="H482" s="36" t="s">
        <v>8249</v>
      </c>
      <c r="I482" s="36" t="s">
        <v>8250</v>
      </c>
      <c r="J482" s="36" t="s">
        <v>8250</v>
      </c>
      <c r="K482" s="36" t="s">
        <v>8251</v>
      </c>
      <c r="L482" s="36" t="s">
        <v>8252</v>
      </c>
      <c r="M482" s="36" t="s">
        <v>8250</v>
      </c>
      <c r="N482" s="36" t="s">
        <v>8253</v>
      </c>
      <c r="O482" s="36" t="s">
        <v>8254</v>
      </c>
      <c r="P482" s="36" t="s">
        <v>8245</v>
      </c>
    </row>
    <row r="483" spans="1:16">
      <c r="A483" s="132">
        <v>482</v>
      </c>
      <c r="B483" s="36" t="s">
        <v>8255</v>
      </c>
      <c r="C483" s="36" t="s">
        <v>8256</v>
      </c>
      <c r="D483" s="36" t="s">
        <v>8257</v>
      </c>
      <c r="E483" s="36" t="s">
        <v>8258</v>
      </c>
      <c r="F483" s="36" t="s">
        <v>8259</v>
      </c>
      <c r="G483" s="36" t="s">
        <v>8260</v>
      </c>
      <c r="H483" s="36" t="s">
        <v>8261</v>
      </c>
      <c r="I483" s="36" t="s">
        <v>8262</v>
      </c>
      <c r="J483" s="36" t="s">
        <v>8263</v>
      </c>
      <c r="K483" s="36" t="s">
        <v>8264</v>
      </c>
      <c r="L483" s="36" t="s">
        <v>8265</v>
      </c>
      <c r="M483" s="36" t="s">
        <v>8266</v>
      </c>
      <c r="N483" s="36" t="s">
        <v>8267</v>
      </c>
      <c r="O483" s="36" t="s">
        <v>8268</v>
      </c>
      <c r="P483" s="36" t="s">
        <v>8255</v>
      </c>
    </row>
    <row r="484" spans="1:16">
      <c r="A484" s="132">
        <v>483</v>
      </c>
      <c r="B484" s="36" t="s">
        <v>8269</v>
      </c>
      <c r="C484" s="36" t="s">
        <v>8270</v>
      </c>
      <c r="D484" s="36" t="s">
        <v>8271</v>
      </c>
      <c r="E484" s="36" t="s">
        <v>8272</v>
      </c>
      <c r="F484" s="36" t="s">
        <v>8273</v>
      </c>
      <c r="G484" s="36" t="s">
        <v>8274</v>
      </c>
      <c r="H484" s="36" t="s">
        <v>8275</v>
      </c>
      <c r="I484" s="36" t="s">
        <v>8276</v>
      </c>
      <c r="J484" s="36" t="s">
        <v>8277</v>
      </c>
      <c r="K484" s="36" t="s">
        <v>8278</v>
      </c>
      <c r="L484" s="36" t="s">
        <v>8279</v>
      </c>
      <c r="M484" s="36" t="s">
        <v>8280</v>
      </c>
      <c r="N484" s="36" t="s">
        <v>8281</v>
      </c>
      <c r="O484" s="36" t="s">
        <v>8282</v>
      </c>
      <c r="P484" s="36" t="s">
        <v>8269</v>
      </c>
    </row>
    <row r="485" spans="1:16">
      <c r="A485" s="132">
        <v>484</v>
      </c>
      <c r="B485" s="36" t="s">
        <v>8283</v>
      </c>
      <c r="C485" s="36" t="s">
        <v>8284</v>
      </c>
      <c r="D485" s="36" t="s">
        <v>8285</v>
      </c>
      <c r="E485" s="36" t="s">
        <v>8286</v>
      </c>
      <c r="F485" s="36" t="s">
        <v>8287</v>
      </c>
      <c r="G485" s="36" t="s">
        <v>8288</v>
      </c>
      <c r="H485" s="36" t="s">
        <v>8289</v>
      </c>
      <c r="I485" s="36" t="s">
        <v>8290</v>
      </c>
      <c r="J485" s="36" t="s">
        <v>8291</v>
      </c>
      <c r="K485" s="36" t="s">
        <v>8292</v>
      </c>
      <c r="L485" s="36" t="s">
        <v>8293</v>
      </c>
      <c r="M485" s="36" t="s">
        <v>8294</v>
      </c>
      <c r="N485" s="36" t="s">
        <v>8295</v>
      </c>
      <c r="O485" s="36" t="s">
        <v>8296</v>
      </c>
      <c r="P485" s="36" t="s">
        <v>8283</v>
      </c>
    </row>
    <row r="486" spans="1:16" ht="16.2">
      <c r="A486" s="132">
        <v>485</v>
      </c>
      <c r="B486" s="36" t="s">
        <v>8297</v>
      </c>
      <c r="C486" s="36" t="s">
        <v>8298</v>
      </c>
      <c r="D486" s="36" t="s">
        <v>8299</v>
      </c>
      <c r="E486" s="36" t="s">
        <v>8300</v>
      </c>
      <c r="F486" s="36" t="s">
        <v>8301</v>
      </c>
      <c r="G486" s="36" t="s">
        <v>8302</v>
      </c>
      <c r="H486" s="36" t="s">
        <v>8303</v>
      </c>
      <c r="I486" s="36" t="s">
        <v>8304</v>
      </c>
      <c r="J486" s="36" t="s">
        <v>8305</v>
      </c>
      <c r="K486" s="36" t="s">
        <v>8306</v>
      </c>
      <c r="L486" s="36" t="s">
        <v>8307</v>
      </c>
      <c r="M486" s="36" t="s">
        <v>8308</v>
      </c>
      <c r="N486" s="36" t="s">
        <v>8309</v>
      </c>
      <c r="O486" s="36" t="s">
        <v>8310</v>
      </c>
      <c r="P486" s="36" t="s">
        <v>8297</v>
      </c>
    </row>
    <row r="487" spans="1:16">
      <c r="A487" s="132">
        <v>486</v>
      </c>
      <c r="B487" s="36" t="s">
        <v>8311</v>
      </c>
      <c r="C487" s="36" t="s">
        <v>8312</v>
      </c>
      <c r="D487" s="36" t="s">
        <v>8313</v>
      </c>
      <c r="E487" s="36" t="s">
        <v>8314</v>
      </c>
      <c r="F487" s="36" t="s">
        <v>8315</v>
      </c>
      <c r="G487" s="36" t="s">
        <v>8316</v>
      </c>
      <c r="H487" s="36" t="s">
        <v>8317</v>
      </c>
      <c r="I487" s="36" t="s">
        <v>8315</v>
      </c>
      <c r="J487" s="36" t="s">
        <v>8318</v>
      </c>
      <c r="K487" s="36" t="s">
        <v>8319</v>
      </c>
      <c r="L487" s="36" t="s">
        <v>8320</v>
      </c>
      <c r="M487" s="36" t="s">
        <v>8321</v>
      </c>
      <c r="N487" s="36" t="s">
        <v>8322</v>
      </c>
      <c r="O487" s="36" t="s">
        <v>8323</v>
      </c>
      <c r="P487" s="36" t="s">
        <v>8324</v>
      </c>
    </row>
    <row r="488" spans="1:16">
      <c r="A488" s="132">
        <v>487</v>
      </c>
      <c r="B488" s="36" t="s">
        <v>8325</v>
      </c>
      <c r="C488" s="36" t="s">
        <v>8326</v>
      </c>
      <c r="D488" s="36" t="s">
        <v>8327</v>
      </c>
      <c r="E488" s="36" t="s">
        <v>8328</v>
      </c>
      <c r="F488" s="36" t="s">
        <v>8329</v>
      </c>
      <c r="G488" s="36" t="s">
        <v>8330</v>
      </c>
      <c r="H488" s="36" t="s">
        <v>8331</v>
      </c>
      <c r="I488" s="36" t="s">
        <v>8332</v>
      </c>
      <c r="J488" s="36" t="s">
        <v>8333</v>
      </c>
      <c r="K488" s="36" t="s">
        <v>8334</v>
      </c>
      <c r="L488" s="36" t="s">
        <v>8335</v>
      </c>
      <c r="M488" s="36" t="s">
        <v>8336</v>
      </c>
      <c r="N488" s="36" t="s">
        <v>8337</v>
      </c>
      <c r="O488" s="36" t="s">
        <v>8338</v>
      </c>
      <c r="P488" s="36" t="s">
        <v>8325</v>
      </c>
    </row>
    <row r="489" spans="1:16">
      <c r="A489" s="132">
        <v>488</v>
      </c>
      <c r="B489" s="36" t="s">
        <v>8339</v>
      </c>
      <c r="C489" s="36" t="s">
        <v>8340</v>
      </c>
      <c r="D489" s="36" t="s">
        <v>8341</v>
      </c>
      <c r="E489" s="36" t="s">
        <v>8342</v>
      </c>
      <c r="F489" s="36" t="s">
        <v>8343</v>
      </c>
      <c r="G489" s="36" t="s">
        <v>8344</v>
      </c>
      <c r="H489" s="36" t="s">
        <v>8345</v>
      </c>
      <c r="I489" s="36" t="s">
        <v>8346</v>
      </c>
      <c r="J489" s="36" t="s">
        <v>8347</v>
      </c>
      <c r="K489" s="36" t="s">
        <v>8348</v>
      </c>
      <c r="L489" s="36" t="s">
        <v>8349</v>
      </c>
      <c r="M489" s="36" t="s">
        <v>8350</v>
      </c>
      <c r="N489" s="36" t="s">
        <v>8351</v>
      </c>
      <c r="O489" s="36" t="s">
        <v>8352</v>
      </c>
      <c r="P489" s="36" t="s">
        <v>8339</v>
      </c>
    </row>
    <row r="490" spans="1:16">
      <c r="A490" s="132">
        <v>489</v>
      </c>
      <c r="B490" s="36" t="s">
        <v>8353</v>
      </c>
      <c r="C490" s="36" t="s">
        <v>8354</v>
      </c>
      <c r="D490" s="36" t="s">
        <v>8355</v>
      </c>
      <c r="E490" s="36" t="s">
        <v>8356</v>
      </c>
      <c r="F490" s="36" t="s">
        <v>8357</v>
      </c>
      <c r="G490" s="36" t="s">
        <v>8358</v>
      </c>
      <c r="H490" s="36" t="s">
        <v>8359</v>
      </c>
      <c r="I490" s="36" t="s">
        <v>8360</v>
      </c>
      <c r="J490" s="36" t="s">
        <v>8361</v>
      </c>
      <c r="K490" s="36" t="s">
        <v>8362</v>
      </c>
      <c r="L490" s="36" t="s">
        <v>8363</v>
      </c>
      <c r="M490" s="36" t="s">
        <v>8364</v>
      </c>
      <c r="N490" s="36" t="s">
        <v>8365</v>
      </c>
      <c r="O490" s="36" t="s">
        <v>8366</v>
      </c>
      <c r="P490" s="36" t="s">
        <v>8353</v>
      </c>
    </row>
    <row r="491" spans="1:16">
      <c r="A491" s="132">
        <v>490</v>
      </c>
      <c r="B491" s="36" t="s">
        <v>8367</v>
      </c>
      <c r="C491" s="36" t="s">
        <v>8368</v>
      </c>
      <c r="D491" s="36" t="s">
        <v>8369</v>
      </c>
      <c r="E491" s="36" t="s">
        <v>8370</v>
      </c>
      <c r="F491" s="36" t="s">
        <v>8371</v>
      </c>
      <c r="G491" s="36" t="s">
        <v>8372</v>
      </c>
      <c r="H491" s="36" t="s">
        <v>8373</v>
      </c>
      <c r="I491" s="36" t="s">
        <v>8374</v>
      </c>
      <c r="J491" s="36" t="s">
        <v>8375</v>
      </c>
      <c r="K491" s="36" t="s">
        <v>8376</v>
      </c>
      <c r="L491" s="36" t="s">
        <v>8377</v>
      </c>
      <c r="M491" s="36" t="s">
        <v>8378</v>
      </c>
      <c r="N491" s="36" t="s">
        <v>8379</v>
      </c>
      <c r="O491" s="36" t="s">
        <v>8380</v>
      </c>
      <c r="P491" s="36" t="s">
        <v>8367</v>
      </c>
    </row>
    <row r="492" spans="1:16">
      <c r="A492" s="132">
        <v>491</v>
      </c>
      <c r="B492" s="36" t="s">
        <v>8381</v>
      </c>
      <c r="C492" s="36" t="s">
        <v>8382</v>
      </c>
      <c r="D492" s="36" t="s">
        <v>8383</v>
      </c>
      <c r="E492" s="36" t="s">
        <v>8384</v>
      </c>
      <c r="F492" s="36" t="s">
        <v>8385</v>
      </c>
      <c r="G492" s="36" t="s">
        <v>8386</v>
      </c>
      <c r="H492" s="36" t="s">
        <v>8387</v>
      </c>
      <c r="I492" s="36" t="s">
        <v>8388</v>
      </c>
      <c r="J492" s="36" t="s">
        <v>8389</v>
      </c>
      <c r="K492" s="36" t="s">
        <v>8390</v>
      </c>
      <c r="L492" s="36" t="s">
        <v>8391</v>
      </c>
      <c r="M492" s="36" t="s">
        <v>8392</v>
      </c>
      <c r="N492" s="36" t="s">
        <v>8393</v>
      </c>
      <c r="O492" s="36" t="s">
        <v>8394</v>
      </c>
      <c r="P492" s="36" t="s">
        <v>8381</v>
      </c>
    </row>
    <row r="493" spans="1:16">
      <c r="A493" s="132">
        <v>492</v>
      </c>
      <c r="B493" s="36" t="s">
        <v>8395</v>
      </c>
      <c r="C493" s="36" t="s">
        <v>8396</v>
      </c>
      <c r="D493" s="36" t="s">
        <v>8397</v>
      </c>
      <c r="E493" s="36" t="s">
        <v>8398</v>
      </c>
      <c r="F493" s="36" t="s">
        <v>8399</v>
      </c>
      <c r="G493" s="36" t="s">
        <v>8400</v>
      </c>
      <c r="H493" s="36" t="s">
        <v>8401</v>
      </c>
      <c r="I493" s="36" t="s">
        <v>8402</v>
      </c>
      <c r="J493" s="36" t="s">
        <v>8403</v>
      </c>
      <c r="K493" s="36" t="s">
        <v>8404</v>
      </c>
      <c r="L493" s="36" t="s">
        <v>8405</v>
      </c>
      <c r="M493" s="36" t="s">
        <v>8406</v>
      </c>
      <c r="N493" s="36" t="s">
        <v>8407</v>
      </c>
      <c r="O493" s="36" t="s">
        <v>8408</v>
      </c>
      <c r="P493" s="36" t="s">
        <v>8395</v>
      </c>
    </row>
    <row r="494" spans="1:16">
      <c r="A494" s="132">
        <v>493</v>
      </c>
      <c r="B494" s="36" t="s">
        <v>8409</v>
      </c>
      <c r="C494" s="36" t="s">
        <v>8410</v>
      </c>
      <c r="D494" s="36" t="s">
        <v>8411</v>
      </c>
      <c r="E494" s="36" t="s">
        <v>8412</v>
      </c>
      <c r="F494" s="36" t="s">
        <v>8413</v>
      </c>
      <c r="G494" s="36" t="s">
        <v>8414</v>
      </c>
      <c r="H494" s="36" t="s">
        <v>8415</v>
      </c>
      <c r="I494" s="36" t="s">
        <v>8416</v>
      </c>
      <c r="J494" s="36" t="s">
        <v>8417</v>
      </c>
      <c r="K494" s="36" t="s">
        <v>8418</v>
      </c>
      <c r="L494" s="36" t="s">
        <v>8419</v>
      </c>
      <c r="M494" s="36" t="s">
        <v>8420</v>
      </c>
      <c r="N494" s="36" t="s">
        <v>8421</v>
      </c>
      <c r="O494" s="36" t="s">
        <v>8422</v>
      </c>
      <c r="P494" s="36" t="s">
        <v>8409</v>
      </c>
    </row>
    <row r="495" spans="1:16">
      <c r="A495" s="132">
        <v>494</v>
      </c>
      <c r="B495" s="36" t="s">
        <v>8423</v>
      </c>
      <c r="C495" s="36" t="s">
        <v>8424</v>
      </c>
      <c r="D495" s="36" t="s">
        <v>8425</v>
      </c>
      <c r="E495" s="36" t="s">
        <v>8426</v>
      </c>
      <c r="F495" s="36" t="s">
        <v>8427</v>
      </c>
      <c r="G495" s="36" t="s">
        <v>8428</v>
      </c>
      <c r="H495" s="36" t="s">
        <v>8429</v>
      </c>
      <c r="I495" s="36" t="s">
        <v>8430</v>
      </c>
      <c r="J495" s="36" t="s">
        <v>8431</v>
      </c>
      <c r="K495" s="36" t="s">
        <v>8432</v>
      </c>
      <c r="L495" s="36" t="s">
        <v>8433</v>
      </c>
      <c r="M495" s="36" t="s">
        <v>8434</v>
      </c>
      <c r="N495" s="36" t="s">
        <v>8435</v>
      </c>
      <c r="O495" s="36" t="s">
        <v>8436</v>
      </c>
      <c r="P495" s="36" t="s">
        <v>8423</v>
      </c>
    </row>
    <row r="496" spans="1:16">
      <c r="A496" s="132">
        <v>495</v>
      </c>
      <c r="B496" s="36" t="s">
        <v>8437</v>
      </c>
      <c r="C496" s="36" t="s">
        <v>8438</v>
      </c>
      <c r="D496" s="36" t="s">
        <v>8439</v>
      </c>
      <c r="E496" s="36" t="s">
        <v>8440</v>
      </c>
      <c r="F496" s="36" t="s">
        <v>8441</v>
      </c>
      <c r="G496" s="36" t="s">
        <v>8442</v>
      </c>
      <c r="H496" s="36" t="s">
        <v>8443</v>
      </c>
      <c r="I496" s="36" t="s">
        <v>8444</v>
      </c>
      <c r="J496" s="36" t="s">
        <v>8445</v>
      </c>
      <c r="K496" s="36" t="s">
        <v>8446</v>
      </c>
      <c r="L496" s="36" t="s">
        <v>8447</v>
      </c>
      <c r="M496" s="36" t="s">
        <v>8448</v>
      </c>
      <c r="N496" s="36" t="s">
        <v>8449</v>
      </c>
      <c r="O496" s="36" t="s">
        <v>8450</v>
      </c>
      <c r="P496" s="36" t="s">
        <v>8437</v>
      </c>
    </row>
    <row r="497" spans="1:16">
      <c r="A497" s="132">
        <v>496</v>
      </c>
      <c r="B497" s="36" t="s">
        <v>8451</v>
      </c>
      <c r="C497" s="36" t="s">
        <v>8452</v>
      </c>
      <c r="D497" s="36" t="s">
        <v>8453</v>
      </c>
      <c r="E497" s="36" t="s">
        <v>8454</v>
      </c>
      <c r="F497" s="36" t="s">
        <v>8455</v>
      </c>
      <c r="G497" s="36" t="s">
        <v>5658</v>
      </c>
      <c r="H497" s="36" t="s">
        <v>8456</v>
      </c>
      <c r="I497" s="36" t="s">
        <v>8457</v>
      </c>
      <c r="J497" s="36" t="s">
        <v>8451</v>
      </c>
      <c r="K497" s="36" t="s">
        <v>8458</v>
      </c>
      <c r="L497" s="36" t="s">
        <v>8451</v>
      </c>
      <c r="M497" s="36" t="s">
        <v>8451</v>
      </c>
      <c r="N497" s="36" t="s">
        <v>8451</v>
      </c>
      <c r="O497" s="36" t="s">
        <v>8458</v>
      </c>
      <c r="P497" s="36" t="s">
        <v>8451</v>
      </c>
    </row>
    <row r="498" spans="1:16" ht="14.4">
      <c r="A498" s="132">
        <v>497</v>
      </c>
      <c r="B498" s="36" t="s">
        <v>8459</v>
      </c>
      <c r="C498" s="36" t="s">
        <v>8452</v>
      </c>
      <c r="D498" s="36" t="s">
        <v>8453</v>
      </c>
      <c r="E498" s="485" t="s">
        <v>29574</v>
      </c>
      <c r="F498" s="485" t="s">
        <v>29575</v>
      </c>
      <c r="G498" s="485" t="s">
        <v>29576</v>
      </c>
      <c r="H498" s="36" t="s">
        <v>8460</v>
      </c>
      <c r="I498" s="36" t="s">
        <v>8461</v>
      </c>
      <c r="J498" s="36" t="s">
        <v>8459</v>
      </c>
      <c r="K498" s="36" t="s">
        <v>8462</v>
      </c>
      <c r="L498" s="36" t="s">
        <v>8459</v>
      </c>
      <c r="M498" s="36" t="s">
        <v>8459</v>
      </c>
      <c r="N498" s="36" t="s">
        <v>8463</v>
      </c>
      <c r="O498" s="36" t="s">
        <v>8464</v>
      </c>
      <c r="P498" s="36" t="s">
        <v>8459</v>
      </c>
    </row>
    <row r="499" spans="1:16">
      <c r="A499" s="132">
        <v>498</v>
      </c>
      <c r="B499" s="36" t="s">
        <v>8465</v>
      </c>
      <c r="C499" s="36" t="s">
        <v>8466</v>
      </c>
      <c r="D499" s="36" t="s">
        <v>8467</v>
      </c>
      <c r="E499" s="36" t="s">
        <v>8468</v>
      </c>
      <c r="F499" s="36" t="s">
        <v>8469</v>
      </c>
      <c r="G499" s="36" t="s">
        <v>8470</v>
      </c>
      <c r="H499" s="36" t="s">
        <v>8471</v>
      </c>
      <c r="I499" s="36" t="s">
        <v>8472</v>
      </c>
      <c r="J499" s="36" t="s">
        <v>8465</v>
      </c>
      <c r="K499" s="36" t="s">
        <v>8473</v>
      </c>
      <c r="L499" s="36" t="s">
        <v>8474</v>
      </c>
      <c r="M499" s="36" t="s">
        <v>8465</v>
      </c>
      <c r="N499" s="36" t="s">
        <v>8465</v>
      </c>
      <c r="O499" s="36" t="s">
        <v>8473</v>
      </c>
      <c r="P499" s="36" t="s">
        <v>8465</v>
      </c>
    </row>
    <row r="500" spans="1:16" ht="14.4">
      <c r="A500" s="132">
        <v>499</v>
      </c>
      <c r="B500" s="36" t="s">
        <v>8475</v>
      </c>
      <c r="C500" s="36" t="s">
        <v>8476</v>
      </c>
      <c r="D500" s="36" t="s">
        <v>8477</v>
      </c>
      <c r="E500" s="36" t="s">
        <v>8478</v>
      </c>
      <c r="F500" s="485" t="s">
        <v>29577</v>
      </c>
      <c r="G500" s="36" t="s">
        <v>8479</v>
      </c>
      <c r="H500" s="36" t="s">
        <v>8480</v>
      </c>
      <c r="I500" s="36" t="s">
        <v>8481</v>
      </c>
      <c r="J500" s="36" t="s">
        <v>8482</v>
      </c>
      <c r="K500" s="36" t="s">
        <v>8483</v>
      </c>
      <c r="L500" s="36" t="s">
        <v>8484</v>
      </c>
      <c r="M500" s="36" t="s">
        <v>8485</v>
      </c>
      <c r="N500" s="36" t="s">
        <v>8486</v>
      </c>
      <c r="O500" s="36" t="s">
        <v>8487</v>
      </c>
      <c r="P500" s="36" t="s">
        <v>8475</v>
      </c>
    </row>
    <row r="501" spans="1:16" ht="14.4">
      <c r="A501" s="132">
        <v>500</v>
      </c>
      <c r="B501" s="36" t="s">
        <v>8475</v>
      </c>
      <c r="C501" s="36" t="s">
        <v>8476</v>
      </c>
      <c r="D501" s="36" t="s">
        <v>8488</v>
      </c>
      <c r="E501" s="36" t="s">
        <v>8478</v>
      </c>
      <c r="F501" s="485" t="s">
        <v>29577</v>
      </c>
      <c r="G501" s="36" t="s">
        <v>8489</v>
      </c>
      <c r="H501" s="36" t="s">
        <v>8490</v>
      </c>
      <c r="I501" s="36" t="s">
        <v>8491</v>
      </c>
      <c r="J501" s="36" t="s">
        <v>8492</v>
      </c>
      <c r="K501" s="36" t="s">
        <v>8493</v>
      </c>
      <c r="L501" s="36" t="s">
        <v>8494</v>
      </c>
      <c r="M501" s="36" t="s">
        <v>8495</v>
      </c>
      <c r="N501" s="36" t="s">
        <v>8496</v>
      </c>
      <c r="O501" s="36" t="s">
        <v>8497</v>
      </c>
      <c r="P501" s="36" t="s">
        <v>8475</v>
      </c>
    </row>
    <row r="502" spans="1:16">
      <c r="A502" s="132">
        <v>501</v>
      </c>
      <c r="B502" s="36" t="s">
        <v>8498</v>
      </c>
      <c r="C502" s="36" t="s">
        <v>8499</v>
      </c>
      <c r="D502" s="36" t="s">
        <v>8500</v>
      </c>
      <c r="E502" s="36" t="s">
        <v>8501</v>
      </c>
      <c r="F502" s="36" t="s">
        <v>8502</v>
      </c>
      <c r="G502" s="36" t="s">
        <v>8503</v>
      </c>
      <c r="H502" s="36" t="s">
        <v>8504</v>
      </c>
      <c r="I502" s="36" t="s">
        <v>8505</v>
      </c>
      <c r="J502" s="36" t="s">
        <v>8506</v>
      </c>
      <c r="K502" s="36" t="s">
        <v>8507</v>
      </c>
      <c r="L502" s="36" t="s">
        <v>8508</v>
      </c>
      <c r="M502" s="36" t="s">
        <v>8509</v>
      </c>
      <c r="N502" s="36" t="s">
        <v>8510</v>
      </c>
      <c r="O502" s="36" t="s">
        <v>8511</v>
      </c>
      <c r="P502" s="36" t="s">
        <v>8498</v>
      </c>
    </row>
    <row r="503" spans="1:16">
      <c r="A503" s="132">
        <v>502</v>
      </c>
      <c r="B503" s="36" t="s">
        <v>8512</v>
      </c>
      <c r="C503" s="36" t="s">
        <v>8513</v>
      </c>
      <c r="D503" s="36" t="s">
        <v>8514</v>
      </c>
      <c r="E503" s="36" t="s">
        <v>8515</v>
      </c>
      <c r="F503" s="36" t="s">
        <v>8516</v>
      </c>
      <c r="G503" s="36" t="s">
        <v>8517</v>
      </c>
      <c r="H503" s="36" t="s">
        <v>8518</v>
      </c>
      <c r="I503" s="36" t="s">
        <v>8519</v>
      </c>
      <c r="J503" s="36" t="s">
        <v>8520</v>
      </c>
      <c r="K503" s="36" t="s">
        <v>8521</v>
      </c>
      <c r="L503" s="36" t="s">
        <v>8522</v>
      </c>
      <c r="M503" s="36" t="s">
        <v>8523</v>
      </c>
      <c r="N503" s="36" t="s">
        <v>8524</v>
      </c>
      <c r="O503" s="36" t="s">
        <v>8525</v>
      </c>
      <c r="P503" s="36" t="s">
        <v>8512</v>
      </c>
    </row>
    <row r="504" spans="1:16">
      <c r="A504" s="132">
        <v>503</v>
      </c>
      <c r="B504" s="36" t="s">
        <v>8526</v>
      </c>
      <c r="C504" s="36" t="s">
        <v>8527</v>
      </c>
      <c r="D504" s="36" t="s">
        <v>8528</v>
      </c>
      <c r="E504" s="36" t="s">
        <v>8529</v>
      </c>
      <c r="F504" s="36" t="s">
        <v>8530</v>
      </c>
      <c r="G504" s="36" t="s">
        <v>8531</v>
      </c>
      <c r="H504" s="36" t="s">
        <v>8532</v>
      </c>
      <c r="I504" s="36" t="s">
        <v>8533</v>
      </c>
      <c r="J504" s="36" t="s">
        <v>8534</v>
      </c>
      <c r="K504" s="36" t="s">
        <v>8535</v>
      </c>
      <c r="L504" s="36" t="s">
        <v>8536</v>
      </c>
      <c r="M504" s="36" t="s">
        <v>8537</v>
      </c>
      <c r="N504" s="36" t="s">
        <v>8538</v>
      </c>
      <c r="O504" s="36" t="s">
        <v>8539</v>
      </c>
      <c r="P504" s="36" t="s">
        <v>8526</v>
      </c>
    </row>
    <row r="505" spans="1:16">
      <c r="A505" s="132">
        <v>504</v>
      </c>
      <c r="B505" s="36" t="s">
        <v>8540</v>
      </c>
      <c r="C505" s="36" t="s">
        <v>8541</v>
      </c>
      <c r="D505" s="36" t="s">
        <v>8542</v>
      </c>
      <c r="E505" s="36" t="s">
        <v>8543</v>
      </c>
      <c r="F505" s="36" t="s">
        <v>8544</v>
      </c>
      <c r="G505" s="36" t="s">
        <v>8545</v>
      </c>
      <c r="H505" s="36" t="s">
        <v>8546</v>
      </c>
      <c r="I505" s="36" t="s">
        <v>8547</v>
      </c>
      <c r="J505" s="36" t="s">
        <v>8548</v>
      </c>
      <c r="K505" s="36" t="s">
        <v>8549</v>
      </c>
      <c r="L505" s="36" t="s">
        <v>8550</v>
      </c>
      <c r="M505" s="36" t="s">
        <v>8551</v>
      </c>
      <c r="N505" s="36" t="s">
        <v>8552</v>
      </c>
      <c r="O505" s="36" t="s">
        <v>8553</v>
      </c>
      <c r="P505" s="36" t="s">
        <v>8540</v>
      </c>
    </row>
    <row r="506" spans="1:16">
      <c r="A506" s="132">
        <v>505</v>
      </c>
      <c r="B506" s="36" t="s">
        <v>8554</v>
      </c>
      <c r="C506" s="36" t="s">
        <v>8555</v>
      </c>
      <c r="D506" s="36" t="s">
        <v>8556</v>
      </c>
      <c r="E506" s="36" t="s">
        <v>8557</v>
      </c>
      <c r="F506" s="36" t="s">
        <v>8558</v>
      </c>
      <c r="G506" s="36" t="s">
        <v>8559</v>
      </c>
      <c r="H506" s="36" t="s">
        <v>8560</v>
      </c>
      <c r="I506" s="36" t="s">
        <v>8561</v>
      </c>
      <c r="J506" s="36" t="s">
        <v>8562</v>
      </c>
      <c r="K506" s="36" t="s">
        <v>8563</v>
      </c>
      <c r="L506" s="36" t="s">
        <v>8564</v>
      </c>
      <c r="M506" s="36" t="s">
        <v>8565</v>
      </c>
      <c r="N506" s="36" t="s">
        <v>8566</v>
      </c>
      <c r="O506" s="36" t="s">
        <v>8567</v>
      </c>
      <c r="P506" s="36" t="s">
        <v>8554</v>
      </c>
    </row>
    <row r="507" spans="1:16">
      <c r="A507" s="132">
        <v>506</v>
      </c>
      <c r="B507" s="36" t="s">
        <v>8568</v>
      </c>
      <c r="C507" s="36" t="s">
        <v>8569</v>
      </c>
      <c r="D507" s="36" t="s">
        <v>8570</v>
      </c>
      <c r="E507" s="36" t="s">
        <v>8571</v>
      </c>
      <c r="F507" s="36" t="s">
        <v>8572</v>
      </c>
      <c r="G507" s="36" t="s">
        <v>8573</v>
      </c>
      <c r="H507" s="36" t="s">
        <v>8574</v>
      </c>
      <c r="I507" s="36" t="s">
        <v>8575</v>
      </c>
      <c r="J507" s="36" t="s">
        <v>8576</v>
      </c>
      <c r="K507" s="36" t="s">
        <v>8577</v>
      </c>
      <c r="L507" s="36" t="s">
        <v>8578</v>
      </c>
      <c r="M507" s="36" t="s">
        <v>8579</v>
      </c>
      <c r="N507" s="36" t="s">
        <v>8580</v>
      </c>
      <c r="O507" s="36" t="s">
        <v>8581</v>
      </c>
      <c r="P507" s="36" t="s">
        <v>8568</v>
      </c>
    </row>
    <row r="508" spans="1:16">
      <c r="A508" s="132">
        <v>507</v>
      </c>
      <c r="B508" s="36" t="s">
        <v>8582</v>
      </c>
      <c r="C508" s="36" t="s">
        <v>8583</v>
      </c>
      <c r="D508" s="36" t="s">
        <v>8584</v>
      </c>
      <c r="E508" s="36" t="s">
        <v>8585</v>
      </c>
      <c r="F508" s="36" t="s">
        <v>8586</v>
      </c>
      <c r="G508" s="36" t="s">
        <v>8587</v>
      </c>
      <c r="H508" s="36" t="s">
        <v>8588</v>
      </c>
      <c r="I508" s="36" t="s">
        <v>8589</v>
      </c>
      <c r="J508" s="36" t="s">
        <v>8590</v>
      </c>
      <c r="K508" s="36" t="s">
        <v>8591</v>
      </c>
      <c r="L508" s="36" t="s">
        <v>8592</v>
      </c>
      <c r="M508" s="36" t="s">
        <v>8593</v>
      </c>
      <c r="N508" s="36" t="s">
        <v>8594</v>
      </c>
      <c r="O508" s="36" t="s">
        <v>8595</v>
      </c>
      <c r="P508" s="36" t="s">
        <v>8582</v>
      </c>
    </row>
    <row r="509" spans="1:16">
      <c r="A509" s="132">
        <v>508</v>
      </c>
      <c r="B509" s="36" t="s">
        <v>8596</v>
      </c>
      <c r="C509" s="36" t="s">
        <v>8597</v>
      </c>
      <c r="D509" s="36" t="s">
        <v>8598</v>
      </c>
      <c r="E509" s="36" t="s">
        <v>8599</v>
      </c>
      <c r="F509" s="36" t="s">
        <v>8600</v>
      </c>
      <c r="G509" s="36" t="s">
        <v>8601</v>
      </c>
      <c r="H509" s="36" t="s">
        <v>8602</v>
      </c>
      <c r="I509" s="36" t="s">
        <v>8603</v>
      </c>
      <c r="J509" s="36" t="s">
        <v>8604</v>
      </c>
      <c r="K509" s="36" t="s">
        <v>8605</v>
      </c>
      <c r="L509" s="36" t="s">
        <v>8606</v>
      </c>
      <c r="M509" s="36" t="s">
        <v>8607</v>
      </c>
      <c r="N509" s="36" t="s">
        <v>8608</v>
      </c>
      <c r="O509" s="36" t="s">
        <v>8609</v>
      </c>
      <c r="P509" s="36" t="s">
        <v>8596</v>
      </c>
    </row>
    <row r="510" spans="1:16">
      <c r="A510" s="132">
        <v>509</v>
      </c>
      <c r="B510" s="36" t="s">
        <v>8610</v>
      </c>
      <c r="C510" s="36" t="s">
        <v>8611</v>
      </c>
      <c r="D510" s="36" t="s">
        <v>8612</v>
      </c>
      <c r="E510" s="36" t="s">
        <v>8613</v>
      </c>
      <c r="F510" s="36" t="s">
        <v>8614</v>
      </c>
      <c r="G510" s="36" t="s">
        <v>8615</v>
      </c>
      <c r="H510" s="36" t="s">
        <v>8616</v>
      </c>
      <c r="I510" s="36" t="s">
        <v>8617</v>
      </c>
      <c r="J510" s="36" t="s">
        <v>8618</v>
      </c>
      <c r="K510" s="36" t="s">
        <v>8619</v>
      </c>
      <c r="L510" s="36" t="s">
        <v>8620</v>
      </c>
      <c r="M510" s="36" t="s">
        <v>8621</v>
      </c>
      <c r="N510" s="36" t="s">
        <v>8622</v>
      </c>
      <c r="O510" s="36" t="s">
        <v>8623</v>
      </c>
      <c r="P510" s="36" t="s">
        <v>8610</v>
      </c>
    </row>
    <row r="511" spans="1:16">
      <c r="A511" s="132">
        <v>510</v>
      </c>
      <c r="B511" s="36" t="s">
        <v>8624</v>
      </c>
      <c r="C511" s="36" t="s">
        <v>8625</v>
      </c>
      <c r="D511" s="36" t="s">
        <v>8626</v>
      </c>
      <c r="E511" s="36" t="s">
        <v>8627</v>
      </c>
      <c r="F511" s="36" t="s">
        <v>8628</v>
      </c>
      <c r="G511" s="36" t="s">
        <v>8629</v>
      </c>
      <c r="H511" s="36" t="s">
        <v>8630</v>
      </c>
      <c r="I511" s="36" t="s">
        <v>8631</v>
      </c>
      <c r="J511" s="36" t="s">
        <v>8632</v>
      </c>
      <c r="K511" s="36" t="s">
        <v>8633</v>
      </c>
      <c r="L511" s="36" t="s">
        <v>8634</v>
      </c>
      <c r="M511" s="36" t="s">
        <v>8635</v>
      </c>
      <c r="N511" s="36" t="s">
        <v>8636</v>
      </c>
      <c r="O511" s="36" t="s">
        <v>8637</v>
      </c>
      <c r="P511" s="36" t="s">
        <v>8624</v>
      </c>
    </row>
    <row r="512" spans="1:16">
      <c r="A512" s="132">
        <v>511</v>
      </c>
      <c r="B512" s="36" t="s">
        <v>8638</v>
      </c>
      <c r="C512" s="36" t="s">
        <v>8639</v>
      </c>
      <c r="D512" s="36" t="s">
        <v>8640</v>
      </c>
      <c r="E512" s="36" t="s">
        <v>8641</v>
      </c>
      <c r="F512" s="36" t="s">
        <v>8642</v>
      </c>
      <c r="G512" s="36" t="s">
        <v>8643</v>
      </c>
      <c r="H512" s="36" t="s">
        <v>8644</v>
      </c>
      <c r="I512" s="36" t="s">
        <v>8645</v>
      </c>
      <c r="J512" s="36" t="s">
        <v>8646</v>
      </c>
      <c r="K512" s="36" t="s">
        <v>8647</v>
      </c>
      <c r="L512" s="36" t="s">
        <v>8648</v>
      </c>
      <c r="M512" s="36" t="s">
        <v>8649</v>
      </c>
      <c r="N512" s="36" t="s">
        <v>8650</v>
      </c>
      <c r="O512" s="36" t="s">
        <v>8651</v>
      </c>
      <c r="P512" s="36" t="s">
        <v>8638</v>
      </c>
    </row>
    <row r="513" spans="1:16">
      <c r="A513" s="132">
        <v>512</v>
      </c>
      <c r="B513" s="36" t="s">
        <v>8652</v>
      </c>
      <c r="C513" s="36" t="s">
        <v>8653</v>
      </c>
      <c r="D513" s="36" t="s">
        <v>8654</v>
      </c>
      <c r="E513" s="36" t="s">
        <v>8655</v>
      </c>
      <c r="F513" s="36" t="s">
        <v>8656</v>
      </c>
      <c r="G513" s="36" t="s">
        <v>8657</v>
      </c>
      <c r="H513" s="36" t="s">
        <v>8658</v>
      </c>
      <c r="I513" s="36" t="s">
        <v>8659</v>
      </c>
      <c r="J513" s="36" t="s">
        <v>8660</v>
      </c>
      <c r="K513" s="36" t="s">
        <v>8661</v>
      </c>
      <c r="L513" s="36" t="s">
        <v>8662</v>
      </c>
      <c r="M513" s="36" t="s">
        <v>8663</v>
      </c>
      <c r="N513" s="36" t="s">
        <v>8664</v>
      </c>
      <c r="O513" s="36" t="s">
        <v>8665</v>
      </c>
      <c r="P513" s="36" t="s">
        <v>8652</v>
      </c>
    </row>
    <row r="514" spans="1:16">
      <c r="A514" s="132">
        <v>513</v>
      </c>
      <c r="B514" s="36" t="s">
        <v>8666</v>
      </c>
      <c r="C514" s="36" t="s">
        <v>29578</v>
      </c>
      <c r="D514" s="36" t="s">
        <v>8667</v>
      </c>
      <c r="E514" s="36" t="s">
        <v>8668</v>
      </c>
      <c r="F514" s="36" t="s">
        <v>3696</v>
      </c>
      <c r="G514" s="36" t="s">
        <v>8669</v>
      </c>
      <c r="H514" s="36" t="s">
        <v>8670</v>
      </c>
      <c r="I514" s="36" t="s">
        <v>8671</v>
      </c>
      <c r="J514" s="36" t="s">
        <v>8672</v>
      </c>
      <c r="K514" s="36" t="s">
        <v>8673</v>
      </c>
      <c r="L514" s="36" t="s">
        <v>8674</v>
      </c>
      <c r="M514" s="36" t="s">
        <v>8675</v>
      </c>
      <c r="N514" s="36" t="s">
        <v>8676</v>
      </c>
      <c r="O514" s="36" t="s">
        <v>8677</v>
      </c>
      <c r="P514" s="36" t="s">
        <v>8666</v>
      </c>
    </row>
    <row r="515" spans="1:16">
      <c r="A515" s="132">
        <v>514</v>
      </c>
      <c r="B515" s="36" t="s">
        <v>8678</v>
      </c>
      <c r="C515" s="36" t="s">
        <v>8679</v>
      </c>
      <c r="D515" s="36" t="s">
        <v>8680</v>
      </c>
      <c r="E515" s="36" t="s">
        <v>8681</v>
      </c>
      <c r="F515" s="36" t="s">
        <v>3696</v>
      </c>
      <c r="G515" s="36" t="s">
        <v>8682</v>
      </c>
      <c r="H515" s="36" t="s">
        <v>8683</v>
      </c>
      <c r="I515" s="36" t="s">
        <v>8684</v>
      </c>
      <c r="J515" s="36" t="s">
        <v>8685</v>
      </c>
      <c r="K515" s="36" t="s">
        <v>8686</v>
      </c>
      <c r="L515" s="36" t="s">
        <v>8687</v>
      </c>
      <c r="M515" s="36" t="s">
        <v>8688</v>
      </c>
      <c r="N515" s="36" t="s">
        <v>8689</v>
      </c>
      <c r="O515" s="36" t="s">
        <v>8690</v>
      </c>
      <c r="P515" s="36" t="s">
        <v>8678</v>
      </c>
    </row>
    <row r="516" spans="1:16">
      <c r="A516" s="132">
        <v>515</v>
      </c>
      <c r="B516" s="36" t="s">
        <v>8691</v>
      </c>
      <c r="C516" s="36" t="s">
        <v>8692</v>
      </c>
      <c r="D516" s="36" t="s">
        <v>8693</v>
      </c>
      <c r="E516" s="36" t="s">
        <v>8694</v>
      </c>
      <c r="F516" s="36" t="s">
        <v>8695</v>
      </c>
      <c r="G516" s="36" t="s">
        <v>8696</v>
      </c>
      <c r="H516" s="36" t="s">
        <v>8697</v>
      </c>
      <c r="I516" s="36" t="s">
        <v>8698</v>
      </c>
      <c r="J516" s="36" t="s">
        <v>8699</v>
      </c>
      <c r="K516" s="36" t="s">
        <v>8700</v>
      </c>
      <c r="L516" s="36" t="s">
        <v>8701</v>
      </c>
      <c r="M516" s="36" t="s">
        <v>8691</v>
      </c>
      <c r="N516" s="36" t="s">
        <v>8702</v>
      </c>
      <c r="O516" s="36" t="s">
        <v>8703</v>
      </c>
      <c r="P516" s="36" t="s">
        <v>8691</v>
      </c>
    </row>
    <row r="517" spans="1:16">
      <c r="A517" s="132">
        <v>516</v>
      </c>
      <c r="B517" s="36" t="s">
        <v>2312</v>
      </c>
      <c r="C517" s="36" t="s">
        <v>8704</v>
      </c>
      <c r="D517" s="36" t="s">
        <v>4002</v>
      </c>
      <c r="E517" s="36" t="s">
        <v>8705</v>
      </c>
      <c r="F517" s="36" t="s">
        <v>8706</v>
      </c>
      <c r="G517" s="36" t="s">
        <v>8707</v>
      </c>
      <c r="H517" s="36" t="s">
        <v>8708</v>
      </c>
      <c r="I517" s="36" t="s">
        <v>4007</v>
      </c>
      <c r="J517" s="36" t="s">
        <v>8709</v>
      </c>
      <c r="K517" s="36" t="s">
        <v>8710</v>
      </c>
      <c r="L517" s="36" t="s">
        <v>8711</v>
      </c>
      <c r="M517" s="36" t="s">
        <v>8712</v>
      </c>
      <c r="N517" s="36" t="s">
        <v>8713</v>
      </c>
      <c r="O517" s="36" t="s">
        <v>4013</v>
      </c>
      <c r="P517" s="36" t="s">
        <v>2312</v>
      </c>
    </row>
    <row r="518" spans="1:16">
      <c r="A518" s="132">
        <v>517</v>
      </c>
      <c r="B518" s="36" t="s">
        <v>8714</v>
      </c>
      <c r="C518" s="36" t="s">
        <v>8715</v>
      </c>
      <c r="D518" s="36" t="s">
        <v>8716</v>
      </c>
      <c r="E518" s="36" t="s">
        <v>8717</v>
      </c>
      <c r="F518" s="36" t="s">
        <v>8718</v>
      </c>
      <c r="G518" s="36" t="s">
        <v>8719</v>
      </c>
      <c r="H518" s="36" t="s">
        <v>8720</v>
      </c>
      <c r="I518" s="36" t="s">
        <v>8721</v>
      </c>
      <c r="J518" s="36" t="s">
        <v>8722</v>
      </c>
      <c r="K518" s="36" t="s">
        <v>8723</v>
      </c>
      <c r="L518" s="36" t="s">
        <v>8724</v>
      </c>
      <c r="M518" s="36" t="s">
        <v>8725</v>
      </c>
      <c r="N518" s="36" t="s">
        <v>8726</v>
      </c>
      <c r="O518" s="36" t="s">
        <v>8727</v>
      </c>
      <c r="P518" s="36" t="s">
        <v>8714</v>
      </c>
    </row>
    <row r="519" spans="1:16">
      <c r="A519" s="132">
        <v>518</v>
      </c>
      <c r="B519" s="36" t="s">
        <v>8728</v>
      </c>
      <c r="C519" s="36" t="s">
        <v>8729</v>
      </c>
      <c r="D519" s="36" t="s">
        <v>8730</v>
      </c>
      <c r="E519" s="36" t="s">
        <v>8731</v>
      </c>
      <c r="F519" s="36" t="s">
        <v>7928</v>
      </c>
      <c r="G519" s="36" t="s">
        <v>8719</v>
      </c>
      <c r="H519" s="36" t="s">
        <v>8732</v>
      </c>
      <c r="I519" s="36" t="s">
        <v>8733</v>
      </c>
      <c r="J519" s="36" t="s">
        <v>8734</v>
      </c>
      <c r="K519" s="36" t="s">
        <v>8735</v>
      </c>
      <c r="L519" s="36" t="s">
        <v>8736</v>
      </c>
      <c r="M519" s="36" t="s">
        <v>8737</v>
      </c>
      <c r="N519" s="36" t="s">
        <v>8738</v>
      </c>
      <c r="O519" s="36" t="s">
        <v>8739</v>
      </c>
      <c r="P519" s="36" t="s">
        <v>8728</v>
      </c>
    </row>
    <row r="520" spans="1:16">
      <c r="A520" s="132">
        <v>519</v>
      </c>
      <c r="B520" s="36" t="s">
        <v>8740</v>
      </c>
      <c r="C520" s="36" t="s">
        <v>8741</v>
      </c>
      <c r="D520" s="36" t="s">
        <v>8742</v>
      </c>
      <c r="E520" s="36" t="s">
        <v>8743</v>
      </c>
      <c r="F520" s="36" t="s">
        <v>8744</v>
      </c>
      <c r="G520" s="36" t="s">
        <v>8745</v>
      </c>
      <c r="H520" s="36" t="s">
        <v>8746</v>
      </c>
      <c r="I520" s="36" t="s">
        <v>8747</v>
      </c>
      <c r="J520" s="36" t="s">
        <v>8748</v>
      </c>
      <c r="K520" s="36" t="s">
        <v>8749</v>
      </c>
      <c r="L520" s="36" t="s">
        <v>8750</v>
      </c>
      <c r="M520" s="36" t="s">
        <v>8751</v>
      </c>
      <c r="N520" s="36" t="s">
        <v>8752</v>
      </c>
      <c r="O520" s="36" t="s">
        <v>8753</v>
      </c>
      <c r="P520" s="36" t="s">
        <v>8740</v>
      </c>
    </row>
    <row r="521" spans="1:16">
      <c r="A521" s="132">
        <v>520</v>
      </c>
      <c r="B521" s="36" t="s">
        <v>8754</v>
      </c>
      <c r="C521" s="36" t="s">
        <v>8755</v>
      </c>
      <c r="D521" s="36" t="s">
        <v>8756</v>
      </c>
      <c r="E521" s="36" t="s">
        <v>8757</v>
      </c>
      <c r="F521" s="36" t="s">
        <v>8758</v>
      </c>
      <c r="G521" s="36" t="s">
        <v>8759</v>
      </c>
      <c r="H521" s="36" t="s">
        <v>8760</v>
      </c>
      <c r="I521" s="36" t="s">
        <v>8761</v>
      </c>
      <c r="J521" s="36" t="s">
        <v>8762</v>
      </c>
      <c r="K521" s="36" t="s">
        <v>8763</v>
      </c>
      <c r="L521" s="36" t="s">
        <v>8764</v>
      </c>
      <c r="M521" s="36" t="s">
        <v>8765</v>
      </c>
      <c r="N521" s="36" t="s">
        <v>8766</v>
      </c>
      <c r="O521" s="36" t="s">
        <v>8767</v>
      </c>
      <c r="P521" s="36" t="s">
        <v>8754</v>
      </c>
    </row>
    <row r="522" spans="1:16">
      <c r="A522" s="132">
        <v>521</v>
      </c>
      <c r="B522" s="36" t="s">
        <v>8768</v>
      </c>
      <c r="C522" s="36" t="s">
        <v>8769</v>
      </c>
      <c r="D522" s="36" t="s">
        <v>8770</v>
      </c>
      <c r="E522" s="36" t="s">
        <v>8771</v>
      </c>
      <c r="F522" s="36" t="s">
        <v>8772</v>
      </c>
      <c r="G522" s="36" t="s">
        <v>8773</v>
      </c>
      <c r="H522" s="36" t="s">
        <v>8774</v>
      </c>
      <c r="I522" s="36" t="s">
        <v>8775</v>
      </c>
      <c r="J522" s="36" t="s">
        <v>8776</v>
      </c>
      <c r="K522" s="36" t="s">
        <v>8777</v>
      </c>
      <c r="L522" s="36" t="s">
        <v>8778</v>
      </c>
      <c r="M522" s="36" t="s">
        <v>8779</v>
      </c>
      <c r="N522" s="36" t="s">
        <v>8780</v>
      </c>
      <c r="O522" s="36" t="s">
        <v>8781</v>
      </c>
      <c r="P522" s="36" t="s">
        <v>8768</v>
      </c>
    </row>
    <row r="523" spans="1:16">
      <c r="A523" s="132">
        <v>522</v>
      </c>
      <c r="B523" s="36" t="s">
        <v>8782</v>
      </c>
      <c r="C523" s="36" t="s">
        <v>8783</v>
      </c>
      <c r="D523" s="36" t="s">
        <v>8784</v>
      </c>
      <c r="E523" s="36" t="s">
        <v>8785</v>
      </c>
      <c r="F523" s="36" t="s">
        <v>8786</v>
      </c>
      <c r="G523" s="36" t="s">
        <v>8787</v>
      </c>
      <c r="H523" s="36" t="s">
        <v>8788</v>
      </c>
      <c r="I523" s="36" t="s">
        <v>8789</v>
      </c>
      <c r="J523" s="36" t="s">
        <v>8790</v>
      </c>
      <c r="K523" s="36" t="s">
        <v>8791</v>
      </c>
      <c r="L523" s="36" t="s">
        <v>8792</v>
      </c>
      <c r="M523" s="36" t="s">
        <v>8793</v>
      </c>
      <c r="N523" s="36" t="s">
        <v>8794</v>
      </c>
      <c r="O523" s="36" t="s">
        <v>8795</v>
      </c>
      <c r="P523" s="36" t="s">
        <v>8782</v>
      </c>
    </row>
    <row r="524" spans="1:16">
      <c r="A524" s="132">
        <v>523</v>
      </c>
      <c r="B524" s="36" t="s">
        <v>8796</v>
      </c>
      <c r="C524" s="36" t="s">
        <v>8797</v>
      </c>
      <c r="D524" s="36" t="s">
        <v>8798</v>
      </c>
      <c r="E524" s="36" t="s">
        <v>8799</v>
      </c>
      <c r="F524" s="36" t="s">
        <v>8800</v>
      </c>
      <c r="G524" s="36" t="s">
        <v>8801</v>
      </c>
      <c r="H524" s="36" t="s">
        <v>8802</v>
      </c>
      <c r="I524" s="36" t="s">
        <v>8803</v>
      </c>
      <c r="J524" s="36" t="s">
        <v>8804</v>
      </c>
      <c r="K524" s="36" t="s">
        <v>8805</v>
      </c>
      <c r="L524" s="36" t="s">
        <v>8806</v>
      </c>
      <c r="M524" s="36" t="s">
        <v>8807</v>
      </c>
      <c r="N524" s="36" t="s">
        <v>8808</v>
      </c>
      <c r="O524" s="36" t="s">
        <v>8809</v>
      </c>
      <c r="P524" s="36" t="s">
        <v>8796</v>
      </c>
    </row>
    <row r="525" spans="1:16">
      <c r="A525" s="132">
        <v>524</v>
      </c>
      <c r="B525" s="36" t="s">
        <v>8810</v>
      </c>
      <c r="C525" s="36" t="s">
        <v>8811</v>
      </c>
      <c r="D525" s="36" t="s">
        <v>8812</v>
      </c>
      <c r="E525" s="36" t="s">
        <v>8813</v>
      </c>
      <c r="F525" s="36" t="s">
        <v>8814</v>
      </c>
      <c r="G525" s="36" t="s">
        <v>8815</v>
      </c>
      <c r="H525" s="36" t="s">
        <v>8816</v>
      </c>
      <c r="I525" s="36" t="s">
        <v>8817</v>
      </c>
      <c r="J525" s="36" t="s">
        <v>8818</v>
      </c>
      <c r="K525" s="36" t="s">
        <v>8819</v>
      </c>
      <c r="L525" s="36" t="s">
        <v>8820</v>
      </c>
      <c r="M525" s="36" t="s">
        <v>8821</v>
      </c>
      <c r="N525" s="36" t="s">
        <v>8822</v>
      </c>
      <c r="O525" s="36" t="s">
        <v>8823</v>
      </c>
      <c r="P525" s="36" t="s">
        <v>8810</v>
      </c>
    </row>
    <row r="526" spans="1:16">
      <c r="A526" s="132">
        <v>525</v>
      </c>
      <c r="B526" s="36" t="s">
        <v>8824</v>
      </c>
      <c r="C526" s="36" t="s">
        <v>8825</v>
      </c>
      <c r="D526" s="36" t="s">
        <v>8826</v>
      </c>
      <c r="E526" s="36" t="s">
        <v>8827</v>
      </c>
      <c r="F526" s="36" t="s">
        <v>8828</v>
      </c>
      <c r="G526" s="36" t="s">
        <v>8829</v>
      </c>
      <c r="H526" s="36" t="s">
        <v>8830</v>
      </c>
      <c r="I526" s="36" t="s">
        <v>8831</v>
      </c>
      <c r="J526" s="36" t="s">
        <v>8832</v>
      </c>
      <c r="K526" s="36" t="s">
        <v>8833</v>
      </c>
      <c r="L526" s="36" t="s">
        <v>8834</v>
      </c>
      <c r="M526" s="36" t="s">
        <v>8835</v>
      </c>
      <c r="N526" s="36" t="s">
        <v>8836</v>
      </c>
      <c r="O526" s="36" t="s">
        <v>8837</v>
      </c>
      <c r="P526" s="36" t="s">
        <v>8824</v>
      </c>
    </row>
    <row r="527" spans="1:16">
      <c r="A527" s="132">
        <v>526</v>
      </c>
      <c r="B527" s="36" t="s">
        <v>8838</v>
      </c>
      <c r="C527" s="36" t="s">
        <v>8839</v>
      </c>
      <c r="D527" s="36" t="s">
        <v>8840</v>
      </c>
      <c r="E527" s="36" t="s">
        <v>8841</v>
      </c>
      <c r="F527" s="36" t="s">
        <v>8842</v>
      </c>
      <c r="G527" s="36" t="s">
        <v>8843</v>
      </c>
      <c r="H527" s="36" t="s">
        <v>8844</v>
      </c>
      <c r="I527" s="36" t="s">
        <v>8845</v>
      </c>
      <c r="J527" s="36" t="s">
        <v>8846</v>
      </c>
      <c r="K527" s="36" t="s">
        <v>8847</v>
      </c>
      <c r="L527" s="36" t="s">
        <v>8848</v>
      </c>
      <c r="M527" s="36" t="s">
        <v>8849</v>
      </c>
      <c r="N527" s="36" t="s">
        <v>8850</v>
      </c>
      <c r="O527" s="36" t="s">
        <v>8851</v>
      </c>
      <c r="P527" s="36" t="s">
        <v>8838</v>
      </c>
    </row>
    <row r="528" spans="1:16">
      <c r="A528" s="132">
        <v>527</v>
      </c>
      <c r="B528" s="36" t="s">
        <v>8852</v>
      </c>
      <c r="C528" s="36" t="s">
        <v>8853</v>
      </c>
      <c r="D528" s="36" t="s">
        <v>8854</v>
      </c>
      <c r="E528" s="36" t="s">
        <v>8855</v>
      </c>
      <c r="F528" s="36" t="s">
        <v>8856</v>
      </c>
      <c r="G528" s="36" t="s">
        <v>8857</v>
      </c>
      <c r="H528" s="36" t="s">
        <v>8858</v>
      </c>
      <c r="I528" s="36" t="s">
        <v>8859</v>
      </c>
      <c r="J528" s="36" t="s">
        <v>8860</v>
      </c>
      <c r="K528" s="36" t="s">
        <v>8861</v>
      </c>
      <c r="L528" s="36" t="s">
        <v>8862</v>
      </c>
      <c r="M528" s="36" t="s">
        <v>8863</v>
      </c>
      <c r="N528" s="36" t="s">
        <v>8864</v>
      </c>
      <c r="O528" s="36" t="s">
        <v>8865</v>
      </c>
      <c r="P528" s="36" t="s">
        <v>8852</v>
      </c>
    </row>
    <row r="529" spans="1:16">
      <c r="A529" s="132">
        <v>528</v>
      </c>
      <c r="B529" s="36" t="s">
        <v>8866</v>
      </c>
      <c r="C529" s="36" t="s">
        <v>8867</v>
      </c>
      <c r="D529" s="36" t="s">
        <v>8868</v>
      </c>
      <c r="E529" s="36" t="s">
        <v>8869</v>
      </c>
      <c r="F529" s="36" t="s">
        <v>8870</v>
      </c>
      <c r="G529" s="36" t="s">
        <v>8871</v>
      </c>
      <c r="H529" s="36" t="s">
        <v>8872</v>
      </c>
      <c r="I529" s="36" t="s">
        <v>8873</v>
      </c>
      <c r="J529" s="36" t="s">
        <v>8874</v>
      </c>
      <c r="K529" s="36" t="s">
        <v>8875</v>
      </c>
      <c r="L529" s="36" t="s">
        <v>8876</v>
      </c>
      <c r="M529" s="36" t="s">
        <v>8877</v>
      </c>
      <c r="N529" s="36" t="s">
        <v>8878</v>
      </c>
      <c r="O529" s="36" t="s">
        <v>8879</v>
      </c>
      <c r="P529" s="36" t="s">
        <v>8866</v>
      </c>
    </row>
    <row r="530" spans="1:16">
      <c r="A530" s="132">
        <v>529</v>
      </c>
      <c r="B530" s="36" t="s">
        <v>8880</v>
      </c>
      <c r="C530" s="36" t="s">
        <v>8881</v>
      </c>
      <c r="D530" s="36" t="s">
        <v>8880</v>
      </c>
      <c r="E530" s="36" t="s">
        <v>8882</v>
      </c>
      <c r="F530" s="36" t="s">
        <v>8883</v>
      </c>
      <c r="G530" s="36" t="s">
        <v>8884</v>
      </c>
      <c r="H530" s="36" t="s">
        <v>8885</v>
      </c>
      <c r="I530" s="36" t="s">
        <v>8886</v>
      </c>
      <c r="J530" s="36" t="s">
        <v>8887</v>
      </c>
      <c r="K530" s="36" t="s">
        <v>8888</v>
      </c>
      <c r="L530" s="36" t="s">
        <v>8889</v>
      </c>
      <c r="M530" s="36" t="s">
        <v>8890</v>
      </c>
      <c r="N530" s="36" t="s">
        <v>8891</v>
      </c>
      <c r="O530" s="36" t="s">
        <v>8892</v>
      </c>
      <c r="P530" s="36" t="s">
        <v>8880</v>
      </c>
    </row>
    <row r="531" spans="1:16">
      <c r="A531" s="132">
        <v>530</v>
      </c>
      <c r="B531" s="36" t="s">
        <v>8893</v>
      </c>
      <c r="C531" s="36" t="s">
        <v>8893</v>
      </c>
      <c r="D531" s="36" t="s">
        <v>8893</v>
      </c>
      <c r="E531" s="36" t="s">
        <v>8894</v>
      </c>
      <c r="F531" s="36" t="s">
        <v>8893</v>
      </c>
      <c r="G531" s="36" t="s">
        <v>8893</v>
      </c>
      <c r="H531" s="36" t="s">
        <v>8893</v>
      </c>
      <c r="I531" s="36" t="s">
        <v>8895</v>
      </c>
      <c r="J531" s="36" t="s">
        <v>8893</v>
      </c>
      <c r="K531" s="36" t="s">
        <v>8893</v>
      </c>
      <c r="L531" s="36" t="s">
        <v>8893</v>
      </c>
      <c r="M531" s="36" t="s">
        <v>8893</v>
      </c>
      <c r="N531" s="36" t="s">
        <v>8893</v>
      </c>
      <c r="O531" s="36" t="s">
        <v>8896</v>
      </c>
      <c r="P531" s="36" t="s">
        <v>8893</v>
      </c>
    </row>
    <row r="532" spans="1:16">
      <c r="A532" s="132">
        <v>531</v>
      </c>
      <c r="B532" s="36" t="s">
        <v>8897</v>
      </c>
      <c r="C532" s="36" t="s">
        <v>8897</v>
      </c>
      <c r="D532" s="36" t="s">
        <v>8897</v>
      </c>
      <c r="E532" s="36" t="s">
        <v>8897</v>
      </c>
      <c r="F532" s="36" t="s">
        <v>8897</v>
      </c>
      <c r="G532" s="36" t="s">
        <v>8897</v>
      </c>
      <c r="H532" s="36" t="s">
        <v>8897</v>
      </c>
      <c r="I532" s="36" t="s">
        <v>8897</v>
      </c>
      <c r="J532" s="36" t="s">
        <v>8897</v>
      </c>
      <c r="K532" s="36" t="s">
        <v>8897</v>
      </c>
      <c r="L532" s="36" t="s">
        <v>8897</v>
      </c>
      <c r="M532" s="36" t="s">
        <v>8898</v>
      </c>
      <c r="N532" s="36" t="s">
        <v>8897</v>
      </c>
      <c r="O532" s="36" t="s">
        <v>8897</v>
      </c>
      <c r="P532" s="36" t="s">
        <v>8897</v>
      </c>
    </row>
    <row r="533" spans="1:16">
      <c r="A533" s="132">
        <v>532</v>
      </c>
      <c r="B533" s="36" t="s">
        <v>8899</v>
      </c>
      <c r="C533" s="36" t="s">
        <v>8900</v>
      </c>
      <c r="D533" s="36" t="s">
        <v>8901</v>
      </c>
      <c r="E533" s="36" t="s">
        <v>8902</v>
      </c>
      <c r="F533" s="36" t="s">
        <v>8903</v>
      </c>
      <c r="G533" s="36" t="s">
        <v>8904</v>
      </c>
      <c r="H533" s="36" t="s">
        <v>8905</v>
      </c>
      <c r="I533" s="36" t="s">
        <v>8906</v>
      </c>
      <c r="J533" s="36" t="s">
        <v>8907</v>
      </c>
      <c r="K533" s="36" t="s">
        <v>8908</v>
      </c>
      <c r="L533" s="36" t="s">
        <v>8909</v>
      </c>
      <c r="M533" s="36" t="s">
        <v>8910</v>
      </c>
      <c r="N533" s="36" t="s">
        <v>8911</v>
      </c>
      <c r="O533" s="36" t="s">
        <v>8912</v>
      </c>
      <c r="P533" s="36" t="s">
        <v>8899</v>
      </c>
    </row>
    <row r="534" spans="1:16">
      <c r="A534" s="132">
        <v>533</v>
      </c>
      <c r="B534" s="36" t="s">
        <v>8913</v>
      </c>
      <c r="C534" s="36" t="s">
        <v>8914</v>
      </c>
      <c r="D534" s="36" t="s">
        <v>8915</v>
      </c>
      <c r="E534" s="36" t="s">
        <v>8916</v>
      </c>
      <c r="F534" s="36" t="s">
        <v>8917</v>
      </c>
      <c r="G534" s="36" t="s">
        <v>8918</v>
      </c>
      <c r="H534" s="36" t="s">
        <v>8919</v>
      </c>
      <c r="I534" s="36" t="s">
        <v>8920</v>
      </c>
      <c r="J534" s="36" t="s">
        <v>8921</v>
      </c>
      <c r="K534" s="36" t="s">
        <v>8922</v>
      </c>
      <c r="L534" s="36" t="s">
        <v>8923</v>
      </c>
      <c r="M534" s="36" t="s">
        <v>8924</v>
      </c>
      <c r="N534" s="36" t="s">
        <v>8925</v>
      </c>
      <c r="O534" s="36" t="s">
        <v>8926</v>
      </c>
      <c r="P534" s="36" t="s">
        <v>8913</v>
      </c>
    </row>
    <row r="535" spans="1:16">
      <c r="A535" s="132">
        <v>534</v>
      </c>
      <c r="B535" s="36" t="s">
        <v>8927</v>
      </c>
      <c r="C535" s="36" t="s">
        <v>8928</v>
      </c>
      <c r="D535" s="36" t="s">
        <v>8929</v>
      </c>
      <c r="E535" s="36" t="s">
        <v>8930</v>
      </c>
      <c r="F535" s="36" t="s">
        <v>8931</v>
      </c>
      <c r="G535" s="36" t="s">
        <v>8932</v>
      </c>
      <c r="H535" s="36" t="s">
        <v>8933</v>
      </c>
      <c r="I535" s="36" t="s">
        <v>8934</v>
      </c>
      <c r="J535" s="36" t="s">
        <v>8935</v>
      </c>
      <c r="K535" s="36" t="s">
        <v>8936</v>
      </c>
      <c r="L535" s="36" t="s">
        <v>8937</v>
      </c>
      <c r="M535" s="36" t="s">
        <v>8938</v>
      </c>
      <c r="N535" s="36" t="s">
        <v>8939</v>
      </c>
      <c r="O535" s="36" t="s">
        <v>8940</v>
      </c>
      <c r="P535" s="36" t="s">
        <v>8927</v>
      </c>
    </row>
    <row r="536" spans="1:16">
      <c r="A536" s="132">
        <v>535</v>
      </c>
      <c r="B536" s="36" t="s">
        <v>39192</v>
      </c>
      <c r="C536" s="36" t="s">
        <v>39193</v>
      </c>
      <c r="D536" s="36" t="s">
        <v>39194</v>
      </c>
      <c r="E536" s="36" t="s">
        <v>39195</v>
      </c>
      <c r="F536" s="36" t="s">
        <v>39196</v>
      </c>
      <c r="G536" s="36" t="s">
        <v>39197</v>
      </c>
      <c r="H536" s="36" t="s">
        <v>39198</v>
      </c>
      <c r="I536" s="36" t="s">
        <v>39199</v>
      </c>
      <c r="J536" s="36" t="s">
        <v>39200</v>
      </c>
      <c r="K536" s="36" t="s">
        <v>39201</v>
      </c>
      <c r="L536" s="36" t="s">
        <v>39202</v>
      </c>
      <c r="M536" s="36" t="s">
        <v>39203</v>
      </c>
      <c r="N536" s="36" t="s">
        <v>39204</v>
      </c>
      <c r="O536" s="36" t="s">
        <v>39205</v>
      </c>
      <c r="P536" s="36" t="s">
        <v>39192</v>
      </c>
    </row>
    <row r="537" spans="1:16">
      <c r="A537" s="132">
        <v>536</v>
      </c>
      <c r="B537" s="36" t="s">
        <v>39206</v>
      </c>
      <c r="C537" s="36" t="s">
        <v>39207</v>
      </c>
      <c r="D537" s="36" t="s">
        <v>39208</v>
      </c>
      <c r="E537" s="36" t="s">
        <v>39209</v>
      </c>
      <c r="F537" s="36" t="s">
        <v>39210</v>
      </c>
      <c r="G537" s="36" t="s">
        <v>39211</v>
      </c>
      <c r="H537" s="36" t="s">
        <v>39212</v>
      </c>
      <c r="I537" s="36" t="s">
        <v>39213</v>
      </c>
      <c r="J537" s="36" t="s">
        <v>39214</v>
      </c>
      <c r="K537" s="36" t="s">
        <v>39215</v>
      </c>
      <c r="L537" s="36" t="s">
        <v>39216</v>
      </c>
      <c r="M537" s="36" t="s">
        <v>39217</v>
      </c>
      <c r="N537" s="36" t="s">
        <v>39218</v>
      </c>
      <c r="O537" s="36" t="s">
        <v>39219</v>
      </c>
      <c r="P537" s="36" t="s">
        <v>39206</v>
      </c>
    </row>
    <row r="538" spans="1:16">
      <c r="A538" s="132">
        <v>537</v>
      </c>
      <c r="B538" s="36" t="s">
        <v>8941</v>
      </c>
      <c r="C538" s="36" t="s">
        <v>8942</v>
      </c>
      <c r="D538" s="36" t="s">
        <v>8943</v>
      </c>
      <c r="E538" s="36" t="s">
        <v>8944</v>
      </c>
      <c r="F538" s="36" t="s">
        <v>8945</v>
      </c>
      <c r="G538" s="36" t="s">
        <v>8946</v>
      </c>
      <c r="H538" s="36" t="s">
        <v>8947</v>
      </c>
      <c r="I538" s="36" t="s">
        <v>8948</v>
      </c>
      <c r="J538" s="36" t="s">
        <v>8949</v>
      </c>
      <c r="K538" s="36" t="s">
        <v>8950</v>
      </c>
      <c r="L538" s="36" t="s">
        <v>8951</v>
      </c>
      <c r="M538" s="36" t="s">
        <v>8952</v>
      </c>
      <c r="N538" s="36" t="s">
        <v>8953</v>
      </c>
      <c r="O538" s="36" t="s">
        <v>8954</v>
      </c>
      <c r="P538" s="36" t="s">
        <v>8941</v>
      </c>
    </row>
    <row r="539" spans="1:16">
      <c r="A539" s="132">
        <v>538</v>
      </c>
      <c r="B539" s="36" t="s">
        <v>8955</v>
      </c>
      <c r="C539" s="36" t="s">
        <v>8956</v>
      </c>
      <c r="D539" s="36" t="s">
        <v>8957</v>
      </c>
      <c r="E539" s="36" t="s">
        <v>8958</v>
      </c>
      <c r="F539" s="36" t="s">
        <v>8959</v>
      </c>
      <c r="G539" s="36" t="s">
        <v>8960</v>
      </c>
      <c r="H539" s="36" t="s">
        <v>8961</v>
      </c>
      <c r="I539" s="36" t="s">
        <v>8962</v>
      </c>
      <c r="J539" s="36" t="s">
        <v>8963</v>
      </c>
      <c r="K539" s="36" t="s">
        <v>8964</v>
      </c>
      <c r="L539" s="36" t="s">
        <v>8965</v>
      </c>
      <c r="M539" s="36" t="s">
        <v>8966</v>
      </c>
      <c r="N539" s="36" t="s">
        <v>8967</v>
      </c>
      <c r="O539" s="36" t="s">
        <v>8964</v>
      </c>
      <c r="P539" s="36" t="s">
        <v>8955</v>
      </c>
    </row>
    <row r="540" spans="1:16">
      <c r="A540" s="132">
        <v>539</v>
      </c>
      <c r="B540" s="36" t="s">
        <v>8968</v>
      </c>
      <c r="C540" s="36" t="s">
        <v>8969</v>
      </c>
      <c r="D540" s="36" t="s">
        <v>8970</v>
      </c>
      <c r="E540" s="36" t="s">
        <v>8971</v>
      </c>
      <c r="F540" s="36" t="s">
        <v>8972</v>
      </c>
      <c r="G540" s="36" t="s">
        <v>8973</v>
      </c>
      <c r="H540" s="36" t="s">
        <v>8974</v>
      </c>
      <c r="I540" s="36" t="s">
        <v>8975</v>
      </c>
      <c r="J540" s="36" t="s">
        <v>8976</v>
      </c>
      <c r="K540" s="36" t="s">
        <v>8977</v>
      </c>
      <c r="L540" s="36" t="s">
        <v>8978</v>
      </c>
      <c r="M540" s="36" t="s">
        <v>8979</v>
      </c>
      <c r="N540" s="36" t="s">
        <v>8980</v>
      </c>
      <c r="O540" s="36" t="s">
        <v>8981</v>
      </c>
      <c r="P540" s="36" t="s">
        <v>8968</v>
      </c>
    </row>
    <row r="541" spans="1:16">
      <c r="A541" s="132">
        <v>540</v>
      </c>
      <c r="B541" s="36" t="s">
        <v>8982</v>
      </c>
      <c r="C541" s="36" t="s">
        <v>8983</v>
      </c>
      <c r="D541" s="36" t="s">
        <v>8984</v>
      </c>
      <c r="E541" s="36" t="s">
        <v>8985</v>
      </c>
      <c r="F541" s="36" t="s">
        <v>8986</v>
      </c>
      <c r="G541" s="36" t="s">
        <v>8987</v>
      </c>
      <c r="H541" s="36" t="s">
        <v>8988</v>
      </c>
      <c r="I541" s="36" t="s">
        <v>8989</v>
      </c>
      <c r="J541" s="36" t="s">
        <v>8990</v>
      </c>
      <c r="K541" s="36" t="s">
        <v>8991</v>
      </c>
      <c r="L541" s="36" t="s">
        <v>8982</v>
      </c>
      <c r="M541" s="36" t="s">
        <v>8982</v>
      </c>
      <c r="N541" s="36" t="s">
        <v>8992</v>
      </c>
      <c r="O541" s="36" t="s">
        <v>8993</v>
      </c>
      <c r="P541" s="36" t="s">
        <v>8982</v>
      </c>
    </row>
    <row r="542" spans="1:16">
      <c r="A542" s="132">
        <v>541</v>
      </c>
      <c r="B542" s="36" t="s">
        <v>8994</v>
      </c>
      <c r="C542" s="36" t="s">
        <v>8995</v>
      </c>
      <c r="D542" s="36" t="s">
        <v>8996</v>
      </c>
      <c r="E542" s="36" t="s">
        <v>8997</v>
      </c>
      <c r="F542" s="36" t="s">
        <v>8998</v>
      </c>
      <c r="G542" s="36" t="s">
        <v>8999</v>
      </c>
      <c r="H542" s="36" t="s">
        <v>9000</v>
      </c>
      <c r="I542" s="36" t="s">
        <v>9001</v>
      </c>
      <c r="J542" s="36" t="s">
        <v>9002</v>
      </c>
      <c r="K542" s="36" t="s">
        <v>9003</v>
      </c>
      <c r="L542" s="36" t="s">
        <v>9004</v>
      </c>
      <c r="M542" s="36" t="s">
        <v>9005</v>
      </c>
      <c r="N542" s="36" t="s">
        <v>9006</v>
      </c>
      <c r="O542" s="36" t="s">
        <v>9007</v>
      </c>
      <c r="P542" s="36" t="s">
        <v>9008</v>
      </c>
    </row>
    <row r="543" spans="1:16">
      <c r="A543" s="132">
        <v>542</v>
      </c>
      <c r="B543" s="36" t="s">
        <v>9009</v>
      </c>
      <c r="C543" s="36" t="s">
        <v>9010</v>
      </c>
      <c r="D543" s="36" t="s">
        <v>9011</v>
      </c>
      <c r="E543" s="36" t="s">
        <v>9012</v>
      </c>
      <c r="F543" s="36" t="s">
        <v>9013</v>
      </c>
      <c r="G543" s="36" t="s">
        <v>9014</v>
      </c>
      <c r="H543" s="36" t="s">
        <v>9015</v>
      </c>
      <c r="I543" s="36" t="s">
        <v>9016</v>
      </c>
      <c r="J543" s="36" t="s">
        <v>9017</v>
      </c>
      <c r="K543" s="36" t="s">
        <v>9018</v>
      </c>
      <c r="L543" s="36" t="s">
        <v>9019</v>
      </c>
      <c r="M543" s="36" t="s">
        <v>9020</v>
      </c>
      <c r="N543" s="36" t="s">
        <v>9021</v>
      </c>
      <c r="O543" s="36" t="s">
        <v>9022</v>
      </c>
      <c r="P543" s="36" t="s">
        <v>9009</v>
      </c>
    </row>
    <row r="544" spans="1:16">
      <c r="A544" s="132">
        <v>543</v>
      </c>
      <c r="B544" s="36" t="s">
        <v>9023</v>
      </c>
      <c r="C544" s="36" t="s">
        <v>9024</v>
      </c>
      <c r="D544" s="36" t="s">
        <v>9025</v>
      </c>
      <c r="E544" s="36" t="s">
        <v>9026</v>
      </c>
      <c r="F544" s="36" t="s">
        <v>9027</v>
      </c>
      <c r="G544" s="36" t="s">
        <v>9028</v>
      </c>
      <c r="H544" s="36" t="s">
        <v>9029</v>
      </c>
      <c r="I544" s="36" t="s">
        <v>9030</v>
      </c>
      <c r="J544" s="36" t="s">
        <v>9031</v>
      </c>
      <c r="K544" s="36" t="s">
        <v>9032</v>
      </c>
      <c r="L544" s="36" t="s">
        <v>9033</v>
      </c>
      <c r="M544" s="36" t="s">
        <v>9034</v>
      </c>
      <c r="N544" s="36" t="s">
        <v>9035</v>
      </c>
      <c r="O544" s="36" t="s">
        <v>9036</v>
      </c>
      <c r="P544" s="36" t="s">
        <v>9023</v>
      </c>
    </row>
    <row r="545" spans="1:16">
      <c r="A545" s="132">
        <v>544</v>
      </c>
      <c r="B545" s="36" t="s">
        <v>9037</v>
      </c>
      <c r="C545" s="36" t="s">
        <v>9038</v>
      </c>
      <c r="D545" s="36" t="s">
        <v>9039</v>
      </c>
      <c r="E545" s="36" t="s">
        <v>9040</v>
      </c>
      <c r="F545" s="36" t="s">
        <v>9041</v>
      </c>
      <c r="G545" s="36" t="s">
        <v>9042</v>
      </c>
      <c r="H545" s="36" t="s">
        <v>9043</v>
      </c>
      <c r="I545" s="36" t="s">
        <v>9044</v>
      </c>
      <c r="J545" s="36" t="s">
        <v>9045</v>
      </c>
      <c r="K545" s="36" t="s">
        <v>9046</v>
      </c>
      <c r="L545" s="36" t="s">
        <v>9047</v>
      </c>
      <c r="M545" s="36" t="s">
        <v>9048</v>
      </c>
      <c r="N545" s="36" t="s">
        <v>9049</v>
      </c>
      <c r="O545" s="36" t="s">
        <v>9050</v>
      </c>
      <c r="P545" s="36" t="s">
        <v>9037</v>
      </c>
    </row>
    <row r="546" spans="1:16">
      <c r="A546" s="132">
        <v>545</v>
      </c>
      <c r="B546" s="36" t="s">
        <v>9051</v>
      </c>
      <c r="C546" s="36" t="s">
        <v>9052</v>
      </c>
      <c r="D546" s="36" t="s">
        <v>9053</v>
      </c>
      <c r="E546" s="36" t="s">
        <v>9054</v>
      </c>
      <c r="F546" s="36" t="s">
        <v>9055</v>
      </c>
      <c r="G546" s="36" t="s">
        <v>9056</v>
      </c>
      <c r="H546" s="36" t="s">
        <v>9057</v>
      </c>
      <c r="I546" s="36" t="s">
        <v>9058</v>
      </c>
      <c r="J546" s="36" t="s">
        <v>9059</v>
      </c>
      <c r="K546" s="36" t="s">
        <v>9060</v>
      </c>
      <c r="L546" s="36" t="s">
        <v>9061</v>
      </c>
      <c r="M546" s="36" t="s">
        <v>9062</v>
      </c>
      <c r="N546" s="36" t="s">
        <v>9063</v>
      </c>
      <c r="O546" s="36" t="s">
        <v>9064</v>
      </c>
      <c r="P546" s="36" t="s">
        <v>9051</v>
      </c>
    </row>
    <row r="547" spans="1:16">
      <c r="A547" s="132">
        <v>546</v>
      </c>
      <c r="B547" s="36" t="s">
        <v>9065</v>
      </c>
      <c r="C547" s="36" t="s">
        <v>9066</v>
      </c>
      <c r="D547" s="36" t="s">
        <v>9067</v>
      </c>
      <c r="E547" s="36" t="s">
        <v>9068</v>
      </c>
      <c r="F547" s="36" t="s">
        <v>9069</v>
      </c>
      <c r="G547" s="36" t="s">
        <v>9070</v>
      </c>
      <c r="H547" s="36" t="s">
        <v>9071</v>
      </c>
      <c r="I547" s="36" t="s">
        <v>9072</v>
      </c>
      <c r="J547" s="36" t="s">
        <v>9073</v>
      </c>
      <c r="K547" s="36" t="s">
        <v>9074</v>
      </c>
      <c r="L547" s="36" t="s">
        <v>9075</v>
      </c>
      <c r="M547" s="36" t="s">
        <v>9076</v>
      </c>
      <c r="N547" s="36" t="s">
        <v>9077</v>
      </c>
      <c r="O547" s="36" t="s">
        <v>9078</v>
      </c>
      <c r="P547" s="36" t="s">
        <v>9065</v>
      </c>
    </row>
    <row r="548" spans="1:16">
      <c r="A548" s="132">
        <v>547</v>
      </c>
      <c r="B548" s="36" t="s">
        <v>1642</v>
      </c>
      <c r="C548" s="36" t="s">
        <v>9079</v>
      </c>
      <c r="D548" s="36" t="s">
        <v>9080</v>
      </c>
      <c r="E548" s="36" t="s">
        <v>9081</v>
      </c>
      <c r="F548" s="36" t="s">
        <v>9082</v>
      </c>
      <c r="G548" s="36" t="s">
        <v>9083</v>
      </c>
      <c r="H548" s="36" t="s">
        <v>9084</v>
      </c>
      <c r="I548" s="36" t="s">
        <v>9085</v>
      </c>
      <c r="J548" s="36" t="s">
        <v>9086</v>
      </c>
      <c r="K548" s="36" t="s">
        <v>9087</v>
      </c>
      <c r="L548" s="36" t="s">
        <v>9086</v>
      </c>
      <c r="M548" s="36" t="s">
        <v>9086</v>
      </c>
      <c r="N548" s="36" t="s">
        <v>9086</v>
      </c>
      <c r="O548" s="36" t="s">
        <v>9087</v>
      </c>
      <c r="P548" s="36" t="s">
        <v>1642</v>
      </c>
    </row>
    <row r="549" spans="1:16">
      <c r="A549" s="132">
        <v>548</v>
      </c>
      <c r="B549" s="36" t="s">
        <v>9088</v>
      </c>
      <c r="C549" s="36" t="s">
        <v>9088</v>
      </c>
      <c r="D549" s="36" t="s">
        <v>9088</v>
      </c>
      <c r="E549" s="36" t="s">
        <v>9088</v>
      </c>
      <c r="F549" s="36" t="s">
        <v>9088</v>
      </c>
      <c r="G549" s="36" t="s">
        <v>9088</v>
      </c>
      <c r="H549" s="36" t="s">
        <v>9088</v>
      </c>
      <c r="I549" s="36" t="s">
        <v>9088</v>
      </c>
      <c r="J549" s="36" t="s">
        <v>9088</v>
      </c>
      <c r="K549" s="36" t="s">
        <v>9088</v>
      </c>
      <c r="L549" s="36" t="s">
        <v>9088</v>
      </c>
      <c r="M549" s="36" t="s">
        <v>9088</v>
      </c>
      <c r="N549" s="36" t="s">
        <v>9088</v>
      </c>
      <c r="O549" s="36" t="s">
        <v>9088</v>
      </c>
      <c r="P549" s="36" t="s">
        <v>9088</v>
      </c>
    </row>
    <row r="550" spans="1:16">
      <c r="A550" s="132">
        <v>549</v>
      </c>
      <c r="B550" s="36" t="s">
        <v>9089</v>
      </c>
      <c r="C550" s="36" t="s">
        <v>9090</v>
      </c>
      <c r="D550" s="36" t="s">
        <v>9091</v>
      </c>
      <c r="E550" s="36" t="s">
        <v>9092</v>
      </c>
      <c r="F550" s="36" t="s">
        <v>9093</v>
      </c>
      <c r="G550" s="36" t="s">
        <v>9094</v>
      </c>
      <c r="H550" s="36" t="s">
        <v>9095</v>
      </c>
      <c r="I550" s="36" t="s">
        <v>9096</v>
      </c>
      <c r="J550" s="36" t="s">
        <v>9097</v>
      </c>
      <c r="K550" s="36" t="s">
        <v>9098</v>
      </c>
      <c r="L550" s="36" t="s">
        <v>9099</v>
      </c>
      <c r="M550" s="36" t="s">
        <v>9100</v>
      </c>
      <c r="N550" s="36" t="s">
        <v>9101</v>
      </c>
      <c r="O550" s="36" t="s">
        <v>9102</v>
      </c>
      <c r="P550" s="36" t="s">
        <v>9089</v>
      </c>
    </row>
    <row r="551" spans="1:16">
      <c r="A551" s="132">
        <v>550</v>
      </c>
      <c r="B551" s="36" t="s">
        <v>9103</v>
      </c>
      <c r="C551" s="36" t="s">
        <v>9104</v>
      </c>
      <c r="D551" s="36" t="s">
        <v>9105</v>
      </c>
      <c r="E551" s="36" t="s">
        <v>9106</v>
      </c>
      <c r="F551" s="36" t="s">
        <v>9107</v>
      </c>
      <c r="G551" s="36" t="s">
        <v>9108</v>
      </c>
      <c r="H551" s="36" t="s">
        <v>9109</v>
      </c>
      <c r="I551" s="36" t="s">
        <v>9110</v>
      </c>
      <c r="J551" s="36" t="s">
        <v>9111</v>
      </c>
      <c r="K551" s="36" t="s">
        <v>9112</v>
      </c>
      <c r="L551" s="36" t="s">
        <v>9113</v>
      </c>
      <c r="M551" s="36" t="s">
        <v>9114</v>
      </c>
      <c r="N551" s="36" t="s">
        <v>9115</v>
      </c>
      <c r="O551" s="36" t="s">
        <v>9116</v>
      </c>
      <c r="P551" s="36" t="s">
        <v>9103</v>
      </c>
    </row>
    <row r="552" spans="1:16">
      <c r="A552" s="132">
        <v>551</v>
      </c>
      <c r="B552" s="36" t="s">
        <v>1643</v>
      </c>
      <c r="C552" s="36" t="s">
        <v>9117</v>
      </c>
      <c r="D552" s="36" t="s">
        <v>9117</v>
      </c>
      <c r="E552" s="36" t="s">
        <v>9118</v>
      </c>
      <c r="F552" s="36" t="s">
        <v>9119</v>
      </c>
      <c r="G552" s="36" t="s">
        <v>9120</v>
      </c>
      <c r="H552" s="36" t="s">
        <v>9121</v>
      </c>
      <c r="I552" s="36" t="s">
        <v>9122</v>
      </c>
      <c r="J552" s="36" t="s">
        <v>1643</v>
      </c>
      <c r="K552" s="36" t="s">
        <v>9123</v>
      </c>
      <c r="L552" s="36" t="s">
        <v>9124</v>
      </c>
      <c r="M552" s="36" t="s">
        <v>1643</v>
      </c>
      <c r="N552" s="36" t="s">
        <v>1643</v>
      </c>
      <c r="O552" s="36" t="s">
        <v>9125</v>
      </c>
      <c r="P552" s="36" t="s">
        <v>1643</v>
      </c>
    </row>
    <row r="553" spans="1:16">
      <c r="A553" s="132">
        <v>552</v>
      </c>
      <c r="B553" s="36" t="s">
        <v>9126</v>
      </c>
      <c r="C553" s="36" t="s">
        <v>9127</v>
      </c>
      <c r="D553" s="36" t="s">
        <v>9128</v>
      </c>
      <c r="E553" s="36" t="s">
        <v>9129</v>
      </c>
      <c r="F553" s="36" t="s">
        <v>9130</v>
      </c>
      <c r="G553" s="36" t="s">
        <v>9131</v>
      </c>
      <c r="H553" s="36" t="s">
        <v>9132</v>
      </c>
      <c r="I553" s="36" t="s">
        <v>9133</v>
      </c>
      <c r="J553" s="36" t="s">
        <v>9134</v>
      </c>
      <c r="K553" s="36" t="s">
        <v>9135</v>
      </c>
      <c r="L553" s="36" t="s">
        <v>9136</v>
      </c>
      <c r="M553" s="36" t="s">
        <v>9137</v>
      </c>
      <c r="N553" s="36" t="s">
        <v>9138</v>
      </c>
      <c r="O553" s="36" t="s">
        <v>9139</v>
      </c>
      <c r="P553" s="36" t="s">
        <v>9126</v>
      </c>
    </row>
    <row r="554" spans="1:16">
      <c r="A554" s="132">
        <v>553</v>
      </c>
      <c r="B554" s="36" t="s">
        <v>9140</v>
      </c>
      <c r="C554" s="36" t="s">
        <v>9141</v>
      </c>
      <c r="D554" s="36" t="s">
        <v>9142</v>
      </c>
      <c r="E554" s="36" t="s">
        <v>9143</v>
      </c>
      <c r="F554" s="36" t="s">
        <v>9144</v>
      </c>
      <c r="G554" s="36" t="s">
        <v>9145</v>
      </c>
      <c r="H554" s="36" t="s">
        <v>9146</v>
      </c>
      <c r="I554" s="36" t="s">
        <v>9147</v>
      </c>
      <c r="J554" s="36" t="s">
        <v>9148</v>
      </c>
      <c r="K554" s="36" t="s">
        <v>9149</v>
      </c>
      <c r="L554" s="36" t="s">
        <v>9150</v>
      </c>
      <c r="M554" s="36" t="s">
        <v>9151</v>
      </c>
      <c r="N554" s="36" t="s">
        <v>9152</v>
      </c>
      <c r="O554" s="36" t="s">
        <v>9153</v>
      </c>
      <c r="P554" s="36" t="s">
        <v>9140</v>
      </c>
    </row>
    <row r="555" spans="1:16">
      <c r="A555" s="132">
        <v>554</v>
      </c>
      <c r="B555" s="36" t="s">
        <v>9154</v>
      </c>
      <c r="C555" s="36" t="s">
        <v>9155</v>
      </c>
      <c r="D555" s="36" t="s">
        <v>9156</v>
      </c>
      <c r="E555" s="36" t="s">
        <v>9157</v>
      </c>
      <c r="F555" s="36" t="s">
        <v>9158</v>
      </c>
      <c r="G555" s="36" t="s">
        <v>9159</v>
      </c>
      <c r="H555" s="36" t="s">
        <v>9160</v>
      </c>
      <c r="I555" s="36" t="s">
        <v>9161</v>
      </c>
      <c r="J555" s="36" t="s">
        <v>9162</v>
      </c>
      <c r="K555" s="36" t="s">
        <v>9163</v>
      </c>
      <c r="L555" s="36" t="s">
        <v>9164</v>
      </c>
      <c r="M555" s="36" t="s">
        <v>9165</v>
      </c>
      <c r="N555" s="36" t="s">
        <v>9166</v>
      </c>
      <c r="O555" s="36" t="s">
        <v>9167</v>
      </c>
      <c r="P555" s="36" t="s">
        <v>9154</v>
      </c>
    </row>
    <row r="556" spans="1:16">
      <c r="A556" s="132">
        <v>555</v>
      </c>
      <c r="B556" s="36" t="s">
        <v>9168</v>
      </c>
      <c r="C556" s="36" t="s">
        <v>9169</v>
      </c>
      <c r="D556" s="36" t="s">
        <v>9170</v>
      </c>
      <c r="E556" s="36" t="s">
        <v>9171</v>
      </c>
      <c r="F556" s="36" t="s">
        <v>9172</v>
      </c>
      <c r="G556" s="36" t="s">
        <v>9173</v>
      </c>
      <c r="H556" s="36" t="s">
        <v>9174</v>
      </c>
      <c r="I556" s="36" t="s">
        <v>9175</v>
      </c>
      <c r="J556" s="36" t="s">
        <v>9176</v>
      </c>
      <c r="K556" s="36" t="s">
        <v>9177</v>
      </c>
      <c r="L556" s="36" t="s">
        <v>9178</v>
      </c>
      <c r="M556" s="36" t="s">
        <v>9179</v>
      </c>
      <c r="N556" s="36" t="s">
        <v>9180</v>
      </c>
      <c r="O556" s="36" t="s">
        <v>9181</v>
      </c>
      <c r="P556" s="36" t="s">
        <v>9168</v>
      </c>
    </row>
    <row r="557" spans="1:16">
      <c r="A557" s="132">
        <v>556</v>
      </c>
      <c r="B557" s="36" t="s">
        <v>9182</v>
      </c>
      <c r="C557" s="36" t="s">
        <v>9183</v>
      </c>
      <c r="D557" s="36" t="s">
        <v>9184</v>
      </c>
      <c r="E557" s="36" t="s">
        <v>9185</v>
      </c>
      <c r="F557" s="36" t="s">
        <v>9186</v>
      </c>
      <c r="G557" s="36" t="s">
        <v>9187</v>
      </c>
      <c r="H557" s="36" t="s">
        <v>9188</v>
      </c>
      <c r="I557" s="36" t="s">
        <v>9189</v>
      </c>
      <c r="J557" s="36" t="s">
        <v>9190</v>
      </c>
      <c r="K557" s="36" t="s">
        <v>9191</v>
      </c>
      <c r="L557" s="36" t="s">
        <v>9192</v>
      </c>
      <c r="M557" s="36" t="s">
        <v>9193</v>
      </c>
      <c r="N557" s="36" t="s">
        <v>9194</v>
      </c>
      <c r="O557" s="36" t="s">
        <v>9195</v>
      </c>
      <c r="P557" s="36" t="s">
        <v>9182</v>
      </c>
    </row>
    <row r="558" spans="1:16">
      <c r="A558" s="132">
        <v>557</v>
      </c>
      <c r="B558" s="36" t="s">
        <v>9196</v>
      </c>
      <c r="C558" s="36" t="s">
        <v>9197</v>
      </c>
      <c r="D558" s="36" t="s">
        <v>9198</v>
      </c>
      <c r="E558" s="36" t="s">
        <v>9199</v>
      </c>
      <c r="F558" s="36" t="s">
        <v>9200</v>
      </c>
      <c r="G558" s="36" t="s">
        <v>9201</v>
      </c>
      <c r="H558" s="36" t="s">
        <v>9202</v>
      </c>
      <c r="I558" s="36" t="s">
        <v>9203</v>
      </c>
      <c r="J558" s="36" t="s">
        <v>9204</v>
      </c>
      <c r="K558" s="36" t="s">
        <v>9205</v>
      </c>
      <c r="L558" s="36" t="s">
        <v>9206</v>
      </c>
      <c r="M558" s="36" t="s">
        <v>9207</v>
      </c>
      <c r="N558" s="36" t="s">
        <v>9208</v>
      </c>
      <c r="O558" s="36" t="s">
        <v>9209</v>
      </c>
      <c r="P558" s="36" t="s">
        <v>9196</v>
      </c>
    </row>
    <row r="559" spans="1:16">
      <c r="A559" s="132">
        <v>558</v>
      </c>
      <c r="B559" s="36" t="s">
        <v>9210</v>
      </c>
      <c r="C559" s="36" t="s">
        <v>9211</v>
      </c>
      <c r="D559" s="36" t="s">
        <v>9212</v>
      </c>
      <c r="E559" s="36" t="s">
        <v>9213</v>
      </c>
      <c r="F559" s="36" t="s">
        <v>9214</v>
      </c>
      <c r="G559" s="36" t="s">
        <v>9215</v>
      </c>
      <c r="H559" s="36" t="s">
        <v>9216</v>
      </c>
      <c r="I559" s="36" t="s">
        <v>9217</v>
      </c>
      <c r="J559" s="36" t="s">
        <v>9218</v>
      </c>
      <c r="K559" s="36" t="s">
        <v>9219</v>
      </c>
      <c r="L559" s="36" t="s">
        <v>9220</v>
      </c>
      <c r="M559" s="36" t="s">
        <v>9221</v>
      </c>
      <c r="N559" s="36" t="s">
        <v>9222</v>
      </c>
      <c r="O559" s="36" t="s">
        <v>9223</v>
      </c>
      <c r="P559" s="36" t="s">
        <v>9210</v>
      </c>
    </row>
    <row r="560" spans="1:16">
      <c r="A560" s="132">
        <v>559</v>
      </c>
      <c r="B560" s="36" t="s">
        <v>9224</v>
      </c>
      <c r="C560" s="36" t="s">
        <v>9225</v>
      </c>
      <c r="D560" s="36" t="s">
        <v>9226</v>
      </c>
      <c r="E560" s="36" t="s">
        <v>9227</v>
      </c>
      <c r="F560" s="36" t="s">
        <v>9228</v>
      </c>
      <c r="G560" s="36" t="s">
        <v>9229</v>
      </c>
      <c r="H560" s="36" t="s">
        <v>9230</v>
      </c>
      <c r="I560" s="36" t="s">
        <v>9231</v>
      </c>
      <c r="J560" s="36" t="s">
        <v>9232</v>
      </c>
      <c r="K560" s="36" t="s">
        <v>9233</v>
      </c>
      <c r="L560" s="36" t="s">
        <v>9234</v>
      </c>
      <c r="M560" s="36" t="s">
        <v>9235</v>
      </c>
      <c r="N560" s="36" t="s">
        <v>9236</v>
      </c>
      <c r="O560" s="36" t="s">
        <v>9237</v>
      </c>
      <c r="P560" s="36" t="s">
        <v>9224</v>
      </c>
    </row>
    <row r="561" spans="1:16">
      <c r="A561" s="132">
        <v>560</v>
      </c>
      <c r="B561" s="36" t="s">
        <v>9238</v>
      </c>
      <c r="C561" s="36" t="s">
        <v>9239</v>
      </c>
      <c r="D561" s="36" t="s">
        <v>9240</v>
      </c>
      <c r="E561" s="36" t="s">
        <v>9241</v>
      </c>
      <c r="F561" s="36" t="s">
        <v>9242</v>
      </c>
      <c r="G561" s="36" t="s">
        <v>9243</v>
      </c>
      <c r="H561" s="36" t="s">
        <v>9244</v>
      </c>
      <c r="I561" s="36" t="s">
        <v>9245</v>
      </c>
      <c r="J561" s="36" t="s">
        <v>9246</v>
      </c>
      <c r="K561" s="36" t="s">
        <v>9247</v>
      </c>
      <c r="L561" s="36" t="s">
        <v>9248</v>
      </c>
      <c r="M561" s="36" t="s">
        <v>9249</v>
      </c>
      <c r="N561" s="36" t="s">
        <v>9250</v>
      </c>
      <c r="O561" s="36" t="s">
        <v>9251</v>
      </c>
      <c r="P561" s="36" t="s">
        <v>9238</v>
      </c>
    </row>
    <row r="562" spans="1:16">
      <c r="A562" s="132">
        <v>561</v>
      </c>
      <c r="B562" s="36" t="s">
        <v>9252</v>
      </c>
      <c r="C562" s="36" t="s">
        <v>9253</v>
      </c>
      <c r="D562" s="36" t="s">
        <v>9254</v>
      </c>
      <c r="E562" s="36" t="s">
        <v>9255</v>
      </c>
      <c r="F562" s="36" t="s">
        <v>9256</v>
      </c>
      <c r="G562" s="36" t="s">
        <v>9257</v>
      </c>
      <c r="H562" s="36" t="s">
        <v>9258</v>
      </c>
      <c r="I562" s="36" t="s">
        <v>9259</v>
      </c>
      <c r="J562" s="36" t="s">
        <v>9260</v>
      </c>
      <c r="K562" s="36" t="s">
        <v>9261</v>
      </c>
      <c r="L562" s="36" t="s">
        <v>9262</v>
      </c>
      <c r="M562" s="36" t="s">
        <v>9263</v>
      </c>
      <c r="N562" s="36" t="s">
        <v>9262</v>
      </c>
      <c r="O562" s="36" t="s">
        <v>9264</v>
      </c>
      <c r="P562" s="36" t="s">
        <v>9252</v>
      </c>
    </row>
    <row r="563" spans="1:16">
      <c r="A563" s="132">
        <v>562</v>
      </c>
      <c r="B563" s="36" t="s">
        <v>9265</v>
      </c>
      <c r="C563" s="36" t="s">
        <v>9266</v>
      </c>
      <c r="D563" s="36" t="s">
        <v>9267</v>
      </c>
      <c r="E563" s="36" t="s">
        <v>9268</v>
      </c>
      <c r="F563" s="36" t="s">
        <v>9269</v>
      </c>
      <c r="G563" s="36" t="s">
        <v>9270</v>
      </c>
      <c r="H563" s="36" t="s">
        <v>9271</v>
      </c>
      <c r="I563" s="36" t="s">
        <v>9272</v>
      </c>
      <c r="J563" s="36" t="s">
        <v>9273</v>
      </c>
      <c r="K563" s="36" t="s">
        <v>9274</v>
      </c>
      <c r="L563" s="36" t="s">
        <v>9275</v>
      </c>
      <c r="M563" s="36" t="s">
        <v>9276</v>
      </c>
      <c r="N563" s="36" t="s">
        <v>9275</v>
      </c>
      <c r="O563" s="36" t="s">
        <v>9277</v>
      </c>
      <c r="P563" s="36" t="s">
        <v>9265</v>
      </c>
    </row>
    <row r="564" spans="1:16">
      <c r="A564" s="132">
        <v>563</v>
      </c>
      <c r="B564" s="36" t="s">
        <v>9278</v>
      </c>
      <c r="C564" s="36" t="s">
        <v>9279</v>
      </c>
      <c r="D564" s="36" t="s">
        <v>9280</v>
      </c>
      <c r="E564" s="36" t="s">
        <v>9281</v>
      </c>
      <c r="F564" s="36" t="s">
        <v>9282</v>
      </c>
      <c r="G564" s="36" t="s">
        <v>9283</v>
      </c>
      <c r="H564" s="36" t="s">
        <v>9284</v>
      </c>
      <c r="I564" s="36" t="s">
        <v>9285</v>
      </c>
      <c r="J564" s="36" t="s">
        <v>9286</v>
      </c>
      <c r="K564" s="36" t="s">
        <v>9287</v>
      </c>
      <c r="L564" s="36" t="s">
        <v>9288</v>
      </c>
      <c r="M564" s="36" t="s">
        <v>9289</v>
      </c>
      <c r="N564" s="36" t="s">
        <v>9288</v>
      </c>
      <c r="O564" s="36" t="s">
        <v>9290</v>
      </c>
      <c r="P564" s="36" t="s">
        <v>9278</v>
      </c>
    </row>
    <row r="565" spans="1:16">
      <c r="A565" s="132">
        <v>564</v>
      </c>
      <c r="B565" s="36" t="s">
        <v>9291</v>
      </c>
      <c r="C565" s="36" t="s">
        <v>9292</v>
      </c>
      <c r="D565" s="36" t="s">
        <v>9293</v>
      </c>
      <c r="E565" s="36" t="s">
        <v>9294</v>
      </c>
      <c r="F565" s="36" t="s">
        <v>9295</v>
      </c>
      <c r="G565" s="36" t="s">
        <v>9296</v>
      </c>
      <c r="H565" s="36" t="s">
        <v>9297</v>
      </c>
      <c r="I565" s="36" t="s">
        <v>9298</v>
      </c>
      <c r="J565" s="36" t="s">
        <v>9299</v>
      </c>
      <c r="K565" s="36" t="s">
        <v>9300</v>
      </c>
      <c r="L565" s="36" t="s">
        <v>9301</v>
      </c>
      <c r="M565" s="36" t="s">
        <v>9302</v>
      </c>
      <c r="N565" s="36" t="s">
        <v>9303</v>
      </c>
      <c r="O565" s="36" t="s">
        <v>9304</v>
      </c>
      <c r="P565" s="36" t="s">
        <v>9291</v>
      </c>
    </row>
    <row r="566" spans="1:16">
      <c r="A566" s="132">
        <v>565</v>
      </c>
      <c r="B566" s="36" t="s">
        <v>9305</v>
      </c>
      <c r="C566" s="36" t="s">
        <v>9306</v>
      </c>
      <c r="D566" s="36" t="s">
        <v>9307</v>
      </c>
      <c r="E566" s="36" t="s">
        <v>9308</v>
      </c>
      <c r="F566" s="36" t="s">
        <v>9309</v>
      </c>
      <c r="G566" s="36" t="s">
        <v>9310</v>
      </c>
      <c r="H566" s="36" t="s">
        <v>9311</v>
      </c>
      <c r="I566" s="36" t="s">
        <v>9312</v>
      </c>
      <c r="J566" s="36" t="s">
        <v>9313</v>
      </c>
      <c r="K566" s="36" t="s">
        <v>9314</v>
      </c>
      <c r="L566" s="36" t="s">
        <v>9315</v>
      </c>
      <c r="M566" s="36" t="s">
        <v>9316</v>
      </c>
      <c r="N566" s="36" t="s">
        <v>9317</v>
      </c>
      <c r="O566" s="36" t="s">
        <v>9318</v>
      </c>
      <c r="P566" s="36" t="s">
        <v>9305</v>
      </c>
    </row>
    <row r="567" spans="1:16">
      <c r="A567" s="132">
        <v>566</v>
      </c>
      <c r="B567" s="36" t="s">
        <v>9319</v>
      </c>
      <c r="C567" s="36" t="s">
        <v>9320</v>
      </c>
      <c r="D567" s="36" t="s">
        <v>9226</v>
      </c>
      <c r="E567" s="36" t="s">
        <v>9227</v>
      </c>
      <c r="F567" s="36" t="s">
        <v>9321</v>
      </c>
      <c r="G567" s="36" t="s">
        <v>9229</v>
      </c>
      <c r="H567" s="36" t="s">
        <v>9322</v>
      </c>
      <c r="I567" s="36" t="s">
        <v>9323</v>
      </c>
      <c r="J567" s="36" t="s">
        <v>9324</v>
      </c>
      <c r="K567" s="36" t="s">
        <v>9325</v>
      </c>
      <c r="L567" s="36" t="s">
        <v>9326</v>
      </c>
      <c r="M567" s="36" t="s">
        <v>9327</v>
      </c>
      <c r="N567" s="36" t="s">
        <v>9328</v>
      </c>
      <c r="O567" s="36" t="s">
        <v>9329</v>
      </c>
      <c r="P567" s="36" t="s">
        <v>9319</v>
      </c>
    </row>
    <row r="568" spans="1:16">
      <c r="A568" s="132">
        <v>567</v>
      </c>
      <c r="B568" s="36" t="s">
        <v>9330</v>
      </c>
      <c r="C568" s="36" t="s">
        <v>9331</v>
      </c>
      <c r="D568" s="36" t="s">
        <v>9332</v>
      </c>
      <c r="E568" s="36" t="s">
        <v>9333</v>
      </c>
      <c r="F568" s="36" t="s">
        <v>9334</v>
      </c>
      <c r="G568" s="36" t="s">
        <v>9335</v>
      </c>
      <c r="H568" s="36" t="s">
        <v>9336</v>
      </c>
      <c r="I568" s="36" t="s">
        <v>9337</v>
      </c>
      <c r="J568" s="36" t="s">
        <v>9338</v>
      </c>
      <c r="K568" s="36" t="s">
        <v>9339</v>
      </c>
      <c r="L568" s="36" t="s">
        <v>9340</v>
      </c>
      <c r="M568" s="36" t="s">
        <v>9341</v>
      </c>
      <c r="N568" s="36" t="s">
        <v>9342</v>
      </c>
      <c r="O568" s="36" t="s">
        <v>9343</v>
      </c>
      <c r="P568" s="36" t="s">
        <v>9330</v>
      </c>
    </row>
    <row r="569" spans="1:16">
      <c r="A569" s="132">
        <v>568</v>
      </c>
      <c r="B569" s="36" t="s">
        <v>9344</v>
      </c>
      <c r="C569" s="36" t="s">
        <v>9345</v>
      </c>
      <c r="D569" s="36" t="s">
        <v>9346</v>
      </c>
      <c r="E569" s="36" t="s">
        <v>9347</v>
      </c>
      <c r="F569" s="36" t="s">
        <v>9348</v>
      </c>
      <c r="G569" s="36" t="s">
        <v>9349</v>
      </c>
      <c r="H569" s="36" t="s">
        <v>9350</v>
      </c>
      <c r="I569" s="36" t="s">
        <v>9351</v>
      </c>
      <c r="J569" s="36" t="s">
        <v>9352</v>
      </c>
      <c r="K569" s="36" t="s">
        <v>9353</v>
      </c>
      <c r="L569" s="36" t="s">
        <v>9354</v>
      </c>
      <c r="M569" s="36" t="s">
        <v>9355</v>
      </c>
      <c r="N569" s="36" t="s">
        <v>9356</v>
      </c>
      <c r="O569" s="36" t="s">
        <v>9357</v>
      </c>
      <c r="P569" s="36" t="s">
        <v>9344</v>
      </c>
    </row>
    <row r="570" spans="1:16">
      <c r="A570" s="132">
        <v>569</v>
      </c>
      <c r="B570" s="36" t="s">
        <v>9358</v>
      </c>
      <c r="C570" s="36" t="s">
        <v>9320</v>
      </c>
      <c r="D570" s="36" t="s">
        <v>9226</v>
      </c>
      <c r="E570" s="36" t="s">
        <v>9227</v>
      </c>
      <c r="F570" s="36" t="s">
        <v>9228</v>
      </c>
      <c r="G570" s="36" t="s">
        <v>9359</v>
      </c>
      <c r="H570" s="36" t="s">
        <v>9360</v>
      </c>
      <c r="I570" s="36" t="s">
        <v>9361</v>
      </c>
      <c r="J570" s="36" t="s">
        <v>9362</v>
      </c>
      <c r="K570" s="36" t="s">
        <v>9363</v>
      </c>
      <c r="L570" s="36" t="s">
        <v>9364</v>
      </c>
      <c r="M570" s="36" t="s">
        <v>9365</v>
      </c>
      <c r="N570" s="36" t="s">
        <v>9366</v>
      </c>
      <c r="O570" s="36" t="s">
        <v>9367</v>
      </c>
      <c r="P570" s="36" t="s">
        <v>9358</v>
      </c>
    </row>
    <row r="571" spans="1:16">
      <c r="A571" s="132">
        <v>570</v>
      </c>
      <c r="B571" s="36" t="s">
        <v>9368</v>
      </c>
      <c r="C571" s="36" t="s">
        <v>9320</v>
      </c>
      <c r="D571" s="36" t="s">
        <v>9226</v>
      </c>
      <c r="E571" s="36" t="s">
        <v>9227</v>
      </c>
      <c r="F571" s="36" t="s">
        <v>9369</v>
      </c>
      <c r="G571" s="36" t="s">
        <v>9370</v>
      </c>
      <c r="H571" s="36" t="s">
        <v>9371</v>
      </c>
      <c r="I571" s="36" t="s">
        <v>9323</v>
      </c>
      <c r="J571" s="36" t="s">
        <v>9372</v>
      </c>
      <c r="K571" s="36" t="s">
        <v>9373</v>
      </c>
      <c r="L571" s="36" t="s">
        <v>9374</v>
      </c>
      <c r="M571" s="36" t="s">
        <v>9375</v>
      </c>
      <c r="N571" s="36" t="s">
        <v>9376</v>
      </c>
      <c r="O571" s="36" t="s">
        <v>9377</v>
      </c>
      <c r="P571" s="36" t="s">
        <v>9368</v>
      </c>
    </row>
    <row r="572" spans="1:16">
      <c r="A572" s="132">
        <v>571</v>
      </c>
      <c r="B572" s="36" t="s">
        <v>9378</v>
      </c>
      <c r="C572" s="36" t="s">
        <v>9379</v>
      </c>
      <c r="D572" s="36" t="s">
        <v>9380</v>
      </c>
      <c r="E572" s="36" t="s">
        <v>9227</v>
      </c>
      <c r="F572" s="36" t="s">
        <v>9369</v>
      </c>
      <c r="G572" s="36" t="s">
        <v>9381</v>
      </c>
      <c r="H572" s="36" t="s">
        <v>9382</v>
      </c>
      <c r="I572" s="36" t="s">
        <v>9383</v>
      </c>
      <c r="J572" s="36" t="s">
        <v>9384</v>
      </c>
      <c r="K572" s="36" t="s">
        <v>9373</v>
      </c>
      <c r="L572" s="36" t="s">
        <v>9385</v>
      </c>
      <c r="M572" s="36" t="s">
        <v>9386</v>
      </c>
      <c r="N572" s="36" t="s">
        <v>9387</v>
      </c>
      <c r="O572" s="36" t="s">
        <v>9388</v>
      </c>
      <c r="P572" s="36" t="s">
        <v>9378</v>
      </c>
    </row>
    <row r="573" spans="1:16">
      <c r="A573" s="132">
        <v>572</v>
      </c>
      <c r="B573" s="36" t="s">
        <v>9389</v>
      </c>
      <c r="C573" s="36" t="s">
        <v>9390</v>
      </c>
      <c r="D573" s="36" t="s">
        <v>9391</v>
      </c>
      <c r="E573" s="36" t="s">
        <v>9392</v>
      </c>
      <c r="F573" s="36" t="s">
        <v>9393</v>
      </c>
      <c r="G573" s="36" t="s">
        <v>9392</v>
      </c>
      <c r="H573" s="36" t="s">
        <v>9394</v>
      </c>
      <c r="I573" s="36" t="s">
        <v>9392</v>
      </c>
      <c r="J573" s="36" t="s">
        <v>9395</v>
      </c>
      <c r="K573" s="36" t="s">
        <v>9392</v>
      </c>
      <c r="L573" s="36" t="s">
        <v>9396</v>
      </c>
      <c r="M573" s="36" t="s">
        <v>9395</v>
      </c>
      <c r="N573" s="36" t="s">
        <v>9397</v>
      </c>
      <c r="O573" s="36" t="s">
        <v>9392</v>
      </c>
      <c r="P573" s="36" t="s">
        <v>9395</v>
      </c>
    </row>
    <row r="574" spans="1:16">
      <c r="A574" s="132">
        <v>573</v>
      </c>
      <c r="B574" s="36" t="s">
        <v>9398</v>
      </c>
      <c r="C574" s="36" t="s">
        <v>9399</v>
      </c>
      <c r="D574" s="36" t="s">
        <v>9400</v>
      </c>
      <c r="E574" s="36" t="s">
        <v>9401</v>
      </c>
      <c r="F574" s="36" t="s">
        <v>9402</v>
      </c>
      <c r="G574" s="36" t="s">
        <v>9403</v>
      </c>
      <c r="H574" s="36" t="s">
        <v>9404</v>
      </c>
      <c r="I574" s="36" t="s">
        <v>9405</v>
      </c>
      <c r="J574" s="36" t="s">
        <v>9406</v>
      </c>
      <c r="K574" s="36" t="s">
        <v>9407</v>
      </c>
      <c r="L574" s="36" t="s">
        <v>9408</v>
      </c>
      <c r="M574" s="36" t="s">
        <v>9409</v>
      </c>
      <c r="N574" s="36" t="s">
        <v>9410</v>
      </c>
      <c r="O574" s="36" t="s">
        <v>9411</v>
      </c>
      <c r="P574" s="36" t="s">
        <v>9398</v>
      </c>
    </row>
    <row r="575" spans="1:16">
      <c r="A575" s="132">
        <v>574</v>
      </c>
      <c r="B575" s="36" t="s">
        <v>9412</v>
      </c>
      <c r="C575" s="36" t="s">
        <v>9413</v>
      </c>
      <c r="D575" s="36" t="s">
        <v>9414</v>
      </c>
      <c r="E575" s="36" t="s">
        <v>9415</v>
      </c>
      <c r="F575" s="36" t="s">
        <v>9416</v>
      </c>
      <c r="G575" s="36" t="s">
        <v>9417</v>
      </c>
      <c r="H575" s="36" t="s">
        <v>9418</v>
      </c>
      <c r="I575" s="36" t="s">
        <v>9419</v>
      </c>
      <c r="J575" s="36" t="s">
        <v>9420</v>
      </c>
      <c r="K575" s="36" t="s">
        <v>9421</v>
      </c>
      <c r="L575" s="36" t="s">
        <v>9422</v>
      </c>
      <c r="M575" s="36" t="s">
        <v>9423</v>
      </c>
      <c r="N575" s="36" t="s">
        <v>9424</v>
      </c>
      <c r="O575" s="36" t="s">
        <v>9425</v>
      </c>
      <c r="P575" s="36" t="s">
        <v>9412</v>
      </c>
    </row>
    <row r="576" spans="1:16">
      <c r="A576" s="132">
        <v>575</v>
      </c>
      <c r="B576" s="36" t="s">
        <v>9426</v>
      </c>
      <c r="C576" s="36" t="s">
        <v>9427</v>
      </c>
      <c r="D576" s="36" t="s">
        <v>9428</v>
      </c>
      <c r="E576" s="36" t="s">
        <v>9429</v>
      </c>
      <c r="F576" s="36" t="s">
        <v>9430</v>
      </c>
      <c r="G576" s="36" t="s">
        <v>9431</v>
      </c>
      <c r="H576" s="36" t="s">
        <v>9432</v>
      </c>
      <c r="I576" s="36" t="s">
        <v>9433</v>
      </c>
      <c r="J576" s="36" t="s">
        <v>9434</v>
      </c>
      <c r="K576" s="36" t="s">
        <v>9435</v>
      </c>
      <c r="L576" s="36" t="s">
        <v>9436</v>
      </c>
      <c r="M576" s="36" t="s">
        <v>9437</v>
      </c>
      <c r="N576" s="36" t="s">
        <v>9437</v>
      </c>
      <c r="O576" s="36" t="s">
        <v>9438</v>
      </c>
      <c r="P576" s="36" t="s">
        <v>9426</v>
      </c>
    </row>
    <row r="577" spans="1:16">
      <c r="A577" s="132">
        <v>576</v>
      </c>
      <c r="B577" s="36" t="s">
        <v>9439</v>
      </c>
      <c r="C577" s="36" t="s">
        <v>9440</v>
      </c>
      <c r="D577" s="36" t="s">
        <v>9441</v>
      </c>
      <c r="E577" s="36" t="s">
        <v>9442</v>
      </c>
      <c r="F577" s="36" t="s">
        <v>9443</v>
      </c>
      <c r="G577" s="36" t="s">
        <v>9444</v>
      </c>
      <c r="H577" s="36" t="s">
        <v>9445</v>
      </c>
      <c r="I577" s="36" t="s">
        <v>9446</v>
      </c>
      <c r="J577" s="36" t="s">
        <v>9447</v>
      </c>
      <c r="K577" s="36" t="s">
        <v>9448</v>
      </c>
      <c r="L577" s="36" t="s">
        <v>9449</v>
      </c>
      <c r="M577" s="36" t="s">
        <v>9450</v>
      </c>
      <c r="N577" s="36" t="s">
        <v>9451</v>
      </c>
      <c r="O577" s="36" t="s">
        <v>9452</v>
      </c>
      <c r="P577" s="36" t="s">
        <v>9439</v>
      </c>
    </row>
    <row r="578" spans="1:16">
      <c r="A578" s="132">
        <v>577</v>
      </c>
      <c r="B578" s="36" t="s">
        <v>9453</v>
      </c>
      <c r="C578" s="36" t="s">
        <v>9454</v>
      </c>
      <c r="D578" s="36" t="s">
        <v>9455</v>
      </c>
      <c r="E578" s="36" t="s">
        <v>9456</v>
      </c>
      <c r="F578" s="36" t="s">
        <v>9457</v>
      </c>
      <c r="G578" s="36" t="s">
        <v>9458</v>
      </c>
      <c r="H578" s="36" t="s">
        <v>9459</v>
      </c>
      <c r="I578" s="36" t="s">
        <v>9460</v>
      </c>
      <c r="J578" s="36" t="s">
        <v>9461</v>
      </c>
      <c r="K578" s="36" t="s">
        <v>9462</v>
      </c>
      <c r="L578" s="36" t="s">
        <v>9463</v>
      </c>
      <c r="M578" s="36" t="s">
        <v>9464</v>
      </c>
      <c r="N578" s="36" t="s">
        <v>9465</v>
      </c>
      <c r="O578" s="36" t="s">
        <v>9466</v>
      </c>
      <c r="P578" s="36" t="s">
        <v>9453</v>
      </c>
    </row>
    <row r="579" spans="1:16">
      <c r="A579" s="132">
        <v>578</v>
      </c>
      <c r="B579" s="36" t="s">
        <v>9467</v>
      </c>
      <c r="C579" s="36" t="s">
        <v>9468</v>
      </c>
      <c r="D579" s="36" t="s">
        <v>9469</v>
      </c>
      <c r="E579" s="36" t="s">
        <v>9470</v>
      </c>
      <c r="F579" s="36" t="s">
        <v>9471</v>
      </c>
      <c r="G579" s="36" t="s">
        <v>9472</v>
      </c>
      <c r="H579" s="36" t="s">
        <v>9473</v>
      </c>
      <c r="I579" s="36" t="s">
        <v>9474</v>
      </c>
      <c r="J579" s="36" t="s">
        <v>9475</v>
      </c>
      <c r="K579" s="36" t="s">
        <v>9476</v>
      </c>
      <c r="L579" s="36" t="s">
        <v>9477</v>
      </c>
      <c r="M579" s="36" t="s">
        <v>9478</v>
      </c>
      <c r="N579" s="36" t="s">
        <v>9479</v>
      </c>
      <c r="O579" s="36" t="s">
        <v>9480</v>
      </c>
      <c r="P579" s="36" t="s">
        <v>9467</v>
      </c>
    </row>
    <row r="580" spans="1:16" ht="16.2">
      <c r="A580" s="132">
        <v>579</v>
      </c>
      <c r="B580" s="36" t="s">
        <v>9481</v>
      </c>
      <c r="C580" s="36" t="s">
        <v>9481</v>
      </c>
      <c r="D580" s="36" t="s">
        <v>9481</v>
      </c>
      <c r="E580" s="36" t="s">
        <v>9481</v>
      </c>
      <c r="F580" s="36" t="s">
        <v>9482</v>
      </c>
      <c r="G580" s="36" t="s">
        <v>9483</v>
      </c>
      <c r="H580" s="36" t="s">
        <v>9484</v>
      </c>
      <c r="I580" s="36" t="s">
        <v>9482</v>
      </c>
      <c r="J580" s="36" t="s">
        <v>9485</v>
      </c>
      <c r="K580" s="36" t="s">
        <v>9486</v>
      </c>
      <c r="L580" s="36" t="s">
        <v>9487</v>
      </c>
      <c r="M580" s="36" t="s">
        <v>9488</v>
      </c>
      <c r="N580" s="36" t="s">
        <v>9489</v>
      </c>
      <c r="O580" s="36" t="s">
        <v>9481</v>
      </c>
      <c r="P580" s="36" t="s">
        <v>9481</v>
      </c>
    </row>
    <row r="581" spans="1:16">
      <c r="A581" s="132">
        <v>580</v>
      </c>
      <c r="B581" s="36" t="s">
        <v>9490</v>
      </c>
      <c r="C581" s="36" t="s">
        <v>9491</v>
      </c>
      <c r="D581" s="36" t="s">
        <v>9492</v>
      </c>
      <c r="E581" s="36" t="s">
        <v>9493</v>
      </c>
      <c r="F581" s="36" t="s">
        <v>9494</v>
      </c>
      <c r="G581" s="36" t="s">
        <v>9495</v>
      </c>
      <c r="H581" s="36" t="s">
        <v>9496</v>
      </c>
      <c r="I581" s="36" t="s">
        <v>9497</v>
      </c>
      <c r="J581" s="36" t="s">
        <v>9498</v>
      </c>
      <c r="K581" s="36" t="s">
        <v>9499</v>
      </c>
      <c r="L581" s="36" t="s">
        <v>9500</v>
      </c>
      <c r="M581" s="36" t="s">
        <v>9501</v>
      </c>
      <c r="N581" s="36" t="s">
        <v>9501</v>
      </c>
      <c r="O581" s="36" t="s">
        <v>9502</v>
      </c>
      <c r="P581" s="36" t="s">
        <v>9490</v>
      </c>
    </row>
    <row r="582" spans="1:16">
      <c r="A582" s="132">
        <v>581</v>
      </c>
      <c r="B582" s="36" t="s">
        <v>9503</v>
      </c>
      <c r="C582" s="36" t="s">
        <v>9504</v>
      </c>
      <c r="D582" s="36" t="s">
        <v>9505</v>
      </c>
      <c r="E582" s="36" t="s">
        <v>9506</v>
      </c>
      <c r="F582" s="36" t="s">
        <v>9507</v>
      </c>
      <c r="G582" s="36" t="s">
        <v>9508</v>
      </c>
      <c r="H582" s="36" t="s">
        <v>9509</v>
      </c>
      <c r="I582" s="36" t="s">
        <v>9510</v>
      </c>
      <c r="J582" s="36" t="s">
        <v>9511</v>
      </c>
      <c r="K582" s="36" t="s">
        <v>9512</v>
      </c>
      <c r="L582" s="36" t="s">
        <v>9513</v>
      </c>
      <c r="M582" s="36" t="s">
        <v>9514</v>
      </c>
      <c r="N582" s="36" t="s">
        <v>9515</v>
      </c>
      <c r="O582" s="36" t="s">
        <v>9516</v>
      </c>
      <c r="P582" s="36" t="s">
        <v>9503</v>
      </c>
    </row>
    <row r="583" spans="1:16">
      <c r="A583" s="132">
        <v>582</v>
      </c>
      <c r="B583" s="36" t="s">
        <v>9517</v>
      </c>
      <c r="C583" s="36" t="s">
        <v>9518</v>
      </c>
      <c r="D583" s="36" t="s">
        <v>9519</v>
      </c>
      <c r="E583" s="36" t="s">
        <v>9520</v>
      </c>
      <c r="F583" s="36" t="s">
        <v>9521</v>
      </c>
      <c r="G583" s="36" t="s">
        <v>9522</v>
      </c>
      <c r="H583" s="36" t="s">
        <v>9523</v>
      </c>
      <c r="I583" s="36" t="s">
        <v>9524</v>
      </c>
      <c r="J583" s="36" t="s">
        <v>9525</v>
      </c>
      <c r="K583" s="36" t="s">
        <v>9526</v>
      </c>
      <c r="L583" s="36" t="s">
        <v>9527</v>
      </c>
      <c r="M583" s="36" t="s">
        <v>9528</v>
      </c>
      <c r="N583" s="36" t="s">
        <v>9529</v>
      </c>
      <c r="O583" s="36" t="s">
        <v>9530</v>
      </c>
      <c r="P583" s="36" t="s">
        <v>9517</v>
      </c>
    </row>
    <row r="584" spans="1:16">
      <c r="A584" s="132">
        <v>583</v>
      </c>
      <c r="B584" s="36" t="s">
        <v>9531</v>
      </c>
      <c r="C584" s="36" t="s">
        <v>9532</v>
      </c>
      <c r="D584" s="36" t="s">
        <v>9533</v>
      </c>
      <c r="E584" s="36" t="s">
        <v>9534</v>
      </c>
      <c r="F584" s="36" t="s">
        <v>9535</v>
      </c>
      <c r="G584" s="36" t="s">
        <v>9536</v>
      </c>
      <c r="H584" s="36" t="s">
        <v>9537</v>
      </c>
      <c r="I584" s="36" t="s">
        <v>9538</v>
      </c>
      <c r="J584" s="36" t="s">
        <v>9539</v>
      </c>
      <c r="K584" s="36" t="s">
        <v>9540</v>
      </c>
      <c r="L584" s="36" t="s">
        <v>9541</v>
      </c>
      <c r="M584" s="36" t="s">
        <v>9542</v>
      </c>
      <c r="N584" s="36" t="s">
        <v>9543</v>
      </c>
      <c r="O584" s="36" t="s">
        <v>9544</v>
      </c>
      <c r="P584" s="36" t="s">
        <v>9531</v>
      </c>
    </row>
    <row r="585" spans="1:16">
      <c r="A585" s="132">
        <v>584</v>
      </c>
      <c r="B585" s="36" t="s">
        <v>9545</v>
      </c>
      <c r="C585" s="36" t="s">
        <v>9546</v>
      </c>
      <c r="D585" s="36" t="s">
        <v>9547</v>
      </c>
      <c r="E585" s="36" t="s">
        <v>9548</v>
      </c>
      <c r="F585" s="36" t="s">
        <v>9549</v>
      </c>
      <c r="G585" s="36" t="s">
        <v>9550</v>
      </c>
      <c r="H585" s="36" t="s">
        <v>9551</v>
      </c>
      <c r="I585" s="36" t="s">
        <v>9552</v>
      </c>
      <c r="J585" s="36" t="s">
        <v>9553</v>
      </c>
      <c r="K585" s="36" t="s">
        <v>9554</v>
      </c>
      <c r="L585" s="36" t="s">
        <v>9555</v>
      </c>
      <c r="M585" s="36" t="s">
        <v>9556</v>
      </c>
      <c r="N585" s="36" t="s">
        <v>9557</v>
      </c>
      <c r="O585" s="36" t="s">
        <v>9558</v>
      </c>
      <c r="P585" s="36" t="s">
        <v>9545</v>
      </c>
    </row>
    <row r="586" spans="1:16">
      <c r="A586" s="132">
        <v>585</v>
      </c>
      <c r="B586" s="36" t="s">
        <v>9559</v>
      </c>
      <c r="C586" s="36" t="s">
        <v>9560</v>
      </c>
      <c r="D586" s="36" t="s">
        <v>9561</v>
      </c>
      <c r="E586" s="36" t="s">
        <v>9562</v>
      </c>
      <c r="F586" s="36" t="s">
        <v>9563</v>
      </c>
      <c r="G586" s="36" t="s">
        <v>9564</v>
      </c>
      <c r="H586" s="36" t="s">
        <v>9565</v>
      </c>
      <c r="I586" s="36" t="s">
        <v>9566</v>
      </c>
      <c r="J586" s="36" t="s">
        <v>9567</v>
      </c>
      <c r="K586" s="36" t="s">
        <v>9568</v>
      </c>
      <c r="L586" s="36" t="s">
        <v>9569</v>
      </c>
      <c r="M586" s="36" t="s">
        <v>9570</v>
      </c>
      <c r="N586" s="36" t="s">
        <v>9571</v>
      </c>
      <c r="O586" s="36" t="s">
        <v>9572</v>
      </c>
      <c r="P586" s="36" t="s">
        <v>9559</v>
      </c>
    </row>
    <row r="587" spans="1:16">
      <c r="A587" s="132">
        <v>586</v>
      </c>
      <c r="B587" s="36" t="s">
        <v>9573</v>
      </c>
      <c r="C587" s="36" t="s">
        <v>9574</v>
      </c>
      <c r="D587" s="36" t="s">
        <v>9575</v>
      </c>
      <c r="E587" s="36" t="s">
        <v>9576</v>
      </c>
      <c r="F587" s="36" t="s">
        <v>9577</v>
      </c>
      <c r="G587" s="36" t="s">
        <v>9578</v>
      </c>
      <c r="H587" s="36" t="s">
        <v>9579</v>
      </c>
      <c r="I587" s="36" t="s">
        <v>9580</v>
      </c>
      <c r="J587" s="36" t="s">
        <v>9581</v>
      </c>
      <c r="K587" s="36" t="s">
        <v>9582</v>
      </c>
      <c r="L587" s="36" t="s">
        <v>9583</v>
      </c>
      <c r="M587" s="36" t="s">
        <v>9584</v>
      </c>
      <c r="N587" s="36" t="s">
        <v>9585</v>
      </c>
      <c r="O587" s="36" t="s">
        <v>9586</v>
      </c>
      <c r="P587" s="36" t="s">
        <v>9573</v>
      </c>
    </row>
    <row r="588" spans="1:16">
      <c r="A588" s="132">
        <v>587</v>
      </c>
      <c r="B588" s="36" t="s">
        <v>9587</v>
      </c>
      <c r="C588" s="36" t="s">
        <v>9588</v>
      </c>
      <c r="D588" s="36" t="s">
        <v>9589</v>
      </c>
      <c r="E588" s="36" t="s">
        <v>9590</v>
      </c>
      <c r="F588" s="36" t="s">
        <v>9591</v>
      </c>
      <c r="G588" s="36" t="s">
        <v>9592</v>
      </c>
      <c r="H588" s="36" t="s">
        <v>9593</v>
      </c>
      <c r="I588" s="36" t="s">
        <v>9594</v>
      </c>
      <c r="J588" s="36" t="s">
        <v>9595</v>
      </c>
      <c r="K588" s="36" t="s">
        <v>9596</v>
      </c>
      <c r="L588" s="36" t="s">
        <v>9597</v>
      </c>
      <c r="M588" s="36" t="s">
        <v>9598</v>
      </c>
      <c r="N588" s="36" t="s">
        <v>9599</v>
      </c>
      <c r="O588" s="36" t="s">
        <v>9600</v>
      </c>
      <c r="P588" s="36" t="s">
        <v>9601</v>
      </c>
    </row>
    <row r="589" spans="1:16">
      <c r="A589" s="132">
        <v>588</v>
      </c>
      <c r="B589" s="36" t="s">
        <v>9602</v>
      </c>
      <c r="C589" s="36" t="s">
        <v>9602</v>
      </c>
      <c r="D589" s="36" t="s">
        <v>9602</v>
      </c>
      <c r="E589" s="36" t="s">
        <v>9602</v>
      </c>
      <c r="F589" s="36" t="s">
        <v>9602</v>
      </c>
      <c r="G589" s="36" t="s">
        <v>9602</v>
      </c>
      <c r="H589" s="36" t="s">
        <v>9602</v>
      </c>
      <c r="I589" s="36" t="s">
        <v>9602</v>
      </c>
      <c r="J589" s="36" t="s">
        <v>9602</v>
      </c>
      <c r="K589" s="36" t="s">
        <v>9602</v>
      </c>
      <c r="L589" s="36" t="s">
        <v>9602</v>
      </c>
      <c r="M589" s="36" t="s">
        <v>9602</v>
      </c>
      <c r="N589" s="36" t="s">
        <v>9602</v>
      </c>
      <c r="O589" s="36" t="s">
        <v>9602</v>
      </c>
      <c r="P589" s="36" t="s">
        <v>9602</v>
      </c>
    </row>
    <row r="590" spans="1:16">
      <c r="A590" s="132">
        <v>589</v>
      </c>
      <c r="B590" s="36" t="s">
        <v>9603</v>
      </c>
      <c r="C590" s="36" t="s">
        <v>9604</v>
      </c>
      <c r="D590" s="36" t="s">
        <v>9605</v>
      </c>
      <c r="E590" s="36" t="s">
        <v>9606</v>
      </c>
      <c r="F590" s="36" t="s">
        <v>9607</v>
      </c>
      <c r="G590" s="36" t="s">
        <v>9608</v>
      </c>
      <c r="H590" s="36" t="s">
        <v>9609</v>
      </c>
      <c r="I590" s="36" t="s">
        <v>9610</v>
      </c>
      <c r="J590" s="36" t="s">
        <v>9611</v>
      </c>
      <c r="K590" s="36" t="s">
        <v>9612</v>
      </c>
      <c r="L590" s="36" t="s">
        <v>9613</v>
      </c>
      <c r="M590" s="36" t="s">
        <v>9614</v>
      </c>
      <c r="N590" s="36" t="s">
        <v>9615</v>
      </c>
      <c r="O590" s="36" t="s">
        <v>9616</v>
      </c>
      <c r="P590" s="36" t="s">
        <v>9603</v>
      </c>
    </row>
    <row r="591" spans="1:16">
      <c r="A591" s="132">
        <v>590</v>
      </c>
      <c r="B591" s="36" t="s">
        <v>9617</v>
      </c>
      <c r="C591" s="36" t="s">
        <v>9618</v>
      </c>
      <c r="D591" s="36" t="s">
        <v>9619</v>
      </c>
      <c r="E591" s="36" t="s">
        <v>9620</v>
      </c>
      <c r="F591" s="36" t="s">
        <v>9621</v>
      </c>
      <c r="G591" s="36" t="s">
        <v>9622</v>
      </c>
      <c r="H591" s="36" t="s">
        <v>9623</v>
      </c>
      <c r="I591" s="36" t="s">
        <v>9624</v>
      </c>
      <c r="J591" s="36" t="s">
        <v>9625</v>
      </c>
      <c r="K591" s="36" t="s">
        <v>9626</v>
      </c>
      <c r="L591" s="36" t="s">
        <v>9627</v>
      </c>
      <c r="M591" s="36" t="s">
        <v>9628</v>
      </c>
      <c r="N591" s="36" t="s">
        <v>9629</v>
      </c>
      <c r="O591" s="36" t="s">
        <v>9630</v>
      </c>
      <c r="P591" s="36" t="s">
        <v>9617</v>
      </c>
    </row>
    <row r="592" spans="1:16">
      <c r="A592" s="132">
        <v>591</v>
      </c>
      <c r="B592" s="36" t="s">
        <v>9631</v>
      </c>
      <c r="C592" s="36" t="s">
        <v>9632</v>
      </c>
      <c r="D592" s="36" t="s">
        <v>5963</v>
      </c>
      <c r="E592" s="36" t="s">
        <v>3864</v>
      </c>
      <c r="F592" s="36" t="s">
        <v>3782</v>
      </c>
      <c r="G592" s="36" t="s">
        <v>9633</v>
      </c>
      <c r="H592" s="36" t="s">
        <v>5967</v>
      </c>
      <c r="I592" s="36" t="s">
        <v>9634</v>
      </c>
      <c r="J592" s="36" t="s">
        <v>9635</v>
      </c>
      <c r="K592" s="36" t="s">
        <v>3787</v>
      </c>
      <c r="L592" s="36" t="s">
        <v>5971</v>
      </c>
      <c r="M592" s="36" t="s">
        <v>9636</v>
      </c>
      <c r="N592" s="36" t="s">
        <v>9636</v>
      </c>
      <c r="O592" s="36" t="s">
        <v>5970</v>
      </c>
      <c r="P592" s="36" t="s">
        <v>9631</v>
      </c>
    </row>
    <row r="593" spans="1:16">
      <c r="A593" s="132">
        <v>592</v>
      </c>
      <c r="B593" s="36" t="s">
        <v>9637</v>
      </c>
      <c r="C593" s="36" t="s">
        <v>9638</v>
      </c>
      <c r="D593" s="36" t="s">
        <v>9639</v>
      </c>
      <c r="E593" s="36" t="s">
        <v>9640</v>
      </c>
      <c r="F593" s="36" t="s">
        <v>9641</v>
      </c>
      <c r="G593" s="36" t="s">
        <v>9642</v>
      </c>
      <c r="H593" s="36" t="s">
        <v>9643</v>
      </c>
      <c r="I593" s="36" t="s">
        <v>9644</v>
      </c>
      <c r="J593" s="36" t="s">
        <v>9645</v>
      </c>
      <c r="K593" s="36" t="s">
        <v>9646</v>
      </c>
      <c r="L593" s="36" t="s">
        <v>9647</v>
      </c>
      <c r="M593" s="36" t="s">
        <v>9648</v>
      </c>
      <c r="N593" s="36" t="s">
        <v>9649</v>
      </c>
      <c r="O593" s="36" t="s">
        <v>9646</v>
      </c>
      <c r="P593" s="36" t="s">
        <v>9637</v>
      </c>
    </row>
    <row r="594" spans="1:16">
      <c r="A594" s="132">
        <v>593</v>
      </c>
      <c r="B594" s="36" t="s">
        <v>9650</v>
      </c>
      <c r="C594" s="36" t="s">
        <v>9651</v>
      </c>
      <c r="D594" s="36" t="s">
        <v>9652</v>
      </c>
      <c r="E594" s="36" t="s">
        <v>9653</v>
      </c>
      <c r="F594" s="36" t="s">
        <v>9654</v>
      </c>
      <c r="G594" s="36" t="s">
        <v>9655</v>
      </c>
      <c r="H594" s="36" t="s">
        <v>9656</v>
      </c>
      <c r="I594" s="36" t="s">
        <v>9657</v>
      </c>
      <c r="J594" s="36" t="s">
        <v>9658</v>
      </c>
      <c r="K594" s="36" t="s">
        <v>9659</v>
      </c>
      <c r="L594" s="36" t="s">
        <v>9660</v>
      </c>
      <c r="M594" s="36" t="s">
        <v>9661</v>
      </c>
      <c r="N594" s="36" t="s">
        <v>9662</v>
      </c>
      <c r="O594" s="36" t="s">
        <v>9663</v>
      </c>
      <c r="P594" s="36" t="s">
        <v>9650</v>
      </c>
    </row>
    <row r="595" spans="1:16">
      <c r="A595" s="132">
        <v>594</v>
      </c>
      <c r="B595" s="36" t="s">
        <v>9664</v>
      </c>
      <c r="C595" s="36" t="s">
        <v>9665</v>
      </c>
      <c r="D595" s="36" t="s">
        <v>9666</v>
      </c>
      <c r="E595" s="36" t="s">
        <v>9667</v>
      </c>
      <c r="F595" s="36" t="s">
        <v>9668</v>
      </c>
      <c r="G595" s="36" t="s">
        <v>9669</v>
      </c>
      <c r="H595" s="36" t="s">
        <v>9670</v>
      </c>
      <c r="I595" s="36" t="s">
        <v>9671</v>
      </c>
      <c r="J595" s="36" t="s">
        <v>9672</v>
      </c>
      <c r="K595" s="36" t="s">
        <v>9673</v>
      </c>
      <c r="L595" s="36" t="s">
        <v>9674</v>
      </c>
      <c r="M595" s="36" t="s">
        <v>9675</v>
      </c>
      <c r="N595" s="36" t="s">
        <v>9676</v>
      </c>
      <c r="O595" s="36" t="s">
        <v>9677</v>
      </c>
      <c r="P595" s="36" t="s">
        <v>9664</v>
      </c>
    </row>
    <row r="596" spans="1:16">
      <c r="A596" s="132">
        <v>595</v>
      </c>
      <c r="B596" s="36" t="s">
        <v>9678</v>
      </c>
      <c r="C596" s="36" t="s">
        <v>9679</v>
      </c>
      <c r="D596" s="36" t="s">
        <v>9678</v>
      </c>
      <c r="E596" s="36" t="s">
        <v>9678</v>
      </c>
      <c r="F596" s="36" t="s">
        <v>9678</v>
      </c>
      <c r="G596" s="36" t="s">
        <v>9680</v>
      </c>
      <c r="H596" s="36" t="s">
        <v>9678</v>
      </c>
      <c r="I596" s="36" t="s">
        <v>9678</v>
      </c>
      <c r="J596" s="36" t="s">
        <v>9678</v>
      </c>
      <c r="K596" s="36" t="s">
        <v>9681</v>
      </c>
      <c r="L596" s="36" t="s">
        <v>9678</v>
      </c>
      <c r="M596" s="36" t="s">
        <v>9680</v>
      </c>
      <c r="N596" s="36" t="s">
        <v>9680</v>
      </c>
      <c r="O596" s="36" t="s">
        <v>9680</v>
      </c>
      <c r="P596" s="36" t="s">
        <v>9678</v>
      </c>
    </row>
    <row r="597" spans="1:16">
      <c r="A597" s="132">
        <v>596</v>
      </c>
      <c r="B597" s="36" t="s">
        <v>9682</v>
      </c>
      <c r="C597" s="36" t="s">
        <v>9683</v>
      </c>
      <c r="D597" s="36" t="s">
        <v>9684</v>
      </c>
      <c r="E597" s="36" t="s">
        <v>9685</v>
      </c>
      <c r="F597" s="36" t="s">
        <v>9686</v>
      </c>
      <c r="G597" s="36" t="s">
        <v>9687</v>
      </c>
      <c r="H597" s="36" t="s">
        <v>9688</v>
      </c>
      <c r="I597" s="36" t="s">
        <v>9689</v>
      </c>
      <c r="J597" s="36" t="s">
        <v>9690</v>
      </c>
      <c r="K597" s="36" t="s">
        <v>9691</v>
      </c>
      <c r="L597" s="36" t="s">
        <v>9692</v>
      </c>
      <c r="M597" s="36" t="s">
        <v>9693</v>
      </c>
      <c r="N597" s="36" t="s">
        <v>9694</v>
      </c>
      <c r="O597" s="36" t="s">
        <v>9695</v>
      </c>
      <c r="P597" s="36" t="s">
        <v>9682</v>
      </c>
    </row>
    <row r="598" spans="1:16">
      <c r="A598" s="132">
        <v>597</v>
      </c>
      <c r="B598" s="36" t="s">
        <v>9696</v>
      </c>
      <c r="C598" s="36" t="s">
        <v>9697</v>
      </c>
      <c r="D598" s="36" t="s">
        <v>9698</v>
      </c>
      <c r="E598" s="36" t="s">
        <v>9699</v>
      </c>
      <c r="F598" s="36" t="s">
        <v>9700</v>
      </c>
      <c r="G598" s="36" t="s">
        <v>9701</v>
      </c>
      <c r="H598" s="36" t="s">
        <v>9702</v>
      </c>
      <c r="I598" s="36" t="s">
        <v>9703</v>
      </c>
      <c r="J598" s="36" t="s">
        <v>9704</v>
      </c>
      <c r="K598" s="36" t="s">
        <v>9705</v>
      </c>
      <c r="L598" s="36" t="s">
        <v>9706</v>
      </c>
      <c r="M598" s="36" t="s">
        <v>9707</v>
      </c>
      <c r="N598" s="36" t="s">
        <v>9708</v>
      </c>
      <c r="O598" s="36" t="s">
        <v>9709</v>
      </c>
      <c r="P598" s="36" t="s">
        <v>9696</v>
      </c>
    </row>
    <row r="599" spans="1:16">
      <c r="A599" s="132">
        <v>598</v>
      </c>
      <c r="B599" s="36" t="s">
        <v>9710</v>
      </c>
      <c r="C599" s="36" t="s">
        <v>9711</v>
      </c>
      <c r="D599" s="36" t="s">
        <v>9712</v>
      </c>
      <c r="E599" s="36" t="s">
        <v>9713</v>
      </c>
      <c r="F599" s="36" t="s">
        <v>9714</v>
      </c>
      <c r="G599" s="36" t="s">
        <v>9715</v>
      </c>
      <c r="H599" s="36" t="s">
        <v>9716</v>
      </c>
      <c r="I599" s="36" t="s">
        <v>9717</v>
      </c>
      <c r="J599" s="36" t="s">
        <v>9718</v>
      </c>
      <c r="K599" s="36" t="s">
        <v>9719</v>
      </c>
      <c r="L599" s="36" t="s">
        <v>9720</v>
      </c>
      <c r="M599" s="36" t="s">
        <v>9721</v>
      </c>
      <c r="N599" s="36" t="s">
        <v>9722</v>
      </c>
      <c r="O599" s="36" t="s">
        <v>9723</v>
      </c>
      <c r="P599" s="36" t="s">
        <v>9710</v>
      </c>
    </row>
    <row r="600" spans="1:16">
      <c r="A600" s="132">
        <v>599</v>
      </c>
      <c r="B600" s="36" t="s">
        <v>9724</v>
      </c>
      <c r="C600" s="36" t="s">
        <v>9725</v>
      </c>
      <c r="D600" s="36" t="s">
        <v>9726</v>
      </c>
      <c r="E600" s="36" t="s">
        <v>9727</v>
      </c>
      <c r="F600" s="36" t="s">
        <v>9728</v>
      </c>
      <c r="G600" s="36" t="s">
        <v>9729</v>
      </c>
      <c r="H600" s="36" t="s">
        <v>9716</v>
      </c>
      <c r="I600" s="36" t="s">
        <v>9730</v>
      </c>
      <c r="J600" s="36" t="s">
        <v>9731</v>
      </c>
      <c r="K600" s="36" t="s">
        <v>9719</v>
      </c>
      <c r="L600" s="36" t="s">
        <v>9732</v>
      </c>
      <c r="M600" s="36" t="s">
        <v>9733</v>
      </c>
      <c r="N600" s="36" t="s">
        <v>9734</v>
      </c>
      <c r="O600" s="36" t="s">
        <v>9735</v>
      </c>
      <c r="P600" s="36" t="s">
        <v>9724</v>
      </c>
    </row>
    <row r="601" spans="1:16">
      <c r="A601" s="132">
        <v>600</v>
      </c>
      <c r="B601" s="36" t="s">
        <v>9736</v>
      </c>
      <c r="C601" s="36" t="s">
        <v>9737</v>
      </c>
      <c r="D601" s="36" t="s">
        <v>9738</v>
      </c>
      <c r="E601" s="36" t="s">
        <v>9739</v>
      </c>
      <c r="F601" s="36" t="s">
        <v>9740</v>
      </c>
      <c r="G601" s="36" t="s">
        <v>9741</v>
      </c>
      <c r="H601" s="36" t="s">
        <v>9742</v>
      </c>
      <c r="I601" s="36" t="s">
        <v>9740</v>
      </c>
      <c r="J601" s="36" t="s">
        <v>9743</v>
      </c>
      <c r="K601" s="36" t="s">
        <v>9744</v>
      </c>
      <c r="L601" s="36" t="s">
        <v>9745</v>
      </c>
      <c r="M601" s="36" t="s">
        <v>9746</v>
      </c>
      <c r="N601" s="36" t="s">
        <v>9747</v>
      </c>
      <c r="O601" s="36" t="s">
        <v>9748</v>
      </c>
      <c r="P601" s="36" t="s">
        <v>9736</v>
      </c>
    </row>
    <row r="602" spans="1:16">
      <c r="A602" s="132">
        <v>601</v>
      </c>
      <c r="B602" s="36" t="s">
        <v>9749</v>
      </c>
      <c r="C602" s="36" t="s">
        <v>9750</v>
      </c>
      <c r="D602" s="36" t="s">
        <v>9751</v>
      </c>
      <c r="E602" s="36" t="s">
        <v>9752</v>
      </c>
      <c r="F602" s="36" t="s">
        <v>9753</v>
      </c>
      <c r="G602" s="36" t="s">
        <v>9741</v>
      </c>
      <c r="H602" s="36" t="s">
        <v>9754</v>
      </c>
      <c r="I602" s="36" t="s">
        <v>9755</v>
      </c>
      <c r="J602" s="36" t="s">
        <v>9756</v>
      </c>
      <c r="K602" s="36" t="s">
        <v>9757</v>
      </c>
      <c r="L602" s="36" t="s">
        <v>9758</v>
      </c>
      <c r="M602" s="36" t="s">
        <v>9759</v>
      </c>
      <c r="N602" s="36" t="s">
        <v>9760</v>
      </c>
      <c r="O602" s="36" t="s">
        <v>9761</v>
      </c>
      <c r="P602" s="36" t="s">
        <v>9749</v>
      </c>
    </row>
    <row r="603" spans="1:16">
      <c r="A603" s="132">
        <v>602</v>
      </c>
      <c r="B603" s="36" t="s">
        <v>9762</v>
      </c>
      <c r="C603" s="36" t="s">
        <v>9763</v>
      </c>
      <c r="D603" s="36" t="s">
        <v>9764</v>
      </c>
      <c r="E603" s="36" t="s">
        <v>9765</v>
      </c>
      <c r="F603" s="36" t="s">
        <v>9766</v>
      </c>
      <c r="G603" s="36" t="s">
        <v>9767</v>
      </c>
      <c r="H603" s="36" t="s">
        <v>9768</v>
      </c>
      <c r="I603" s="36" t="s">
        <v>9769</v>
      </c>
      <c r="J603" s="36" t="s">
        <v>9770</v>
      </c>
      <c r="K603" s="36" t="s">
        <v>9771</v>
      </c>
      <c r="L603" s="36" t="s">
        <v>9772</v>
      </c>
      <c r="M603" s="36" t="s">
        <v>9773</v>
      </c>
      <c r="N603" s="36" t="s">
        <v>9774</v>
      </c>
      <c r="O603" s="36" t="s">
        <v>9775</v>
      </c>
      <c r="P603" s="36" t="s">
        <v>9762</v>
      </c>
    </row>
    <row r="604" spans="1:16">
      <c r="A604" s="132">
        <v>603</v>
      </c>
      <c r="B604" s="36" t="s">
        <v>9776</v>
      </c>
      <c r="C604" s="36" t="s">
        <v>9777</v>
      </c>
      <c r="D604" s="36" t="s">
        <v>9776</v>
      </c>
      <c r="E604" s="36" t="s">
        <v>9776</v>
      </c>
      <c r="F604" s="36" t="s">
        <v>9776</v>
      </c>
      <c r="G604" s="36" t="s">
        <v>9776</v>
      </c>
      <c r="H604" s="36" t="s">
        <v>9776</v>
      </c>
      <c r="I604" s="36" t="s">
        <v>9776</v>
      </c>
      <c r="J604" s="36" t="s">
        <v>9776</v>
      </c>
      <c r="K604" s="36" t="s">
        <v>9778</v>
      </c>
      <c r="L604" s="36" t="s">
        <v>9776</v>
      </c>
      <c r="M604" s="36" t="s">
        <v>9776</v>
      </c>
      <c r="N604" s="36" t="s">
        <v>9776</v>
      </c>
      <c r="O604" s="36" t="s">
        <v>9776</v>
      </c>
      <c r="P604" s="36" t="s">
        <v>9776</v>
      </c>
    </row>
    <row r="605" spans="1:16">
      <c r="A605" s="132">
        <v>604</v>
      </c>
      <c r="B605" s="36" t="s">
        <v>9779</v>
      </c>
      <c r="C605" s="36" t="s">
        <v>9780</v>
      </c>
      <c r="D605" s="36" t="s">
        <v>9781</v>
      </c>
      <c r="E605" s="36" t="s">
        <v>9782</v>
      </c>
      <c r="F605" s="36" t="s">
        <v>9783</v>
      </c>
      <c r="G605" s="36" t="s">
        <v>9784</v>
      </c>
      <c r="H605" s="36" t="s">
        <v>9785</v>
      </c>
      <c r="I605" s="36" t="s">
        <v>9786</v>
      </c>
      <c r="J605" s="36" t="s">
        <v>9787</v>
      </c>
      <c r="K605" s="36" t="s">
        <v>9788</v>
      </c>
      <c r="L605" s="36" t="s">
        <v>9789</v>
      </c>
      <c r="M605" s="36" t="s">
        <v>9790</v>
      </c>
      <c r="N605" s="36" t="s">
        <v>9791</v>
      </c>
      <c r="O605" s="36" t="s">
        <v>9792</v>
      </c>
      <c r="P605" s="36" t="s">
        <v>9779</v>
      </c>
    </row>
    <row r="606" spans="1:16">
      <c r="A606" s="132">
        <v>605</v>
      </c>
      <c r="B606" s="36" t="s">
        <v>9793</v>
      </c>
      <c r="C606" s="36" t="s">
        <v>9794</v>
      </c>
      <c r="D606" s="36" t="s">
        <v>9795</v>
      </c>
      <c r="E606" s="36" t="s">
        <v>9782</v>
      </c>
      <c r="F606" s="36" t="s">
        <v>9796</v>
      </c>
      <c r="G606" s="36" t="s">
        <v>9797</v>
      </c>
      <c r="H606" s="36" t="s">
        <v>9798</v>
      </c>
      <c r="I606" s="36" t="s">
        <v>9799</v>
      </c>
      <c r="J606" s="36" t="s">
        <v>9800</v>
      </c>
      <c r="K606" s="36" t="s">
        <v>9801</v>
      </c>
      <c r="L606" s="36" t="s">
        <v>9802</v>
      </c>
      <c r="M606" s="36" t="s">
        <v>9803</v>
      </c>
      <c r="N606" s="36" t="s">
        <v>9804</v>
      </c>
      <c r="O606" s="36" t="s">
        <v>9805</v>
      </c>
      <c r="P606" s="36" t="s">
        <v>9793</v>
      </c>
    </row>
    <row r="607" spans="1:16">
      <c r="A607" s="132">
        <v>606</v>
      </c>
      <c r="B607" s="36" t="s">
        <v>9806</v>
      </c>
      <c r="C607" s="36" t="s">
        <v>9807</v>
      </c>
      <c r="D607" s="36" t="s">
        <v>9808</v>
      </c>
      <c r="E607" s="36" t="s">
        <v>9809</v>
      </c>
      <c r="F607" s="36" t="s">
        <v>9810</v>
      </c>
      <c r="G607" s="36" t="s">
        <v>9811</v>
      </c>
      <c r="H607" s="36" t="s">
        <v>9812</v>
      </c>
      <c r="I607" s="36" t="s">
        <v>9813</v>
      </c>
      <c r="J607" s="36" t="s">
        <v>9814</v>
      </c>
      <c r="K607" s="36" t="s">
        <v>9815</v>
      </c>
      <c r="L607" s="36" t="s">
        <v>9816</v>
      </c>
      <c r="M607" s="36" t="s">
        <v>9817</v>
      </c>
      <c r="N607" s="36" t="s">
        <v>9818</v>
      </c>
      <c r="O607" s="36" t="s">
        <v>9819</v>
      </c>
      <c r="P607" s="36" t="s">
        <v>9806</v>
      </c>
    </row>
    <row r="608" spans="1:16">
      <c r="A608" s="132">
        <v>607</v>
      </c>
      <c r="B608" s="36" t="s">
        <v>9820</v>
      </c>
      <c r="C608" s="36" t="s">
        <v>9821</v>
      </c>
      <c r="D608" s="36" t="s">
        <v>9822</v>
      </c>
      <c r="E608" s="36" t="s">
        <v>9823</v>
      </c>
      <c r="F608" s="36" t="s">
        <v>9824</v>
      </c>
      <c r="G608" s="36" t="s">
        <v>9825</v>
      </c>
      <c r="H608" s="36" t="s">
        <v>9826</v>
      </c>
      <c r="I608" s="36" t="s">
        <v>9827</v>
      </c>
      <c r="J608" s="36" t="s">
        <v>9828</v>
      </c>
      <c r="K608" s="36" t="s">
        <v>9829</v>
      </c>
      <c r="L608" s="36" t="s">
        <v>9830</v>
      </c>
      <c r="M608" s="36" t="s">
        <v>9831</v>
      </c>
      <c r="N608" s="36" t="s">
        <v>9832</v>
      </c>
      <c r="O608" s="36" t="s">
        <v>9833</v>
      </c>
      <c r="P608" s="36" t="s">
        <v>9820</v>
      </c>
    </row>
    <row r="609" spans="1:16">
      <c r="A609" s="132">
        <v>608</v>
      </c>
      <c r="B609" s="36" t="s">
        <v>9834</v>
      </c>
      <c r="C609" s="36" t="s">
        <v>9835</v>
      </c>
      <c r="D609" s="36" t="s">
        <v>9836</v>
      </c>
      <c r="E609" s="36" t="s">
        <v>9837</v>
      </c>
      <c r="F609" s="36" t="s">
        <v>9838</v>
      </c>
      <c r="G609" s="36" t="s">
        <v>9839</v>
      </c>
      <c r="H609" s="36" t="s">
        <v>9840</v>
      </c>
      <c r="I609" s="36" t="s">
        <v>9841</v>
      </c>
      <c r="J609" s="36" t="s">
        <v>9842</v>
      </c>
      <c r="K609" s="36" t="s">
        <v>9843</v>
      </c>
      <c r="L609" s="36" t="s">
        <v>9844</v>
      </c>
      <c r="M609" s="36" t="s">
        <v>9845</v>
      </c>
      <c r="N609" s="36" t="s">
        <v>9846</v>
      </c>
      <c r="O609" s="36" t="s">
        <v>9847</v>
      </c>
      <c r="P609" s="36" t="s">
        <v>9834</v>
      </c>
    </row>
    <row r="610" spans="1:16">
      <c r="A610" s="132">
        <v>609</v>
      </c>
      <c r="B610" s="36" t="s">
        <v>9848</v>
      </c>
      <c r="C610" s="36" t="s">
        <v>9849</v>
      </c>
      <c r="D610" s="36" t="s">
        <v>9850</v>
      </c>
      <c r="E610" s="36" t="s">
        <v>9851</v>
      </c>
      <c r="F610" s="36" t="s">
        <v>9852</v>
      </c>
      <c r="G610" s="36" t="s">
        <v>9853</v>
      </c>
      <c r="H610" s="36" t="s">
        <v>9854</v>
      </c>
      <c r="I610" s="36" t="s">
        <v>9855</v>
      </c>
      <c r="J610" s="36" t="s">
        <v>9856</v>
      </c>
      <c r="K610" s="36" t="s">
        <v>9857</v>
      </c>
      <c r="L610" s="36" t="s">
        <v>9858</v>
      </c>
      <c r="M610" s="36" t="s">
        <v>9859</v>
      </c>
      <c r="N610" s="36" t="s">
        <v>9860</v>
      </c>
      <c r="O610" s="36" t="s">
        <v>9861</v>
      </c>
      <c r="P610" s="36" t="s">
        <v>9848</v>
      </c>
    </row>
    <row r="611" spans="1:16">
      <c r="A611" s="132">
        <v>610</v>
      </c>
      <c r="B611" s="36" t="s">
        <v>9862</v>
      </c>
      <c r="C611" s="36" t="s">
        <v>9863</v>
      </c>
      <c r="D611" s="36" t="s">
        <v>9864</v>
      </c>
      <c r="E611" s="36" t="s">
        <v>9865</v>
      </c>
      <c r="F611" s="36" t="s">
        <v>9866</v>
      </c>
      <c r="G611" s="36" t="s">
        <v>9867</v>
      </c>
      <c r="H611" s="36" t="s">
        <v>9868</v>
      </c>
      <c r="I611" s="36" t="s">
        <v>9869</v>
      </c>
      <c r="J611" s="36" t="s">
        <v>9870</v>
      </c>
      <c r="K611" s="36" t="s">
        <v>9871</v>
      </c>
      <c r="L611" s="36" t="s">
        <v>9872</v>
      </c>
      <c r="M611" s="36" t="s">
        <v>9873</v>
      </c>
      <c r="N611" s="36" t="s">
        <v>9874</v>
      </c>
      <c r="O611" s="36" t="s">
        <v>9875</v>
      </c>
      <c r="P611" s="36" t="s">
        <v>9862</v>
      </c>
    </row>
    <row r="612" spans="1:16">
      <c r="A612" s="132">
        <v>611</v>
      </c>
      <c r="B612" s="36" t="s">
        <v>9876</v>
      </c>
      <c r="C612" s="36" t="s">
        <v>9877</v>
      </c>
      <c r="D612" s="36" t="s">
        <v>9878</v>
      </c>
      <c r="E612" s="36" t="s">
        <v>9879</v>
      </c>
      <c r="F612" s="36" t="s">
        <v>9880</v>
      </c>
      <c r="G612" s="36" t="s">
        <v>9881</v>
      </c>
      <c r="H612" s="36" t="s">
        <v>9882</v>
      </c>
      <c r="I612" s="36" t="s">
        <v>9883</v>
      </c>
      <c r="J612" s="36" t="s">
        <v>9884</v>
      </c>
      <c r="K612" s="36" t="s">
        <v>9885</v>
      </c>
      <c r="L612" s="36" t="s">
        <v>9886</v>
      </c>
      <c r="M612" s="36" t="s">
        <v>9887</v>
      </c>
      <c r="N612" s="36" t="s">
        <v>9888</v>
      </c>
      <c r="O612" s="36" t="s">
        <v>9889</v>
      </c>
      <c r="P612" s="36" t="s">
        <v>9876</v>
      </c>
    </row>
    <row r="613" spans="1:16">
      <c r="A613" s="132">
        <v>612</v>
      </c>
      <c r="B613" s="36" t="s">
        <v>9890</v>
      </c>
      <c r="C613" s="36" t="s">
        <v>9891</v>
      </c>
      <c r="D613" s="36" t="s">
        <v>9892</v>
      </c>
      <c r="E613" s="36" t="s">
        <v>9893</v>
      </c>
      <c r="F613" s="36" t="s">
        <v>9894</v>
      </c>
      <c r="G613" s="36" t="s">
        <v>9895</v>
      </c>
      <c r="H613" s="36" t="s">
        <v>9896</v>
      </c>
      <c r="I613" s="36" t="s">
        <v>9897</v>
      </c>
      <c r="J613" s="36" t="s">
        <v>9898</v>
      </c>
      <c r="K613" s="36" t="s">
        <v>9899</v>
      </c>
      <c r="L613" s="36" t="s">
        <v>9900</v>
      </c>
      <c r="M613" s="36" t="s">
        <v>9901</v>
      </c>
      <c r="N613" s="36" t="s">
        <v>9902</v>
      </c>
      <c r="O613" s="36" t="s">
        <v>9903</v>
      </c>
      <c r="P613" s="36" t="s">
        <v>9890</v>
      </c>
    </row>
    <row r="614" spans="1:16">
      <c r="A614" s="132">
        <v>613</v>
      </c>
      <c r="B614" s="36" t="s">
        <v>9904</v>
      </c>
      <c r="C614" s="36" t="s">
        <v>9905</v>
      </c>
      <c r="D614" s="36" t="s">
        <v>9906</v>
      </c>
      <c r="E614" s="36" t="s">
        <v>9907</v>
      </c>
      <c r="F614" s="36" t="s">
        <v>9908</v>
      </c>
      <c r="G614" s="36" t="s">
        <v>9909</v>
      </c>
      <c r="H614" s="36" t="s">
        <v>9910</v>
      </c>
      <c r="I614" s="36" t="s">
        <v>9911</v>
      </c>
      <c r="J614" s="36" t="s">
        <v>9912</v>
      </c>
      <c r="K614" s="36" t="s">
        <v>9913</v>
      </c>
      <c r="L614" s="36" t="s">
        <v>9914</v>
      </c>
      <c r="M614" s="36" t="s">
        <v>9915</v>
      </c>
      <c r="N614" s="36" t="s">
        <v>9916</v>
      </c>
      <c r="O614" s="36" t="s">
        <v>9917</v>
      </c>
      <c r="P614" s="36" t="s">
        <v>9904</v>
      </c>
    </row>
    <row r="615" spans="1:16">
      <c r="A615" s="132">
        <v>614</v>
      </c>
      <c r="B615" s="36" t="s">
        <v>9918</v>
      </c>
      <c r="C615" s="36" t="s">
        <v>9919</v>
      </c>
      <c r="D615" s="36" t="s">
        <v>9920</v>
      </c>
      <c r="E615" s="36" t="s">
        <v>9921</v>
      </c>
      <c r="F615" s="36" t="s">
        <v>9922</v>
      </c>
      <c r="G615" s="36" t="s">
        <v>9923</v>
      </c>
      <c r="H615" s="36" t="s">
        <v>9924</v>
      </c>
      <c r="I615" s="36" t="s">
        <v>9925</v>
      </c>
      <c r="J615" s="36" t="s">
        <v>9926</v>
      </c>
      <c r="K615" s="36" t="s">
        <v>9927</v>
      </c>
      <c r="L615" s="36" t="s">
        <v>9928</v>
      </c>
      <c r="M615" s="36" t="s">
        <v>9929</v>
      </c>
      <c r="N615" s="36" t="s">
        <v>9930</v>
      </c>
      <c r="O615" s="36" t="s">
        <v>9931</v>
      </c>
      <c r="P615" s="36" t="s">
        <v>9918</v>
      </c>
    </row>
    <row r="616" spans="1:16">
      <c r="A616" s="132">
        <v>615</v>
      </c>
      <c r="B616" s="36" t="s">
        <v>9932</v>
      </c>
      <c r="C616" s="36" t="s">
        <v>9933</v>
      </c>
      <c r="D616" s="36" t="s">
        <v>9934</v>
      </c>
      <c r="E616" s="36" t="s">
        <v>9935</v>
      </c>
      <c r="F616" s="36" t="s">
        <v>9936</v>
      </c>
      <c r="G616" s="36" t="s">
        <v>9937</v>
      </c>
      <c r="H616" s="36" t="s">
        <v>9938</v>
      </c>
      <c r="I616" s="36" t="s">
        <v>9939</v>
      </c>
      <c r="J616" s="36" t="s">
        <v>9940</v>
      </c>
      <c r="K616" s="36" t="s">
        <v>9941</v>
      </c>
      <c r="L616" s="36" t="s">
        <v>9942</v>
      </c>
      <c r="M616" s="36" t="s">
        <v>9943</v>
      </c>
      <c r="N616" s="36" t="s">
        <v>9944</v>
      </c>
      <c r="O616" s="36" t="s">
        <v>9945</v>
      </c>
      <c r="P616" s="36" t="s">
        <v>9932</v>
      </c>
    </row>
    <row r="617" spans="1:16">
      <c r="A617" s="132">
        <v>616</v>
      </c>
      <c r="B617" s="36" t="s">
        <v>9946</v>
      </c>
      <c r="C617" s="36" t="s">
        <v>9947</v>
      </c>
      <c r="D617" s="36" t="s">
        <v>9948</v>
      </c>
      <c r="E617" s="36" t="s">
        <v>9949</v>
      </c>
      <c r="F617" s="36" t="s">
        <v>9950</v>
      </c>
      <c r="G617" s="36" t="s">
        <v>9951</v>
      </c>
      <c r="H617" s="36" t="s">
        <v>9952</v>
      </c>
      <c r="I617" s="36" t="s">
        <v>9953</v>
      </c>
      <c r="J617" s="36" t="s">
        <v>9954</v>
      </c>
      <c r="K617" s="36" t="s">
        <v>9955</v>
      </c>
      <c r="L617" s="36" t="s">
        <v>9956</v>
      </c>
      <c r="M617" s="36" t="s">
        <v>9957</v>
      </c>
      <c r="N617" s="36" t="s">
        <v>9958</v>
      </c>
      <c r="O617" s="36" t="s">
        <v>9959</v>
      </c>
      <c r="P617" s="36" t="s">
        <v>9946</v>
      </c>
    </row>
    <row r="618" spans="1:16">
      <c r="A618" s="132">
        <v>617</v>
      </c>
      <c r="B618" s="36" t="s">
        <v>9960</v>
      </c>
      <c r="C618" s="36" t="s">
        <v>9961</v>
      </c>
      <c r="D618" s="36" t="s">
        <v>9962</v>
      </c>
      <c r="E618" s="36" t="s">
        <v>9963</v>
      </c>
      <c r="F618" s="36" t="s">
        <v>9964</v>
      </c>
      <c r="G618" s="36" t="s">
        <v>9965</v>
      </c>
      <c r="H618" s="36" t="s">
        <v>9966</v>
      </c>
      <c r="I618" s="36" t="s">
        <v>9967</v>
      </c>
      <c r="J618" s="36" t="s">
        <v>9968</v>
      </c>
      <c r="K618" s="36" t="s">
        <v>9969</v>
      </c>
      <c r="L618" s="36" t="s">
        <v>9970</v>
      </c>
      <c r="M618" s="36" t="s">
        <v>9971</v>
      </c>
      <c r="N618" s="36" t="s">
        <v>9972</v>
      </c>
      <c r="O618" s="36" t="s">
        <v>9973</v>
      </c>
      <c r="P618" s="36" t="s">
        <v>9960</v>
      </c>
    </row>
    <row r="619" spans="1:16">
      <c r="A619" s="132">
        <v>618</v>
      </c>
      <c r="B619" s="36" t="s">
        <v>9974</v>
      </c>
      <c r="C619" s="36" t="s">
        <v>9975</v>
      </c>
      <c r="D619" s="36" t="s">
        <v>9976</v>
      </c>
      <c r="E619" s="36" t="s">
        <v>9977</v>
      </c>
      <c r="F619" s="36" t="s">
        <v>9978</v>
      </c>
      <c r="G619" s="36" t="s">
        <v>9979</v>
      </c>
      <c r="H619" s="36" t="s">
        <v>9980</v>
      </c>
      <c r="I619" s="36" t="s">
        <v>9981</v>
      </c>
      <c r="J619" s="36" t="s">
        <v>9982</v>
      </c>
      <c r="K619" s="36" t="s">
        <v>9983</v>
      </c>
      <c r="L619" s="36" t="s">
        <v>9984</v>
      </c>
      <c r="M619" s="36" t="s">
        <v>9985</v>
      </c>
      <c r="N619" s="36" t="s">
        <v>9986</v>
      </c>
      <c r="O619" s="36" t="s">
        <v>9987</v>
      </c>
      <c r="P619" s="36" t="s">
        <v>9974</v>
      </c>
    </row>
    <row r="620" spans="1:16">
      <c r="A620" s="132">
        <v>619</v>
      </c>
      <c r="B620" s="36" t="s">
        <v>9988</v>
      </c>
      <c r="C620" s="36" t="s">
        <v>9989</v>
      </c>
      <c r="D620" s="36" t="s">
        <v>9990</v>
      </c>
      <c r="E620" s="36" t="s">
        <v>9991</v>
      </c>
      <c r="F620" s="36" t="s">
        <v>9992</v>
      </c>
      <c r="G620" s="36" t="s">
        <v>9993</v>
      </c>
      <c r="H620" s="36" t="s">
        <v>9994</v>
      </c>
      <c r="I620" s="36" t="s">
        <v>9995</v>
      </c>
      <c r="J620" s="36" t="s">
        <v>9996</v>
      </c>
      <c r="K620" s="36" t="s">
        <v>9997</v>
      </c>
      <c r="L620" s="36" t="s">
        <v>9998</v>
      </c>
      <c r="M620" s="36" t="s">
        <v>9999</v>
      </c>
      <c r="N620" s="36" t="s">
        <v>10000</v>
      </c>
      <c r="O620" s="36" t="s">
        <v>10001</v>
      </c>
      <c r="P620" s="36" t="s">
        <v>9988</v>
      </c>
    </row>
    <row r="621" spans="1:16">
      <c r="A621" s="132">
        <v>620</v>
      </c>
      <c r="B621" s="36" t="s">
        <v>10002</v>
      </c>
      <c r="C621" s="36" t="s">
        <v>10003</v>
      </c>
      <c r="D621" s="36" t="s">
        <v>10004</v>
      </c>
      <c r="E621" s="36" t="s">
        <v>10005</v>
      </c>
      <c r="F621" s="36" t="s">
        <v>10006</v>
      </c>
      <c r="G621" s="36" t="s">
        <v>10007</v>
      </c>
      <c r="H621" s="36" t="s">
        <v>10008</v>
      </c>
      <c r="I621" s="36" t="s">
        <v>10009</v>
      </c>
      <c r="J621" s="36" t="s">
        <v>10010</v>
      </c>
      <c r="K621" s="36" t="s">
        <v>10011</v>
      </c>
      <c r="L621" s="36" t="s">
        <v>10012</v>
      </c>
      <c r="M621" s="36" t="s">
        <v>10013</v>
      </c>
      <c r="N621" s="36" t="s">
        <v>10014</v>
      </c>
      <c r="O621" s="36" t="s">
        <v>10015</v>
      </c>
      <c r="P621" s="36" t="s">
        <v>10002</v>
      </c>
    </row>
    <row r="622" spans="1:16">
      <c r="A622" s="132">
        <v>621</v>
      </c>
      <c r="B622" s="36" t="s">
        <v>10016</v>
      </c>
      <c r="C622" s="36" t="s">
        <v>10017</v>
      </c>
      <c r="D622" s="36" t="s">
        <v>10018</v>
      </c>
      <c r="E622" s="36" t="s">
        <v>10019</v>
      </c>
      <c r="F622" s="36" t="s">
        <v>10020</v>
      </c>
      <c r="G622" s="36" t="s">
        <v>10021</v>
      </c>
      <c r="H622" s="36" t="s">
        <v>10022</v>
      </c>
      <c r="I622" s="36" t="s">
        <v>10023</v>
      </c>
      <c r="J622" s="36" t="s">
        <v>10024</v>
      </c>
      <c r="K622" s="36" t="s">
        <v>10025</v>
      </c>
      <c r="L622" s="36" t="s">
        <v>10026</v>
      </c>
      <c r="M622" s="36" t="s">
        <v>10027</v>
      </c>
      <c r="N622" s="36" t="s">
        <v>10028</v>
      </c>
      <c r="O622" s="36" t="s">
        <v>10029</v>
      </c>
      <c r="P622" s="36" t="s">
        <v>10016</v>
      </c>
    </row>
    <row r="623" spans="1:16">
      <c r="A623" s="132">
        <v>622</v>
      </c>
      <c r="B623" s="36" t="s">
        <v>10030</v>
      </c>
      <c r="C623" s="36" t="s">
        <v>10030</v>
      </c>
      <c r="D623" s="36" t="s">
        <v>10031</v>
      </c>
      <c r="E623" s="36" t="s">
        <v>10032</v>
      </c>
      <c r="F623" s="36" t="s">
        <v>10033</v>
      </c>
      <c r="G623" s="36" t="s">
        <v>10034</v>
      </c>
      <c r="H623" s="36" t="s">
        <v>10035</v>
      </c>
      <c r="I623" s="36" t="s">
        <v>10036</v>
      </c>
      <c r="J623" s="36" t="s">
        <v>10037</v>
      </c>
      <c r="K623" s="36" t="s">
        <v>10038</v>
      </c>
      <c r="L623" s="36" t="s">
        <v>10039</v>
      </c>
      <c r="M623" s="36" t="s">
        <v>10040</v>
      </c>
      <c r="N623" s="36" t="s">
        <v>10040</v>
      </c>
      <c r="O623" s="36" t="s">
        <v>10041</v>
      </c>
      <c r="P623" s="36" t="s">
        <v>10030</v>
      </c>
    </row>
    <row r="624" spans="1:16">
      <c r="A624" s="132">
        <v>623</v>
      </c>
      <c r="B624" s="36" t="s">
        <v>10042</v>
      </c>
      <c r="C624" s="36" t="s">
        <v>10043</v>
      </c>
      <c r="D624" s="36" t="s">
        <v>10044</v>
      </c>
      <c r="E624" s="36" t="s">
        <v>10045</v>
      </c>
      <c r="F624" s="36" t="s">
        <v>10046</v>
      </c>
      <c r="G624" s="36" t="s">
        <v>10047</v>
      </c>
      <c r="H624" s="36" t="s">
        <v>10048</v>
      </c>
      <c r="I624" s="36" t="s">
        <v>10049</v>
      </c>
      <c r="J624" s="36" t="s">
        <v>10050</v>
      </c>
      <c r="K624" s="36" t="s">
        <v>10051</v>
      </c>
      <c r="L624" s="36" t="s">
        <v>10052</v>
      </c>
      <c r="M624" s="36" t="s">
        <v>10053</v>
      </c>
      <c r="N624" s="36" t="s">
        <v>10054</v>
      </c>
      <c r="O624" s="36" t="s">
        <v>10055</v>
      </c>
      <c r="P624" s="36" t="s">
        <v>10042</v>
      </c>
    </row>
    <row r="625" spans="1:16">
      <c r="A625" s="132">
        <v>624</v>
      </c>
      <c r="B625" s="36" t="s">
        <v>10056</v>
      </c>
      <c r="C625" s="36" t="s">
        <v>10057</v>
      </c>
      <c r="D625" s="36" t="s">
        <v>10058</v>
      </c>
      <c r="E625" s="36" t="s">
        <v>10059</v>
      </c>
      <c r="F625" s="36" t="s">
        <v>10060</v>
      </c>
      <c r="G625" s="36" t="s">
        <v>10061</v>
      </c>
      <c r="H625" s="36" t="s">
        <v>10062</v>
      </c>
      <c r="I625" s="36" t="s">
        <v>10063</v>
      </c>
      <c r="J625" s="36" t="s">
        <v>10064</v>
      </c>
      <c r="K625" s="36" t="s">
        <v>10065</v>
      </c>
      <c r="L625" s="36" t="s">
        <v>10066</v>
      </c>
      <c r="M625" s="36" t="s">
        <v>10067</v>
      </c>
      <c r="N625" s="36" t="s">
        <v>10068</v>
      </c>
      <c r="O625" s="36" t="s">
        <v>10069</v>
      </c>
      <c r="P625" s="36" t="s">
        <v>10056</v>
      </c>
    </row>
    <row r="626" spans="1:16">
      <c r="A626" s="132">
        <v>625</v>
      </c>
      <c r="B626" s="36" t="s">
        <v>10070</v>
      </c>
      <c r="C626" s="36" t="s">
        <v>10071</v>
      </c>
      <c r="D626" s="36" t="s">
        <v>10072</v>
      </c>
      <c r="E626" s="36" t="s">
        <v>10071</v>
      </c>
      <c r="F626" s="36" t="s">
        <v>10073</v>
      </c>
      <c r="G626" s="36" t="s">
        <v>10074</v>
      </c>
      <c r="H626" s="36" t="s">
        <v>10075</v>
      </c>
      <c r="I626" s="36" t="s">
        <v>10076</v>
      </c>
      <c r="J626" s="36" t="s">
        <v>10077</v>
      </c>
      <c r="K626" s="36" t="s">
        <v>10078</v>
      </c>
      <c r="L626" s="36" t="s">
        <v>10079</v>
      </c>
      <c r="M626" s="36" t="s">
        <v>10080</v>
      </c>
      <c r="N626" s="36" t="s">
        <v>10081</v>
      </c>
      <c r="O626" s="36" t="s">
        <v>10078</v>
      </c>
      <c r="P626" s="36" t="s">
        <v>10070</v>
      </c>
    </row>
    <row r="627" spans="1:16">
      <c r="A627" s="132">
        <v>626</v>
      </c>
      <c r="B627" s="36" t="s">
        <v>10082</v>
      </c>
      <c r="C627" s="36" t="s">
        <v>10083</v>
      </c>
      <c r="D627" s="36" t="s">
        <v>10084</v>
      </c>
      <c r="E627" s="36" t="s">
        <v>10085</v>
      </c>
      <c r="F627" s="36" t="s">
        <v>10086</v>
      </c>
      <c r="G627" s="36" t="s">
        <v>10082</v>
      </c>
      <c r="H627" s="36" t="s">
        <v>10087</v>
      </c>
      <c r="I627" s="36" t="s">
        <v>10088</v>
      </c>
      <c r="J627" s="36" t="s">
        <v>10089</v>
      </c>
      <c r="K627" s="36" t="s">
        <v>10090</v>
      </c>
      <c r="L627" s="36" t="s">
        <v>10091</v>
      </c>
      <c r="M627" s="36" t="s">
        <v>10092</v>
      </c>
      <c r="N627" s="36" t="s">
        <v>10093</v>
      </c>
      <c r="O627" s="36" t="s">
        <v>10094</v>
      </c>
      <c r="P627" s="36" t="s">
        <v>10082</v>
      </c>
    </row>
    <row r="628" spans="1:16">
      <c r="A628" s="132">
        <v>627</v>
      </c>
      <c r="B628" s="36" t="s">
        <v>10095</v>
      </c>
      <c r="C628" s="36" t="s">
        <v>10096</v>
      </c>
      <c r="D628" s="36" t="s">
        <v>10097</v>
      </c>
      <c r="E628" s="36" t="s">
        <v>10098</v>
      </c>
      <c r="F628" s="36" t="s">
        <v>10099</v>
      </c>
      <c r="G628" s="36" t="s">
        <v>10100</v>
      </c>
      <c r="H628" s="36" t="s">
        <v>10101</v>
      </c>
      <c r="I628" s="36" t="s">
        <v>10102</v>
      </c>
      <c r="J628" s="36" t="s">
        <v>10103</v>
      </c>
      <c r="K628" s="36" t="s">
        <v>10104</v>
      </c>
      <c r="L628" s="36" t="s">
        <v>10105</v>
      </c>
      <c r="M628" s="36" t="s">
        <v>10106</v>
      </c>
      <c r="N628" s="36" t="s">
        <v>10107</v>
      </c>
      <c r="O628" s="36" t="s">
        <v>10108</v>
      </c>
      <c r="P628" s="36" t="s">
        <v>10095</v>
      </c>
    </row>
    <row r="629" spans="1:16">
      <c r="A629" s="132">
        <v>628</v>
      </c>
      <c r="B629" s="36" t="s">
        <v>10109</v>
      </c>
      <c r="C629" s="36" t="s">
        <v>10110</v>
      </c>
      <c r="D629" s="36" t="s">
        <v>10111</v>
      </c>
      <c r="E629" s="36" t="s">
        <v>10112</v>
      </c>
      <c r="F629" s="36" t="s">
        <v>10113</v>
      </c>
      <c r="G629" s="36" t="s">
        <v>10114</v>
      </c>
      <c r="H629" s="36" t="s">
        <v>10115</v>
      </c>
      <c r="I629" s="36" t="s">
        <v>10116</v>
      </c>
      <c r="J629" s="36" t="s">
        <v>10117</v>
      </c>
      <c r="K629" s="36" t="s">
        <v>10118</v>
      </c>
      <c r="L629" s="36" t="s">
        <v>10119</v>
      </c>
      <c r="M629" s="36" t="s">
        <v>10120</v>
      </c>
      <c r="N629" s="36" t="s">
        <v>10121</v>
      </c>
      <c r="O629" s="36" t="s">
        <v>10122</v>
      </c>
      <c r="P629" s="36" t="s">
        <v>10109</v>
      </c>
    </row>
    <row r="630" spans="1:16">
      <c r="A630" s="132">
        <v>629</v>
      </c>
      <c r="B630" s="36" t="s">
        <v>10123</v>
      </c>
      <c r="C630" s="36" t="s">
        <v>10124</v>
      </c>
      <c r="D630" s="36" t="s">
        <v>10125</v>
      </c>
      <c r="E630" s="36" t="s">
        <v>10126</v>
      </c>
      <c r="F630" s="36" t="s">
        <v>10127</v>
      </c>
      <c r="G630" s="36" t="s">
        <v>10128</v>
      </c>
      <c r="H630" s="36" t="s">
        <v>10129</v>
      </c>
      <c r="I630" s="36" t="s">
        <v>10130</v>
      </c>
      <c r="J630" s="36" t="s">
        <v>10131</v>
      </c>
      <c r="K630" s="36" t="s">
        <v>10132</v>
      </c>
      <c r="L630" s="36" t="s">
        <v>10133</v>
      </c>
      <c r="M630" s="36" t="s">
        <v>10134</v>
      </c>
      <c r="N630" s="36" t="s">
        <v>10135</v>
      </c>
      <c r="O630" s="36" t="s">
        <v>10136</v>
      </c>
      <c r="P630" s="36" t="s">
        <v>10123</v>
      </c>
    </row>
    <row r="631" spans="1:16" ht="13.95" customHeight="1">
      <c r="A631" s="132">
        <v>630</v>
      </c>
      <c r="B631" s="36" t="s">
        <v>10137</v>
      </c>
      <c r="C631" s="36" t="s">
        <v>10138</v>
      </c>
      <c r="D631" s="36" t="s">
        <v>10139</v>
      </c>
      <c r="E631" s="36" t="s">
        <v>10140</v>
      </c>
      <c r="F631" s="36" t="s">
        <v>10141</v>
      </c>
      <c r="G631" s="36" t="s">
        <v>10142</v>
      </c>
      <c r="H631" s="36" t="s">
        <v>10143</v>
      </c>
      <c r="I631" s="36" t="s">
        <v>10144</v>
      </c>
      <c r="J631" s="36" t="s">
        <v>10145</v>
      </c>
      <c r="K631" s="36" t="s">
        <v>10146</v>
      </c>
      <c r="L631" s="36" t="s">
        <v>10147</v>
      </c>
      <c r="M631" s="36" t="s">
        <v>10148</v>
      </c>
      <c r="N631" s="36" t="s">
        <v>10149</v>
      </c>
      <c r="O631" s="36" t="s">
        <v>10150</v>
      </c>
      <c r="P631" s="36" t="s">
        <v>10137</v>
      </c>
    </row>
    <row r="632" spans="1:16" ht="13.95" customHeight="1">
      <c r="A632" s="132">
        <v>631</v>
      </c>
      <c r="B632" s="36" t="s">
        <v>10151</v>
      </c>
      <c r="C632" s="36" t="s">
        <v>10152</v>
      </c>
      <c r="D632" s="36" t="s">
        <v>10153</v>
      </c>
      <c r="E632" s="36" t="s">
        <v>10154</v>
      </c>
      <c r="F632" s="36" t="s">
        <v>10155</v>
      </c>
      <c r="G632" s="36" t="s">
        <v>10156</v>
      </c>
      <c r="H632" s="36" t="s">
        <v>10157</v>
      </c>
      <c r="I632" s="36" t="s">
        <v>10158</v>
      </c>
      <c r="J632" s="36" t="s">
        <v>10159</v>
      </c>
      <c r="K632" s="36" t="s">
        <v>10160</v>
      </c>
      <c r="L632" s="36" t="s">
        <v>10161</v>
      </c>
      <c r="M632" s="36" t="s">
        <v>10162</v>
      </c>
      <c r="N632" s="36" t="s">
        <v>10163</v>
      </c>
      <c r="O632" s="36" t="s">
        <v>10164</v>
      </c>
      <c r="P632" s="36" t="s">
        <v>10151</v>
      </c>
    </row>
    <row r="633" spans="1:16">
      <c r="A633" s="132">
        <v>632</v>
      </c>
      <c r="B633" s="36" t="s">
        <v>10165</v>
      </c>
      <c r="C633" s="36" t="s">
        <v>10166</v>
      </c>
      <c r="D633" s="36" t="s">
        <v>10167</v>
      </c>
      <c r="E633" s="36" t="s">
        <v>10168</v>
      </c>
      <c r="F633" s="36" t="s">
        <v>10169</v>
      </c>
      <c r="G633" s="36" t="s">
        <v>10170</v>
      </c>
      <c r="H633" s="36" t="s">
        <v>10171</v>
      </c>
      <c r="I633" s="36" t="s">
        <v>10172</v>
      </c>
      <c r="J633" s="36" t="s">
        <v>10173</v>
      </c>
      <c r="K633" s="36" t="s">
        <v>10174</v>
      </c>
      <c r="L633" s="36" t="s">
        <v>10175</v>
      </c>
      <c r="M633" s="36" t="s">
        <v>10176</v>
      </c>
      <c r="N633" s="36" t="s">
        <v>10177</v>
      </c>
      <c r="O633" s="36" t="s">
        <v>10178</v>
      </c>
      <c r="P633" s="36" t="s">
        <v>10165</v>
      </c>
    </row>
    <row r="634" spans="1:16">
      <c r="A634" s="132">
        <v>633</v>
      </c>
      <c r="B634" s="36" t="s">
        <v>10179</v>
      </c>
      <c r="C634" s="36" t="s">
        <v>10180</v>
      </c>
      <c r="D634" s="36" t="s">
        <v>10181</v>
      </c>
      <c r="E634" s="36" t="s">
        <v>10182</v>
      </c>
      <c r="F634" s="36" t="s">
        <v>10183</v>
      </c>
      <c r="G634" s="36" t="s">
        <v>10184</v>
      </c>
      <c r="H634" s="36" t="s">
        <v>10185</v>
      </c>
      <c r="I634" s="36" t="s">
        <v>10186</v>
      </c>
      <c r="J634" s="36" t="s">
        <v>10187</v>
      </c>
      <c r="K634" s="36" t="s">
        <v>10188</v>
      </c>
      <c r="L634" s="36" t="s">
        <v>10189</v>
      </c>
      <c r="M634" s="36" t="s">
        <v>10190</v>
      </c>
      <c r="N634" s="36" t="s">
        <v>10191</v>
      </c>
      <c r="O634" s="36" t="s">
        <v>10192</v>
      </c>
      <c r="P634" s="36" t="s">
        <v>10179</v>
      </c>
    </row>
    <row r="635" spans="1:16">
      <c r="A635" s="132">
        <v>634</v>
      </c>
      <c r="B635" s="36" t="s">
        <v>10193</v>
      </c>
      <c r="C635" s="36" t="s">
        <v>10194</v>
      </c>
      <c r="D635" s="36" t="s">
        <v>10195</v>
      </c>
      <c r="E635" s="36" t="s">
        <v>10196</v>
      </c>
      <c r="F635" s="36" t="s">
        <v>10197</v>
      </c>
      <c r="G635" s="36" t="s">
        <v>10198</v>
      </c>
      <c r="H635" s="36" t="s">
        <v>10199</v>
      </c>
      <c r="I635" s="36" t="s">
        <v>10200</v>
      </c>
      <c r="J635" s="36" t="s">
        <v>10201</v>
      </c>
      <c r="K635" s="36" t="s">
        <v>10202</v>
      </c>
      <c r="L635" s="36" t="s">
        <v>10203</v>
      </c>
      <c r="M635" s="36" t="s">
        <v>10204</v>
      </c>
      <c r="N635" s="36" t="s">
        <v>10205</v>
      </c>
      <c r="O635" s="36" t="s">
        <v>10206</v>
      </c>
      <c r="P635" s="36" t="s">
        <v>10193</v>
      </c>
    </row>
    <row r="636" spans="1:16">
      <c r="A636" s="132">
        <v>635</v>
      </c>
      <c r="B636" s="36" t="s">
        <v>465</v>
      </c>
      <c r="C636" s="36" t="s">
        <v>465</v>
      </c>
      <c r="D636" s="36" t="s">
        <v>465</v>
      </c>
      <c r="E636" s="36" t="s">
        <v>10207</v>
      </c>
      <c r="F636" s="36" t="s">
        <v>10208</v>
      </c>
      <c r="G636" s="36" t="s">
        <v>10209</v>
      </c>
      <c r="H636" s="36" t="s">
        <v>10210</v>
      </c>
      <c r="I636" s="36" t="s">
        <v>10211</v>
      </c>
      <c r="J636" s="36" t="s">
        <v>10212</v>
      </c>
      <c r="K636" s="36" t="s">
        <v>10213</v>
      </c>
      <c r="L636" s="36" t="s">
        <v>465</v>
      </c>
      <c r="M636" s="36" t="s">
        <v>465</v>
      </c>
      <c r="N636" s="36" t="s">
        <v>465</v>
      </c>
      <c r="O636" s="36" t="s">
        <v>10214</v>
      </c>
      <c r="P636" s="36" t="s">
        <v>465</v>
      </c>
    </row>
    <row r="637" spans="1:16">
      <c r="A637" s="132">
        <v>636</v>
      </c>
      <c r="B637" s="36" t="s">
        <v>10215</v>
      </c>
      <c r="C637" s="36" t="s">
        <v>10216</v>
      </c>
      <c r="D637" s="36" t="s">
        <v>10217</v>
      </c>
      <c r="E637" s="36" t="s">
        <v>10218</v>
      </c>
      <c r="F637" s="36" t="s">
        <v>10219</v>
      </c>
      <c r="G637" s="36" t="s">
        <v>10220</v>
      </c>
      <c r="H637" s="36" t="s">
        <v>10221</v>
      </c>
      <c r="I637" s="36" t="s">
        <v>10222</v>
      </c>
      <c r="J637" s="36" t="s">
        <v>10223</v>
      </c>
      <c r="K637" s="36" t="s">
        <v>10224</v>
      </c>
      <c r="L637" s="36" t="s">
        <v>10225</v>
      </c>
      <c r="M637" s="36" t="s">
        <v>10226</v>
      </c>
      <c r="N637" s="36" t="s">
        <v>10227</v>
      </c>
      <c r="O637" s="36" t="s">
        <v>10228</v>
      </c>
      <c r="P637" s="36" t="s">
        <v>10215</v>
      </c>
    </row>
    <row r="638" spans="1:16">
      <c r="A638" s="132">
        <v>637</v>
      </c>
      <c r="B638" s="36" t="s">
        <v>10229</v>
      </c>
      <c r="C638" s="36" t="s">
        <v>10230</v>
      </c>
      <c r="D638" s="36" t="s">
        <v>10229</v>
      </c>
      <c r="E638" s="36" t="s">
        <v>10229</v>
      </c>
      <c r="F638" s="36" t="s">
        <v>10229</v>
      </c>
      <c r="G638" s="36" t="s">
        <v>10229</v>
      </c>
      <c r="H638" s="36" t="s">
        <v>10229</v>
      </c>
      <c r="I638" s="36" t="s">
        <v>10229</v>
      </c>
      <c r="J638" s="36" t="s">
        <v>10229</v>
      </c>
      <c r="K638" s="36" t="s">
        <v>10229</v>
      </c>
      <c r="L638" s="36" t="s">
        <v>10229</v>
      </c>
      <c r="M638" s="36" t="s">
        <v>10229</v>
      </c>
      <c r="N638" s="36" t="s">
        <v>10229</v>
      </c>
      <c r="O638" s="36" t="s">
        <v>10229</v>
      </c>
      <c r="P638" s="36" t="s">
        <v>10229</v>
      </c>
    </row>
    <row r="639" spans="1:16">
      <c r="A639" s="132">
        <v>638</v>
      </c>
      <c r="B639" s="36" t="s">
        <v>10231</v>
      </c>
      <c r="C639" s="36" t="s">
        <v>10232</v>
      </c>
      <c r="D639" s="36" t="s">
        <v>10233</v>
      </c>
      <c r="E639" s="36" t="s">
        <v>10234</v>
      </c>
      <c r="F639" s="36" t="s">
        <v>10235</v>
      </c>
      <c r="G639" s="36" t="s">
        <v>10236</v>
      </c>
      <c r="H639" s="36" t="s">
        <v>10237</v>
      </c>
      <c r="I639" s="36" t="s">
        <v>10235</v>
      </c>
      <c r="J639" s="36" t="s">
        <v>10238</v>
      </c>
      <c r="K639" s="36" t="s">
        <v>10239</v>
      </c>
      <c r="L639" s="36" t="s">
        <v>10240</v>
      </c>
      <c r="M639" s="36" t="s">
        <v>10241</v>
      </c>
      <c r="N639" s="36" t="s">
        <v>10242</v>
      </c>
      <c r="O639" s="36" t="s">
        <v>10243</v>
      </c>
      <c r="P639" s="36" t="s">
        <v>10231</v>
      </c>
    </row>
    <row r="640" spans="1:16">
      <c r="A640" s="132">
        <v>639</v>
      </c>
      <c r="B640" s="36" t="s">
        <v>10244</v>
      </c>
      <c r="C640" s="36" t="s">
        <v>10245</v>
      </c>
      <c r="D640" s="36" t="s">
        <v>10246</v>
      </c>
      <c r="E640" s="36" t="s">
        <v>10247</v>
      </c>
      <c r="F640" s="36" t="s">
        <v>10248</v>
      </c>
      <c r="G640" s="36" t="s">
        <v>10249</v>
      </c>
      <c r="H640" s="36" t="s">
        <v>10250</v>
      </c>
      <c r="I640" s="36" t="s">
        <v>10251</v>
      </c>
      <c r="J640" s="36" t="s">
        <v>10252</v>
      </c>
      <c r="K640" s="36" t="s">
        <v>10253</v>
      </c>
      <c r="L640" s="36" t="s">
        <v>10254</v>
      </c>
      <c r="M640" s="36" t="s">
        <v>10255</v>
      </c>
      <c r="N640" s="36" t="s">
        <v>10254</v>
      </c>
      <c r="O640" s="36" t="s">
        <v>10256</v>
      </c>
      <c r="P640" s="36" t="s">
        <v>10244</v>
      </c>
    </row>
    <row r="641" spans="1:16">
      <c r="A641" s="132">
        <v>640</v>
      </c>
      <c r="B641" s="36" t="s">
        <v>10257</v>
      </c>
      <c r="C641" s="36" t="s">
        <v>10258</v>
      </c>
      <c r="D641" s="36" t="s">
        <v>10259</v>
      </c>
      <c r="E641" s="36" t="s">
        <v>10260</v>
      </c>
      <c r="F641" s="36" t="s">
        <v>10261</v>
      </c>
      <c r="G641" s="36" t="s">
        <v>10262</v>
      </c>
      <c r="H641" s="36" t="s">
        <v>10263</v>
      </c>
      <c r="I641" s="36" t="s">
        <v>10264</v>
      </c>
      <c r="J641" s="36" t="s">
        <v>10265</v>
      </c>
      <c r="K641" s="36" t="s">
        <v>10266</v>
      </c>
      <c r="L641" s="36" t="s">
        <v>10267</v>
      </c>
      <c r="M641" s="36" t="s">
        <v>10268</v>
      </c>
      <c r="N641" s="36" t="s">
        <v>10269</v>
      </c>
      <c r="O641" s="36" t="s">
        <v>10270</v>
      </c>
      <c r="P641" s="36" t="s">
        <v>10271</v>
      </c>
    </row>
    <row r="642" spans="1:16">
      <c r="A642" s="132">
        <v>641</v>
      </c>
      <c r="B642" s="36" t="s">
        <v>10272</v>
      </c>
      <c r="C642" s="36" t="s">
        <v>10273</v>
      </c>
      <c r="D642" s="36" t="s">
        <v>10274</v>
      </c>
      <c r="E642" s="36" t="s">
        <v>10275</v>
      </c>
      <c r="F642" s="36" t="s">
        <v>10276</v>
      </c>
      <c r="G642" s="36" t="s">
        <v>10277</v>
      </c>
      <c r="H642" s="36" t="s">
        <v>10278</v>
      </c>
      <c r="I642" s="36" t="s">
        <v>10279</v>
      </c>
      <c r="J642" s="36" t="s">
        <v>10280</v>
      </c>
      <c r="K642" s="36" t="s">
        <v>10281</v>
      </c>
      <c r="L642" s="36" t="s">
        <v>10272</v>
      </c>
      <c r="M642" s="36" t="s">
        <v>10282</v>
      </c>
      <c r="N642" s="36" t="s">
        <v>10282</v>
      </c>
      <c r="O642" s="36" t="s">
        <v>10283</v>
      </c>
      <c r="P642" s="36" t="s">
        <v>10272</v>
      </c>
    </row>
    <row r="643" spans="1:16">
      <c r="A643" s="132">
        <v>642</v>
      </c>
      <c r="B643" s="36" t="s">
        <v>10284</v>
      </c>
      <c r="C643" s="36" t="s">
        <v>10285</v>
      </c>
      <c r="D643" s="36" t="s">
        <v>10286</v>
      </c>
      <c r="E643" s="36" t="s">
        <v>10287</v>
      </c>
      <c r="F643" s="36" t="s">
        <v>10288</v>
      </c>
      <c r="G643" s="36" t="s">
        <v>10289</v>
      </c>
      <c r="H643" s="36" t="s">
        <v>10290</v>
      </c>
      <c r="I643" s="36" t="s">
        <v>10291</v>
      </c>
      <c r="J643" s="36" t="s">
        <v>10292</v>
      </c>
      <c r="K643" s="36" t="s">
        <v>10293</v>
      </c>
      <c r="L643" s="36" t="s">
        <v>10294</v>
      </c>
      <c r="M643" s="36" t="s">
        <v>10295</v>
      </c>
      <c r="N643" s="36" t="s">
        <v>10296</v>
      </c>
      <c r="O643" s="36" t="s">
        <v>10297</v>
      </c>
      <c r="P643" s="36" t="s">
        <v>10284</v>
      </c>
    </row>
    <row r="644" spans="1:16">
      <c r="A644" s="132">
        <v>643</v>
      </c>
      <c r="B644" s="36" t="s">
        <v>10298</v>
      </c>
      <c r="C644" s="36" t="s">
        <v>10299</v>
      </c>
      <c r="D644" s="36" t="s">
        <v>10300</v>
      </c>
      <c r="E644" s="36" t="s">
        <v>10301</v>
      </c>
      <c r="F644" s="36" t="s">
        <v>10302</v>
      </c>
      <c r="G644" s="36" t="s">
        <v>10303</v>
      </c>
      <c r="H644" s="36" t="s">
        <v>10304</v>
      </c>
      <c r="I644" s="36" t="s">
        <v>10305</v>
      </c>
      <c r="J644" s="36" t="s">
        <v>10306</v>
      </c>
      <c r="K644" s="36" t="s">
        <v>10307</v>
      </c>
      <c r="L644" s="36" t="s">
        <v>10308</v>
      </c>
      <c r="M644" s="36" t="s">
        <v>10309</v>
      </c>
      <c r="N644" s="36" t="s">
        <v>10310</v>
      </c>
      <c r="O644" s="36" t="s">
        <v>10311</v>
      </c>
      <c r="P644" s="36" t="s">
        <v>10298</v>
      </c>
    </row>
    <row r="645" spans="1:16">
      <c r="A645" s="132">
        <v>644</v>
      </c>
      <c r="B645" s="36" t="s">
        <v>10312</v>
      </c>
      <c r="C645" s="36" t="s">
        <v>10313</v>
      </c>
      <c r="D645" s="36" t="s">
        <v>10314</v>
      </c>
      <c r="E645" s="36" t="s">
        <v>10315</v>
      </c>
      <c r="F645" s="36" t="s">
        <v>10316</v>
      </c>
      <c r="G645" s="36" t="s">
        <v>10317</v>
      </c>
      <c r="H645" s="36" t="s">
        <v>10318</v>
      </c>
      <c r="I645" s="36" t="s">
        <v>10319</v>
      </c>
      <c r="J645" s="36" t="s">
        <v>10320</v>
      </c>
      <c r="K645" s="36" t="s">
        <v>10321</v>
      </c>
      <c r="L645" s="36" t="s">
        <v>10322</v>
      </c>
      <c r="M645" s="36" t="s">
        <v>10323</v>
      </c>
      <c r="N645" s="36" t="s">
        <v>10324</v>
      </c>
      <c r="O645" s="36" t="s">
        <v>10325</v>
      </c>
      <c r="P645" s="36" t="s">
        <v>10312</v>
      </c>
    </row>
    <row r="646" spans="1:16">
      <c r="A646" s="132">
        <v>645</v>
      </c>
      <c r="B646" s="36" t="s">
        <v>10326</v>
      </c>
      <c r="C646" s="36" t="s">
        <v>10327</v>
      </c>
      <c r="D646" s="36" t="s">
        <v>10328</v>
      </c>
      <c r="E646" s="36" t="s">
        <v>10329</v>
      </c>
      <c r="F646" s="36" t="s">
        <v>10330</v>
      </c>
      <c r="G646" s="36" t="s">
        <v>10331</v>
      </c>
      <c r="H646" s="36" t="s">
        <v>10332</v>
      </c>
      <c r="I646" s="36" t="s">
        <v>10333</v>
      </c>
      <c r="J646" s="36" t="s">
        <v>10334</v>
      </c>
      <c r="K646" s="36" t="s">
        <v>10335</v>
      </c>
      <c r="L646" s="36" t="s">
        <v>10336</v>
      </c>
      <c r="M646" s="36" t="s">
        <v>10337</v>
      </c>
      <c r="N646" s="36" t="s">
        <v>10338</v>
      </c>
      <c r="O646" s="36" t="s">
        <v>10339</v>
      </c>
      <c r="P646" s="36" t="s">
        <v>10326</v>
      </c>
    </row>
    <row r="647" spans="1:16">
      <c r="A647" s="132">
        <v>646</v>
      </c>
      <c r="B647" s="36" t="s">
        <v>10340</v>
      </c>
      <c r="C647" s="36" t="s">
        <v>7603</v>
      </c>
      <c r="D647" s="36" t="s">
        <v>7604</v>
      </c>
      <c r="E647" s="36" t="s">
        <v>10341</v>
      </c>
      <c r="F647" s="36" t="s">
        <v>7606</v>
      </c>
      <c r="G647" s="36" t="s">
        <v>10342</v>
      </c>
      <c r="H647" s="36" t="s">
        <v>10343</v>
      </c>
      <c r="I647" s="36" t="s">
        <v>10344</v>
      </c>
      <c r="J647" s="36" t="s">
        <v>10345</v>
      </c>
      <c r="K647" s="36" t="s">
        <v>10346</v>
      </c>
      <c r="L647" s="36" t="s">
        <v>10347</v>
      </c>
      <c r="M647" s="36" t="s">
        <v>10348</v>
      </c>
      <c r="N647" s="36" t="s">
        <v>10349</v>
      </c>
      <c r="O647" s="36" t="s">
        <v>7614</v>
      </c>
      <c r="P647" s="36" t="s">
        <v>10340</v>
      </c>
    </row>
    <row r="648" spans="1:16">
      <c r="A648" s="132">
        <v>647</v>
      </c>
      <c r="B648" s="36" t="s">
        <v>10350</v>
      </c>
      <c r="C648" s="36" t="s">
        <v>10351</v>
      </c>
      <c r="D648" s="36" t="s">
        <v>10352</v>
      </c>
      <c r="E648" s="36" t="s">
        <v>10353</v>
      </c>
      <c r="F648" s="36" t="s">
        <v>10354</v>
      </c>
      <c r="G648" s="36" t="s">
        <v>10355</v>
      </c>
      <c r="H648" s="36" t="s">
        <v>10356</v>
      </c>
      <c r="I648" s="36" t="s">
        <v>10357</v>
      </c>
      <c r="J648" s="36" t="s">
        <v>10358</v>
      </c>
      <c r="K648" s="36" t="s">
        <v>10359</v>
      </c>
      <c r="L648" s="36" t="s">
        <v>10360</v>
      </c>
      <c r="M648" s="36" t="s">
        <v>10361</v>
      </c>
      <c r="N648" s="36" t="s">
        <v>10362</v>
      </c>
      <c r="O648" s="36" t="s">
        <v>10363</v>
      </c>
      <c r="P648" s="36" t="s">
        <v>10350</v>
      </c>
    </row>
    <row r="649" spans="1:16">
      <c r="A649" s="132">
        <v>648</v>
      </c>
      <c r="B649" s="36" t="s">
        <v>10364</v>
      </c>
      <c r="C649" s="36" t="s">
        <v>10365</v>
      </c>
      <c r="D649" s="36" t="s">
        <v>10366</v>
      </c>
      <c r="E649" s="36" t="s">
        <v>10367</v>
      </c>
      <c r="F649" s="36" t="s">
        <v>10368</v>
      </c>
      <c r="G649" s="36" t="s">
        <v>10369</v>
      </c>
      <c r="H649" s="36" t="s">
        <v>10370</v>
      </c>
      <c r="I649" s="36" t="s">
        <v>10371</v>
      </c>
      <c r="J649" s="36" t="s">
        <v>10372</v>
      </c>
      <c r="K649" s="36" t="s">
        <v>10373</v>
      </c>
      <c r="L649" s="36" t="s">
        <v>10374</v>
      </c>
      <c r="M649" s="36" t="s">
        <v>10375</v>
      </c>
      <c r="N649" s="36" t="s">
        <v>10376</v>
      </c>
      <c r="O649" s="36" t="s">
        <v>10377</v>
      </c>
      <c r="P649" s="36" t="s">
        <v>10364</v>
      </c>
    </row>
    <row r="650" spans="1:16">
      <c r="A650" s="132">
        <v>649</v>
      </c>
      <c r="B650" s="36" t="s">
        <v>10378</v>
      </c>
      <c r="C650" s="36" t="s">
        <v>10379</v>
      </c>
      <c r="D650" s="36" t="s">
        <v>10380</v>
      </c>
      <c r="E650" s="36" t="s">
        <v>10381</v>
      </c>
      <c r="F650" s="36" t="s">
        <v>10382</v>
      </c>
      <c r="G650" s="36" t="s">
        <v>10383</v>
      </c>
      <c r="H650" s="36" t="s">
        <v>10384</v>
      </c>
      <c r="I650" s="36" t="s">
        <v>10385</v>
      </c>
      <c r="J650" s="36" t="s">
        <v>10386</v>
      </c>
      <c r="K650" s="36" t="s">
        <v>10387</v>
      </c>
      <c r="L650" s="36" t="s">
        <v>10388</v>
      </c>
      <c r="M650" s="36" t="s">
        <v>10389</v>
      </c>
      <c r="N650" s="36" t="s">
        <v>10390</v>
      </c>
      <c r="O650" s="36" t="s">
        <v>10391</v>
      </c>
      <c r="P650" s="36" t="s">
        <v>10378</v>
      </c>
    </row>
    <row r="651" spans="1:16">
      <c r="A651" s="132">
        <v>650</v>
      </c>
      <c r="B651" s="36" t="s">
        <v>10392</v>
      </c>
      <c r="C651" s="36" t="s">
        <v>10393</v>
      </c>
      <c r="D651" s="36" t="s">
        <v>10394</v>
      </c>
      <c r="E651" s="36" t="s">
        <v>10395</v>
      </c>
      <c r="F651" s="36" t="s">
        <v>10396</v>
      </c>
      <c r="G651" s="36" t="s">
        <v>10397</v>
      </c>
      <c r="H651" s="36" t="s">
        <v>10398</v>
      </c>
      <c r="I651" s="36" t="s">
        <v>10399</v>
      </c>
      <c r="J651" s="36" t="s">
        <v>10400</v>
      </c>
      <c r="K651" s="36" t="s">
        <v>10401</v>
      </c>
      <c r="L651" s="36" t="s">
        <v>10402</v>
      </c>
      <c r="M651" s="36" t="s">
        <v>10403</v>
      </c>
      <c r="N651" s="36" t="s">
        <v>10404</v>
      </c>
      <c r="O651" s="36" t="s">
        <v>10405</v>
      </c>
      <c r="P651" s="36" t="s">
        <v>10392</v>
      </c>
    </row>
    <row r="652" spans="1:16">
      <c r="A652" s="132">
        <v>651</v>
      </c>
      <c r="B652" s="36" t="s">
        <v>10406</v>
      </c>
      <c r="C652" s="36" t="s">
        <v>10407</v>
      </c>
      <c r="D652" s="36" t="s">
        <v>10408</v>
      </c>
      <c r="E652" s="36" t="s">
        <v>10409</v>
      </c>
      <c r="F652" s="36" t="s">
        <v>10410</v>
      </c>
      <c r="G652" s="36" t="s">
        <v>10411</v>
      </c>
      <c r="H652" s="36" t="s">
        <v>10412</v>
      </c>
      <c r="I652" s="36" t="s">
        <v>10413</v>
      </c>
      <c r="J652" s="36" t="s">
        <v>10414</v>
      </c>
      <c r="K652" s="36" t="s">
        <v>10415</v>
      </c>
      <c r="L652" s="36" t="s">
        <v>10416</v>
      </c>
      <c r="M652" s="36" t="s">
        <v>10417</v>
      </c>
      <c r="N652" s="36" t="s">
        <v>10418</v>
      </c>
      <c r="O652" s="36" t="s">
        <v>10419</v>
      </c>
      <c r="P652" s="36" t="s">
        <v>10406</v>
      </c>
    </row>
    <row r="653" spans="1:16">
      <c r="A653" s="132">
        <v>652</v>
      </c>
      <c r="B653" s="36" t="s">
        <v>10420</v>
      </c>
      <c r="C653" s="36" t="s">
        <v>10421</v>
      </c>
      <c r="D653" s="36" t="s">
        <v>10422</v>
      </c>
      <c r="E653" s="36" t="s">
        <v>10423</v>
      </c>
      <c r="F653" s="36" t="s">
        <v>10424</v>
      </c>
      <c r="G653" s="36" t="s">
        <v>10425</v>
      </c>
      <c r="H653" s="36" t="s">
        <v>10426</v>
      </c>
      <c r="I653" s="36" t="s">
        <v>10427</v>
      </c>
      <c r="J653" s="36" t="s">
        <v>10428</v>
      </c>
      <c r="K653" s="36" t="s">
        <v>10429</v>
      </c>
      <c r="L653" s="36" t="s">
        <v>10430</v>
      </c>
      <c r="M653" s="36" t="s">
        <v>10431</v>
      </c>
      <c r="N653" s="36" t="s">
        <v>10432</v>
      </c>
      <c r="O653" s="36" t="s">
        <v>10433</v>
      </c>
      <c r="P653" s="36" t="s">
        <v>10420</v>
      </c>
    </row>
    <row r="654" spans="1:16">
      <c r="A654" s="132">
        <v>653</v>
      </c>
      <c r="B654" s="36" t="s">
        <v>10434</v>
      </c>
      <c r="C654" s="36" t="s">
        <v>10435</v>
      </c>
      <c r="D654" s="36" t="s">
        <v>10436</v>
      </c>
      <c r="E654" s="36" t="s">
        <v>10437</v>
      </c>
      <c r="F654" s="36" t="s">
        <v>10438</v>
      </c>
      <c r="G654" s="36" t="s">
        <v>10439</v>
      </c>
      <c r="H654" s="36" t="s">
        <v>10412</v>
      </c>
      <c r="I654" s="36" t="s">
        <v>10440</v>
      </c>
      <c r="J654" s="36" t="s">
        <v>10414</v>
      </c>
      <c r="K654" s="36" t="s">
        <v>10415</v>
      </c>
      <c r="L654" s="36" t="s">
        <v>10416</v>
      </c>
      <c r="M654" s="36" t="s">
        <v>10417</v>
      </c>
      <c r="N654" s="36" t="s">
        <v>10441</v>
      </c>
      <c r="O654" s="36" t="s">
        <v>10442</v>
      </c>
      <c r="P654" s="36" t="s">
        <v>10434</v>
      </c>
    </row>
    <row r="655" spans="1:16">
      <c r="A655" s="132">
        <v>654</v>
      </c>
      <c r="B655" s="36" t="s">
        <v>2330</v>
      </c>
      <c r="C655" s="36" t="s">
        <v>10443</v>
      </c>
      <c r="D655" s="36" t="s">
        <v>10444</v>
      </c>
      <c r="E655" s="36" t="s">
        <v>10445</v>
      </c>
      <c r="F655" s="36" t="s">
        <v>10446</v>
      </c>
      <c r="G655" s="36" t="s">
        <v>10447</v>
      </c>
      <c r="H655" s="36" t="s">
        <v>10448</v>
      </c>
      <c r="I655" s="36" t="s">
        <v>10449</v>
      </c>
      <c r="J655" s="36" t="s">
        <v>10450</v>
      </c>
      <c r="K655" s="36" t="s">
        <v>10451</v>
      </c>
      <c r="L655" s="36" t="s">
        <v>10452</v>
      </c>
      <c r="M655" s="36" t="s">
        <v>10453</v>
      </c>
      <c r="N655" s="36" t="s">
        <v>10454</v>
      </c>
      <c r="O655" s="36" t="s">
        <v>10455</v>
      </c>
      <c r="P655" s="36" t="s">
        <v>2330</v>
      </c>
    </row>
    <row r="656" spans="1:16">
      <c r="A656" s="132">
        <v>655</v>
      </c>
      <c r="B656" s="36" t="s">
        <v>10456</v>
      </c>
      <c r="C656" s="36" t="s">
        <v>10457</v>
      </c>
      <c r="D656" s="36" t="s">
        <v>10458</v>
      </c>
      <c r="E656" s="36" t="s">
        <v>10459</v>
      </c>
      <c r="F656" s="36" t="s">
        <v>10460</v>
      </c>
      <c r="G656" s="36" t="s">
        <v>10461</v>
      </c>
      <c r="H656" s="36" t="s">
        <v>10462</v>
      </c>
      <c r="I656" s="36" t="s">
        <v>10463</v>
      </c>
      <c r="J656" s="36" t="s">
        <v>10464</v>
      </c>
      <c r="K656" s="36" t="s">
        <v>10465</v>
      </c>
      <c r="L656" s="36" t="s">
        <v>10466</v>
      </c>
      <c r="M656" s="36" t="s">
        <v>10467</v>
      </c>
      <c r="N656" s="36" t="s">
        <v>10468</v>
      </c>
      <c r="O656" s="36" t="s">
        <v>10469</v>
      </c>
      <c r="P656" s="36" t="s">
        <v>10456</v>
      </c>
    </row>
    <row r="657" spans="1:16">
      <c r="A657" s="132">
        <v>656</v>
      </c>
      <c r="B657" s="36" t="s">
        <v>10470</v>
      </c>
      <c r="C657" s="36" t="s">
        <v>10471</v>
      </c>
      <c r="D657" s="36" t="s">
        <v>10472</v>
      </c>
      <c r="E657" s="36" t="s">
        <v>10473</v>
      </c>
      <c r="F657" s="36" t="s">
        <v>10474</v>
      </c>
      <c r="G657" s="36" t="s">
        <v>10475</v>
      </c>
      <c r="H657" s="36" t="s">
        <v>10476</v>
      </c>
      <c r="I657" s="36" t="s">
        <v>10477</v>
      </c>
      <c r="J657" s="36" t="s">
        <v>10478</v>
      </c>
      <c r="K657" s="36" t="s">
        <v>10479</v>
      </c>
      <c r="L657" s="36" t="s">
        <v>10480</v>
      </c>
      <c r="M657" s="36" t="s">
        <v>10481</v>
      </c>
      <c r="N657" s="36" t="s">
        <v>10482</v>
      </c>
      <c r="O657" s="36" t="s">
        <v>10483</v>
      </c>
      <c r="P657" s="36" t="s">
        <v>10470</v>
      </c>
    </row>
    <row r="658" spans="1:16">
      <c r="A658" s="132">
        <v>657</v>
      </c>
      <c r="B658" s="36" t="s">
        <v>10484</v>
      </c>
      <c r="C658" s="36" t="s">
        <v>10471</v>
      </c>
      <c r="D658" s="36" t="s">
        <v>10485</v>
      </c>
      <c r="E658" s="36" t="s">
        <v>10486</v>
      </c>
      <c r="F658" s="36" t="s">
        <v>10487</v>
      </c>
      <c r="G658" s="36" t="s">
        <v>10488</v>
      </c>
      <c r="H658" s="36" t="s">
        <v>10489</v>
      </c>
      <c r="I658" s="36" t="s">
        <v>10490</v>
      </c>
      <c r="J658" s="36" t="s">
        <v>10491</v>
      </c>
      <c r="K658" s="36" t="s">
        <v>10492</v>
      </c>
      <c r="L658" s="36" t="s">
        <v>10493</v>
      </c>
      <c r="M658" s="36" t="s">
        <v>10494</v>
      </c>
      <c r="N658" s="36" t="s">
        <v>10495</v>
      </c>
      <c r="O658" s="36" t="s">
        <v>10496</v>
      </c>
      <c r="P658" s="36" t="s">
        <v>10484</v>
      </c>
    </row>
    <row r="659" spans="1:16">
      <c r="A659" s="132">
        <v>658</v>
      </c>
      <c r="B659" s="36" t="s">
        <v>10497</v>
      </c>
      <c r="C659" s="36" t="s">
        <v>10498</v>
      </c>
      <c r="D659" s="36" t="s">
        <v>10499</v>
      </c>
      <c r="E659" s="36" t="s">
        <v>10500</v>
      </c>
      <c r="F659" s="36" t="s">
        <v>10501</v>
      </c>
      <c r="G659" s="36" t="s">
        <v>8696</v>
      </c>
      <c r="H659" s="36" t="s">
        <v>10502</v>
      </c>
      <c r="I659" s="36" t="s">
        <v>10503</v>
      </c>
      <c r="J659" s="36" t="s">
        <v>10497</v>
      </c>
      <c r="K659" s="36" t="s">
        <v>10504</v>
      </c>
      <c r="L659" s="36" t="s">
        <v>10505</v>
      </c>
      <c r="M659" s="36" t="s">
        <v>10506</v>
      </c>
      <c r="N659" s="36" t="s">
        <v>10507</v>
      </c>
      <c r="O659" s="36" t="s">
        <v>10508</v>
      </c>
      <c r="P659" s="36" t="s">
        <v>10497</v>
      </c>
    </row>
    <row r="660" spans="1:16">
      <c r="A660" s="132">
        <v>659</v>
      </c>
      <c r="B660" s="36" t="s">
        <v>10509</v>
      </c>
      <c r="C660" s="36" t="s">
        <v>10510</v>
      </c>
      <c r="D660" s="36" t="s">
        <v>10511</v>
      </c>
      <c r="E660" s="36" t="s">
        <v>10512</v>
      </c>
      <c r="F660" s="36" t="s">
        <v>10513</v>
      </c>
      <c r="G660" s="36" t="s">
        <v>10514</v>
      </c>
      <c r="H660" s="36" t="s">
        <v>10515</v>
      </c>
      <c r="I660" s="36" t="s">
        <v>10516</v>
      </c>
      <c r="J660" s="36" t="s">
        <v>10517</v>
      </c>
      <c r="K660" s="36" t="s">
        <v>10518</v>
      </c>
      <c r="L660" s="36" t="s">
        <v>10519</v>
      </c>
      <c r="M660" s="36" t="s">
        <v>10520</v>
      </c>
      <c r="N660" s="36" t="s">
        <v>10521</v>
      </c>
      <c r="O660" s="36" t="s">
        <v>10522</v>
      </c>
      <c r="P660" s="36" t="s">
        <v>10523</v>
      </c>
    </row>
    <row r="661" spans="1:16">
      <c r="A661" s="132">
        <v>660</v>
      </c>
      <c r="B661" s="36" t="s">
        <v>10524</v>
      </c>
      <c r="C661" s="36" t="s">
        <v>10525</v>
      </c>
      <c r="D661" s="36" t="s">
        <v>10526</v>
      </c>
      <c r="E661" s="36" t="s">
        <v>10527</v>
      </c>
      <c r="F661" s="36" t="s">
        <v>10528</v>
      </c>
      <c r="G661" s="36" t="s">
        <v>10529</v>
      </c>
      <c r="H661" s="36" t="s">
        <v>10530</v>
      </c>
      <c r="I661" s="36" t="s">
        <v>10531</v>
      </c>
      <c r="J661" s="36" t="s">
        <v>10524</v>
      </c>
      <c r="K661" s="36" t="s">
        <v>10532</v>
      </c>
      <c r="L661" s="36" t="s">
        <v>10533</v>
      </c>
      <c r="M661" s="36" t="s">
        <v>10533</v>
      </c>
      <c r="N661" s="36" t="s">
        <v>10533</v>
      </c>
      <c r="O661" s="36" t="s">
        <v>10534</v>
      </c>
      <c r="P661" s="36" t="s">
        <v>10524</v>
      </c>
    </row>
    <row r="662" spans="1:16">
      <c r="A662" s="132">
        <v>661</v>
      </c>
      <c r="B662" s="36" t="s">
        <v>10535</v>
      </c>
      <c r="C662" s="36" t="s">
        <v>10536</v>
      </c>
      <c r="D662" s="36" t="s">
        <v>10537</v>
      </c>
      <c r="E662" s="36" t="s">
        <v>10535</v>
      </c>
      <c r="F662" s="36" t="s">
        <v>10538</v>
      </c>
      <c r="G662" s="36" t="s">
        <v>10538</v>
      </c>
      <c r="H662" s="36" t="s">
        <v>10539</v>
      </c>
      <c r="I662" s="36" t="s">
        <v>10540</v>
      </c>
      <c r="J662" s="36" t="s">
        <v>10535</v>
      </c>
      <c r="K662" s="36" t="s">
        <v>10538</v>
      </c>
      <c r="L662" s="36" t="s">
        <v>10535</v>
      </c>
      <c r="M662" s="36" t="s">
        <v>10535</v>
      </c>
      <c r="N662" s="36" t="s">
        <v>10535</v>
      </c>
      <c r="O662" s="36" t="s">
        <v>10540</v>
      </c>
      <c r="P662" s="36" t="s">
        <v>10535</v>
      </c>
    </row>
    <row r="663" spans="1:16">
      <c r="A663" s="132">
        <v>662</v>
      </c>
      <c r="B663" s="36" t="s">
        <v>10541</v>
      </c>
      <c r="C663" s="36" t="s">
        <v>10542</v>
      </c>
      <c r="D663" s="36" t="s">
        <v>10543</v>
      </c>
      <c r="E663" s="36" t="s">
        <v>10541</v>
      </c>
      <c r="F663" s="36" t="s">
        <v>10544</v>
      </c>
      <c r="G663" s="36" t="s">
        <v>10544</v>
      </c>
      <c r="H663" s="36" t="s">
        <v>10545</v>
      </c>
      <c r="I663" s="36" t="s">
        <v>10546</v>
      </c>
      <c r="J663" s="36" t="s">
        <v>10541</v>
      </c>
      <c r="K663" s="36" t="s">
        <v>10544</v>
      </c>
      <c r="L663" s="36" t="s">
        <v>10541</v>
      </c>
      <c r="M663" s="36" t="s">
        <v>10541</v>
      </c>
      <c r="N663" s="36" t="s">
        <v>10541</v>
      </c>
      <c r="O663" s="36" t="s">
        <v>10546</v>
      </c>
      <c r="P663" s="36" t="s">
        <v>10541</v>
      </c>
    </row>
    <row r="664" spans="1:16">
      <c r="A664" s="132">
        <v>663</v>
      </c>
      <c r="B664" s="36" t="s">
        <v>10547</v>
      </c>
      <c r="C664" s="36" t="s">
        <v>10548</v>
      </c>
      <c r="D664" s="36" t="s">
        <v>10549</v>
      </c>
      <c r="E664" s="36" t="s">
        <v>10547</v>
      </c>
      <c r="F664" s="36" t="s">
        <v>10550</v>
      </c>
      <c r="G664" s="36" t="s">
        <v>10550</v>
      </c>
      <c r="H664" s="36" t="s">
        <v>10551</v>
      </c>
      <c r="I664" s="36" t="s">
        <v>10552</v>
      </c>
      <c r="J664" s="36" t="s">
        <v>10547</v>
      </c>
      <c r="K664" s="36" t="s">
        <v>10550</v>
      </c>
      <c r="L664" s="36" t="s">
        <v>10547</v>
      </c>
      <c r="M664" s="36" t="s">
        <v>10547</v>
      </c>
      <c r="N664" s="36" t="s">
        <v>10547</v>
      </c>
      <c r="O664" s="36" t="s">
        <v>10552</v>
      </c>
      <c r="P664" s="36" t="s">
        <v>10547</v>
      </c>
    </row>
    <row r="665" spans="1:16">
      <c r="A665" s="132">
        <v>664</v>
      </c>
      <c r="B665" s="36" t="s">
        <v>10553</v>
      </c>
      <c r="C665" s="36" t="s">
        <v>10554</v>
      </c>
      <c r="D665" s="36" t="s">
        <v>10555</v>
      </c>
      <c r="E665" s="36" t="s">
        <v>10553</v>
      </c>
      <c r="F665" s="36" t="s">
        <v>10556</v>
      </c>
      <c r="G665" s="36" t="s">
        <v>10556</v>
      </c>
      <c r="H665" s="36" t="s">
        <v>10557</v>
      </c>
      <c r="I665" s="36" t="s">
        <v>10558</v>
      </c>
      <c r="J665" s="36" t="s">
        <v>10553</v>
      </c>
      <c r="K665" s="36" t="s">
        <v>10556</v>
      </c>
      <c r="L665" s="36" t="s">
        <v>10553</v>
      </c>
      <c r="M665" s="36" t="s">
        <v>10553</v>
      </c>
      <c r="N665" s="36" t="s">
        <v>10553</v>
      </c>
      <c r="O665" s="36" t="s">
        <v>10558</v>
      </c>
      <c r="P665" s="36" t="s">
        <v>10553</v>
      </c>
    </row>
    <row r="666" spans="1:16">
      <c r="A666" s="132">
        <v>665</v>
      </c>
      <c r="B666" s="36" t="s">
        <v>10559</v>
      </c>
      <c r="C666" s="36" t="s">
        <v>10560</v>
      </c>
      <c r="D666" s="36" t="s">
        <v>10561</v>
      </c>
      <c r="E666" s="36" t="s">
        <v>10562</v>
      </c>
      <c r="F666" s="36" t="s">
        <v>10563</v>
      </c>
      <c r="G666" s="36" t="s">
        <v>10564</v>
      </c>
      <c r="H666" s="36" t="s">
        <v>10565</v>
      </c>
      <c r="I666" s="36" t="s">
        <v>10566</v>
      </c>
      <c r="J666" s="36" t="s">
        <v>10567</v>
      </c>
      <c r="K666" s="36" t="s">
        <v>10568</v>
      </c>
      <c r="L666" s="36" t="s">
        <v>10569</v>
      </c>
      <c r="M666" s="36" t="s">
        <v>10570</v>
      </c>
      <c r="N666" s="36" t="s">
        <v>10571</v>
      </c>
      <c r="O666" s="36" t="s">
        <v>10572</v>
      </c>
      <c r="P666" s="36" t="s">
        <v>10559</v>
      </c>
    </row>
    <row r="667" spans="1:16">
      <c r="A667" s="132">
        <v>666</v>
      </c>
      <c r="B667" s="36" t="s">
        <v>10573</v>
      </c>
      <c r="C667" s="36" t="s">
        <v>10573</v>
      </c>
      <c r="D667" s="36" t="s">
        <v>10574</v>
      </c>
      <c r="E667" s="36" t="s">
        <v>10574</v>
      </c>
      <c r="F667" s="36" t="s">
        <v>10574</v>
      </c>
      <c r="G667" s="36" t="s">
        <v>10574</v>
      </c>
      <c r="H667" s="36" t="s">
        <v>10574</v>
      </c>
      <c r="I667" s="36" t="s">
        <v>10574</v>
      </c>
      <c r="J667" s="36" t="s">
        <v>10574</v>
      </c>
      <c r="K667" s="36" t="s">
        <v>10575</v>
      </c>
      <c r="L667" s="36" t="s">
        <v>10574</v>
      </c>
      <c r="M667" s="36" t="s">
        <v>10574</v>
      </c>
      <c r="N667" s="36" t="s">
        <v>10574</v>
      </c>
      <c r="O667" s="36" t="s">
        <v>10574</v>
      </c>
      <c r="P667" s="36" t="s">
        <v>10574</v>
      </c>
    </row>
    <row r="668" spans="1:16">
      <c r="A668" s="132">
        <v>667</v>
      </c>
      <c r="B668" s="36" t="s">
        <v>10576</v>
      </c>
      <c r="C668" s="36" t="s">
        <v>10577</v>
      </c>
      <c r="D668" s="36" t="s">
        <v>10578</v>
      </c>
      <c r="E668" s="36" t="s">
        <v>10579</v>
      </c>
      <c r="F668" s="36" t="s">
        <v>10580</v>
      </c>
      <c r="G668" s="36" t="s">
        <v>10581</v>
      </c>
      <c r="H668" s="36" t="s">
        <v>10582</v>
      </c>
      <c r="I668" s="36" t="s">
        <v>10583</v>
      </c>
      <c r="J668" s="36" t="s">
        <v>10584</v>
      </c>
      <c r="K668" s="36" t="s">
        <v>10585</v>
      </c>
      <c r="L668" s="36" t="s">
        <v>10586</v>
      </c>
      <c r="M668" s="36" t="s">
        <v>10587</v>
      </c>
      <c r="N668" s="36" t="s">
        <v>10588</v>
      </c>
      <c r="O668" s="36" t="s">
        <v>10589</v>
      </c>
      <c r="P668" s="36" t="s">
        <v>10590</v>
      </c>
    </row>
    <row r="669" spans="1:16">
      <c r="A669" s="132">
        <v>668</v>
      </c>
      <c r="B669" s="36" t="s">
        <v>10591</v>
      </c>
      <c r="C669" s="36" t="s">
        <v>10592</v>
      </c>
      <c r="D669" s="36" t="s">
        <v>10593</v>
      </c>
      <c r="E669" s="36" t="s">
        <v>10594</v>
      </c>
      <c r="F669" s="36" t="s">
        <v>10595</v>
      </c>
      <c r="G669" s="36" t="s">
        <v>10596</v>
      </c>
      <c r="H669" s="36" t="s">
        <v>10597</v>
      </c>
      <c r="I669" s="36" t="s">
        <v>10598</v>
      </c>
      <c r="J669" s="36" t="s">
        <v>10599</v>
      </c>
      <c r="K669" s="36" t="s">
        <v>10600</v>
      </c>
      <c r="L669" s="36" t="s">
        <v>10601</v>
      </c>
      <c r="M669" s="36" t="s">
        <v>10602</v>
      </c>
      <c r="N669" s="36" t="s">
        <v>10602</v>
      </c>
      <c r="O669" s="36" t="s">
        <v>10603</v>
      </c>
      <c r="P669" s="36" t="s">
        <v>10604</v>
      </c>
    </row>
    <row r="670" spans="1:16">
      <c r="A670" s="132">
        <v>669</v>
      </c>
      <c r="B670" s="36" t="s">
        <v>10605</v>
      </c>
      <c r="C670" s="36" t="s">
        <v>10606</v>
      </c>
      <c r="D670" s="36" t="s">
        <v>10607</v>
      </c>
      <c r="E670" s="36" t="s">
        <v>10608</v>
      </c>
      <c r="F670" s="36" t="s">
        <v>10609</v>
      </c>
      <c r="G670" s="36" t="s">
        <v>10610</v>
      </c>
      <c r="H670" s="36" t="s">
        <v>10611</v>
      </c>
      <c r="I670" s="36" t="s">
        <v>10612</v>
      </c>
      <c r="J670" s="36" t="s">
        <v>10613</v>
      </c>
      <c r="K670" s="36" t="s">
        <v>10614</v>
      </c>
      <c r="L670" s="36" t="s">
        <v>10615</v>
      </c>
      <c r="M670" s="36" t="s">
        <v>10616</v>
      </c>
      <c r="N670" s="36" t="s">
        <v>10617</v>
      </c>
      <c r="O670" s="36" t="s">
        <v>10618</v>
      </c>
      <c r="P670" s="36" t="s">
        <v>10619</v>
      </c>
    </row>
    <row r="671" spans="1:16">
      <c r="A671" s="132">
        <v>670</v>
      </c>
      <c r="B671" s="36" t="s">
        <v>10620</v>
      </c>
      <c r="C671" s="36" t="s">
        <v>10621</v>
      </c>
      <c r="D671" s="36" t="s">
        <v>10622</v>
      </c>
      <c r="E671" s="36" t="s">
        <v>10623</v>
      </c>
      <c r="F671" s="36" t="s">
        <v>10624</v>
      </c>
      <c r="G671" s="36" t="s">
        <v>10625</v>
      </c>
      <c r="H671" s="36" t="s">
        <v>10626</v>
      </c>
      <c r="I671" s="36" t="s">
        <v>10627</v>
      </c>
      <c r="J671" s="36" t="s">
        <v>10628</v>
      </c>
      <c r="K671" s="36" t="s">
        <v>10629</v>
      </c>
      <c r="L671" s="36" t="s">
        <v>10630</v>
      </c>
      <c r="M671" s="36" t="s">
        <v>10631</v>
      </c>
      <c r="N671" s="36" t="s">
        <v>10632</v>
      </c>
      <c r="O671" s="36" t="s">
        <v>10633</v>
      </c>
      <c r="P671" s="36" t="s">
        <v>10634</v>
      </c>
    </row>
    <row r="672" spans="1:16">
      <c r="A672" s="132">
        <v>671</v>
      </c>
      <c r="B672" s="36" t="s">
        <v>10635</v>
      </c>
      <c r="C672" s="36" t="s">
        <v>10636</v>
      </c>
      <c r="D672" s="36" t="s">
        <v>10637</v>
      </c>
      <c r="E672" s="36" t="s">
        <v>10638</v>
      </c>
      <c r="F672" s="36" t="s">
        <v>10639</v>
      </c>
      <c r="G672" s="36" t="s">
        <v>10640</v>
      </c>
      <c r="H672" s="36" t="s">
        <v>10641</v>
      </c>
      <c r="I672" s="36" t="s">
        <v>10642</v>
      </c>
      <c r="J672" s="36" t="s">
        <v>10643</v>
      </c>
      <c r="K672" s="36" t="s">
        <v>10644</v>
      </c>
      <c r="L672" s="36" t="s">
        <v>10645</v>
      </c>
      <c r="M672" s="36" t="s">
        <v>10646</v>
      </c>
      <c r="N672" s="36" t="s">
        <v>10647</v>
      </c>
      <c r="O672" s="36" t="s">
        <v>10648</v>
      </c>
      <c r="P672" s="36" t="s">
        <v>10649</v>
      </c>
    </row>
    <row r="673" spans="1:16">
      <c r="A673" s="132">
        <v>672</v>
      </c>
      <c r="B673" s="36" t="s">
        <v>10650</v>
      </c>
      <c r="C673" s="36" t="s">
        <v>10651</v>
      </c>
      <c r="D673" s="36" t="s">
        <v>10652</v>
      </c>
      <c r="E673" s="36" t="s">
        <v>10653</v>
      </c>
      <c r="F673" s="36" t="s">
        <v>10654</v>
      </c>
      <c r="G673" s="36" t="s">
        <v>10655</v>
      </c>
      <c r="H673" s="36" t="s">
        <v>10656</v>
      </c>
      <c r="I673" s="36" t="s">
        <v>10657</v>
      </c>
      <c r="J673" s="36" t="s">
        <v>10658</v>
      </c>
      <c r="K673" s="36" t="s">
        <v>10659</v>
      </c>
      <c r="L673" s="36" t="s">
        <v>10660</v>
      </c>
      <c r="M673" s="36" t="s">
        <v>10661</v>
      </c>
      <c r="N673" s="36" t="s">
        <v>10662</v>
      </c>
      <c r="O673" s="36" t="s">
        <v>10663</v>
      </c>
      <c r="P673" s="36" t="s">
        <v>10664</v>
      </c>
    </row>
    <row r="674" spans="1:16">
      <c r="A674" s="132">
        <v>673</v>
      </c>
      <c r="B674" s="36" t="s">
        <v>10665</v>
      </c>
      <c r="C674" s="36" t="s">
        <v>10666</v>
      </c>
      <c r="D674" s="36" t="s">
        <v>10667</v>
      </c>
      <c r="E674" s="36" t="s">
        <v>10668</v>
      </c>
      <c r="F674" s="36" t="s">
        <v>10669</v>
      </c>
      <c r="G674" s="36" t="s">
        <v>10670</v>
      </c>
      <c r="H674" s="36" t="s">
        <v>10671</v>
      </c>
      <c r="I674" s="36" t="s">
        <v>10672</v>
      </c>
      <c r="J674" s="36" t="s">
        <v>10673</v>
      </c>
      <c r="K674" s="36" t="s">
        <v>10674</v>
      </c>
      <c r="L674" s="36" t="s">
        <v>10675</v>
      </c>
      <c r="M674" s="36" t="s">
        <v>10676</v>
      </c>
      <c r="N674" s="36" t="s">
        <v>10677</v>
      </c>
      <c r="O674" s="36" t="s">
        <v>10678</v>
      </c>
      <c r="P674" s="36" t="s">
        <v>10679</v>
      </c>
    </row>
    <row r="675" spans="1:16" ht="13.95" customHeight="1">
      <c r="A675" s="132">
        <v>674</v>
      </c>
      <c r="B675" s="36" t="s">
        <v>10680</v>
      </c>
      <c r="C675" s="36" t="s">
        <v>10681</v>
      </c>
      <c r="D675" s="36" t="s">
        <v>10682</v>
      </c>
      <c r="E675" s="36" t="s">
        <v>10683</v>
      </c>
      <c r="F675" s="36" t="s">
        <v>10684</v>
      </c>
      <c r="G675" s="36" t="s">
        <v>10685</v>
      </c>
      <c r="H675" s="36" t="s">
        <v>10686</v>
      </c>
      <c r="I675" s="36" t="s">
        <v>10687</v>
      </c>
      <c r="J675" s="36" t="s">
        <v>10688</v>
      </c>
      <c r="K675" s="36" t="s">
        <v>10689</v>
      </c>
      <c r="L675" s="36" t="s">
        <v>10690</v>
      </c>
      <c r="M675" s="36" t="s">
        <v>10691</v>
      </c>
      <c r="N675" s="36" t="s">
        <v>10692</v>
      </c>
      <c r="O675" s="36" t="s">
        <v>10693</v>
      </c>
      <c r="P675" s="36" t="s">
        <v>10694</v>
      </c>
    </row>
    <row r="676" spans="1:16">
      <c r="A676" s="132">
        <v>675</v>
      </c>
      <c r="B676" s="36" t="s">
        <v>10695</v>
      </c>
      <c r="C676" s="36" t="s">
        <v>10696</v>
      </c>
      <c r="D676" s="36" t="s">
        <v>10697</v>
      </c>
      <c r="E676" s="36" t="s">
        <v>10698</v>
      </c>
      <c r="F676" s="36" t="s">
        <v>10699</v>
      </c>
      <c r="G676" s="36" t="s">
        <v>10700</v>
      </c>
      <c r="H676" s="36" t="s">
        <v>10701</v>
      </c>
      <c r="I676" s="36" t="s">
        <v>10702</v>
      </c>
      <c r="J676" s="36" t="s">
        <v>10703</v>
      </c>
      <c r="K676" s="36" t="s">
        <v>10704</v>
      </c>
      <c r="L676" s="36" t="s">
        <v>10705</v>
      </c>
      <c r="M676" s="36" t="s">
        <v>10706</v>
      </c>
      <c r="N676" s="36" t="s">
        <v>10707</v>
      </c>
      <c r="O676" s="36" t="s">
        <v>10708</v>
      </c>
      <c r="P676" s="36" t="s">
        <v>10709</v>
      </c>
    </row>
    <row r="677" spans="1:16">
      <c r="A677" s="132">
        <v>676</v>
      </c>
      <c r="B677" s="36" t="s">
        <v>10710</v>
      </c>
      <c r="C677" s="36" t="s">
        <v>10711</v>
      </c>
      <c r="D677" s="36" t="s">
        <v>10712</v>
      </c>
      <c r="E677" s="36" t="s">
        <v>10713</v>
      </c>
      <c r="F677" s="36" t="s">
        <v>10714</v>
      </c>
      <c r="G677" s="36" t="s">
        <v>10715</v>
      </c>
      <c r="H677" s="36" t="s">
        <v>10716</v>
      </c>
      <c r="I677" s="36" t="s">
        <v>10717</v>
      </c>
      <c r="J677" s="36" t="s">
        <v>10718</v>
      </c>
      <c r="K677" s="36" t="s">
        <v>10719</v>
      </c>
      <c r="L677" s="36" t="s">
        <v>10720</v>
      </c>
      <c r="M677" s="36" t="s">
        <v>10721</v>
      </c>
      <c r="N677" s="36" t="s">
        <v>10722</v>
      </c>
      <c r="O677" s="36" t="s">
        <v>10723</v>
      </c>
      <c r="P677" s="36" t="s">
        <v>10724</v>
      </c>
    </row>
    <row r="678" spans="1:16">
      <c r="A678" s="132">
        <v>677</v>
      </c>
      <c r="B678" s="36" t="s">
        <v>10725</v>
      </c>
      <c r="C678" s="36" t="s">
        <v>10726</v>
      </c>
      <c r="D678" s="36" t="s">
        <v>10727</v>
      </c>
      <c r="E678" s="36" t="s">
        <v>10728</v>
      </c>
      <c r="F678" s="36" t="s">
        <v>10729</v>
      </c>
      <c r="G678" s="36" t="s">
        <v>10730</v>
      </c>
      <c r="H678" s="36" t="s">
        <v>10731</v>
      </c>
      <c r="I678" s="36" t="s">
        <v>10732</v>
      </c>
      <c r="J678" s="36" t="s">
        <v>10733</v>
      </c>
      <c r="K678" s="36" t="s">
        <v>10734</v>
      </c>
      <c r="L678" s="36" t="s">
        <v>10735</v>
      </c>
      <c r="M678" s="36" t="s">
        <v>10736</v>
      </c>
      <c r="N678" s="36" t="s">
        <v>10737</v>
      </c>
      <c r="O678" s="36" t="s">
        <v>10738</v>
      </c>
      <c r="P678" s="36" t="s">
        <v>10725</v>
      </c>
    </row>
    <row r="679" spans="1:16">
      <c r="A679" s="132">
        <v>678</v>
      </c>
      <c r="B679" s="36" t="s">
        <v>10739</v>
      </c>
      <c r="C679" s="36" t="s">
        <v>10740</v>
      </c>
      <c r="D679" s="36" t="s">
        <v>10741</v>
      </c>
      <c r="E679" s="36" t="s">
        <v>10742</v>
      </c>
      <c r="F679" s="36" t="s">
        <v>10743</v>
      </c>
      <c r="G679" s="36" t="s">
        <v>10744</v>
      </c>
      <c r="H679" s="36" t="s">
        <v>10745</v>
      </c>
      <c r="I679" s="36" t="s">
        <v>10746</v>
      </c>
      <c r="J679" s="36" t="s">
        <v>10747</v>
      </c>
      <c r="K679" s="36" t="s">
        <v>10748</v>
      </c>
      <c r="L679" s="36" t="s">
        <v>10749</v>
      </c>
      <c r="M679" s="36" t="s">
        <v>10750</v>
      </c>
      <c r="N679" s="36" t="s">
        <v>10751</v>
      </c>
      <c r="O679" s="36" t="s">
        <v>10752</v>
      </c>
      <c r="P679" s="36" t="s">
        <v>10753</v>
      </c>
    </row>
    <row r="680" spans="1:16">
      <c r="A680" s="132">
        <v>679</v>
      </c>
      <c r="B680" s="36" t="s">
        <v>10754</v>
      </c>
      <c r="C680" s="36" t="s">
        <v>10755</v>
      </c>
      <c r="D680" s="36" t="s">
        <v>10756</v>
      </c>
      <c r="E680" s="36" t="s">
        <v>10757</v>
      </c>
      <c r="F680" s="36" t="s">
        <v>10758</v>
      </c>
      <c r="G680" s="36" t="s">
        <v>10759</v>
      </c>
      <c r="H680" s="36" t="s">
        <v>10760</v>
      </c>
      <c r="I680" s="36" t="s">
        <v>10761</v>
      </c>
      <c r="J680" s="36" t="s">
        <v>10762</v>
      </c>
      <c r="K680" s="36" t="s">
        <v>10763</v>
      </c>
      <c r="L680" s="36" t="s">
        <v>10764</v>
      </c>
      <c r="M680" s="36" t="s">
        <v>10765</v>
      </c>
      <c r="N680" s="36" t="s">
        <v>10766</v>
      </c>
      <c r="O680" s="36" t="s">
        <v>10767</v>
      </c>
      <c r="P680" s="36" t="s">
        <v>10768</v>
      </c>
    </row>
    <row r="681" spans="1:16">
      <c r="A681" s="132">
        <v>680</v>
      </c>
      <c r="B681" s="36" t="s">
        <v>10769</v>
      </c>
      <c r="C681" s="36" t="s">
        <v>10770</v>
      </c>
      <c r="D681" s="36" t="s">
        <v>10771</v>
      </c>
      <c r="E681" s="36" t="s">
        <v>10772</v>
      </c>
      <c r="F681" s="36" t="s">
        <v>10773</v>
      </c>
      <c r="G681" s="36" t="s">
        <v>10774</v>
      </c>
      <c r="H681" s="36" t="s">
        <v>10775</v>
      </c>
      <c r="I681" s="36" t="s">
        <v>10776</v>
      </c>
      <c r="J681" s="36" t="s">
        <v>10777</v>
      </c>
      <c r="K681" s="36" t="s">
        <v>10778</v>
      </c>
      <c r="L681" s="36" t="s">
        <v>10779</v>
      </c>
      <c r="M681" s="36" t="s">
        <v>10780</v>
      </c>
      <c r="N681" s="36" t="s">
        <v>10781</v>
      </c>
      <c r="O681" s="36" t="s">
        <v>10782</v>
      </c>
      <c r="P681" s="36" t="s">
        <v>10769</v>
      </c>
    </row>
    <row r="682" spans="1:16">
      <c r="A682" s="132">
        <v>681</v>
      </c>
      <c r="B682" s="36" t="s">
        <v>10783</v>
      </c>
      <c r="C682" s="36" t="s">
        <v>10784</v>
      </c>
      <c r="D682" s="36" t="s">
        <v>10785</v>
      </c>
      <c r="E682" s="36" t="s">
        <v>10786</v>
      </c>
      <c r="F682" s="36" t="s">
        <v>10787</v>
      </c>
      <c r="G682" s="36" t="s">
        <v>10788</v>
      </c>
      <c r="H682" s="36" t="s">
        <v>10789</v>
      </c>
      <c r="I682" s="36" t="s">
        <v>10790</v>
      </c>
      <c r="J682" s="36" t="s">
        <v>10791</v>
      </c>
      <c r="K682" s="36" t="s">
        <v>10792</v>
      </c>
      <c r="L682" s="36" t="s">
        <v>10793</v>
      </c>
      <c r="M682" s="36" t="s">
        <v>10794</v>
      </c>
      <c r="N682" s="36" t="s">
        <v>10795</v>
      </c>
      <c r="O682" s="36" t="s">
        <v>10796</v>
      </c>
      <c r="P682" s="36" t="s">
        <v>10783</v>
      </c>
    </row>
    <row r="683" spans="1:16">
      <c r="A683" s="132">
        <v>682</v>
      </c>
      <c r="B683" s="36" t="s">
        <v>10797</v>
      </c>
      <c r="C683" s="36" t="s">
        <v>4112</v>
      </c>
      <c r="D683" s="36" t="s">
        <v>4113</v>
      </c>
      <c r="E683" s="36" t="s">
        <v>10798</v>
      </c>
      <c r="F683" s="36" t="s">
        <v>10799</v>
      </c>
      <c r="G683" s="36" t="s">
        <v>10800</v>
      </c>
      <c r="H683" s="36" t="s">
        <v>10801</v>
      </c>
      <c r="I683" s="36" t="s">
        <v>10802</v>
      </c>
      <c r="J683" s="36" t="s">
        <v>10803</v>
      </c>
      <c r="K683" s="36" t="s">
        <v>10804</v>
      </c>
      <c r="L683" s="36" t="s">
        <v>10805</v>
      </c>
      <c r="M683" s="36" t="s">
        <v>10806</v>
      </c>
      <c r="N683" s="36" t="s">
        <v>10807</v>
      </c>
      <c r="O683" s="36" t="s">
        <v>10808</v>
      </c>
      <c r="P683" s="36" t="s">
        <v>10797</v>
      </c>
    </row>
    <row r="684" spans="1:16">
      <c r="A684" s="132">
        <v>683</v>
      </c>
      <c r="B684" s="36" t="s">
        <v>10809</v>
      </c>
      <c r="C684" s="36" t="s">
        <v>10810</v>
      </c>
      <c r="D684" s="36" t="s">
        <v>10811</v>
      </c>
      <c r="E684" s="36" t="s">
        <v>10812</v>
      </c>
      <c r="F684" s="36" t="s">
        <v>10813</v>
      </c>
      <c r="G684" s="36" t="s">
        <v>10814</v>
      </c>
      <c r="H684" s="36" t="s">
        <v>10815</v>
      </c>
      <c r="I684" s="36" t="s">
        <v>10816</v>
      </c>
      <c r="J684" s="36" t="s">
        <v>10817</v>
      </c>
      <c r="K684" s="36" t="s">
        <v>10818</v>
      </c>
      <c r="L684" s="36" t="s">
        <v>10819</v>
      </c>
      <c r="M684" s="36" t="s">
        <v>10820</v>
      </c>
      <c r="N684" s="36" t="s">
        <v>10821</v>
      </c>
      <c r="O684" s="36" t="s">
        <v>10818</v>
      </c>
      <c r="P684" s="36" t="s">
        <v>10809</v>
      </c>
    </row>
    <row r="685" spans="1:16">
      <c r="A685" s="132">
        <v>684</v>
      </c>
      <c r="B685" s="36" t="s">
        <v>10822</v>
      </c>
      <c r="C685" s="36" t="s">
        <v>10823</v>
      </c>
      <c r="D685" s="36" t="s">
        <v>10824</v>
      </c>
      <c r="E685" s="36" t="s">
        <v>10825</v>
      </c>
      <c r="F685" s="36" t="s">
        <v>10826</v>
      </c>
      <c r="G685" s="36" t="s">
        <v>10827</v>
      </c>
      <c r="H685" s="36" t="s">
        <v>10828</v>
      </c>
      <c r="I685" s="36" t="s">
        <v>10829</v>
      </c>
      <c r="J685" s="36" t="s">
        <v>10830</v>
      </c>
      <c r="K685" s="36" t="s">
        <v>10831</v>
      </c>
      <c r="L685" s="36" t="s">
        <v>10832</v>
      </c>
      <c r="M685" s="36" t="s">
        <v>10833</v>
      </c>
      <c r="N685" s="36" t="s">
        <v>10834</v>
      </c>
      <c r="O685" s="36" t="s">
        <v>10835</v>
      </c>
      <c r="P685" s="36" t="s">
        <v>10822</v>
      </c>
    </row>
    <row r="686" spans="1:16">
      <c r="A686" s="132">
        <v>685</v>
      </c>
      <c r="B686" s="36" t="s">
        <v>10836</v>
      </c>
      <c r="C686" s="36" t="s">
        <v>10837</v>
      </c>
      <c r="D686" s="36" t="s">
        <v>10838</v>
      </c>
      <c r="E686" s="36" t="s">
        <v>10839</v>
      </c>
      <c r="F686" s="36" t="s">
        <v>10840</v>
      </c>
      <c r="G686" s="36" t="s">
        <v>10841</v>
      </c>
      <c r="H686" s="36" t="s">
        <v>10842</v>
      </c>
      <c r="I686" s="36" t="s">
        <v>10843</v>
      </c>
      <c r="J686" s="36" t="s">
        <v>10844</v>
      </c>
      <c r="K686" s="36" t="s">
        <v>10845</v>
      </c>
      <c r="L686" s="36" t="s">
        <v>10846</v>
      </c>
      <c r="M686" s="36" t="s">
        <v>10847</v>
      </c>
      <c r="N686" s="36" t="s">
        <v>10848</v>
      </c>
      <c r="O686" s="36" t="s">
        <v>10849</v>
      </c>
      <c r="P686" s="36" t="s">
        <v>10836</v>
      </c>
    </row>
    <row r="687" spans="1:16">
      <c r="A687" s="132">
        <v>686</v>
      </c>
      <c r="B687" s="36" t="s">
        <v>10850</v>
      </c>
      <c r="C687" s="36" t="s">
        <v>10851</v>
      </c>
      <c r="D687" s="36" t="s">
        <v>10852</v>
      </c>
      <c r="E687" s="36" t="s">
        <v>10853</v>
      </c>
      <c r="F687" s="36" t="s">
        <v>7847</v>
      </c>
      <c r="G687" s="36" t="s">
        <v>10854</v>
      </c>
      <c r="H687" s="36" t="s">
        <v>10855</v>
      </c>
      <c r="I687" s="36" t="s">
        <v>10856</v>
      </c>
      <c r="J687" s="36" t="s">
        <v>10857</v>
      </c>
      <c r="K687" s="36" t="s">
        <v>10858</v>
      </c>
      <c r="L687" s="36" t="s">
        <v>10859</v>
      </c>
      <c r="M687" s="36" t="s">
        <v>10860</v>
      </c>
      <c r="N687" s="36" t="s">
        <v>10861</v>
      </c>
      <c r="O687" s="36" t="s">
        <v>10862</v>
      </c>
      <c r="P687" s="36" t="s">
        <v>10850</v>
      </c>
    </row>
    <row r="688" spans="1:16">
      <c r="A688" s="132">
        <v>687</v>
      </c>
      <c r="B688" s="36" t="s">
        <v>10863</v>
      </c>
      <c r="C688" s="36" t="s">
        <v>10864</v>
      </c>
      <c r="D688" s="36" t="s">
        <v>10865</v>
      </c>
      <c r="E688" s="36" t="s">
        <v>10866</v>
      </c>
      <c r="F688" s="36" t="s">
        <v>10867</v>
      </c>
      <c r="G688" s="36" t="s">
        <v>10868</v>
      </c>
      <c r="H688" s="36" t="s">
        <v>10869</v>
      </c>
      <c r="I688" s="36" t="s">
        <v>10870</v>
      </c>
      <c r="J688" s="36" t="s">
        <v>10871</v>
      </c>
      <c r="K688" s="36" t="s">
        <v>10872</v>
      </c>
      <c r="L688" s="36" t="s">
        <v>10873</v>
      </c>
      <c r="M688" s="36" t="s">
        <v>10874</v>
      </c>
      <c r="N688" s="36" t="s">
        <v>10875</v>
      </c>
      <c r="O688" s="36" t="s">
        <v>10876</v>
      </c>
      <c r="P688" s="36" t="s">
        <v>10863</v>
      </c>
    </row>
    <row r="689" spans="1:16">
      <c r="A689" s="132">
        <v>688</v>
      </c>
      <c r="B689" s="36" t="s">
        <v>10877</v>
      </c>
      <c r="C689" s="36" t="s">
        <v>10878</v>
      </c>
      <c r="D689" s="36" t="s">
        <v>10879</v>
      </c>
      <c r="E689" s="36" t="s">
        <v>10880</v>
      </c>
      <c r="F689" s="36" t="s">
        <v>10881</v>
      </c>
      <c r="G689" s="36" t="s">
        <v>10882</v>
      </c>
      <c r="H689" s="36" t="s">
        <v>10883</v>
      </c>
      <c r="I689" s="36" t="s">
        <v>10884</v>
      </c>
      <c r="J689" s="36" t="s">
        <v>10885</v>
      </c>
      <c r="K689" s="36" t="s">
        <v>10886</v>
      </c>
      <c r="L689" s="36" t="s">
        <v>10887</v>
      </c>
      <c r="M689" s="36" t="s">
        <v>10888</v>
      </c>
      <c r="N689" s="36" t="s">
        <v>10889</v>
      </c>
      <c r="O689" s="36" t="s">
        <v>10890</v>
      </c>
      <c r="P689" s="36" t="s">
        <v>10877</v>
      </c>
    </row>
    <row r="690" spans="1:16">
      <c r="A690" s="132">
        <v>689</v>
      </c>
      <c r="B690" s="36" t="s">
        <v>10891</v>
      </c>
      <c r="C690" s="36" t="s">
        <v>10892</v>
      </c>
      <c r="D690" s="36" t="s">
        <v>10893</v>
      </c>
      <c r="E690" s="36" t="s">
        <v>10894</v>
      </c>
      <c r="F690" s="36" t="s">
        <v>10895</v>
      </c>
      <c r="G690" s="36" t="s">
        <v>10896</v>
      </c>
      <c r="H690" s="36" t="s">
        <v>10897</v>
      </c>
      <c r="I690" s="36" t="s">
        <v>10898</v>
      </c>
      <c r="J690" s="36" t="s">
        <v>10899</v>
      </c>
      <c r="K690" s="36" t="s">
        <v>10900</v>
      </c>
      <c r="L690" s="36" t="s">
        <v>10901</v>
      </c>
      <c r="M690" s="36" t="s">
        <v>10902</v>
      </c>
      <c r="N690" s="36" t="s">
        <v>10903</v>
      </c>
      <c r="O690" s="36" t="s">
        <v>10904</v>
      </c>
      <c r="P690" s="36" t="s">
        <v>10891</v>
      </c>
    </row>
    <row r="691" spans="1:16">
      <c r="A691" s="132">
        <v>690</v>
      </c>
      <c r="B691" s="36" t="s">
        <v>10905</v>
      </c>
      <c r="C691" s="36" t="s">
        <v>10906</v>
      </c>
      <c r="D691" s="36" t="s">
        <v>10907</v>
      </c>
      <c r="E691" s="36" t="s">
        <v>10908</v>
      </c>
      <c r="F691" s="36" t="s">
        <v>10909</v>
      </c>
      <c r="G691" s="36" t="s">
        <v>10910</v>
      </c>
      <c r="H691" s="36" t="s">
        <v>10911</v>
      </c>
      <c r="I691" s="36" t="s">
        <v>10912</v>
      </c>
      <c r="J691" s="36" t="s">
        <v>10913</v>
      </c>
      <c r="K691" s="36" t="s">
        <v>10914</v>
      </c>
      <c r="L691" s="36" t="s">
        <v>10915</v>
      </c>
      <c r="M691" s="36" t="s">
        <v>10916</v>
      </c>
      <c r="N691" s="36" t="s">
        <v>10917</v>
      </c>
      <c r="O691" s="36" t="s">
        <v>10918</v>
      </c>
      <c r="P691" s="36" t="s">
        <v>10905</v>
      </c>
    </row>
    <row r="692" spans="1:16">
      <c r="A692" s="132">
        <v>691</v>
      </c>
      <c r="B692" s="36" t="s">
        <v>10919</v>
      </c>
      <c r="C692" s="36" t="s">
        <v>10920</v>
      </c>
      <c r="D692" s="36" t="s">
        <v>10921</v>
      </c>
      <c r="E692" s="36" t="s">
        <v>10922</v>
      </c>
      <c r="F692" s="36" t="s">
        <v>10923</v>
      </c>
      <c r="G692" s="36" t="s">
        <v>10924</v>
      </c>
      <c r="H692" s="36" t="s">
        <v>10925</v>
      </c>
      <c r="I692" s="36" t="s">
        <v>10926</v>
      </c>
      <c r="J692" s="36" t="s">
        <v>10927</v>
      </c>
      <c r="K692" s="36" t="s">
        <v>10928</v>
      </c>
      <c r="L692" s="36" t="s">
        <v>10929</v>
      </c>
      <c r="M692" s="36" t="s">
        <v>10930</v>
      </c>
      <c r="N692" s="36" t="s">
        <v>10931</v>
      </c>
      <c r="O692" s="36" t="s">
        <v>10932</v>
      </c>
      <c r="P692" s="36" t="s">
        <v>10933</v>
      </c>
    </row>
    <row r="693" spans="1:16">
      <c r="A693" s="132">
        <v>692</v>
      </c>
      <c r="B693" s="36" t="s">
        <v>10934</v>
      </c>
      <c r="C693" s="36" t="s">
        <v>10935</v>
      </c>
      <c r="D693" s="36" t="s">
        <v>10936</v>
      </c>
      <c r="E693" s="36" t="s">
        <v>10937</v>
      </c>
      <c r="F693" s="36" t="s">
        <v>10938</v>
      </c>
      <c r="G693" s="36" t="s">
        <v>10939</v>
      </c>
      <c r="H693" s="36" t="s">
        <v>10940</v>
      </c>
      <c r="I693" s="36" t="s">
        <v>10941</v>
      </c>
      <c r="J693" s="36" t="s">
        <v>10942</v>
      </c>
      <c r="K693" s="36" t="s">
        <v>10943</v>
      </c>
      <c r="L693" s="36" t="s">
        <v>10944</v>
      </c>
      <c r="M693" s="36" t="s">
        <v>10945</v>
      </c>
      <c r="N693" s="36" t="s">
        <v>10946</v>
      </c>
      <c r="O693" s="36" t="s">
        <v>10947</v>
      </c>
      <c r="P693" s="36" t="s">
        <v>10934</v>
      </c>
    </row>
    <row r="694" spans="1:16">
      <c r="A694" s="132">
        <v>693</v>
      </c>
      <c r="B694" s="36" t="s">
        <v>10948</v>
      </c>
      <c r="C694" s="36" t="s">
        <v>10949</v>
      </c>
      <c r="D694" s="36" t="s">
        <v>10950</v>
      </c>
      <c r="E694" s="36" t="s">
        <v>10937</v>
      </c>
      <c r="F694" s="36" t="s">
        <v>10938</v>
      </c>
      <c r="G694" s="36" t="s">
        <v>10951</v>
      </c>
      <c r="H694" s="36" t="s">
        <v>10952</v>
      </c>
      <c r="I694" s="36" t="s">
        <v>10953</v>
      </c>
      <c r="J694" s="36" t="s">
        <v>10954</v>
      </c>
      <c r="K694" s="36" t="s">
        <v>10943</v>
      </c>
      <c r="L694" s="36" t="s">
        <v>10955</v>
      </c>
      <c r="M694" s="36" t="s">
        <v>10956</v>
      </c>
      <c r="N694" s="36" t="s">
        <v>10957</v>
      </c>
      <c r="O694" s="36" t="s">
        <v>10958</v>
      </c>
      <c r="P694" s="36" t="s">
        <v>10948</v>
      </c>
    </row>
    <row r="695" spans="1:16">
      <c r="A695" s="132">
        <v>694</v>
      </c>
      <c r="B695" s="36" t="s">
        <v>10959</v>
      </c>
      <c r="C695" s="36" t="s">
        <v>10960</v>
      </c>
      <c r="D695" s="36" t="s">
        <v>10961</v>
      </c>
      <c r="E695" s="36" t="s">
        <v>10962</v>
      </c>
      <c r="F695" s="36" t="s">
        <v>10963</v>
      </c>
      <c r="G695" s="36" t="s">
        <v>10964</v>
      </c>
      <c r="H695" s="36" t="s">
        <v>10965</v>
      </c>
      <c r="I695" s="36" t="s">
        <v>10966</v>
      </c>
      <c r="J695" s="36" t="s">
        <v>10967</v>
      </c>
      <c r="K695" s="36" t="s">
        <v>10968</v>
      </c>
      <c r="L695" s="36" t="s">
        <v>10969</v>
      </c>
      <c r="M695" s="36" t="s">
        <v>10970</v>
      </c>
      <c r="N695" s="36" t="s">
        <v>10971</v>
      </c>
      <c r="O695" s="36" t="s">
        <v>10972</v>
      </c>
      <c r="P695" s="36" t="s">
        <v>10959</v>
      </c>
    </row>
    <row r="696" spans="1:16">
      <c r="A696" s="132">
        <v>695</v>
      </c>
      <c r="B696" s="36" t="s">
        <v>10973</v>
      </c>
      <c r="C696" s="36" t="s">
        <v>10974</v>
      </c>
      <c r="D696" s="36" t="s">
        <v>10975</v>
      </c>
      <c r="E696" s="36" t="s">
        <v>10976</v>
      </c>
      <c r="F696" s="36" t="s">
        <v>10977</v>
      </c>
      <c r="G696" s="36" t="s">
        <v>10978</v>
      </c>
      <c r="H696" s="36" t="s">
        <v>10979</v>
      </c>
      <c r="I696" s="36" t="s">
        <v>10980</v>
      </c>
      <c r="J696" s="36" t="s">
        <v>10981</v>
      </c>
      <c r="K696" s="36" t="s">
        <v>10982</v>
      </c>
      <c r="L696" s="36" t="s">
        <v>10983</v>
      </c>
      <c r="M696" s="36" t="s">
        <v>10984</v>
      </c>
      <c r="N696" s="36" t="s">
        <v>10985</v>
      </c>
      <c r="O696" s="36" t="s">
        <v>10986</v>
      </c>
      <c r="P696" s="36" t="s">
        <v>10973</v>
      </c>
    </row>
    <row r="697" spans="1:16">
      <c r="A697" s="132">
        <v>696</v>
      </c>
      <c r="B697" s="36" t="s">
        <v>10987</v>
      </c>
      <c r="C697" s="36" t="s">
        <v>10988</v>
      </c>
      <c r="D697" s="36" t="s">
        <v>10989</v>
      </c>
      <c r="E697" s="36" t="s">
        <v>10990</v>
      </c>
      <c r="F697" s="36" t="s">
        <v>10991</v>
      </c>
      <c r="G697" s="36" t="s">
        <v>10992</v>
      </c>
      <c r="H697" s="36" t="s">
        <v>10993</v>
      </c>
      <c r="I697" s="36" t="s">
        <v>10994</v>
      </c>
      <c r="J697" s="36" t="s">
        <v>10995</v>
      </c>
      <c r="K697" s="36" t="s">
        <v>10996</v>
      </c>
      <c r="L697" s="36" t="s">
        <v>10997</v>
      </c>
      <c r="M697" s="36" t="s">
        <v>10998</v>
      </c>
      <c r="N697" s="36" t="s">
        <v>10999</v>
      </c>
      <c r="O697" s="36" t="s">
        <v>11000</v>
      </c>
      <c r="P697" s="36" t="s">
        <v>10987</v>
      </c>
    </row>
    <row r="698" spans="1:16">
      <c r="A698" s="132">
        <v>697</v>
      </c>
      <c r="B698" s="36" t="s">
        <v>11001</v>
      </c>
      <c r="C698" s="36" t="s">
        <v>11002</v>
      </c>
      <c r="D698" s="36" t="s">
        <v>11003</v>
      </c>
      <c r="E698" s="36" t="s">
        <v>8785</v>
      </c>
      <c r="F698" s="36" t="s">
        <v>8786</v>
      </c>
      <c r="G698" s="36" t="s">
        <v>11004</v>
      </c>
      <c r="H698" s="36" t="s">
        <v>11005</v>
      </c>
      <c r="I698" s="36" t="s">
        <v>11006</v>
      </c>
      <c r="J698" s="36" t="s">
        <v>11007</v>
      </c>
      <c r="K698" s="36" t="s">
        <v>11008</v>
      </c>
      <c r="L698" s="36" t="s">
        <v>11009</v>
      </c>
      <c r="M698" s="36" t="s">
        <v>11010</v>
      </c>
      <c r="N698" s="36" t="s">
        <v>11011</v>
      </c>
      <c r="O698" s="36" t="s">
        <v>11012</v>
      </c>
      <c r="P698" s="36" t="s">
        <v>11001</v>
      </c>
    </row>
    <row r="699" spans="1:16">
      <c r="A699" s="132">
        <v>698</v>
      </c>
      <c r="B699" s="36" t="s">
        <v>11013</v>
      </c>
      <c r="C699" s="36" t="s">
        <v>11014</v>
      </c>
      <c r="D699" s="36" t="s">
        <v>11015</v>
      </c>
      <c r="E699" s="36" t="s">
        <v>11016</v>
      </c>
      <c r="F699" s="36" t="s">
        <v>11017</v>
      </c>
      <c r="G699" s="36" t="s">
        <v>11018</v>
      </c>
      <c r="H699" s="36" t="s">
        <v>11019</v>
      </c>
      <c r="I699" s="36" t="s">
        <v>11020</v>
      </c>
      <c r="J699" s="36" t="s">
        <v>11021</v>
      </c>
      <c r="K699" s="36" t="s">
        <v>11022</v>
      </c>
      <c r="L699" s="36" t="s">
        <v>11023</v>
      </c>
      <c r="M699" s="36" t="s">
        <v>11024</v>
      </c>
      <c r="N699" s="36" t="s">
        <v>11025</v>
      </c>
      <c r="O699" s="36" t="s">
        <v>11026</v>
      </c>
      <c r="P699" s="36" t="s">
        <v>11013</v>
      </c>
    </row>
    <row r="700" spans="1:16">
      <c r="A700" s="132">
        <v>699</v>
      </c>
      <c r="B700" s="36" t="s">
        <v>11027</v>
      </c>
      <c r="C700" s="36" t="s">
        <v>11028</v>
      </c>
      <c r="D700" s="36" t="s">
        <v>11029</v>
      </c>
      <c r="E700" s="36" t="s">
        <v>11030</v>
      </c>
      <c r="F700" s="36" t="s">
        <v>11031</v>
      </c>
      <c r="G700" s="36" t="s">
        <v>11032</v>
      </c>
      <c r="H700" s="36" t="s">
        <v>11033</v>
      </c>
      <c r="I700" s="36" t="s">
        <v>11034</v>
      </c>
      <c r="J700" s="36" t="s">
        <v>11035</v>
      </c>
      <c r="K700" s="36" t="s">
        <v>11036</v>
      </c>
      <c r="L700" s="36" t="s">
        <v>11037</v>
      </c>
      <c r="M700" s="36" t="s">
        <v>11038</v>
      </c>
      <c r="N700" s="36" t="s">
        <v>11039</v>
      </c>
      <c r="O700" s="36" t="s">
        <v>11040</v>
      </c>
      <c r="P700" s="36" t="s">
        <v>11041</v>
      </c>
    </row>
    <row r="701" spans="1:16">
      <c r="A701" s="132">
        <v>700</v>
      </c>
      <c r="B701" s="36" t="s">
        <v>11042</v>
      </c>
      <c r="C701" s="36" t="s">
        <v>11043</v>
      </c>
      <c r="D701" s="36" t="s">
        <v>11044</v>
      </c>
      <c r="E701" s="36" t="s">
        <v>11045</v>
      </c>
      <c r="F701" s="36" t="s">
        <v>11046</v>
      </c>
      <c r="G701" s="36" t="s">
        <v>11047</v>
      </c>
      <c r="H701" s="36" t="s">
        <v>11048</v>
      </c>
      <c r="I701" s="36" t="s">
        <v>11049</v>
      </c>
      <c r="J701" s="36" t="s">
        <v>11050</v>
      </c>
      <c r="K701" s="36" t="s">
        <v>11051</v>
      </c>
      <c r="L701" s="36" t="s">
        <v>11052</v>
      </c>
      <c r="M701" s="36" t="s">
        <v>11053</v>
      </c>
      <c r="N701" s="36" t="s">
        <v>11054</v>
      </c>
      <c r="O701" s="36" t="s">
        <v>11055</v>
      </c>
      <c r="P701" s="36" t="s">
        <v>11042</v>
      </c>
    </row>
    <row r="702" spans="1:16" ht="13.95" customHeight="1">
      <c r="A702" s="132">
        <v>701</v>
      </c>
      <c r="B702" s="36" t="s">
        <v>11056</v>
      </c>
      <c r="C702" s="36" t="s">
        <v>11057</v>
      </c>
      <c r="D702" s="36" t="s">
        <v>11058</v>
      </c>
      <c r="E702" s="36" t="s">
        <v>11059</v>
      </c>
      <c r="F702" s="36" t="s">
        <v>11060</v>
      </c>
      <c r="G702" s="36" t="s">
        <v>11061</v>
      </c>
      <c r="H702" s="36" t="s">
        <v>11062</v>
      </c>
      <c r="I702" s="36" t="s">
        <v>11063</v>
      </c>
      <c r="J702" s="36" t="s">
        <v>11064</v>
      </c>
      <c r="K702" s="36" t="s">
        <v>11065</v>
      </c>
      <c r="L702" s="36" t="s">
        <v>11066</v>
      </c>
      <c r="M702" s="36" t="s">
        <v>11067</v>
      </c>
      <c r="N702" s="36" t="s">
        <v>11068</v>
      </c>
      <c r="O702" s="36" t="s">
        <v>11069</v>
      </c>
      <c r="P702" s="36" t="s">
        <v>11056</v>
      </c>
    </row>
    <row r="703" spans="1:16" ht="13.95" customHeight="1">
      <c r="A703" s="132">
        <v>702</v>
      </c>
      <c r="B703" s="36" t="s">
        <v>11070</v>
      </c>
      <c r="C703" s="36" t="s">
        <v>11071</v>
      </c>
      <c r="D703" s="36" t="s">
        <v>11072</v>
      </c>
      <c r="E703" s="36" t="s">
        <v>11073</v>
      </c>
      <c r="F703" s="36" t="s">
        <v>11074</v>
      </c>
      <c r="G703" s="36" t="s">
        <v>11075</v>
      </c>
      <c r="H703" s="36" t="s">
        <v>11076</v>
      </c>
      <c r="I703" s="36" t="s">
        <v>11077</v>
      </c>
      <c r="J703" s="36" t="s">
        <v>11078</v>
      </c>
      <c r="K703" s="36" t="s">
        <v>11079</v>
      </c>
      <c r="L703" s="36" t="s">
        <v>11080</v>
      </c>
      <c r="M703" s="36" t="s">
        <v>11081</v>
      </c>
      <c r="N703" s="36" t="s">
        <v>11082</v>
      </c>
      <c r="O703" s="36" t="s">
        <v>11083</v>
      </c>
      <c r="P703" s="36" t="s">
        <v>11070</v>
      </c>
    </row>
    <row r="704" spans="1:16" ht="13.95" customHeight="1">
      <c r="A704" s="132">
        <v>703</v>
      </c>
      <c r="B704" s="36" t="s">
        <v>11084</v>
      </c>
      <c r="C704" s="36" t="s">
        <v>11085</v>
      </c>
      <c r="D704" s="36" t="s">
        <v>11086</v>
      </c>
      <c r="E704" s="36" t="s">
        <v>11087</v>
      </c>
      <c r="F704" s="36" t="s">
        <v>11088</v>
      </c>
      <c r="G704" s="36" t="s">
        <v>11089</v>
      </c>
      <c r="H704" s="36" t="s">
        <v>11090</v>
      </c>
      <c r="I704" s="36" t="s">
        <v>11091</v>
      </c>
      <c r="J704" s="36" t="s">
        <v>11084</v>
      </c>
      <c r="K704" s="36" t="s">
        <v>11092</v>
      </c>
      <c r="L704" s="36" t="s">
        <v>11093</v>
      </c>
      <c r="M704" s="36" t="s">
        <v>11084</v>
      </c>
      <c r="N704" s="36" t="s">
        <v>11094</v>
      </c>
      <c r="O704" s="36" t="s">
        <v>11095</v>
      </c>
      <c r="P704" s="36" t="s">
        <v>11084</v>
      </c>
    </row>
    <row r="705" spans="1:16">
      <c r="A705" s="132">
        <v>704</v>
      </c>
      <c r="B705" s="36" t="s">
        <v>11096</v>
      </c>
      <c r="C705" s="36" t="s">
        <v>11097</v>
      </c>
      <c r="D705" s="36" t="s">
        <v>11098</v>
      </c>
      <c r="E705" s="36" t="s">
        <v>11099</v>
      </c>
      <c r="F705" s="36" t="s">
        <v>11100</v>
      </c>
      <c r="G705" s="36" t="s">
        <v>11101</v>
      </c>
      <c r="H705" s="36" t="s">
        <v>11102</v>
      </c>
      <c r="I705" s="36" t="s">
        <v>11103</v>
      </c>
      <c r="J705" s="36" t="s">
        <v>11104</v>
      </c>
      <c r="K705" s="36" t="s">
        <v>11105</v>
      </c>
      <c r="L705" s="36" t="s">
        <v>11106</v>
      </c>
      <c r="M705" s="36" t="s">
        <v>11107</v>
      </c>
      <c r="N705" s="36" t="s">
        <v>11108</v>
      </c>
      <c r="O705" s="36" t="s">
        <v>11109</v>
      </c>
      <c r="P705" s="36" t="s">
        <v>11096</v>
      </c>
    </row>
    <row r="706" spans="1:16">
      <c r="A706" s="132">
        <v>705</v>
      </c>
      <c r="B706" s="36" t="s">
        <v>11110</v>
      </c>
      <c r="C706" s="36" t="s">
        <v>11111</v>
      </c>
      <c r="D706" s="36" t="s">
        <v>11112</v>
      </c>
      <c r="E706" s="36" t="s">
        <v>11113</v>
      </c>
      <c r="F706" s="36" t="s">
        <v>11110</v>
      </c>
      <c r="G706" s="36" t="s">
        <v>11114</v>
      </c>
      <c r="H706" s="36" t="s">
        <v>11115</v>
      </c>
      <c r="I706" s="36" t="s">
        <v>11116</v>
      </c>
      <c r="J706" s="36" t="s">
        <v>11117</v>
      </c>
      <c r="K706" s="36" t="s">
        <v>11118</v>
      </c>
      <c r="L706" s="36" t="s">
        <v>11119</v>
      </c>
      <c r="M706" s="36" t="s">
        <v>11120</v>
      </c>
      <c r="N706" s="36" t="s">
        <v>11120</v>
      </c>
      <c r="O706" s="36" t="s">
        <v>11121</v>
      </c>
      <c r="P706" s="36" t="s">
        <v>11110</v>
      </c>
    </row>
    <row r="707" spans="1:16">
      <c r="A707" s="132">
        <v>706</v>
      </c>
      <c r="B707" s="36" t="s">
        <v>11122</v>
      </c>
      <c r="C707" s="36" t="s">
        <v>11123</v>
      </c>
      <c r="D707" s="36" t="s">
        <v>11124</v>
      </c>
      <c r="E707" s="36" t="s">
        <v>11125</v>
      </c>
      <c r="F707" s="36" t="s">
        <v>11126</v>
      </c>
      <c r="G707" s="36" t="s">
        <v>11127</v>
      </c>
      <c r="H707" s="36" t="s">
        <v>11128</v>
      </c>
      <c r="I707" s="36" t="s">
        <v>11129</v>
      </c>
      <c r="J707" s="36" t="s">
        <v>11130</v>
      </c>
      <c r="K707" s="36" t="s">
        <v>11131</v>
      </c>
      <c r="L707" s="36" t="s">
        <v>11132</v>
      </c>
      <c r="M707" s="36" t="s">
        <v>11133</v>
      </c>
      <c r="N707" s="36" t="s">
        <v>11134</v>
      </c>
      <c r="O707" s="36" t="s">
        <v>11135</v>
      </c>
      <c r="P707" s="36" t="s">
        <v>11122</v>
      </c>
    </row>
    <row r="708" spans="1:16" ht="13.95" customHeight="1">
      <c r="A708" s="132">
        <v>707</v>
      </c>
      <c r="B708" s="36" t="s">
        <v>11136</v>
      </c>
      <c r="C708" s="36" t="s">
        <v>11137</v>
      </c>
      <c r="D708" s="36" t="s">
        <v>11138</v>
      </c>
      <c r="E708" s="36" t="s">
        <v>11139</v>
      </c>
      <c r="F708" s="36" t="s">
        <v>11140</v>
      </c>
      <c r="G708" s="36" t="s">
        <v>11141</v>
      </c>
      <c r="H708" s="36" t="s">
        <v>11142</v>
      </c>
      <c r="I708" s="36" t="s">
        <v>11143</v>
      </c>
      <c r="J708" s="36" t="s">
        <v>11144</v>
      </c>
      <c r="K708" s="36" t="s">
        <v>11145</v>
      </c>
      <c r="L708" s="36" t="s">
        <v>11146</v>
      </c>
      <c r="M708" s="36" t="s">
        <v>11147</v>
      </c>
      <c r="N708" s="36" t="s">
        <v>11148</v>
      </c>
      <c r="O708" s="36" t="s">
        <v>11149</v>
      </c>
      <c r="P708" s="36" t="s">
        <v>11136</v>
      </c>
    </row>
    <row r="709" spans="1:16" ht="13.95" customHeight="1">
      <c r="A709" s="132">
        <v>708</v>
      </c>
      <c r="B709" s="36" t="s">
        <v>11150</v>
      </c>
      <c r="C709" s="36" t="s">
        <v>11151</v>
      </c>
      <c r="D709" s="36" t="s">
        <v>11152</v>
      </c>
      <c r="E709" s="36" t="s">
        <v>11153</v>
      </c>
      <c r="F709" s="36" t="s">
        <v>11154</v>
      </c>
      <c r="G709" s="36" t="s">
        <v>11155</v>
      </c>
      <c r="H709" s="36" t="s">
        <v>11156</v>
      </c>
      <c r="I709" s="36" t="s">
        <v>11157</v>
      </c>
      <c r="J709" s="36" t="s">
        <v>11158</v>
      </c>
      <c r="K709" s="36" t="s">
        <v>11159</v>
      </c>
      <c r="L709" s="36" t="s">
        <v>11160</v>
      </c>
      <c r="M709" s="36" t="s">
        <v>11161</v>
      </c>
      <c r="N709" s="36" t="s">
        <v>11162</v>
      </c>
      <c r="O709" s="36" t="s">
        <v>11163</v>
      </c>
      <c r="P709" s="36" t="s">
        <v>11150</v>
      </c>
    </row>
    <row r="710" spans="1:16">
      <c r="A710" s="132">
        <v>709</v>
      </c>
      <c r="B710" s="36" t="s">
        <v>11164</v>
      </c>
      <c r="C710" s="36" t="s">
        <v>11165</v>
      </c>
      <c r="D710" s="36" t="s">
        <v>11166</v>
      </c>
      <c r="E710" s="36" t="s">
        <v>11167</v>
      </c>
      <c r="F710" s="36" t="s">
        <v>11168</v>
      </c>
      <c r="G710" s="36" t="s">
        <v>11169</v>
      </c>
      <c r="H710" s="36" t="s">
        <v>11170</v>
      </c>
      <c r="I710" s="36" t="s">
        <v>11171</v>
      </c>
      <c r="J710" s="36" t="s">
        <v>11172</v>
      </c>
      <c r="K710" s="36" t="s">
        <v>11173</v>
      </c>
      <c r="L710" s="36" t="s">
        <v>11174</v>
      </c>
      <c r="M710" s="36" t="s">
        <v>11175</v>
      </c>
      <c r="N710" s="36" t="s">
        <v>11176</v>
      </c>
      <c r="O710" s="36" t="s">
        <v>11177</v>
      </c>
      <c r="P710" s="36" t="s">
        <v>11164</v>
      </c>
    </row>
    <row r="711" spans="1:16">
      <c r="A711" s="132">
        <v>710</v>
      </c>
      <c r="B711" s="36" t="s">
        <v>11178</v>
      </c>
      <c r="C711" s="36" t="s">
        <v>11179</v>
      </c>
      <c r="D711" s="36" t="s">
        <v>11180</v>
      </c>
      <c r="E711" s="36" t="s">
        <v>11181</v>
      </c>
      <c r="F711" s="36" t="s">
        <v>11182</v>
      </c>
      <c r="G711" s="36" t="s">
        <v>8745</v>
      </c>
      <c r="H711" s="36" t="s">
        <v>11183</v>
      </c>
      <c r="I711" s="36" t="s">
        <v>11184</v>
      </c>
      <c r="J711" s="36" t="s">
        <v>11185</v>
      </c>
      <c r="K711" s="36" t="s">
        <v>11186</v>
      </c>
      <c r="L711" s="36" t="s">
        <v>11187</v>
      </c>
      <c r="M711" s="36" t="s">
        <v>11188</v>
      </c>
      <c r="N711" s="36" t="s">
        <v>11189</v>
      </c>
      <c r="O711" s="36" t="s">
        <v>11190</v>
      </c>
      <c r="P711" s="36" t="s">
        <v>11178</v>
      </c>
    </row>
    <row r="712" spans="1:16">
      <c r="A712" s="132">
        <v>711</v>
      </c>
      <c r="B712" s="36" t="s">
        <v>2313</v>
      </c>
      <c r="C712" s="36" t="s">
        <v>11191</v>
      </c>
      <c r="D712" s="36" t="s">
        <v>11192</v>
      </c>
      <c r="E712" s="36" t="s">
        <v>11193</v>
      </c>
      <c r="F712" s="36" t="s">
        <v>11194</v>
      </c>
      <c r="G712" s="36" t="s">
        <v>11195</v>
      </c>
      <c r="H712" s="36" t="s">
        <v>11196</v>
      </c>
      <c r="I712" s="36" t="s">
        <v>11197</v>
      </c>
      <c r="J712" s="36" t="s">
        <v>11198</v>
      </c>
      <c r="K712" s="36" t="s">
        <v>11199</v>
      </c>
      <c r="L712" s="36" t="s">
        <v>11200</v>
      </c>
      <c r="M712" s="36" t="s">
        <v>11201</v>
      </c>
      <c r="N712" s="36" t="s">
        <v>11202</v>
      </c>
      <c r="O712" s="36" t="s">
        <v>11203</v>
      </c>
      <c r="P712" s="36" t="s">
        <v>2313</v>
      </c>
    </row>
    <row r="713" spans="1:16">
      <c r="A713" s="132">
        <v>712</v>
      </c>
      <c r="B713" s="36" t="s">
        <v>11204</v>
      </c>
      <c r="C713" s="36" t="s">
        <v>11205</v>
      </c>
      <c r="D713" s="36" t="s">
        <v>11206</v>
      </c>
      <c r="E713" s="36" t="s">
        <v>11207</v>
      </c>
      <c r="F713" s="36" t="s">
        <v>11208</v>
      </c>
      <c r="G713" s="36" t="s">
        <v>11209</v>
      </c>
      <c r="H713" s="36" t="s">
        <v>11210</v>
      </c>
      <c r="I713" s="36" t="s">
        <v>11211</v>
      </c>
      <c r="J713" s="36" t="s">
        <v>11212</v>
      </c>
      <c r="K713" s="36" t="s">
        <v>11213</v>
      </c>
      <c r="L713" s="36" t="s">
        <v>11214</v>
      </c>
      <c r="M713" s="36" t="s">
        <v>11215</v>
      </c>
      <c r="N713" s="36" t="s">
        <v>11216</v>
      </c>
      <c r="O713" s="36" t="s">
        <v>11217</v>
      </c>
      <c r="P713" s="36" t="s">
        <v>11204</v>
      </c>
    </row>
    <row r="714" spans="1:16">
      <c r="A714" s="132">
        <v>713</v>
      </c>
      <c r="B714" s="36" t="s">
        <v>11218</v>
      </c>
      <c r="C714" s="36" t="s">
        <v>11219</v>
      </c>
      <c r="D714" s="36" t="s">
        <v>11220</v>
      </c>
      <c r="E714" s="36" t="s">
        <v>11221</v>
      </c>
      <c r="F714" s="36" t="s">
        <v>11222</v>
      </c>
      <c r="G714" s="36" t="s">
        <v>11223</v>
      </c>
      <c r="H714" s="36" t="s">
        <v>11224</v>
      </c>
      <c r="I714" s="36" t="s">
        <v>11225</v>
      </c>
      <c r="J714" s="36" t="s">
        <v>11226</v>
      </c>
      <c r="K714" s="36" t="s">
        <v>11227</v>
      </c>
      <c r="L714" s="36" t="s">
        <v>11228</v>
      </c>
      <c r="M714" s="36" t="s">
        <v>11229</v>
      </c>
      <c r="N714" s="36" t="s">
        <v>11230</v>
      </c>
      <c r="O714" s="36" t="s">
        <v>11231</v>
      </c>
      <c r="P714" s="36" t="s">
        <v>11218</v>
      </c>
    </row>
    <row r="715" spans="1:16">
      <c r="A715" s="132">
        <v>714</v>
      </c>
      <c r="B715" s="36" t="s">
        <v>11232</v>
      </c>
      <c r="C715" s="36" t="s">
        <v>11205</v>
      </c>
      <c r="D715" s="36" t="s">
        <v>11233</v>
      </c>
      <c r="E715" s="36" t="s">
        <v>11234</v>
      </c>
      <c r="F715" s="36" t="s">
        <v>11235</v>
      </c>
      <c r="G715" s="36" t="s">
        <v>11236</v>
      </c>
      <c r="H715" s="36" t="s">
        <v>11237</v>
      </c>
      <c r="I715" s="36" t="s">
        <v>11238</v>
      </c>
      <c r="J715" s="36" t="s">
        <v>11239</v>
      </c>
      <c r="K715" s="36" t="s">
        <v>11240</v>
      </c>
      <c r="L715" s="36" t="s">
        <v>11241</v>
      </c>
      <c r="M715" s="36" t="s">
        <v>11242</v>
      </c>
      <c r="N715" s="36" t="s">
        <v>11243</v>
      </c>
      <c r="O715" s="36" t="s">
        <v>11244</v>
      </c>
      <c r="P715" s="36" t="s">
        <v>11232</v>
      </c>
    </row>
    <row r="716" spans="1:16">
      <c r="A716" s="132">
        <v>715</v>
      </c>
      <c r="B716" s="36" t="s">
        <v>11245</v>
      </c>
      <c r="C716" s="36" t="s">
        <v>11246</v>
      </c>
      <c r="D716" s="36" t="s">
        <v>11247</v>
      </c>
      <c r="E716" s="36" t="s">
        <v>11248</v>
      </c>
      <c r="F716" s="36" t="s">
        <v>11249</v>
      </c>
      <c r="G716" s="36" t="s">
        <v>11250</v>
      </c>
      <c r="H716" s="36" t="s">
        <v>11251</v>
      </c>
      <c r="I716" s="36" t="s">
        <v>11252</v>
      </c>
      <c r="J716" s="36" t="s">
        <v>11253</v>
      </c>
      <c r="K716" s="36" t="s">
        <v>11254</v>
      </c>
      <c r="L716" s="36" t="s">
        <v>11255</v>
      </c>
      <c r="M716" s="36" t="s">
        <v>11256</v>
      </c>
      <c r="N716" s="36" t="s">
        <v>11257</v>
      </c>
      <c r="O716" s="36" t="s">
        <v>11258</v>
      </c>
      <c r="P716" s="36" t="s">
        <v>11245</v>
      </c>
    </row>
    <row r="717" spans="1:16">
      <c r="A717" s="132">
        <v>716</v>
      </c>
      <c r="B717" s="36" t="s">
        <v>11259</v>
      </c>
      <c r="C717" s="36" t="s">
        <v>11260</v>
      </c>
      <c r="D717" s="36" t="s">
        <v>11261</v>
      </c>
      <c r="E717" s="36" t="s">
        <v>11262</v>
      </c>
      <c r="F717" s="36" t="s">
        <v>11263</v>
      </c>
      <c r="G717" s="36" t="s">
        <v>11264</v>
      </c>
      <c r="H717" s="36" t="s">
        <v>11265</v>
      </c>
      <c r="I717" s="36" t="s">
        <v>11266</v>
      </c>
      <c r="J717" s="36" t="s">
        <v>11267</v>
      </c>
      <c r="K717" s="36" t="s">
        <v>11268</v>
      </c>
      <c r="L717" s="36" t="s">
        <v>11269</v>
      </c>
      <c r="M717" s="36" t="s">
        <v>11270</v>
      </c>
      <c r="N717" s="36" t="s">
        <v>11271</v>
      </c>
      <c r="O717" s="36" t="s">
        <v>11272</v>
      </c>
      <c r="P717" s="36" t="s">
        <v>11259</v>
      </c>
    </row>
    <row r="718" spans="1:16">
      <c r="A718" s="132">
        <v>717</v>
      </c>
      <c r="B718" s="36" t="s">
        <v>11273</v>
      </c>
      <c r="C718" s="36" t="s">
        <v>11274</v>
      </c>
      <c r="D718" s="36" t="s">
        <v>11275</v>
      </c>
      <c r="E718" s="36" t="s">
        <v>11276</v>
      </c>
      <c r="F718" s="36" t="s">
        <v>11277</v>
      </c>
      <c r="G718" s="36" t="s">
        <v>11278</v>
      </c>
      <c r="H718" s="36" t="s">
        <v>11279</v>
      </c>
      <c r="I718" s="36" t="s">
        <v>11280</v>
      </c>
      <c r="J718" s="36" t="s">
        <v>11281</v>
      </c>
      <c r="K718" s="36" t="s">
        <v>11282</v>
      </c>
      <c r="L718" s="36" t="s">
        <v>11283</v>
      </c>
      <c r="M718" s="36" t="s">
        <v>11284</v>
      </c>
      <c r="N718" s="36" t="s">
        <v>11285</v>
      </c>
      <c r="O718" s="36" t="s">
        <v>11286</v>
      </c>
      <c r="P718" s="36" t="s">
        <v>11273</v>
      </c>
    </row>
    <row r="719" spans="1:16">
      <c r="A719" s="132">
        <v>718</v>
      </c>
      <c r="B719" s="36" t="s">
        <v>11287</v>
      </c>
      <c r="C719" s="36" t="s">
        <v>11288</v>
      </c>
      <c r="D719" s="36" t="s">
        <v>11289</v>
      </c>
      <c r="E719" s="36" t="s">
        <v>11290</v>
      </c>
      <c r="F719" s="36" t="s">
        <v>11291</v>
      </c>
      <c r="G719" s="36" t="s">
        <v>11292</v>
      </c>
      <c r="H719" s="36" t="s">
        <v>11293</v>
      </c>
      <c r="I719" s="36" t="s">
        <v>11294</v>
      </c>
      <c r="J719" s="36" t="s">
        <v>11295</v>
      </c>
      <c r="K719" s="36" t="s">
        <v>11296</v>
      </c>
      <c r="L719" s="36" t="s">
        <v>11297</v>
      </c>
      <c r="M719" s="36" t="s">
        <v>11298</v>
      </c>
      <c r="N719" s="36" t="s">
        <v>11299</v>
      </c>
      <c r="O719" s="36" t="s">
        <v>11300</v>
      </c>
      <c r="P719" s="36" t="s">
        <v>11287</v>
      </c>
    </row>
    <row r="720" spans="1:16">
      <c r="A720" s="132">
        <v>719</v>
      </c>
      <c r="B720" s="36" t="s">
        <v>11301</v>
      </c>
      <c r="C720" s="36" t="s">
        <v>11302</v>
      </c>
      <c r="D720" s="36" t="s">
        <v>11303</v>
      </c>
      <c r="E720" s="36" t="s">
        <v>11304</v>
      </c>
      <c r="F720" s="36" t="s">
        <v>11305</v>
      </c>
      <c r="G720" s="36" t="s">
        <v>11306</v>
      </c>
      <c r="H720" s="36" t="s">
        <v>11307</v>
      </c>
      <c r="I720" s="36" t="s">
        <v>11308</v>
      </c>
      <c r="J720" s="36" t="s">
        <v>11309</v>
      </c>
      <c r="K720" s="36" t="s">
        <v>11310</v>
      </c>
      <c r="L720" s="36" t="s">
        <v>11311</v>
      </c>
      <c r="M720" s="36" t="s">
        <v>11312</v>
      </c>
      <c r="N720" s="36" t="s">
        <v>11313</v>
      </c>
      <c r="O720" s="36" t="s">
        <v>11314</v>
      </c>
      <c r="P720" s="36" t="s">
        <v>11301</v>
      </c>
    </row>
    <row r="721" spans="1:16">
      <c r="A721" s="132">
        <v>720</v>
      </c>
      <c r="B721" s="36" t="s">
        <v>11315</v>
      </c>
      <c r="C721" s="36" t="s">
        <v>11288</v>
      </c>
      <c r="D721" s="36" t="s">
        <v>11316</v>
      </c>
      <c r="E721" s="36" t="s">
        <v>11317</v>
      </c>
      <c r="F721" s="36" t="s">
        <v>11318</v>
      </c>
      <c r="G721" s="36" t="s">
        <v>11319</v>
      </c>
      <c r="H721" s="36" t="s">
        <v>11320</v>
      </c>
      <c r="I721" s="36" t="s">
        <v>11321</v>
      </c>
      <c r="J721" s="36" t="s">
        <v>11322</v>
      </c>
      <c r="K721" s="36" t="s">
        <v>11323</v>
      </c>
      <c r="L721" s="36" t="s">
        <v>11324</v>
      </c>
      <c r="M721" s="36" t="s">
        <v>11325</v>
      </c>
      <c r="N721" s="36" t="s">
        <v>11326</v>
      </c>
      <c r="O721" s="36" t="s">
        <v>11300</v>
      </c>
      <c r="P721" s="36" t="s">
        <v>11315</v>
      </c>
    </row>
    <row r="722" spans="1:16">
      <c r="A722" s="132">
        <v>721</v>
      </c>
      <c r="B722" s="36" t="s">
        <v>11327</v>
      </c>
      <c r="C722" s="36" t="s">
        <v>11328</v>
      </c>
      <c r="D722" s="36" t="s">
        <v>11329</v>
      </c>
      <c r="E722" s="36" t="s">
        <v>11330</v>
      </c>
      <c r="F722" s="36" t="s">
        <v>11331</v>
      </c>
      <c r="G722" s="36" t="s">
        <v>11332</v>
      </c>
      <c r="H722" s="36" t="s">
        <v>11333</v>
      </c>
      <c r="I722" s="36" t="s">
        <v>11334</v>
      </c>
      <c r="J722" s="36" t="s">
        <v>11335</v>
      </c>
      <c r="K722" s="36" t="s">
        <v>11336</v>
      </c>
      <c r="L722" s="36" t="s">
        <v>11337</v>
      </c>
      <c r="M722" s="36" t="s">
        <v>11338</v>
      </c>
      <c r="N722" s="36" t="s">
        <v>11339</v>
      </c>
      <c r="O722" s="36" t="s">
        <v>11340</v>
      </c>
      <c r="P722" s="36" t="s">
        <v>11327</v>
      </c>
    </row>
    <row r="723" spans="1:16">
      <c r="A723" s="132">
        <v>722</v>
      </c>
      <c r="B723" s="36" t="s">
        <v>11341</v>
      </c>
      <c r="C723" s="36" t="s">
        <v>11342</v>
      </c>
      <c r="D723" s="36" t="s">
        <v>11343</v>
      </c>
      <c r="E723" s="36" t="s">
        <v>11344</v>
      </c>
      <c r="F723" s="36" t="s">
        <v>11345</v>
      </c>
      <c r="G723" s="36" t="s">
        <v>11346</v>
      </c>
      <c r="H723" s="36" t="s">
        <v>11347</v>
      </c>
      <c r="I723" s="36" t="s">
        <v>11348</v>
      </c>
      <c r="J723" s="36" t="s">
        <v>11349</v>
      </c>
      <c r="K723" s="36" t="s">
        <v>11350</v>
      </c>
      <c r="L723" s="36" t="s">
        <v>11351</v>
      </c>
      <c r="M723" s="36" t="s">
        <v>11352</v>
      </c>
      <c r="N723" s="36" t="s">
        <v>11353</v>
      </c>
      <c r="O723" s="36" t="s">
        <v>11354</v>
      </c>
      <c r="P723" s="36" t="s">
        <v>11341</v>
      </c>
    </row>
    <row r="724" spans="1:16">
      <c r="A724" s="132">
        <v>723</v>
      </c>
      <c r="B724" s="36" t="s">
        <v>11355</v>
      </c>
      <c r="C724" s="36" t="s">
        <v>11356</v>
      </c>
      <c r="D724" s="36" t="s">
        <v>11357</v>
      </c>
      <c r="E724" s="36" t="s">
        <v>11358</v>
      </c>
      <c r="F724" s="36" t="s">
        <v>11359</v>
      </c>
      <c r="G724" s="36" t="s">
        <v>11360</v>
      </c>
      <c r="H724" s="36" t="s">
        <v>11361</v>
      </c>
      <c r="I724" s="36" t="s">
        <v>11362</v>
      </c>
      <c r="J724" s="36" t="s">
        <v>11363</v>
      </c>
      <c r="K724" s="36" t="s">
        <v>11364</v>
      </c>
      <c r="L724" s="36" t="s">
        <v>11365</v>
      </c>
      <c r="M724" s="36" t="s">
        <v>11366</v>
      </c>
      <c r="N724" s="36" t="s">
        <v>11367</v>
      </c>
      <c r="O724" s="36" t="s">
        <v>11368</v>
      </c>
      <c r="P724" s="36" t="s">
        <v>11355</v>
      </c>
    </row>
    <row r="725" spans="1:16">
      <c r="A725" s="132">
        <v>724</v>
      </c>
      <c r="B725" s="36" t="s">
        <v>11369</v>
      </c>
      <c r="C725" s="36" t="s">
        <v>11370</v>
      </c>
      <c r="D725" s="36" t="s">
        <v>11371</v>
      </c>
      <c r="E725" s="36" t="s">
        <v>11372</v>
      </c>
      <c r="F725" s="36" t="s">
        <v>11373</v>
      </c>
      <c r="G725" s="36" t="s">
        <v>11374</v>
      </c>
      <c r="H725" s="36" t="s">
        <v>11375</v>
      </c>
      <c r="I725" s="36" t="s">
        <v>11376</v>
      </c>
      <c r="J725" s="36" t="s">
        <v>11377</v>
      </c>
      <c r="K725" s="36" t="s">
        <v>11378</v>
      </c>
      <c r="L725" s="36" t="s">
        <v>11379</v>
      </c>
      <c r="M725" s="36" t="s">
        <v>11380</v>
      </c>
      <c r="N725" s="36" t="s">
        <v>11380</v>
      </c>
      <c r="O725" s="36" t="s">
        <v>11381</v>
      </c>
      <c r="P725" s="36" t="s">
        <v>11369</v>
      </c>
    </row>
    <row r="726" spans="1:16">
      <c r="A726" s="132">
        <v>725</v>
      </c>
      <c r="B726" s="36" t="s">
        <v>11382</v>
      </c>
      <c r="C726" s="36" t="s">
        <v>11383</v>
      </c>
      <c r="D726" s="36" t="s">
        <v>11384</v>
      </c>
      <c r="E726" s="36" t="s">
        <v>11385</v>
      </c>
      <c r="F726" s="36" t="s">
        <v>11386</v>
      </c>
      <c r="G726" s="36" t="s">
        <v>11387</v>
      </c>
      <c r="H726" s="36" t="s">
        <v>11388</v>
      </c>
      <c r="I726" s="36" t="s">
        <v>11389</v>
      </c>
      <c r="J726" s="36" t="s">
        <v>11390</v>
      </c>
      <c r="K726" s="36" t="s">
        <v>11391</v>
      </c>
      <c r="L726" s="36" t="s">
        <v>11392</v>
      </c>
      <c r="M726" s="36" t="s">
        <v>11393</v>
      </c>
      <c r="N726" s="36" t="s">
        <v>11394</v>
      </c>
      <c r="O726" s="36" t="s">
        <v>11395</v>
      </c>
      <c r="P726" s="36" t="s">
        <v>11382</v>
      </c>
    </row>
    <row r="727" spans="1:16">
      <c r="A727" s="132">
        <v>726</v>
      </c>
      <c r="B727" s="36" t="s">
        <v>11396</v>
      </c>
      <c r="C727" s="36" t="s">
        <v>11397</v>
      </c>
      <c r="D727" s="36" t="s">
        <v>11398</v>
      </c>
      <c r="E727" s="36" t="s">
        <v>11399</v>
      </c>
      <c r="F727" s="36" t="s">
        <v>11400</v>
      </c>
      <c r="G727" s="36" t="s">
        <v>11401</v>
      </c>
      <c r="H727" s="36" t="s">
        <v>11402</v>
      </c>
      <c r="I727" s="36" t="s">
        <v>11400</v>
      </c>
      <c r="J727" s="36" t="s">
        <v>11403</v>
      </c>
      <c r="K727" s="36" t="s">
        <v>11404</v>
      </c>
      <c r="L727" s="36" t="s">
        <v>11405</v>
      </c>
      <c r="M727" s="36" t="s">
        <v>11406</v>
      </c>
      <c r="N727" s="36" t="s">
        <v>11407</v>
      </c>
      <c r="O727" s="36" t="s">
        <v>11408</v>
      </c>
      <c r="P727" s="36" t="s">
        <v>11396</v>
      </c>
    </row>
    <row r="728" spans="1:16">
      <c r="A728" s="132">
        <v>727</v>
      </c>
      <c r="B728" s="36" t="s">
        <v>11409</v>
      </c>
      <c r="C728" s="36" t="s">
        <v>11410</v>
      </c>
      <c r="D728" s="36" t="s">
        <v>11411</v>
      </c>
      <c r="E728" s="36" t="s">
        <v>11412</v>
      </c>
      <c r="F728" s="36" t="s">
        <v>11413</v>
      </c>
      <c r="G728" s="36" t="s">
        <v>11414</v>
      </c>
      <c r="H728" s="36" t="s">
        <v>11415</v>
      </c>
      <c r="I728" s="36" t="s">
        <v>11416</v>
      </c>
      <c r="J728" s="36" t="s">
        <v>11417</v>
      </c>
      <c r="K728" s="36" t="s">
        <v>11418</v>
      </c>
      <c r="L728" s="36" t="s">
        <v>11419</v>
      </c>
      <c r="M728" s="36" t="s">
        <v>11420</v>
      </c>
      <c r="N728" s="36" t="s">
        <v>11421</v>
      </c>
      <c r="O728" s="36" t="s">
        <v>11422</v>
      </c>
      <c r="P728" s="36" t="s">
        <v>11409</v>
      </c>
    </row>
    <row r="729" spans="1:16">
      <c r="A729" s="132">
        <v>728</v>
      </c>
      <c r="B729" s="36" t="s">
        <v>11423</v>
      </c>
      <c r="C729" s="36" t="s">
        <v>11424</v>
      </c>
      <c r="D729" s="36" t="s">
        <v>11425</v>
      </c>
      <c r="E729" s="36" t="s">
        <v>11426</v>
      </c>
      <c r="F729" s="36" t="s">
        <v>11427</v>
      </c>
      <c r="G729" s="36" t="s">
        <v>11428</v>
      </c>
      <c r="H729" s="36" t="s">
        <v>11429</v>
      </c>
      <c r="I729" s="36" t="s">
        <v>11430</v>
      </c>
      <c r="J729" s="36" t="s">
        <v>11431</v>
      </c>
      <c r="K729" s="36" t="s">
        <v>11432</v>
      </c>
      <c r="L729" s="36" t="s">
        <v>11433</v>
      </c>
      <c r="M729" s="36" t="s">
        <v>11434</v>
      </c>
      <c r="N729" s="36" t="s">
        <v>11435</v>
      </c>
      <c r="O729" s="36" t="s">
        <v>11436</v>
      </c>
      <c r="P729" s="36" t="s">
        <v>11423</v>
      </c>
    </row>
    <row r="730" spans="1:16">
      <c r="A730" s="132">
        <v>729</v>
      </c>
      <c r="B730" s="36" t="s">
        <v>11437</v>
      </c>
      <c r="C730" s="36" t="s">
        <v>11438</v>
      </c>
      <c r="D730" s="36" t="s">
        <v>11439</v>
      </c>
      <c r="E730" s="36" t="s">
        <v>11440</v>
      </c>
      <c r="F730" s="36" t="s">
        <v>11441</v>
      </c>
      <c r="G730" s="36" t="s">
        <v>11442</v>
      </c>
      <c r="H730" s="36" t="s">
        <v>11443</v>
      </c>
      <c r="I730" s="36" t="s">
        <v>11444</v>
      </c>
      <c r="J730" s="36" t="s">
        <v>11445</v>
      </c>
      <c r="K730" s="36" t="s">
        <v>11446</v>
      </c>
      <c r="L730" s="36" t="s">
        <v>11447</v>
      </c>
      <c r="M730" s="36" t="s">
        <v>11448</v>
      </c>
      <c r="N730" s="36" t="s">
        <v>11449</v>
      </c>
      <c r="O730" s="36" t="s">
        <v>11450</v>
      </c>
      <c r="P730" s="36" t="s">
        <v>11437</v>
      </c>
    </row>
    <row r="731" spans="1:16">
      <c r="A731" s="132">
        <v>730</v>
      </c>
      <c r="B731" s="36" t="s">
        <v>11451</v>
      </c>
      <c r="C731" s="36" t="s">
        <v>11452</v>
      </c>
      <c r="D731" s="36" t="s">
        <v>11453</v>
      </c>
      <c r="E731" s="36" t="s">
        <v>11454</v>
      </c>
      <c r="F731" s="36" t="s">
        <v>11455</v>
      </c>
      <c r="G731" s="36" t="s">
        <v>11456</v>
      </c>
      <c r="H731" s="36" t="s">
        <v>11457</v>
      </c>
      <c r="I731" s="36" t="s">
        <v>11458</v>
      </c>
      <c r="J731" s="36" t="s">
        <v>11459</v>
      </c>
      <c r="K731" s="36" t="s">
        <v>11460</v>
      </c>
      <c r="L731" s="36" t="s">
        <v>11461</v>
      </c>
      <c r="M731" s="36" t="s">
        <v>11462</v>
      </c>
      <c r="N731" s="36" t="s">
        <v>11463</v>
      </c>
      <c r="O731" s="36" t="s">
        <v>11464</v>
      </c>
      <c r="P731" s="36" t="s">
        <v>11451</v>
      </c>
    </row>
    <row r="732" spans="1:16">
      <c r="A732" s="132">
        <v>731</v>
      </c>
      <c r="B732" s="36" t="s">
        <v>11465</v>
      </c>
      <c r="C732" s="36" t="s">
        <v>11466</v>
      </c>
      <c r="D732" s="36" t="s">
        <v>11467</v>
      </c>
      <c r="E732" s="36" t="s">
        <v>11468</v>
      </c>
      <c r="F732" s="36" t="s">
        <v>11469</v>
      </c>
      <c r="G732" s="36" t="s">
        <v>11470</v>
      </c>
      <c r="H732" s="36" t="s">
        <v>11471</v>
      </c>
      <c r="I732" s="36" t="s">
        <v>11472</v>
      </c>
      <c r="J732" s="36" t="s">
        <v>11473</v>
      </c>
      <c r="K732" s="36" t="s">
        <v>11474</v>
      </c>
      <c r="L732" s="36" t="s">
        <v>11475</v>
      </c>
      <c r="M732" s="36" t="s">
        <v>11476</v>
      </c>
      <c r="N732" s="36" t="s">
        <v>11477</v>
      </c>
      <c r="O732" s="36" t="s">
        <v>11478</v>
      </c>
      <c r="P732" s="36" t="s">
        <v>11465</v>
      </c>
    </row>
    <row r="733" spans="1:16">
      <c r="A733" s="132">
        <v>732</v>
      </c>
      <c r="B733" s="36" t="s">
        <v>11479</v>
      </c>
      <c r="C733" s="36" t="s">
        <v>11480</v>
      </c>
      <c r="D733" s="36" t="s">
        <v>11481</v>
      </c>
      <c r="E733" s="36" t="s">
        <v>11482</v>
      </c>
      <c r="F733" s="36" t="s">
        <v>11483</v>
      </c>
      <c r="G733" s="36" t="s">
        <v>11484</v>
      </c>
      <c r="H733" s="36" t="s">
        <v>11485</v>
      </c>
      <c r="I733" s="36" t="s">
        <v>11486</v>
      </c>
      <c r="J733" s="36" t="s">
        <v>11487</v>
      </c>
      <c r="K733" s="36" t="s">
        <v>11488</v>
      </c>
      <c r="L733" s="36" t="s">
        <v>11489</v>
      </c>
      <c r="M733" s="36" t="s">
        <v>11490</v>
      </c>
      <c r="N733" s="36" t="s">
        <v>11491</v>
      </c>
      <c r="O733" s="36" t="s">
        <v>11492</v>
      </c>
      <c r="P733" s="36" t="s">
        <v>11479</v>
      </c>
    </row>
    <row r="734" spans="1:16">
      <c r="A734" s="132">
        <v>733</v>
      </c>
      <c r="B734" s="36" t="s">
        <v>11493</v>
      </c>
      <c r="C734" s="36" t="s">
        <v>11494</v>
      </c>
      <c r="D734" s="36" t="s">
        <v>11495</v>
      </c>
      <c r="E734" s="36" t="s">
        <v>11496</v>
      </c>
      <c r="F734" s="36" t="s">
        <v>11497</v>
      </c>
      <c r="G734" s="36" t="s">
        <v>11498</v>
      </c>
      <c r="H734" s="36" t="s">
        <v>11499</v>
      </c>
      <c r="I734" s="36" t="s">
        <v>11500</v>
      </c>
      <c r="J734" s="36" t="s">
        <v>11501</v>
      </c>
      <c r="K734" s="36" t="s">
        <v>11502</v>
      </c>
      <c r="L734" s="36" t="s">
        <v>11503</v>
      </c>
      <c r="M734" s="36" t="s">
        <v>11504</v>
      </c>
      <c r="N734" s="36" t="s">
        <v>11505</v>
      </c>
      <c r="O734" s="36" t="s">
        <v>11506</v>
      </c>
      <c r="P734" s="36" t="s">
        <v>11493</v>
      </c>
    </row>
    <row r="735" spans="1:16">
      <c r="A735" s="132">
        <v>734</v>
      </c>
      <c r="B735" s="36" t="s">
        <v>11507</v>
      </c>
      <c r="C735" s="36" t="s">
        <v>11508</v>
      </c>
      <c r="D735" s="36" t="s">
        <v>11509</v>
      </c>
      <c r="E735" s="36" t="s">
        <v>11510</v>
      </c>
      <c r="F735" s="36" t="s">
        <v>11511</v>
      </c>
      <c r="G735" s="36" t="s">
        <v>11512</v>
      </c>
      <c r="H735" s="36" t="s">
        <v>11513</v>
      </c>
      <c r="I735" s="36" t="s">
        <v>11514</v>
      </c>
      <c r="J735" s="36" t="s">
        <v>11515</v>
      </c>
      <c r="K735" s="36" t="s">
        <v>11516</v>
      </c>
      <c r="L735" s="36" t="s">
        <v>11517</v>
      </c>
      <c r="M735" s="36" t="s">
        <v>11518</v>
      </c>
      <c r="N735" s="36" t="s">
        <v>11519</v>
      </c>
      <c r="O735" s="36" t="s">
        <v>11520</v>
      </c>
      <c r="P735" s="36" t="s">
        <v>11507</v>
      </c>
    </row>
    <row r="736" spans="1:16">
      <c r="A736" s="132">
        <v>735</v>
      </c>
      <c r="B736" s="36" t="s">
        <v>11521</v>
      </c>
      <c r="C736" s="36" t="s">
        <v>11522</v>
      </c>
      <c r="D736" s="36" t="s">
        <v>11523</v>
      </c>
      <c r="E736" s="36" t="s">
        <v>11524</v>
      </c>
      <c r="F736" s="36" t="s">
        <v>11525</v>
      </c>
      <c r="G736" s="36" t="s">
        <v>11526</v>
      </c>
      <c r="H736" s="36" t="s">
        <v>11527</v>
      </c>
      <c r="I736" s="36" t="s">
        <v>11528</v>
      </c>
      <c r="J736" s="36" t="s">
        <v>11529</v>
      </c>
      <c r="K736" s="36" t="s">
        <v>11530</v>
      </c>
      <c r="L736" s="36" t="s">
        <v>11531</v>
      </c>
      <c r="M736" s="36" t="s">
        <v>11532</v>
      </c>
      <c r="N736" s="36" t="s">
        <v>11533</v>
      </c>
      <c r="O736" s="36" t="s">
        <v>11534</v>
      </c>
      <c r="P736" s="36" t="s">
        <v>11521</v>
      </c>
    </row>
    <row r="737" spans="1:16">
      <c r="A737" s="132">
        <v>736</v>
      </c>
      <c r="B737" s="36" t="s">
        <v>11535</v>
      </c>
      <c r="C737" s="36" t="s">
        <v>11536</v>
      </c>
      <c r="D737" s="36" t="s">
        <v>11537</v>
      </c>
      <c r="E737" s="36" t="s">
        <v>11538</v>
      </c>
      <c r="F737" s="36" t="s">
        <v>11539</v>
      </c>
      <c r="G737" s="36" t="s">
        <v>11540</v>
      </c>
      <c r="H737" s="36" t="s">
        <v>11541</v>
      </c>
      <c r="I737" s="36" t="s">
        <v>11542</v>
      </c>
      <c r="J737" s="36" t="s">
        <v>11543</v>
      </c>
      <c r="K737" s="36" t="s">
        <v>11544</v>
      </c>
      <c r="L737" s="36" t="s">
        <v>11545</v>
      </c>
      <c r="M737" s="36" t="s">
        <v>11546</v>
      </c>
      <c r="N737" s="36" t="s">
        <v>11547</v>
      </c>
      <c r="O737" s="36" t="s">
        <v>11548</v>
      </c>
      <c r="P737" s="36" t="s">
        <v>11535</v>
      </c>
    </row>
    <row r="738" spans="1:16">
      <c r="A738" s="132">
        <v>737</v>
      </c>
      <c r="B738" s="36" t="s">
        <v>11549</v>
      </c>
      <c r="C738" s="36" t="s">
        <v>11550</v>
      </c>
      <c r="D738" s="36" t="s">
        <v>11551</v>
      </c>
      <c r="E738" s="36" t="s">
        <v>11552</v>
      </c>
      <c r="F738" s="36" t="s">
        <v>11553</v>
      </c>
      <c r="G738" s="36" t="s">
        <v>11554</v>
      </c>
      <c r="H738" s="36" t="s">
        <v>11555</v>
      </c>
      <c r="I738" s="36" t="s">
        <v>11556</v>
      </c>
      <c r="J738" s="36" t="s">
        <v>11557</v>
      </c>
      <c r="K738" s="36" t="s">
        <v>11558</v>
      </c>
      <c r="L738" s="36" t="s">
        <v>11559</v>
      </c>
      <c r="M738" s="36" t="s">
        <v>11560</v>
      </c>
      <c r="N738" s="36" t="s">
        <v>11561</v>
      </c>
      <c r="O738" s="36" t="s">
        <v>11562</v>
      </c>
      <c r="P738" s="36" t="s">
        <v>11549</v>
      </c>
    </row>
    <row r="739" spans="1:16">
      <c r="A739" s="132">
        <v>738</v>
      </c>
      <c r="B739" s="36" t="s">
        <v>11563</v>
      </c>
      <c r="C739" s="36" t="s">
        <v>11564</v>
      </c>
      <c r="D739" s="36" t="s">
        <v>11565</v>
      </c>
      <c r="E739" s="36" t="s">
        <v>11566</v>
      </c>
      <c r="F739" s="36" t="s">
        <v>11567</v>
      </c>
      <c r="G739" s="36" t="s">
        <v>11568</v>
      </c>
      <c r="H739" s="36" t="s">
        <v>11569</v>
      </c>
      <c r="I739" s="36" t="s">
        <v>11570</v>
      </c>
      <c r="J739" s="36" t="s">
        <v>11571</v>
      </c>
      <c r="K739" s="36" t="s">
        <v>11572</v>
      </c>
      <c r="L739" s="36" t="s">
        <v>11573</v>
      </c>
      <c r="M739" s="36" t="s">
        <v>11574</v>
      </c>
      <c r="N739" s="36" t="s">
        <v>11575</v>
      </c>
      <c r="O739" s="36" t="s">
        <v>11576</v>
      </c>
      <c r="P739" s="36" t="s">
        <v>11563</v>
      </c>
    </row>
    <row r="740" spans="1:16">
      <c r="A740" s="132">
        <v>739</v>
      </c>
      <c r="B740" s="36" t="s">
        <v>11577</v>
      </c>
      <c r="C740" s="36" t="s">
        <v>11578</v>
      </c>
      <c r="D740" s="36" t="s">
        <v>11579</v>
      </c>
      <c r="E740" s="36" t="s">
        <v>11580</v>
      </c>
      <c r="F740" s="36" t="s">
        <v>11581</v>
      </c>
      <c r="G740" s="36" t="s">
        <v>11582</v>
      </c>
      <c r="H740" s="36" t="s">
        <v>11583</v>
      </c>
      <c r="I740" s="36" t="s">
        <v>11584</v>
      </c>
      <c r="J740" s="36" t="s">
        <v>11585</v>
      </c>
      <c r="K740" s="36" t="s">
        <v>11586</v>
      </c>
      <c r="L740" s="36" t="s">
        <v>11587</v>
      </c>
      <c r="M740" s="36" t="s">
        <v>11588</v>
      </c>
      <c r="N740" s="36" t="s">
        <v>11589</v>
      </c>
      <c r="O740" s="36" t="s">
        <v>11590</v>
      </c>
      <c r="P740" s="36" t="s">
        <v>11577</v>
      </c>
    </row>
    <row r="741" spans="1:16">
      <c r="A741" s="132">
        <v>740</v>
      </c>
      <c r="B741" s="36" t="s">
        <v>11591</v>
      </c>
      <c r="C741" s="36" t="s">
        <v>11592</v>
      </c>
      <c r="D741" s="36" t="s">
        <v>11593</v>
      </c>
      <c r="E741" s="36" t="s">
        <v>11594</v>
      </c>
      <c r="F741" s="36" t="s">
        <v>11595</v>
      </c>
      <c r="G741" s="36" t="s">
        <v>11596</v>
      </c>
      <c r="H741" s="36" t="s">
        <v>11597</v>
      </c>
      <c r="I741" s="36" t="s">
        <v>11598</v>
      </c>
      <c r="J741" s="36" t="s">
        <v>11599</v>
      </c>
      <c r="K741" s="36" t="s">
        <v>11600</v>
      </c>
      <c r="L741" s="36" t="s">
        <v>11601</v>
      </c>
      <c r="M741" s="36" t="s">
        <v>11602</v>
      </c>
      <c r="N741" s="36" t="s">
        <v>11603</v>
      </c>
      <c r="O741" s="36" t="s">
        <v>11604</v>
      </c>
      <c r="P741" s="36" t="s">
        <v>11591</v>
      </c>
    </row>
    <row r="742" spans="1:16">
      <c r="A742" s="132">
        <v>741</v>
      </c>
      <c r="B742" s="36" t="s">
        <v>11605</v>
      </c>
      <c r="C742" s="36" t="s">
        <v>11606</v>
      </c>
      <c r="D742" s="36" t="s">
        <v>11607</v>
      </c>
      <c r="E742" s="36" t="s">
        <v>11608</v>
      </c>
      <c r="F742" s="36" t="s">
        <v>11609</v>
      </c>
      <c r="G742" s="36" t="s">
        <v>11610</v>
      </c>
      <c r="H742" s="36" t="s">
        <v>11611</v>
      </c>
      <c r="I742" s="36" t="s">
        <v>11612</v>
      </c>
      <c r="J742" s="36" t="s">
        <v>11613</v>
      </c>
      <c r="K742" s="36" t="s">
        <v>11614</v>
      </c>
      <c r="L742" s="36" t="s">
        <v>11615</v>
      </c>
      <c r="M742" s="36" t="s">
        <v>11616</v>
      </c>
      <c r="N742" s="36" t="s">
        <v>11617</v>
      </c>
      <c r="O742" s="36" t="s">
        <v>11618</v>
      </c>
      <c r="P742" s="36" t="s">
        <v>11605</v>
      </c>
    </row>
    <row r="743" spans="1:16">
      <c r="A743" s="132">
        <v>742</v>
      </c>
      <c r="B743" s="36" t="s">
        <v>11619</v>
      </c>
      <c r="C743" s="36" t="s">
        <v>11620</v>
      </c>
      <c r="D743" s="36" t="s">
        <v>11621</v>
      </c>
      <c r="E743" s="36" t="s">
        <v>11622</v>
      </c>
      <c r="F743" s="36" t="s">
        <v>11623</v>
      </c>
      <c r="G743" s="36" t="s">
        <v>11624</v>
      </c>
      <c r="H743" s="36" t="s">
        <v>11625</v>
      </c>
      <c r="I743" s="36" t="s">
        <v>11626</v>
      </c>
      <c r="J743" s="36" t="s">
        <v>11627</v>
      </c>
      <c r="K743" s="36" t="s">
        <v>11628</v>
      </c>
      <c r="L743" s="36" t="s">
        <v>11629</v>
      </c>
      <c r="M743" s="36" t="s">
        <v>11630</v>
      </c>
      <c r="N743" s="36" t="s">
        <v>11631</v>
      </c>
      <c r="O743" s="36" t="s">
        <v>11632</v>
      </c>
      <c r="P743" s="36" t="s">
        <v>11619</v>
      </c>
    </row>
    <row r="744" spans="1:16">
      <c r="A744" s="132">
        <v>743</v>
      </c>
      <c r="B744" s="36" t="s">
        <v>11633</v>
      </c>
      <c r="C744" s="36" t="s">
        <v>11634</v>
      </c>
      <c r="D744" s="36" t="s">
        <v>11635</v>
      </c>
      <c r="E744" s="36" t="s">
        <v>11636</v>
      </c>
      <c r="F744" s="36" t="s">
        <v>11637</v>
      </c>
      <c r="G744" s="36" t="s">
        <v>11638</v>
      </c>
      <c r="H744" s="36" t="s">
        <v>11639</v>
      </c>
      <c r="I744" s="36" t="s">
        <v>11640</v>
      </c>
      <c r="J744" s="36" t="s">
        <v>11641</v>
      </c>
      <c r="K744" s="36" t="s">
        <v>11642</v>
      </c>
      <c r="L744" s="36" t="s">
        <v>11643</v>
      </c>
      <c r="M744" s="36" t="s">
        <v>11644</v>
      </c>
      <c r="N744" s="36" t="s">
        <v>11645</v>
      </c>
      <c r="O744" s="36" t="s">
        <v>11646</v>
      </c>
      <c r="P744" s="36" t="s">
        <v>11633</v>
      </c>
    </row>
    <row r="745" spans="1:16">
      <c r="A745" s="132">
        <v>744</v>
      </c>
      <c r="B745" s="36" t="s">
        <v>11647</v>
      </c>
      <c r="C745" s="36" t="s">
        <v>11648</v>
      </c>
      <c r="D745" s="36" t="s">
        <v>11649</v>
      </c>
      <c r="E745" s="36" t="s">
        <v>11650</v>
      </c>
      <c r="F745" s="36" t="s">
        <v>11651</v>
      </c>
      <c r="G745" s="36" t="s">
        <v>11652</v>
      </c>
      <c r="H745" s="36" t="s">
        <v>11653</v>
      </c>
      <c r="I745" s="36" t="s">
        <v>11654</v>
      </c>
      <c r="J745" s="36" t="s">
        <v>11655</v>
      </c>
      <c r="K745" s="36" t="s">
        <v>11656</v>
      </c>
      <c r="L745" s="36" t="s">
        <v>11657</v>
      </c>
      <c r="M745" s="36" t="s">
        <v>11658</v>
      </c>
      <c r="N745" s="36" t="s">
        <v>11659</v>
      </c>
      <c r="O745" s="36" t="s">
        <v>11660</v>
      </c>
      <c r="P745" s="36" t="s">
        <v>11647</v>
      </c>
    </row>
    <row r="746" spans="1:16">
      <c r="A746" s="132">
        <v>745</v>
      </c>
      <c r="B746" s="36" t="s">
        <v>11661</v>
      </c>
      <c r="C746" s="36" t="s">
        <v>11662</v>
      </c>
      <c r="D746" s="36" t="s">
        <v>11663</v>
      </c>
      <c r="E746" s="36" t="s">
        <v>11664</v>
      </c>
      <c r="F746" s="36" t="s">
        <v>11665</v>
      </c>
      <c r="G746" s="36" t="s">
        <v>11666</v>
      </c>
      <c r="H746" s="36" t="s">
        <v>11667</v>
      </c>
      <c r="I746" s="36" t="s">
        <v>11668</v>
      </c>
      <c r="J746" s="36" t="s">
        <v>11669</v>
      </c>
      <c r="K746" s="36" t="s">
        <v>11670</v>
      </c>
      <c r="L746" s="36" t="s">
        <v>11671</v>
      </c>
      <c r="M746" s="36" t="s">
        <v>11672</v>
      </c>
      <c r="N746" s="36" t="s">
        <v>11673</v>
      </c>
      <c r="O746" s="36" t="s">
        <v>11674</v>
      </c>
      <c r="P746" s="36" t="s">
        <v>11661</v>
      </c>
    </row>
    <row r="747" spans="1:16">
      <c r="A747" s="132">
        <v>746</v>
      </c>
      <c r="B747" s="36" t="s">
        <v>11675</v>
      </c>
      <c r="C747" s="36" t="s">
        <v>11676</v>
      </c>
      <c r="D747" s="36" t="s">
        <v>11677</v>
      </c>
      <c r="E747" s="36" t="s">
        <v>11678</v>
      </c>
      <c r="F747" s="36" t="s">
        <v>11679</v>
      </c>
      <c r="G747" s="36" t="s">
        <v>11680</v>
      </c>
      <c r="H747" s="36" t="s">
        <v>11681</v>
      </c>
      <c r="I747" s="36" t="s">
        <v>11682</v>
      </c>
      <c r="J747" s="36" t="s">
        <v>11683</v>
      </c>
      <c r="K747" s="36" t="s">
        <v>11684</v>
      </c>
      <c r="L747" s="36" t="s">
        <v>11685</v>
      </c>
      <c r="M747" s="36" t="s">
        <v>11686</v>
      </c>
      <c r="N747" s="36" t="s">
        <v>11687</v>
      </c>
      <c r="O747" s="36" t="s">
        <v>11688</v>
      </c>
      <c r="P747" s="36" t="s">
        <v>11675</v>
      </c>
    </row>
    <row r="748" spans="1:16">
      <c r="A748" s="132">
        <v>747</v>
      </c>
      <c r="B748" s="36" t="s">
        <v>11689</v>
      </c>
      <c r="C748" s="36" t="s">
        <v>11690</v>
      </c>
      <c r="D748" s="36" t="s">
        <v>11691</v>
      </c>
      <c r="E748" s="36" t="s">
        <v>11692</v>
      </c>
      <c r="F748" s="36" t="s">
        <v>11693</v>
      </c>
      <c r="G748" s="36" t="s">
        <v>11694</v>
      </c>
      <c r="H748" s="36" t="s">
        <v>11695</v>
      </c>
      <c r="I748" s="36" t="s">
        <v>11696</v>
      </c>
      <c r="J748" s="36" t="s">
        <v>11697</v>
      </c>
      <c r="K748" s="36" t="s">
        <v>11698</v>
      </c>
      <c r="L748" s="36" t="s">
        <v>11475</v>
      </c>
      <c r="M748" s="36" t="s">
        <v>11699</v>
      </c>
      <c r="N748" s="36" t="s">
        <v>11700</v>
      </c>
      <c r="O748" s="36" t="s">
        <v>11701</v>
      </c>
      <c r="P748" s="36" t="s">
        <v>11689</v>
      </c>
    </row>
    <row r="749" spans="1:16">
      <c r="A749" s="132">
        <v>748</v>
      </c>
      <c r="B749" s="36" t="s">
        <v>11702</v>
      </c>
      <c r="C749" s="36" t="s">
        <v>11703</v>
      </c>
      <c r="D749" s="36" t="s">
        <v>11704</v>
      </c>
      <c r="E749" s="36" t="s">
        <v>11705</v>
      </c>
      <c r="F749" s="36" t="s">
        <v>11706</v>
      </c>
      <c r="G749" s="36" t="s">
        <v>11707</v>
      </c>
      <c r="H749" s="36" t="s">
        <v>11708</v>
      </c>
      <c r="I749" s="36" t="s">
        <v>11709</v>
      </c>
      <c r="J749" s="36" t="s">
        <v>11710</v>
      </c>
      <c r="K749" s="36" t="s">
        <v>11711</v>
      </c>
      <c r="L749" s="36" t="s">
        <v>11712</v>
      </c>
      <c r="M749" s="36" t="s">
        <v>11713</v>
      </c>
      <c r="N749" s="36" t="s">
        <v>11714</v>
      </c>
      <c r="O749" s="36" t="s">
        <v>11715</v>
      </c>
      <c r="P749" s="36" t="s">
        <v>11702</v>
      </c>
    </row>
    <row r="750" spans="1:16">
      <c r="A750" s="132">
        <v>749</v>
      </c>
      <c r="B750" s="36" t="s">
        <v>11716</v>
      </c>
      <c r="C750" s="36" t="s">
        <v>11717</v>
      </c>
      <c r="D750" s="36" t="s">
        <v>11718</v>
      </c>
      <c r="E750" s="36" t="s">
        <v>11719</v>
      </c>
      <c r="F750" s="36" t="s">
        <v>11720</v>
      </c>
      <c r="G750" s="36" t="s">
        <v>11721</v>
      </c>
      <c r="H750" s="36" t="s">
        <v>11722</v>
      </c>
      <c r="I750" s="36" t="s">
        <v>11723</v>
      </c>
      <c r="J750" s="36" t="s">
        <v>11716</v>
      </c>
      <c r="K750" s="36" t="s">
        <v>11724</v>
      </c>
      <c r="L750" s="36" t="s">
        <v>11725</v>
      </c>
      <c r="M750" s="36" t="s">
        <v>11726</v>
      </c>
      <c r="N750" s="36" t="s">
        <v>11726</v>
      </c>
      <c r="O750" s="36" t="s">
        <v>11727</v>
      </c>
      <c r="P750" s="36" t="s">
        <v>11716</v>
      </c>
    </row>
    <row r="751" spans="1:16">
      <c r="A751" s="132">
        <v>750</v>
      </c>
      <c r="B751" s="36" t="s">
        <v>11728</v>
      </c>
      <c r="C751" s="36" t="s">
        <v>11729</v>
      </c>
      <c r="D751" s="36" t="s">
        <v>11730</v>
      </c>
      <c r="E751" s="36" t="s">
        <v>11731</v>
      </c>
      <c r="F751" s="36" t="s">
        <v>11732</v>
      </c>
      <c r="G751" s="36" t="s">
        <v>11733</v>
      </c>
      <c r="H751" s="36" t="s">
        <v>11734</v>
      </c>
      <c r="I751" s="36" t="s">
        <v>11735</v>
      </c>
      <c r="J751" s="36" t="s">
        <v>11736</v>
      </c>
      <c r="K751" s="36" t="s">
        <v>11737</v>
      </c>
      <c r="L751" s="36" t="s">
        <v>11738</v>
      </c>
      <c r="M751" s="36" t="s">
        <v>11739</v>
      </c>
      <c r="N751" s="36" t="s">
        <v>11740</v>
      </c>
      <c r="O751" s="36" t="s">
        <v>11741</v>
      </c>
      <c r="P751" s="36" t="s">
        <v>11728</v>
      </c>
    </row>
    <row r="752" spans="1:16">
      <c r="A752" s="132">
        <v>751</v>
      </c>
      <c r="B752" s="36" t="s">
        <v>11742</v>
      </c>
      <c r="C752" s="36" t="s">
        <v>11743</v>
      </c>
      <c r="D752" s="36" t="s">
        <v>11744</v>
      </c>
      <c r="E752" s="36" t="s">
        <v>11745</v>
      </c>
      <c r="F752" s="36" t="s">
        <v>11746</v>
      </c>
      <c r="G752" s="36" t="s">
        <v>11747</v>
      </c>
      <c r="H752" s="36" t="s">
        <v>11748</v>
      </c>
      <c r="I752" s="36" t="s">
        <v>11749</v>
      </c>
      <c r="J752" s="36" t="s">
        <v>11750</v>
      </c>
      <c r="K752" s="36" t="s">
        <v>11751</v>
      </c>
      <c r="L752" s="36" t="s">
        <v>11752</v>
      </c>
      <c r="M752" s="36" t="s">
        <v>11753</v>
      </c>
      <c r="N752" s="36" t="s">
        <v>11754</v>
      </c>
      <c r="O752" s="36" t="s">
        <v>11755</v>
      </c>
      <c r="P752" s="36" t="s">
        <v>11742</v>
      </c>
    </row>
    <row r="753" spans="1:16">
      <c r="A753" s="132">
        <v>752</v>
      </c>
      <c r="B753" s="36" t="s">
        <v>11756</v>
      </c>
      <c r="C753" s="36" t="s">
        <v>11757</v>
      </c>
      <c r="D753" s="36" t="s">
        <v>11758</v>
      </c>
      <c r="E753" s="36" t="s">
        <v>11759</v>
      </c>
      <c r="F753" s="36" t="s">
        <v>11760</v>
      </c>
      <c r="G753" s="36" t="s">
        <v>11761</v>
      </c>
      <c r="H753" s="36" t="s">
        <v>11762</v>
      </c>
      <c r="I753" s="36" t="s">
        <v>11763</v>
      </c>
      <c r="J753" s="36" t="s">
        <v>11764</v>
      </c>
      <c r="K753" s="36" t="s">
        <v>11765</v>
      </c>
      <c r="L753" s="36" t="s">
        <v>11766</v>
      </c>
      <c r="M753" s="36" t="s">
        <v>11767</v>
      </c>
      <c r="N753" s="36" t="s">
        <v>11768</v>
      </c>
      <c r="O753" s="36" t="s">
        <v>11769</v>
      </c>
      <c r="P753" s="36" t="s">
        <v>11756</v>
      </c>
    </row>
    <row r="754" spans="1:16">
      <c r="A754" s="132">
        <v>753</v>
      </c>
      <c r="B754" s="36" t="s">
        <v>11770</v>
      </c>
      <c r="C754" s="36" t="s">
        <v>11771</v>
      </c>
      <c r="D754" s="36" t="s">
        <v>11772</v>
      </c>
      <c r="E754" s="36" t="s">
        <v>11773</v>
      </c>
      <c r="F754" s="36" t="s">
        <v>11774</v>
      </c>
      <c r="G754" s="36" t="s">
        <v>11775</v>
      </c>
      <c r="H754" s="36" t="s">
        <v>11776</v>
      </c>
      <c r="I754" s="36" t="s">
        <v>11777</v>
      </c>
      <c r="J754" s="36" t="s">
        <v>11778</v>
      </c>
      <c r="K754" s="36" t="s">
        <v>11779</v>
      </c>
      <c r="L754" s="36" t="s">
        <v>11780</v>
      </c>
      <c r="M754" s="36" t="s">
        <v>11781</v>
      </c>
      <c r="N754" s="36" t="s">
        <v>11782</v>
      </c>
      <c r="O754" s="36" t="s">
        <v>11783</v>
      </c>
      <c r="P754" s="36" t="s">
        <v>11770</v>
      </c>
    </row>
    <row r="755" spans="1:16">
      <c r="A755" s="132">
        <v>754</v>
      </c>
      <c r="B755" s="36" t="s">
        <v>11784</v>
      </c>
      <c r="C755" s="36" t="s">
        <v>11785</v>
      </c>
      <c r="D755" s="36" t="s">
        <v>11786</v>
      </c>
      <c r="E755" s="36" t="s">
        <v>11787</v>
      </c>
      <c r="F755" s="36" t="s">
        <v>11788</v>
      </c>
      <c r="G755" s="36" t="s">
        <v>11789</v>
      </c>
      <c r="H755" s="36" t="s">
        <v>11790</v>
      </c>
      <c r="I755" s="36" t="s">
        <v>11791</v>
      </c>
      <c r="J755" s="36" t="s">
        <v>11792</v>
      </c>
      <c r="K755" s="36" t="s">
        <v>11793</v>
      </c>
      <c r="L755" s="36" t="s">
        <v>11794</v>
      </c>
      <c r="M755" s="36" t="s">
        <v>11795</v>
      </c>
      <c r="N755" s="36" t="s">
        <v>11796</v>
      </c>
      <c r="O755" s="36" t="s">
        <v>11797</v>
      </c>
      <c r="P755" s="36" t="s">
        <v>11784</v>
      </c>
    </row>
    <row r="756" spans="1:16">
      <c r="A756" s="132">
        <v>755</v>
      </c>
      <c r="B756" s="36" t="s">
        <v>11798</v>
      </c>
      <c r="C756" s="36" t="s">
        <v>11799</v>
      </c>
      <c r="D756" s="36" t="s">
        <v>11800</v>
      </c>
      <c r="E756" s="36" t="s">
        <v>11801</v>
      </c>
      <c r="F756" s="36" t="s">
        <v>11802</v>
      </c>
      <c r="G756" s="36" t="s">
        <v>11803</v>
      </c>
      <c r="H756" s="36" t="s">
        <v>11804</v>
      </c>
      <c r="I756" s="36" t="s">
        <v>11805</v>
      </c>
      <c r="J756" s="36" t="s">
        <v>11806</v>
      </c>
      <c r="K756" s="36" t="s">
        <v>11807</v>
      </c>
      <c r="L756" s="36" t="s">
        <v>11808</v>
      </c>
      <c r="M756" s="36" t="s">
        <v>11809</v>
      </c>
      <c r="N756" s="36" t="s">
        <v>11810</v>
      </c>
      <c r="O756" s="36" t="s">
        <v>11811</v>
      </c>
      <c r="P756" s="36" t="s">
        <v>11798</v>
      </c>
    </row>
    <row r="757" spans="1:16">
      <c r="A757" s="132">
        <v>756</v>
      </c>
      <c r="B757" s="36" t="s">
        <v>11812</v>
      </c>
      <c r="C757" s="36" t="s">
        <v>11813</v>
      </c>
      <c r="D757" s="36" t="s">
        <v>11814</v>
      </c>
      <c r="E757" s="36" t="s">
        <v>11815</v>
      </c>
      <c r="F757" s="36" t="s">
        <v>11816</v>
      </c>
      <c r="G757" s="36" t="s">
        <v>11817</v>
      </c>
      <c r="H757" s="36" t="s">
        <v>11818</v>
      </c>
      <c r="I757" s="36" t="s">
        <v>11819</v>
      </c>
      <c r="J757" s="36" t="s">
        <v>11820</v>
      </c>
      <c r="K757" s="36" t="s">
        <v>11821</v>
      </c>
      <c r="L757" s="36" t="s">
        <v>11822</v>
      </c>
      <c r="M757" s="36" t="s">
        <v>11823</v>
      </c>
      <c r="N757" s="36" t="s">
        <v>11824</v>
      </c>
      <c r="O757" s="36" t="s">
        <v>11825</v>
      </c>
      <c r="P757" s="36" t="s">
        <v>11812</v>
      </c>
    </row>
    <row r="758" spans="1:16">
      <c r="A758" s="132">
        <v>757</v>
      </c>
      <c r="B758" s="36" t="s">
        <v>11826</v>
      </c>
      <c r="C758" s="36" t="s">
        <v>11827</v>
      </c>
      <c r="D758" s="36" t="s">
        <v>11828</v>
      </c>
      <c r="E758" s="36" t="s">
        <v>11829</v>
      </c>
      <c r="F758" s="36" t="s">
        <v>11830</v>
      </c>
      <c r="G758" s="36" t="s">
        <v>11831</v>
      </c>
      <c r="H758" s="36" t="s">
        <v>11832</v>
      </c>
      <c r="I758" s="36" t="s">
        <v>11833</v>
      </c>
      <c r="J758" s="36" t="s">
        <v>11834</v>
      </c>
      <c r="K758" s="36" t="s">
        <v>11835</v>
      </c>
      <c r="L758" s="36" t="s">
        <v>11836</v>
      </c>
      <c r="M758" s="36" t="s">
        <v>11837</v>
      </c>
      <c r="N758" s="36" t="s">
        <v>11838</v>
      </c>
      <c r="O758" s="36" t="s">
        <v>11839</v>
      </c>
      <c r="P758" s="36" t="s">
        <v>11826</v>
      </c>
    </row>
    <row r="759" spans="1:16">
      <c r="A759" s="132">
        <v>758</v>
      </c>
      <c r="B759" s="36" t="s">
        <v>11840</v>
      </c>
      <c r="C759" s="36" t="s">
        <v>11841</v>
      </c>
      <c r="D759" s="36" t="s">
        <v>11842</v>
      </c>
      <c r="E759" s="36" t="s">
        <v>11843</v>
      </c>
      <c r="F759" s="36" t="s">
        <v>11844</v>
      </c>
      <c r="G759" s="36" t="s">
        <v>11845</v>
      </c>
      <c r="H759" s="36" t="s">
        <v>11846</v>
      </c>
      <c r="I759" s="36" t="s">
        <v>11847</v>
      </c>
      <c r="J759" s="36" t="s">
        <v>11848</v>
      </c>
      <c r="K759" s="36" t="s">
        <v>11849</v>
      </c>
      <c r="L759" s="36" t="s">
        <v>11850</v>
      </c>
      <c r="M759" s="36" t="s">
        <v>11851</v>
      </c>
      <c r="N759" s="36" t="s">
        <v>11852</v>
      </c>
      <c r="O759" s="36" t="s">
        <v>11853</v>
      </c>
      <c r="P759" s="36" t="s">
        <v>11840</v>
      </c>
    </row>
    <row r="760" spans="1:16">
      <c r="A760" s="132">
        <v>759</v>
      </c>
      <c r="B760" s="36" t="s">
        <v>11854</v>
      </c>
      <c r="C760" s="36" t="s">
        <v>11855</v>
      </c>
      <c r="D760" s="36" t="s">
        <v>11856</v>
      </c>
      <c r="E760" s="36" t="s">
        <v>11857</v>
      </c>
      <c r="F760" s="36" t="s">
        <v>11858</v>
      </c>
      <c r="G760" s="36" t="s">
        <v>11859</v>
      </c>
      <c r="H760" s="36" t="s">
        <v>11860</v>
      </c>
      <c r="I760" s="36" t="s">
        <v>11861</v>
      </c>
      <c r="J760" s="36" t="s">
        <v>11862</v>
      </c>
      <c r="K760" s="36" t="s">
        <v>11863</v>
      </c>
      <c r="L760" s="36" t="s">
        <v>11864</v>
      </c>
      <c r="M760" s="36" t="s">
        <v>11865</v>
      </c>
      <c r="N760" s="36" t="s">
        <v>11866</v>
      </c>
      <c r="O760" s="36" t="s">
        <v>11867</v>
      </c>
      <c r="P760" s="36" t="s">
        <v>11854</v>
      </c>
    </row>
    <row r="761" spans="1:16">
      <c r="A761" s="132">
        <v>760</v>
      </c>
      <c r="B761" s="36" t="s">
        <v>11868</v>
      </c>
      <c r="C761" s="36" t="s">
        <v>11869</v>
      </c>
      <c r="D761" s="36" t="s">
        <v>7820</v>
      </c>
      <c r="E761" s="36" t="s">
        <v>11870</v>
      </c>
      <c r="F761" s="36" t="s">
        <v>11871</v>
      </c>
      <c r="G761" s="36" t="s">
        <v>11872</v>
      </c>
      <c r="H761" s="36" t="s">
        <v>11873</v>
      </c>
      <c r="I761" s="36" t="s">
        <v>11874</v>
      </c>
      <c r="J761" s="36" t="s">
        <v>11875</v>
      </c>
      <c r="K761" s="36" t="s">
        <v>11876</v>
      </c>
      <c r="L761" s="36" t="s">
        <v>11877</v>
      </c>
      <c r="M761" s="36" t="s">
        <v>11878</v>
      </c>
      <c r="N761" s="36" t="s">
        <v>11879</v>
      </c>
      <c r="O761" s="36" t="s">
        <v>11880</v>
      </c>
      <c r="P761" s="36" t="s">
        <v>11868</v>
      </c>
    </row>
    <row r="762" spans="1:16">
      <c r="A762" s="132">
        <v>761</v>
      </c>
      <c r="B762" s="36" t="s">
        <v>11881</v>
      </c>
      <c r="C762" s="36" t="s">
        <v>11882</v>
      </c>
      <c r="D762" s="36" t="s">
        <v>11883</v>
      </c>
      <c r="E762" s="36" t="s">
        <v>11884</v>
      </c>
      <c r="F762" s="36" t="s">
        <v>11885</v>
      </c>
      <c r="G762" s="36" t="s">
        <v>11886</v>
      </c>
      <c r="H762" s="36" t="s">
        <v>11887</v>
      </c>
      <c r="I762" s="36" t="s">
        <v>11888</v>
      </c>
      <c r="J762" s="36" t="s">
        <v>11889</v>
      </c>
      <c r="K762" s="36" t="s">
        <v>11890</v>
      </c>
      <c r="L762" s="36" t="s">
        <v>11891</v>
      </c>
      <c r="M762" s="36" t="s">
        <v>11892</v>
      </c>
      <c r="N762" s="36" t="s">
        <v>11893</v>
      </c>
      <c r="O762" s="36" t="s">
        <v>11894</v>
      </c>
      <c r="P762" s="36" t="s">
        <v>11881</v>
      </c>
    </row>
    <row r="763" spans="1:16">
      <c r="A763" s="132">
        <v>762</v>
      </c>
      <c r="B763" s="36" t="s">
        <v>11895</v>
      </c>
      <c r="C763" s="36" t="s">
        <v>11896</v>
      </c>
      <c r="D763" s="36" t="s">
        <v>11897</v>
      </c>
      <c r="E763" s="36" t="s">
        <v>11898</v>
      </c>
      <c r="F763" s="36" t="s">
        <v>11899</v>
      </c>
      <c r="G763" s="36" t="s">
        <v>11900</v>
      </c>
      <c r="H763" s="36" t="s">
        <v>11901</v>
      </c>
      <c r="I763" s="36" t="s">
        <v>11902</v>
      </c>
      <c r="J763" s="36" t="s">
        <v>5476</v>
      </c>
      <c r="K763" s="36" t="s">
        <v>11903</v>
      </c>
      <c r="L763" s="36" t="s">
        <v>11904</v>
      </c>
      <c r="M763" s="36" t="s">
        <v>11905</v>
      </c>
      <c r="N763" s="36" t="s">
        <v>11906</v>
      </c>
      <c r="O763" s="36" t="s">
        <v>11907</v>
      </c>
      <c r="P763" s="36" t="s">
        <v>11895</v>
      </c>
    </row>
    <row r="764" spans="1:16">
      <c r="A764" s="132">
        <v>763</v>
      </c>
      <c r="B764" s="36" t="s">
        <v>11908</v>
      </c>
      <c r="C764" s="36" t="s">
        <v>11909</v>
      </c>
      <c r="D764" s="36" t="s">
        <v>11910</v>
      </c>
      <c r="E764" s="36" t="s">
        <v>11911</v>
      </c>
      <c r="F764" s="36" t="s">
        <v>11912</v>
      </c>
      <c r="G764" s="36" t="s">
        <v>11913</v>
      </c>
      <c r="H764" s="36" t="s">
        <v>11914</v>
      </c>
      <c r="I764" s="36" t="s">
        <v>11915</v>
      </c>
      <c r="J764" s="36" t="s">
        <v>11916</v>
      </c>
      <c r="K764" s="36" t="s">
        <v>11917</v>
      </c>
      <c r="L764" s="36" t="s">
        <v>11918</v>
      </c>
      <c r="M764" s="36" t="s">
        <v>11919</v>
      </c>
      <c r="N764" s="36" t="s">
        <v>11920</v>
      </c>
      <c r="O764" s="36" t="s">
        <v>11921</v>
      </c>
      <c r="P764" s="36" t="s">
        <v>11908</v>
      </c>
    </row>
    <row r="765" spans="1:16" ht="13.95" customHeight="1">
      <c r="A765" s="132">
        <v>764</v>
      </c>
      <c r="B765" s="36" t="s">
        <v>11922</v>
      </c>
      <c r="C765" s="36" t="s">
        <v>11923</v>
      </c>
      <c r="D765" s="36" t="s">
        <v>11924</v>
      </c>
      <c r="E765" s="36" t="s">
        <v>11925</v>
      </c>
      <c r="F765" s="36" t="s">
        <v>11926</v>
      </c>
      <c r="G765" s="36" t="s">
        <v>11927</v>
      </c>
      <c r="H765" s="36" t="s">
        <v>11928</v>
      </c>
      <c r="I765" s="36" t="s">
        <v>11929</v>
      </c>
      <c r="J765" s="36" t="s">
        <v>11930</v>
      </c>
      <c r="K765" s="36" t="s">
        <v>11931</v>
      </c>
      <c r="L765" s="36" t="s">
        <v>11932</v>
      </c>
      <c r="M765" s="36" t="s">
        <v>11933</v>
      </c>
      <c r="N765" s="36" t="s">
        <v>11934</v>
      </c>
      <c r="O765" s="36" t="s">
        <v>11935</v>
      </c>
      <c r="P765" s="36" t="s">
        <v>11922</v>
      </c>
    </row>
    <row r="766" spans="1:16">
      <c r="A766" s="132">
        <v>765</v>
      </c>
      <c r="B766" s="36" t="s">
        <v>11936</v>
      </c>
      <c r="C766" s="36" t="s">
        <v>11937</v>
      </c>
      <c r="D766" s="36" t="s">
        <v>11938</v>
      </c>
      <c r="E766" s="36" t="s">
        <v>11939</v>
      </c>
      <c r="F766" s="36" t="s">
        <v>11940</v>
      </c>
      <c r="G766" s="36" t="s">
        <v>11941</v>
      </c>
      <c r="H766" s="36" t="s">
        <v>11942</v>
      </c>
      <c r="I766" s="36" t="s">
        <v>11943</v>
      </c>
      <c r="J766" s="36" t="s">
        <v>11944</v>
      </c>
      <c r="K766" s="36" t="s">
        <v>11945</v>
      </c>
      <c r="L766" s="36" t="s">
        <v>11946</v>
      </c>
      <c r="M766" s="36" t="s">
        <v>11947</v>
      </c>
      <c r="N766" s="36" t="s">
        <v>11948</v>
      </c>
      <c r="O766" s="36" t="s">
        <v>11949</v>
      </c>
      <c r="P766" s="36" t="s">
        <v>11936</v>
      </c>
    </row>
    <row r="767" spans="1:16">
      <c r="A767" s="132">
        <v>766</v>
      </c>
      <c r="B767" s="36" t="s">
        <v>11950</v>
      </c>
      <c r="C767" s="36" t="s">
        <v>11951</v>
      </c>
      <c r="D767" s="36" t="s">
        <v>11952</v>
      </c>
      <c r="E767" s="36" t="s">
        <v>11953</v>
      </c>
      <c r="F767" s="36" t="s">
        <v>11954</v>
      </c>
      <c r="G767" s="36" t="s">
        <v>11955</v>
      </c>
      <c r="H767" s="36" t="s">
        <v>11956</v>
      </c>
      <c r="I767" s="36" t="s">
        <v>11957</v>
      </c>
      <c r="J767" s="36" t="s">
        <v>11958</v>
      </c>
      <c r="K767" s="36" t="s">
        <v>11959</v>
      </c>
      <c r="L767" s="36" t="s">
        <v>11960</v>
      </c>
      <c r="M767" s="36" t="s">
        <v>11961</v>
      </c>
      <c r="N767" s="36" t="s">
        <v>11962</v>
      </c>
      <c r="O767" s="36" t="s">
        <v>11963</v>
      </c>
      <c r="P767" s="36" t="s">
        <v>11950</v>
      </c>
    </row>
    <row r="768" spans="1:16">
      <c r="A768" s="132">
        <v>767</v>
      </c>
      <c r="B768" s="36" t="s">
        <v>11964</v>
      </c>
      <c r="C768" s="36" t="s">
        <v>11965</v>
      </c>
      <c r="D768" s="36" t="s">
        <v>11966</v>
      </c>
      <c r="E768" s="36" t="s">
        <v>11967</v>
      </c>
      <c r="F768" s="36" t="s">
        <v>11968</v>
      </c>
      <c r="G768" s="36" t="s">
        <v>11969</v>
      </c>
      <c r="H768" s="36" t="s">
        <v>11970</v>
      </c>
      <c r="I768" s="36" t="s">
        <v>11971</v>
      </c>
      <c r="J768" s="36" t="s">
        <v>11972</v>
      </c>
      <c r="K768" s="36" t="s">
        <v>11973</v>
      </c>
      <c r="L768" s="36" t="s">
        <v>11974</v>
      </c>
      <c r="M768" s="36" t="s">
        <v>11975</v>
      </c>
      <c r="N768" s="36" t="s">
        <v>11976</v>
      </c>
      <c r="O768" s="36" t="s">
        <v>11977</v>
      </c>
      <c r="P768" s="36" t="s">
        <v>11964</v>
      </c>
    </row>
    <row r="769" spans="1:16">
      <c r="A769" s="132">
        <v>768</v>
      </c>
      <c r="B769" s="36" t="s">
        <v>11978</v>
      </c>
      <c r="C769" s="36" t="s">
        <v>11979</v>
      </c>
      <c r="D769" s="36" t="s">
        <v>11980</v>
      </c>
      <c r="E769" s="36" t="s">
        <v>11981</v>
      </c>
      <c r="F769" s="36" t="s">
        <v>11982</v>
      </c>
      <c r="G769" s="36" t="s">
        <v>11983</v>
      </c>
      <c r="H769" s="36" t="s">
        <v>11984</v>
      </c>
      <c r="I769" s="36" t="s">
        <v>11985</v>
      </c>
      <c r="J769" s="36" t="s">
        <v>11986</v>
      </c>
      <c r="K769" s="36" t="s">
        <v>11987</v>
      </c>
      <c r="L769" s="36" t="s">
        <v>11988</v>
      </c>
      <c r="M769" s="36" t="s">
        <v>11989</v>
      </c>
      <c r="N769" s="36" t="s">
        <v>11990</v>
      </c>
      <c r="O769" s="36" t="s">
        <v>11991</v>
      </c>
      <c r="P769" s="36" t="s">
        <v>11978</v>
      </c>
    </row>
    <row r="770" spans="1:16">
      <c r="A770" s="132">
        <v>769</v>
      </c>
      <c r="B770" s="36" t="s">
        <v>11992</v>
      </c>
      <c r="C770" s="36" t="s">
        <v>11965</v>
      </c>
      <c r="D770" s="36" t="s">
        <v>11966</v>
      </c>
      <c r="E770" s="36" t="s">
        <v>11993</v>
      </c>
      <c r="F770" s="36" t="s">
        <v>6274</v>
      </c>
      <c r="G770" s="36" t="s">
        <v>11969</v>
      </c>
      <c r="H770" s="36" t="s">
        <v>11994</v>
      </c>
      <c r="I770" s="36" t="s">
        <v>11995</v>
      </c>
      <c r="J770" s="36" t="s">
        <v>11996</v>
      </c>
      <c r="K770" s="36" t="s">
        <v>11997</v>
      </c>
      <c r="L770" s="36" t="s">
        <v>11998</v>
      </c>
      <c r="M770" s="36" t="s">
        <v>11999</v>
      </c>
      <c r="N770" s="36" t="s">
        <v>12000</v>
      </c>
      <c r="O770" s="36" t="s">
        <v>12001</v>
      </c>
      <c r="P770" s="36" t="s">
        <v>11992</v>
      </c>
    </row>
    <row r="771" spans="1:16">
      <c r="A771" s="132">
        <v>770</v>
      </c>
      <c r="B771" s="36" t="s">
        <v>12002</v>
      </c>
      <c r="C771" s="36" t="s">
        <v>12003</v>
      </c>
      <c r="D771" s="36" t="s">
        <v>12004</v>
      </c>
      <c r="E771" s="36" t="s">
        <v>12005</v>
      </c>
      <c r="F771" s="36" t="s">
        <v>12006</v>
      </c>
      <c r="G771" s="36" t="s">
        <v>12007</v>
      </c>
      <c r="H771" s="36" t="s">
        <v>12008</v>
      </c>
      <c r="I771" s="36" t="s">
        <v>12009</v>
      </c>
      <c r="J771" s="36" t="s">
        <v>12010</v>
      </c>
      <c r="K771" s="36" t="s">
        <v>12011</v>
      </c>
      <c r="L771" s="36" t="s">
        <v>12012</v>
      </c>
      <c r="M771" s="36" t="s">
        <v>12013</v>
      </c>
      <c r="N771" s="36" t="s">
        <v>12014</v>
      </c>
      <c r="O771" s="36" t="s">
        <v>12015</v>
      </c>
      <c r="P771" s="36" t="s">
        <v>12002</v>
      </c>
    </row>
    <row r="772" spans="1:16">
      <c r="A772" s="132">
        <v>771</v>
      </c>
      <c r="B772" s="36" t="s">
        <v>12016</v>
      </c>
      <c r="C772" s="36" t="s">
        <v>12017</v>
      </c>
      <c r="D772" s="36" t="s">
        <v>12018</v>
      </c>
      <c r="E772" s="36" t="s">
        <v>12019</v>
      </c>
      <c r="F772" s="36" t="s">
        <v>12020</v>
      </c>
      <c r="G772" s="36" t="s">
        <v>12021</v>
      </c>
      <c r="H772" s="36" t="s">
        <v>12022</v>
      </c>
      <c r="I772" s="36" t="s">
        <v>12023</v>
      </c>
      <c r="J772" s="36" t="s">
        <v>12024</v>
      </c>
      <c r="K772" s="36" t="s">
        <v>12025</v>
      </c>
      <c r="L772" s="36" t="s">
        <v>12026</v>
      </c>
      <c r="M772" s="36" t="s">
        <v>12027</v>
      </c>
      <c r="N772" s="36" t="s">
        <v>12028</v>
      </c>
      <c r="O772" s="36" t="s">
        <v>12029</v>
      </c>
      <c r="P772" s="36" t="s">
        <v>12016</v>
      </c>
    </row>
    <row r="773" spans="1:16">
      <c r="A773" s="132">
        <v>772</v>
      </c>
      <c r="B773" s="36" t="s">
        <v>12030</v>
      </c>
      <c r="C773" s="36" t="s">
        <v>12031</v>
      </c>
      <c r="D773" s="36" t="s">
        <v>12032</v>
      </c>
      <c r="E773" s="36" t="s">
        <v>12033</v>
      </c>
      <c r="F773" s="36" t="s">
        <v>12034</v>
      </c>
      <c r="G773" s="36" t="s">
        <v>12035</v>
      </c>
      <c r="H773" s="36" t="s">
        <v>12036</v>
      </c>
      <c r="I773" s="36" t="s">
        <v>12037</v>
      </c>
      <c r="J773" s="36" t="s">
        <v>12038</v>
      </c>
      <c r="K773" s="36" t="s">
        <v>12039</v>
      </c>
      <c r="L773" s="36" t="s">
        <v>12040</v>
      </c>
      <c r="M773" s="36" t="s">
        <v>12041</v>
      </c>
      <c r="N773" s="36" t="s">
        <v>12042</v>
      </c>
      <c r="O773" s="36" t="s">
        <v>12043</v>
      </c>
      <c r="P773" s="36" t="s">
        <v>12030</v>
      </c>
    </row>
    <row r="774" spans="1:16">
      <c r="A774" s="132">
        <v>773</v>
      </c>
      <c r="B774" s="36" t="s">
        <v>12044</v>
      </c>
      <c r="C774" s="36" t="s">
        <v>12045</v>
      </c>
      <c r="D774" s="36" t="s">
        <v>12046</v>
      </c>
      <c r="E774" s="36" t="s">
        <v>12047</v>
      </c>
      <c r="F774" s="36" t="s">
        <v>12048</v>
      </c>
      <c r="G774" s="36" t="s">
        <v>12049</v>
      </c>
      <c r="H774" s="36" t="s">
        <v>12050</v>
      </c>
      <c r="I774" s="36" t="s">
        <v>12051</v>
      </c>
      <c r="J774" s="36" t="s">
        <v>12052</v>
      </c>
      <c r="K774" s="36" t="s">
        <v>12053</v>
      </c>
      <c r="L774" s="36" t="s">
        <v>12054</v>
      </c>
      <c r="M774" s="36" t="s">
        <v>12055</v>
      </c>
      <c r="N774" s="36" t="s">
        <v>12056</v>
      </c>
      <c r="O774" s="36" t="s">
        <v>12057</v>
      </c>
      <c r="P774" s="36" t="s">
        <v>12044</v>
      </c>
    </row>
    <row r="775" spans="1:16">
      <c r="A775" s="132">
        <v>774</v>
      </c>
      <c r="B775" s="36" t="s">
        <v>12058</v>
      </c>
      <c r="C775" s="36" t="s">
        <v>12059</v>
      </c>
      <c r="D775" s="36" t="s">
        <v>12060</v>
      </c>
      <c r="E775" s="36" t="s">
        <v>12061</v>
      </c>
      <c r="F775" s="36" t="s">
        <v>12062</v>
      </c>
      <c r="G775" s="36" t="s">
        <v>12063</v>
      </c>
      <c r="H775" s="36" t="s">
        <v>12064</v>
      </c>
      <c r="I775" s="36" t="s">
        <v>12065</v>
      </c>
      <c r="J775" s="36" t="s">
        <v>12066</v>
      </c>
      <c r="K775" s="36" t="s">
        <v>12067</v>
      </c>
      <c r="L775" s="36" t="s">
        <v>12068</v>
      </c>
      <c r="M775" s="36" t="s">
        <v>12069</v>
      </c>
      <c r="N775" s="36" t="s">
        <v>12070</v>
      </c>
      <c r="O775" s="36" t="s">
        <v>12071</v>
      </c>
      <c r="P775" s="36" t="s">
        <v>12058</v>
      </c>
    </row>
    <row r="776" spans="1:16">
      <c r="A776" s="132">
        <v>775</v>
      </c>
      <c r="B776" s="36" t="s">
        <v>12072</v>
      </c>
      <c r="C776" s="36" t="s">
        <v>12073</v>
      </c>
      <c r="D776" s="36" t="s">
        <v>12074</v>
      </c>
      <c r="E776" s="36" t="s">
        <v>12075</v>
      </c>
      <c r="F776" s="36" t="s">
        <v>12076</v>
      </c>
      <c r="G776" s="36" t="s">
        <v>12077</v>
      </c>
      <c r="H776" s="36" t="s">
        <v>12078</v>
      </c>
      <c r="I776" s="36" t="s">
        <v>12079</v>
      </c>
      <c r="J776" s="36" t="s">
        <v>12080</v>
      </c>
      <c r="K776" s="36" t="s">
        <v>12081</v>
      </c>
      <c r="L776" s="36" t="s">
        <v>12082</v>
      </c>
      <c r="M776" s="36" t="s">
        <v>12083</v>
      </c>
      <c r="N776" s="36" t="s">
        <v>12084</v>
      </c>
      <c r="O776" s="36" t="s">
        <v>12085</v>
      </c>
      <c r="P776" s="36" t="s">
        <v>12072</v>
      </c>
    </row>
    <row r="777" spans="1:16">
      <c r="A777" s="132">
        <v>776</v>
      </c>
      <c r="B777" s="36" t="s">
        <v>12086</v>
      </c>
      <c r="C777" s="36" t="s">
        <v>12087</v>
      </c>
      <c r="D777" s="36" t="s">
        <v>12088</v>
      </c>
      <c r="E777" s="36" t="s">
        <v>12089</v>
      </c>
      <c r="F777" s="36" t="s">
        <v>12090</v>
      </c>
      <c r="G777" s="36" t="s">
        <v>12091</v>
      </c>
      <c r="H777" s="36" t="s">
        <v>12092</v>
      </c>
      <c r="I777" s="36" t="s">
        <v>12093</v>
      </c>
      <c r="J777" s="36" t="s">
        <v>12094</v>
      </c>
      <c r="K777" s="36" t="s">
        <v>12095</v>
      </c>
      <c r="L777" s="36" t="s">
        <v>12096</v>
      </c>
      <c r="M777" s="36" t="s">
        <v>12097</v>
      </c>
      <c r="N777" s="36" t="s">
        <v>12098</v>
      </c>
      <c r="O777" s="36" t="s">
        <v>12099</v>
      </c>
      <c r="P777" s="36" t="s">
        <v>12086</v>
      </c>
    </row>
    <row r="778" spans="1:16">
      <c r="A778" s="132">
        <v>777</v>
      </c>
      <c r="B778" s="36" t="s">
        <v>12100</v>
      </c>
      <c r="C778" s="36" t="s">
        <v>12101</v>
      </c>
      <c r="D778" s="36" t="s">
        <v>12102</v>
      </c>
      <c r="E778" s="36" t="s">
        <v>12103</v>
      </c>
      <c r="F778" s="36" t="s">
        <v>12104</v>
      </c>
      <c r="G778" s="36" t="s">
        <v>12105</v>
      </c>
      <c r="H778" s="36" t="s">
        <v>12106</v>
      </c>
      <c r="I778" s="36" t="s">
        <v>12107</v>
      </c>
      <c r="J778" s="36" t="s">
        <v>12108</v>
      </c>
      <c r="K778" s="36" t="s">
        <v>12109</v>
      </c>
      <c r="L778" s="36" t="s">
        <v>12110</v>
      </c>
      <c r="M778" s="36" t="s">
        <v>12111</v>
      </c>
      <c r="N778" s="36" t="s">
        <v>12112</v>
      </c>
      <c r="O778" s="36" t="s">
        <v>12113</v>
      </c>
      <c r="P778" s="36" t="s">
        <v>12100</v>
      </c>
    </row>
    <row r="779" spans="1:16">
      <c r="A779" s="132">
        <v>778</v>
      </c>
      <c r="B779" s="36" t="s">
        <v>12114</v>
      </c>
      <c r="C779" s="36" t="s">
        <v>12115</v>
      </c>
      <c r="D779" s="36" t="s">
        <v>12116</v>
      </c>
      <c r="E779" s="36" t="s">
        <v>12117</v>
      </c>
      <c r="F779" s="36" t="s">
        <v>12118</v>
      </c>
      <c r="G779" s="36" t="s">
        <v>12119</v>
      </c>
      <c r="H779" s="36" t="s">
        <v>12120</v>
      </c>
      <c r="I779" s="36" t="s">
        <v>12121</v>
      </c>
      <c r="J779" s="36" t="s">
        <v>12122</v>
      </c>
      <c r="K779" s="36" t="s">
        <v>12123</v>
      </c>
      <c r="L779" s="36" t="s">
        <v>12124</v>
      </c>
      <c r="M779" s="36" t="s">
        <v>12125</v>
      </c>
      <c r="N779" s="36" t="s">
        <v>12126</v>
      </c>
      <c r="O779" s="36" t="s">
        <v>12127</v>
      </c>
      <c r="P779" s="36" t="s">
        <v>12114</v>
      </c>
    </row>
    <row r="780" spans="1:16">
      <c r="A780" s="132">
        <v>779</v>
      </c>
      <c r="B780" s="36" t="s">
        <v>12128</v>
      </c>
      <c r="C780" s="36" t="s">
        <v>12129</v>
      </c>
      <c r="D780" s="36" t="s">
        <v>12130</v>
      </c>
      <c r="E780" s="36" t="s">
        <v>12131</v>
      </c>
      <c r="F780" s="36" t="s">
        <v>12132</v>
      </c>
      <c r="G780" s="36" t="s">
        <v>12133</v>
      </c>
      <c r="H780" s="36" t="s">
        <v>12134</v>
      </c>
      <c r="I780" s="36" t="s">
        <v>12135</v>
      </c>
      <c r="J780" s="36" t="s">
        <v>12136</v>
      </c>
      <c r="K780" s="36" t="s">
        <v>12137</v>
      </c>
      <c r="L780" s="36" t="s">
        <v>12138</v>
      </c>
      <c r="M780" s="36" t="s">
        <v>12139</v>
      </c>
      <c r="N780" s="36" t="s">
        <v>12140</v>
      </c>
      <c r="O780" s="36" t="s">
        <v>12141</v>
      </c>
      <c r="P780" s="36" t="s">
        <v>12128</v>
      </c>
    </row>
    <row r="781" spans="1:16">
      <c r="A781" s="132">
        <v>780</v>
      </c>
      <c r="B781" s="36" t="s">
        <v>12142</v>
      </c>
      <c r="C781" s="36" t="s">
        <v>12143</v>
      </c>
      <c r="D781" s="36" t="s">
        <v>12144</v>
      </c>
      <c r="E781" s="36" t="s">
        <v>11953</v>
      </c>
      <c r="F781" s="36" t="s">
        <v>12145</v>
      </c>
      <c r="G781" s="36" t="s">
        <v>12146</v>
      </c>
      <c r="H781" s="36" t="s">
        <v>12147</v>
      </c>
      <c r="I781" s="36" t="s">
        <v>12148</v>
      </c>
      <c r="J781" s="36" t="s">
        <v>12149</v>
      </c>
      <c r="K781" s="36" t="s">
        <v>12150</v>
      </c>
      <c r="L781" s="36" t="s">
        <v>12151</v>
      </c>
      <c r="M781" s="36" t="s">
        <v>12152</v>
      </c>
      <c r="N781" s="36" t="s">
        <v>12153</v>
      </c>
      <c r="O781" s="36" t="s">
        <v>12154</v>
      </c>
      <c r="P781" s="36" t="s">
        <v>12142</v>
      </c>
    </row>
    <row r="782" spans="1:16">
      <c r="A782" s="132">
        <v>781</v>
      </c>
      <c r="B782" s="36" t="s">
        <v>12155</v>
      </c>
      <c r="C782" s="36" t="s">
        <v>12156</v>
      </c>
      <c r="D782" s="36" t="s">
        <v>12157</v>
      </c>
      <c r="E782" s="36" t="s">
        <v>12158</v>
      </c>
      <c r="F782" s="36" t="s">
        <v>12159</v>
      </c>
      <c r="G782" s="36" t="s">
        <v>12160</v>
      </c>
      <c r="H782" s="36" t="s">
        <v>12161</v>
      </c>
      <c r="I782" s="36" t="s">
        <v>12162</v>
      </c>
      <c r="J782" s="36" t="s">
        <v>12163</v>
      </c>
      <c r="K782" s="36" t="s">
        <v>12164</v>
      </c>
      <c r="L782" s="36" t="s">
        <v>12165</v>
      </c>
      <c r="M782" s="36" t="s">
        <v>12166</v>
      </c>
      <c r="N782" s="36" t="s">
        <v>12167</v>
      </c>
      <c r="O782" s="36" t="s">
        <v>12168</v>
      </c>
      <c r="P782" s="36" t="s">
        <v>12155</v>
      </c>
    </row>
    <row r="783" spans="1:16">
      <c r="A783" s="132">
        <v>782</v>
      </c>
      <c r="B783" s="36" t="s">
        <v>12169</v>
      </c>
      <c r="C783" s="36" t="s">
        <v>12170</v>
      </c>
      <c r="D783" s="36" t="s">
        <v>12171</v>
      </c>
      <c r="E783" s="36" t="s">
        <v>12172</v>
      </c>
      <c r="F783" s="36" t="s">
        <v>12173</v>
      </c>
      <c r="G783" s="36" t="s">
        <v>12174</v>
      </c>
      <c r="H783" s="36" t="s">
        <v>12175</v>
      </c>
      <c r="I783" s="36" t="s">
        <v>12176</v>
      </c>
      <c r="J783" s="36" t="s">
        <v>12177</v>
      </c>
      <c r="K783" s="36" t="s">
        <v>12178</v>
      </c>
      <c r="L783" s="36" t="s">
        <v>12179</v>
      </c>
      <c r="M783" s="36" t="s">
        <v>12180</v>
      </c>
      <c r="N783" s="36" t="s">
        <v>12181</v>
      </c>
      <c r="O783" s="36" t="s">
        <v>12182</v>
      </c>
      <c r="P783" s="36" t="s">
        <v>12169</v>
      </c>
    </row>
    <row r="784" spans="1:16">
      <c r="A784" s="132">
        <v>783</v>
      </c>
      <c r="B784" s="36" t="s">
        <v>12183</v>
      </c>
      <c r="C784" s="36" t="s">
        <v>12184</v>
      </c>
      <c r="D784" s="36" t="s">
        <v>12185</v>
      </c>
      <c r="E784" s="36" t="s">
        <v>12186</v>
      </c>
      <c r="F784" s="36" t="s">
        <v>12187</v>
      </c>
      <c r="G784" s="36" t="s">
        <v>12188</v>
      </c>
      <c r="H784" s="36" t="s">
        <v>12189</v>
      </c>
      <c r="I784" s="36" t="s">
        <v>12183</v>
      </c>
      <c r="J784" s="36" t="s">
        <v>12190</v>
      </c>
      <c r="K784" s="36" t="s">
        <v>12191</v>
      </c>
      <c r="L784" s="36" t="s">
        <v>12192</v>
      </c>
      <c r="M784" s="36" t="s">
        <v>12193</v>
      </c>
      <c r="N784" s="36" t="s">
        <v>12194</v>
      </c>
      <c r="O784" s="36" t="s">
        <v>12195</v>
      </c>
      <c r="P784" s="36" t="s">
        <v>12183</v>
      </c>
    </row>
    <row r="785" spans="1:16">
      <c r="A785" s="132">
        <v>784</v>
      </c>
      <c r="B785" s="36" t="s">
        <v>12196</v>
      </c>
      <c r="C785" s="36" t="s">
        <v>12197</v>
      </c>
      <c r="D785" s="36" t="s">
        <v>12185</v>
      </c>
      <c r="E785" s="36" t="s">
        <v>12198</v>
      </c>
      <c r="F785" s="36" t="s">
        <v>12199</v>
      </c>
      <c r="G785" s="36" t="s">
        <v>12200</v>
      </c>
      <c r="H785" s="36" t="s">
        <v>12201</v>
      </c>
      <c r="I785" s="36" t="s">
        <v>12202</v>
      </c>
      <c r="J785" s="36" t="s">
        <v>12203</v>
      </c>
      <c r="K785" s="36" t="s">
        <v>12191</v>
      </c>
      <c r="L785" s="36" t="s">
        <v>12204</v>
      </c>
      <c r="M785" s="36" t="s">
        <v>12205</v>
      </c>
      <c r="N785" s="36" t="s">
        <v>12206</v>
      </c>
      <c r="O785" s="36" t="s">
        <v>12207</v>
      </c>
      <c r="P785" s="36" t="s">
        <v>12196</v>
      </c>
    </row>
    <row r="786" spans="1:16">
      <c r="A786" s="132">
        <v>785</v>
      </c>
      <c r="B786" s="36" t="s">
        <v>12208</v>
      </c>
      <c r="C786" s="36" t="s">
        <v>12209</v>
      </c>
      <c r="D786" s="36" t="s">
        <v>12210</v>
      </c>
      <c r="E786" s="36" t="s">
        <v>7393</v>
      </c>
      <c r="F786" s="36" t="s">
        <v>12211</v>
      </c>
      <c r="G786" s="36" t="s">
        <v>12212</v>
      </c>
      <c r="H786" s="36" t="s">
        <v>12213</v>
      </c>
      <c r="I786" s="36" t="s">
        <v>12214</v>
      </c>
      <c r="J786" s="36" t="s">
        <v>12215</v>
      </c>
      <c r="K786" s="36" t="s">
        <v>12216</v>
      </c>
      <c r="L786" s="36" t="s">
        <v>12217</v>
      </c>
      <c r="M786" s="36" t="s">
        <v>12218</v>
      </c>
      <c r="N786" s="36" t="s">
        <v>12218</v>
      </c>
      <c r="O786" s="36" t="s">
        <v>12219</v>
      </c>
      <c r="P786" s="36" t="s">
        <v>12208</v>
      </c>
    </row>
    <row r="787" spans="1:16">
      <c r="A787" s="132">
        <v>786</v>
      </c>
      <c r="B787" s="36" t="s">
        <v>12220</v>
      </c>
      <c r="C787" s="36" t="s">
        <v>12221</v>
      </c>
      <c r="D787" s="36" t="s">
        <v>12222</v>
      </c>
      <c r="E787" s="36" t="s">
        <v>12223</v>
      </c>
      <c r="F787" s="36" t="s">
        <v>12224</v>
      </c>
      <c r="G787" s="36" t="s">
        <v>12225</v>
      </c>
      <c r="H787" s="36" t="s">
        <v>12226</v>
      </c>
      <c r="I787" s="36" t="s">
        <v>12227</v>
      </c>
      <c r="J787" s="36" t="s">
        <v>12228</v>
      </c>
      <c r="K787" s="36" t="s">
        <v>12229</v>
      </c>
      <c r="L787" s="36" t="s">
        <v>12230</v>
      </c>
      <c r="M787" s="36" t="s">
        <v>12231</v>
      </c>
      <c r="N787" s="36" t="s">
        <v>12232</v>
      </c>
      <c r="O787" s="36" t="s">
        <v>12233</v>
      </c>
      <c r="P787" s="36" t="s">
        <v>12220</v>
      </c>
    </row>
    <row r="788" spans="1:16">
      <c r="A788" s="132">
        <v>787</v>
      </c>
      <c r="B788" s="36" t="s">
        <v>12234</v>
      </c>
      <c r="C788" s="36" t="s">
        <v>12235</v>
      </c>
      <c r="D788" s="36" t="s">
        <v>12236</v>
      </c>
      <c r="E788" s="36" t="s">
        <v>12237</v>
      </c>
      <c r="F788" s="36" t="s">
        <v>12238</v>
      </c>
      <c r="G788" s="36" t="s">
        <v>12239</v>
      </c>
      <c r="H788" s="36" t="s">
        <v>12240</v>
      </c>
      <c r="I788" s="36" t="s">
        <v>12241</v>
      </c>
      <c r="J788" s="36" t="s">
        <v>12242</v>
      </c>
      <c r="K788" s="36" t="s">
        <v>12243</v>
      </c>
      <c r="L788" s="36" t="s">
        <v>12244</v>
      </c>
      <c r="M788" s="36" t="s">
        <v>12245</v>
      </c>
      <c r="N788" s="36" t="s">
        <v>12246</v>
      </c>
      <c r="O788" s="36" t="s">
        <v>12247</v>
      </c>
      <c r="P788" s="36" t="s">
        <v>12234</v>
      </c>
    </row>
    <row r="789" spans="1:16">
      <c r="A789" s="132">
        <v>788</v>
      </c>
      <c r="B789" s="36" t="s">
        <v>12248</v>
      </c>
      <c r="C789" s="36" t="s">
        <v>12249</v>
      </c>
      <c r="D789" s="36" t="s">
        <v>12250</v>
      </c>
      <c r="E789" s="36" t="s">
        <v>12251</v>
      </c>
      <c r="F789" s="36" t="s">
        <v>12252</v>
      </c>
      <c r="G789" s="36" t="s">
        <v>12253</v>
      </c>
      <c r="H789" s="36" t="s">
        <v>12254</v>
      </c>
      <c r="I789" s="36" t="s">
        <v>12255</v>
      </c>
      <c r="J789" s="36" t="s">
        <v>12256</v>
      </c>
      <c r="K789" s="36" t="s">
        <v>12257</v>
      </c>
      <c r="L789" s="36" t="s">
        <v>12258</v>
      </c>
      <c r="M789" s="36" t="s">
        <v>12259</v>
      </c>
      <c r="N789" s="36" t="s">
        <v>12260</v>
      </c>
      <c r="O789" s="36" t="s">
        <v>12261</v>
      </c>
      <c r="P789" s="36" t="s">
        <v>12248</v>
      </c>
    </row>
    <row r="790" spans="1:16">
      <c r="A790" s="132">
        <v>789</v>
      </c>
      <c r="B790" s="36" t="s">
        <v>12262</v>
      </c>
      <c r="C790" s="36" t="s">
        <v>12263</v>
      </c>
      <c r="D790" s="36" t="s">
        <v>12264</v>
      </c>
      <c r="E790" s="36" t="s">
        <v>12265</v>
      </c>
      <c r="F790" s="36" t="s">
        <v>12266</v>
      </c>
      <c r="G790" s="36" t="s">
        <v>12267</v>
      </c>
      <c r="H790" s="36" t="s">
        <v>12268</v>
      </c>
      <c r="I790" s="36" t="s">
        <v>12269</v>
      </c>
      <c r="J790" s="36" t="s">
        <v>12270</v>
      </c>
      <c r="K790" s="36" t="s">
        <v>12271</v>
      </c>
      <c r="L790" s="36" t="s">
        <v>12272</v>
      </c>
      <c r="M790" s="36" t="s">
        <v>12273</v>
      </c>
      <c r="N790" s="36" t="s">
        <v>12274</v>
      </c>
      <c r="O790" s="36" t="s">
        <v>12275</v>
      </c>
      <c r="P790" s="36" t="s">
        <v>12262</v>
      </c>
    </row>
    <row r="791" spans="1:16">
      <c r="A791" s="132">
        <v>790</v>
      </c>
      <c r="B791" s="36" t="s">
        <v>12276</v>
      </c>
      <c r="C791" s="36" t="s">
        <v>12277</v>
      </c>
      <c r="D791" s="36" t="s">
        <v>12278</v>
      </c>
      <c r="E791" s="36" t="s">
        <v>12279</v>
      </c>
      <c r="F791" s="36" t="s">
        <v>12280</v>
      </c>
      <c r="G791" s="36" t="s">
        <v>12281</v>
      </c>
      <c r="H791" s="36" t="s">
        <v>12282</v>
      </c>
      <c r="I791" s="36" t="s">
        <v>12283</v>
      </c>
      <c r="J791" s="36" t="s">
        <v>12284</v>
      </c>
      <c r="K791" s="36" t="s">
        <v>12285</v>
      </c>
      <c r="L791" s="36" t="s">
        <v>12286</v>
      </c>
      <c r="M791" s="36" t="s">
        <v>12287</v>
      </c>
      <c r="N791" s="36" t="s">
        <v>12288</v>
      </c>
      <c r="O791" s="36" t="s">
        <v>12289</v>
      </c>
      <c r="P791" s="36" t="s">
        <v>12276</v>
      </c>
    </row>
    <row r="792" spans="1:16">
      <c r="A792" s="132">
        <v>791</v>
      </c>
      <c r="B792" s="36" t="s">
        <v>12290</v>
      </c>
      <c r="C792" s="36" t="s">
        <v>12291</v>
      </c>
      <c r="D792" s="36" t="s">
        <v>12292</v>
      </c>
      <c r="E792" s="36" t="s">
        <v>12293</v>
      </c>
      <c r="F792" s="36" t="s">
        <v>12294</v>
      </c>
      <c r="G792" s="36" t="s">
        <v>12295</v>
      </c>
      <c r="H792" s="36" t="s">
        <v>12296</v>
      </c>
      <c r="I792" s="36" t="s">
        <v>12297</v>
      </c>
      <c r="J792" s="36" t="s">
        <v>12298</v>
      </c>
      <c r="K792" s="36" t="s">
        <v>3881</v>
      </c>
      <c r="L792" s="36" t="s">
        <v>12299</v>
      </c>
      <c r="M792" s="36" t="s">
        <v>12300</v>
      </c>
      <c r="N792" s="36" t="s">
        <v>12301</v>
      </c>
      <c r="O792" s="36" t="s">
        <v>12302</v>
      </c>
      <c r="P792" s="36" t="s">
        <v>12290</v>
      </c>
    </row>
    <row r="793" spans="1:16">
      <c r="A793" s="132">
        <v>792</v>
      </c>
      <c r="B793" s="36" t="s">
        <v>12303</v>
      </c>
      <c r="C793" s="36" t="s">
        <v>12304</v>
      </c>
      <c r="D793" s="36" t="s">
        <v>12305</v>
      </c>
      <c r="E793" s="36" t="s">
        <v>12306</v>
      </c>
      <c r="F793" s="36" t="s">
        <v>12307</v>
      </c>
      <c r="G793" s="36" t="s">
        <v>12308</v>
      </c>
      <c r="H793" s="36" t="s">
        <v>12309</v>
      </c>
      <c r="I793" s="36" t="s">
        <v>12310</v>
      </c>
      <c r="J793" s="36" t="s">
        <v>12311</v>
      </c>
      <c r="K793" s="36" t="s">
        <v>12312</v>
      </c>
      <c r="L793" s="36" t="s">
        <v>12313</v>
      </c>
      <c r="M793" s="36" t="s">
        <v>12314</v>
      </c>
      <c r="N793" s="36" t="s">
        <v>12315</v>
      </c>
      <c r="O793" s="36" t="s">
        <v>12316</v>
      </c>
      <c r="P793" s="36" t="s">
        <v>12303</v>
      </c>
    </row>
    <row r="794" spans="1:16">
      <c r="A794" s="132">
        <v>793</v>
      </c>
      <c r="B794" s="36" t="s">
        <v>12317</v>
      </c>
      <c r="C794" s="36" t="s">
        <v>12318</v>
      </c>
      <c r="D794" s="36" t="s">
        <v>12319</v>
      </c>
      <c r="E794" s="36" t="s">
        <v>12320</v>
      </c>
      <c r="F794" s="36" t="s">
        <v>12321</v>
      </c>
      <c r="G794" s="36" t="s">
        <v>12322</v>
      </c>
      <c r="H794" s="36" t="s">
        <v>12323</v>
      </c>
      <c r="I794" s="36" t="s">
        <v>12324</v>
      </c>
      <c r="J794" s="36" t="s">
        <v>12325</v>
      </c>
      <c r="K794" s="36" t="s">
        <v>12326</v>
      </c>
      <c r="L794" s="36" t="s">
        <v>12327</v>
      </c>
      <c r="M794" s="36" t="s">
        <v>12328</v>
      </c>
      <c r="N794" s="36" t="s">
        <v>12329</v>
      </c>
      <c r="O794" s="36" t="s">
        <v>12330</v>
      </c>
      <c r="P794" s="36" t="s">
        <v>12317</v>
      </c>
    </row>
    <row r="795" spans="1:16">
      <c r="A795" s="132">
        <v>794</v>
      </c>
      <c r="B795" s="36" t="s">
        <v>12331</v>
      </c>
      <c r="C795" s="36" t="s">
        <v>12332</v>
      </c>
      <c r="D795" s="36" t="s">
        <v>12333</v>
      </c>
      <c r="E795" s="36" t="s">
        <v>12334</v>
      </c>
      <c r="F795" s="36" t="s">
        <v>12335</v>
      </c>
      <c r="G795" s="36" t="s">
        <v>12336</v>
      </c>
      <c r="H795" s="36" t="s">
        <v>12337</v>
      </c>
      <c r="I795" s="36" t="s">
        <v>6482</v>
      </c>
      <c r="J795" s="36" t="s">
        <v>12338</v>
      </c>
      <c r="K795" s="36" t="s">
        <v>6484</v>
      </c>
      <c r="L795" s="36" t="s">
        <v>12339</v>
      </c>
      <c r="M795" s="36" t="s">
        <v>12340</v>
      </c>
      <c r="N795" s="36" t="s">
        <v>12341</v>
      </c>
      <c r="O795" s="36" t="s">
        <v>12342</v>
      </c>
      <c r="P795" s="36" t="s">
        <v>12331</v>
      </c>
    </row>
    <row r="796" spans="1:16">
      <c r="A796" s="132">
        <v>795</v>
      </c>
      <c r="B796" s="36" t="s">
        <v>12343</v>
      </c>
      <c r="C796" s="36" t="s">
        <v>12344</v>
      </c>
      <c r="D796" s="36" t="s">
        <v>12345</v>
      </c>
      <c r="E796" s="36" t="s">
        <v>12346</v>
      </c>
      <c r="F796" s="36" t="s">
        <v>12347</v>
      </c>
      <c r="G796" s="36" t="s">
        <v>12348</v>
      </c>
      <c r="H796" s="36" t="s">
        <v>12349</v>
      </c>
      <c r="I796" s="36" t="s">
        <v>12350</v>
      </c>
      <c r="J796" s="36" t="s">
        <v>12351</v>
      </c>
      <c r="K796" s="36" t="s">
        <v>12352</v>
      </c>
      <c r="L796" s="36" t="s">
        <v>12353</v>
      </c>
      <c r="M796" s="36" t="s">
        <v>12354</v>
      </c>
      <c r="N796" s="36" t="s">
        <v>12355</v>
      </c>
      <c r="O796" s="36" t="s">
        <v>12356</v>
      </c>
      <c r="P796" s="36" t="s">
        <v>12343</v>
      </c>
    </row>
    <row r="797" spans="1:16">
      <c r="A797" s="132">
        <v>796</v>
      </c>
      <c r="B797" s="36" t="s">
        <v>12357</v>
      </c>
      <c r="C797" s="36" t="s">
        <v>12358</v>
      </c>
      <c r="D797" s="36" t="s">
        <v>12359</v>
      </c>
      <c r="E797" s="36" t="s">
        <v>12360</v>
      </c>
      <c r="F797" s="36" t="s">
        <v>12361</v>
      </c>
      <c r="G797" s="36" t="s">
        <v>12362</v>
      </c>
      <c r="H797" s="36" t="s">
        <v>12363</v>
      </c>
      <c r="I797" s="36" t="s">
        <v>12364</v>
      </c>
      <c r="J797" s="36" t="s">
        <v>12365</v>
      </c>
      <c r="K797" s="36" t="s">
        <v>12366</v>
      </c>
      <c r="L797" s="36" t="s">
        <v>12367</v>
      </c>
      <c r="M797" s="36" t="s">
        <v>12368</v>
      </c>
      <c r="N797" s="36" t="s">
        <v>12369</v>
      </c>
      <c r="O797" s="36" t="s">
        <v>12370</v>
      </c>
      <c r="P797" s="36" t="s">
        <v>12357</v>
      </c>
    </row>
    <row r="798" spans="1:16" ht="13.95" customHeight="1">
      <c r="A798" s="132">
        <v>797</v>
      </c>
      <c r="B798" s="36" t="s">
        <v>12371</v>
      </c>
      <c r="C798" s="36" t="s">
        <v>12372</v>
      </c>
      <c r="D798" s="36" t="s">
        <v>12373</v>
      </c>
      <c r="E798" s="36" t="s">
        <v>12374</v>
      </c>
      <c r="F798" s="36" t="s">
        <v>12375</v>
      </c>
      <c r="G798" s="36" t="s">
        <v>12376</v>
      </c>
      <c r="H798" s="36" t="s">
        <v>12377</v>
      </c>
      <c r="I798" s="36" t="s">
        <v>12378</v>
      </c>
      <c r="J798" s="36" t="s">
        <v>12379</v>
      </c>
      <c r="K798" s="36" t="s">
        <v>12380</v>
      </c>
      <c r="L798" s="36" t="s">
        <v>12381</v>
      </c>
      <c r="M798" s="36" t="s">
        <v>12382</v>
      </c>
      <c r="N798" s="36" t="s">
        <v>12383</v>
      </c>
      <c r="O798" s="36" t="s">
        <v>12384</v>
      </c>
      <c r="P798" s="36" t="s">
        <v>12371</v>
      </c>
    </row>
    <row r="799" spans="1:16" ht="13.95" customHeight="1">
      <c r="A799" s="132">
        <v>798</v>
      </c>
      <c r="B799" s="36" t="s">
        <v>12385</v>
      </c>
      <c r="C799" s="36" t="s">
        <v>12386</v>
      </c>
      <c r="D799" s="36" t="s">
        <v>12387</v>
      </c>
      <c r="E799" s="36" t="s">
        <v>12388</v>
      </c>
      <c r="F799" s="36" t="s">
        <v>12389</v>
      </c>
      <c r="G799" s="36" t="s">
        <v>12390</v>
      </c>
      <c r="H799" s="36" t="s">
        <v>12391</v>
      </c>
      <c r="I799" s="36" t="s">
        <v>12392</v>
      </c>
      <c r="J799" s="36" t="s">
        <v>12393</v>
      </c>
      <c r="K799" s="36" t="s">
        <v>12394</v>
      </c>
      <c r="L799" s="36" t="s">
        <v>12395</v>
      </c>
      <c r="M799" s="36" t="s">
        <v>12396</v>
      </c>
      <c r="N799" s="36" t="s">
        <v>12397</v>
      </c>
      <c r="O799" s="36" t="s">
        <v>12398</v>
      </c>
      <c r="P799" s="36" t="s">
        <v>12385</v>
      </c>
    </row>
    <row r="800" spans="1:16" ht="13.95" customHeight="1">
      <c r="A800" s="132">
        <v>799</v>
      </c>
      <c r="B800" s="36" t="s">
        <v>12399</v>
      </c>
      <c r="C800" s="36" t="s">
        <v>12400</v>
      </c>
      <c r="D800" s="36" t="s">
        <v>12401</v>
      </c>
      <c r="E800" s="36" t="s">
        <v>12402</v>
      </c>
      <c r="F800" s="36" t="s">
        <v>12403</v>
      </c>
      <c r="G800" s="36" t="s">
        <v>12404</v>
      </c>
      <c r="H800" s="36" t="s">
        <v>12405</v>
      </c>
      <c r="I800" s="36" t="s">
        <v>12406</v>
      </c>
      <c r="J800" s="36" t="s">
        <v>12407</v>
      </c>
      <c r="K800" s="36" t="s">
        <v>12408</v>
      </c>
      <c r="L800" s="36" t="s">
        <v>12409</v>
      </c>
      <c r="M800" s="36" t="s">
        <v>12410</v>
      </c>
      <c r="N800" s="36" t="s">
        <v>12411</v>
      </c>
      <c r="O800" s="36" t="s">
        <v>12412</v>
      </c>
      <c r="P800" s="36" t="s">
        <v>12399</v>
      </c>
    </row>
    <row r="801" spans="1:16">
      <c r="A801" s="132">
        <v>800</v>
      </c>
      <c r="B801" s="36" t="s">
        <v>12413</v>
      </c>
      <c r="C801" s="36" t="s">
        <v>12414</v>
      </c>
      <c r="D801" s="36" t="s">
        <v>12415</v>
      </c>
      <c r="E801" s="36" t="s">
        <v>12416</v>
      </c>
      <c r="F801" s="36" t="s">
        <v>12417</v>
      </c>
      <c r="G801" s="36" t="s">
        <v>12418</v>
      </c>
      <c r="H801" s="36" t="s">
        <v>12419</v>
      </c>
      <c r="I801" s="36" t="s">
        <v>12420</v>
      </c>
      <c r="J801" s="36" t="s">
        <v>12421</v>
      </c>
      <c r="K801" s="36" t="s">
        <v>12422</v>
      </c>
      <c r="L801" s="36" t="s">
        <v>12423</v>
      </c>
      <c r="M801" s="36" t="s">
        <v>12424</v>
      </c>
      <c r="N801" s="36" t="s">
        <v>12425</v>
      </c>
      <c r="O801" s="36" t="s">
        <v>12426</v>
      </c>
      <c r="P801" s="36" t="s">
        <v>12413</v>
      </c>
    </row>
    <row r="802" spans="1:16">
      <c r="A802" s="132">
        <v>801</v>
      </c>
      <c r="B802" s="36" t="s">
        <v>12413</v>
      </c>
      <c r="C802" s="36" t="s">
        <v>12427</v>
      </c>
      <c r="D802" s="36" t="s">
        <v>12415</v>
      </c>
      <c r="E802" s="36" t="s">
        <v>12416</v>
      </c>
      <c r="F802" s="36" t="s">
        <v>12428</v>
      </c>
      <c r="G802" s="36" t="s">
        <v>12429</v>
      </c>
      <c r="H802" s="36" t="s">
        <v>12430</v>
      </c>
      <c r="I802" s="36" t="s">
        <v>12431</v>
      </c>
      <c r="J802" s="36" t="s">
        <v>12432</v>
      </c>
      <c r="K802" s="36" t="s">
        <v>12433</v>
      </c>
      <c r="L802" s="36" t="s">
        <v>12434</v>
      </c>
      <c r="M802" s="36" t="s">
        <v>12435</v>
      </c>
      <c r="N802" s="36" t="s">
        <v>12436</v>
      </c>
      <c r="O802" s="36" t="s">
        <v>12426</v>
      </c>
      <c r="P802" s="36" t="s">
        <v>12413</v>
      </c>
    </row>
    <row r="803" spans="1:16">
      <c r="A803" s="132">
        <v>802</v>
      </c>
      <c r="B803" s="36" t="s">
        <v>12437</v>
      </c>
      <c r="C803" s="36" t="s">
        <v>12438</v>
      </c>
      <c r="D803" s="36" t="s">
        <v>12439</v>
      </c>
      <c r="E803" s="36" t="s">
        <v>12440</v>
      </c>
      <c r="F803" s="36" t="s">
        <v>12441</v>
      </c>
      <c r="G803" s="36" t="s">
        <v>12442</v>
      </c>
      <c r="H803" s="36" t="s">
        <v>12443</v>
      </c>
      <c r="I803" s="36" t="s">
        <v>12444</v>
      </c>
      <c r="J803" s="36" t="s">
        <v>12445</v>
      </c>
      <c r="K803" s="36" t="s">
        <v>12446</v>
      </c>
      <c r="L803" s="36" t="s">
        <v>12447</v>
      </c>
      <c r="M803" s="36" t="s">
        <v>12448</v>
      </c>
      <c r="N803" s="36" t="s">
        <v>12449</v>
      </c>
      <c r="O803" s="36" t="s">
        <v>12450</v>
      </c>
      <c r="P803" s="36" t="s">
        <v>12437</v>
      </c>
    </row>
    <row r="804" spans="1:16">
      <c r="A804" s="132">
        <v>803</v>
      </c>
      <c r="B804" s="36" t="s">
        <v>12437</v>
      </c>
      <c r="C804" s="36" t="s">
        <v>12451</v>
      </c>
      <c r="D804" s="36" t="s">
        <v>12439</v>
      </c>
      <c r="E804" s="36" t="s">
        <v>12440</v>
      </c>
      <c r="F804" s="36" t="s">
        <v>12452</v>
      </c>
      <c r="G804" s="36" t="s">
        <v>12453</v>
      </c>
      <c r="H804" s="36" t="s">
        <v>12454</v>
      </c>
      <c r="I804" s="36" t="s">
        <v>12455</v>
      </c>
      <c r="J804" s="36" t="s">
        <v>12456</v>
      </c>
      <c r="K804" s="36" t="s">
        <v>12457</v>
      </c>
      <c r="L804" s="36" t="s">
        <v>12458</v>
      </c>
      <c r="M804" s="36" t="s">
        <v>12459</v>
      </c>
      <c r="N804" s="36" t="s">
        <v>12460</v>
      </c>
      <c r="O804" s="36" t="s">
        <v>12450</v>
      </c>
      <c r="P804" s="36" t="s">
        <v>12437</v>
      </c>
    </row>
    <row r="805" spans="1:16">
      <c r="A805" s="132">
        <v>804</v>
      </c>
      <c r="B805" s="36" t="s">
        <v>12437</v>
      </c>
      <c r="C805" s="36" t="s">
        <v>12451</v>
      </c>
      <c r="D805" s="36" t="s">
        <v>12439</v>
      </c>
      <c r="E805" s="36" t="s">
        <v>12440</v>
      </c>
      <c r="F805" s="36" t="s">
        <v>12461</v>
      </c>
      <c r="G805" s="36" t="s">
        <v>12462</v>
      </c>
      <c r="H805" s="36" t="s">
        <v>12454</v>
      </c>
      <c r="I805" s="36" t="s">
        <v>12455</v>
      </c>
      <c r="J805" s="36" t="s">
        <v>12456</v>
      </c>
      <c r="K805" s="36" t="s">
        <v>12457</v>
      </c>
      <c r="L805" s="36" t="s">
        <v>12458</v>
      </c>
      <c r="M805" s="36" t="s">
        <v>12459</v>
      </c>
      <c r="N805" s="36" t="s">
        <v>12460</v>
      </c>
      <c r="O805" s="36" t="s">
        <v>12450</v>
      </c>
      <c r="P805" s="36" t="s">
        <v>12437</v>
      </c>
    </row>
    <row r="806" spans="1:16">
      <c r="A806" s="132">
        <v>805</v>
      </c>
      <c r="B806" s="36" t="s">
        <v>12463</v>
      </c>
      <c r="C806" s="36" t="s">
        <v>12464</v>
      </c>
      <c r="D806" s="36" t="s">
        <v>12465</v>
      </c>
      <c r="E806" s="36" t="s">
        <v>12466</v>
      </c>
      <c r="F806" s="36" t="s">
        <v>12467</v>
      </c>
      <c r="G806" s="36" t="s">
        <v>12468</v>
      </c>
      <c r="H806" s="36" t="s">
        <v>12469</v>
      </c>
      <c r="I806" s="36" t="s">
        <v>12470</v>
      </c>
      <c r="J806" s="36" t="s">
        <v>12471</v>
      </c>
      <c r="K806" s="36" t="s">
        <v>12472</v>
      </c>
      <c r="L806" s="36" t="s">
        <v>12473</v>
      </c>
      <c r="M806" s="36" t="s">
        <v>12474</v>
      </c>
      <c r="N806" s="36" t="s">
        <v>12475</v>
      </c>
      <c r="O806" s="36" t="s">
        <v>12476</v>
      </c>
      <c r="P806" s="36" t="s">
        <v>12463</v>
      </c>
    </row>
    <row r="807" spans="1:16">
      <c r="A807" s="132">
        <v>806</v>
      </c>
      <c r="B807" s="36" t="s">
        <v>12463</v>
      </c>
      <c r="C807" s="36" t="s">
        <v>12477</v>
      </c>
      <c r="D807" s="36" t="s">
        <v>12465</v>
      </c>
      <c r="E807" s="36" t="s">
        <v>12466</v>
      </c>
      <c r="F807" s="36" t="s">
        <v>12478</v>
      </c>
      <c r="G807" s="36" t="s">
        <v>12479</v>
      </c>
      <c r="H807" s="36" t="s">
        <v>12480</v>
      </c>
      <c r="I807" s="36" t="s">
        <v>12481</v>
      </c>
      <c r="J807" s="36" t="s">
        <v>12482</v>
      </c>
      <c r="K807" s="36" t="s">
        <v>12483</v>
      </c>
      <c r="L807" s="36" t="s">
        <v>12484</v>
      </c>
      <c r="M807" s="36" t="s">
        <v>12485</v>
      </c>
      <c r="N807" s="36" t="s">
        <v>12486</v>
      </c>
      <c r="O807" s="36" t="s">
        <v>12476</v>
      </c>
      <c r="P807" s="36" t="s">
        <v>12463</v>
      </c>
    </row>
    <row r="808" spans="1:16">
      <c r="A808" s="132">
        <v>807</v>
      </c>
      <c r="B808" s="36" t="s">
        <v>12487</v>
      </c>
      <c r="C808" s="36" t="s">
        <v>12488</v>
      </c>
      <c r="D808" s="36" t="s">
        <v>12489</v>
      </c>
      <c r="E808" s="36" t="s">
        <v>12490</v>
      </c>
      <c r="F808" s="36" t="s">
        <v>12491</v>
      </c>
      <c r="G808" s="36" t="s">
        <v>12492</v>
      </c>
      <c r="H808" s="36" t="s">
        <v>12493</v>
      </c>
      <c r="I808" s="36" t="s">
        <v>12494</v>
      </c>
      <c r="J808" s="36" t="s">
        <v>12495</v>
      </c>
      <c r="K808" s="36" t="s">
        <v>12496</v>
      </c>
      <c r="L808" s="36" t="s">
        <v>12497</v>
      </c>
      <c r="M808" s="36" t="s">
        <v>12498</v>
      </c>
      <c r="N808" s="36" t="s">
        <v>12499</v>
      </c>
      <c r="O808" s="36" t="s">
        <v>12500</v>
      </c>
      <c r="P808" s="36" t="s">
        <v>12487</v>
      </c>
    </row>
    <row r="809" spans="1:16">
      <c r="A809" s="132">
        <v>808</v>
      </c>
      <c r="B809" s="36" t="s">
        <v>12501</v>
      </c>
      <c r="C809" s="36" t="s">
        <v>12502</v>
      </c>
      <c r="D809" s="36" t="s">
        <v>12503</v>
      </c>
      <c r="E809" s="36" t="s">
        <v>12504</v>
      </c>
      <c r="F809" s="36" t="s">
        <v>12505</v>
      </c>
      <c r="G809" s="36" t="s">
        <v>12506</v>
      </c>
      <c r="H809" s="36" t="s">
        <v>12507</v>
      </c>
      <c r="I809" s="36" t="s">
        <v>12508</v>
      </c>
      <c r="J809" s="36" t="s">
        <v>12509</v>
      </c>
      <c r="K809" s="36" t="s">
        <v>12510</v>
      </c>
      <c r="L809" s="36" t="s">
        <v>12511</v>
      </c>
      <c r="M809" s="36" t="s">
        <v>12512</v>
      </c>
      <c r="N809" s="36" t="s">
        <v>12513</v>
      </c>
      <c r="O809" s="36" t="s">
        <v>12514</v>
      </c>
      <c r="P809" s="36" t="s">
        <v>12501</v>
      </c>
    </row>
    <row r="810" spans="1:16">
      <c r="A810" s="132">
        <v>809</v>
      </c>
      <c r="B810" s="36" t="s">
        <v>12515</v>
      </c>
      <c r="C810" s="36" t="s">
        <v>12516</v>
      </c>
      <c r="D810" s="36" t="s">
        <v>12517</v>
      </c>
      <c r="E810" s="36" t="s">
        <v>12518</v>
      </c>
      <c r="F810" s="36" t="s">
        <v>12519</v>
      </c>
      <c r="G810" s="36" t="s">
        <v>12520</v>
      </c>
      <c r="H810" s="36" t="s">
        <v>12521</v>
      </c>
      <c r="I810" s="36" t="s">
        <v>12522</v>
      </c>
      <c r="J810" s="36" t="s">
        <v>12523</v>
      </c>
      <c r="K810" s="36" t="s">
        <v>12524</v>
      </c>
      <c r="L810" s="36" t="s">
        <v>12525</v>
      </c>
      <c r="M810" s="36" t="s">
        <v>9528</v>
      </c>
      <c r="N810" s="36" t="s">
        <v>12526</v>
      </c>
      <c r="O810" s="36" t="s">
        <v>12527</v>
      </c>
      <c r="P810" s="36" t="s">
        <v>12515</v>
      </c>
    </row>
    <row r="811" spans="1:16">
      <c r="A811" s="132">
        <v>810</v>
      </c>
      <c r="B811" s="36" t="s">
        <v>12528</v>
      </c>
      <c r="C811" s="36" t="s">
        <v>12529</v>
      </c>
      <c r="D811" s="36" t="s">
        <v>12530</v>
      </c>
      <c r="E811" s="36" t="s">
        <v>12531</v>
      </c>
      <c r="F811" s="36" t="s">
        <v>12532</v>
      </c>
      <c r="G811" s="36" t="s">
        <v>12533</v>
      </c>
      <c r="H811" s="36" t="s">
        <v>12534</v>
      </c>
      <c r="I811" s="36" t="s">
        <v>12535</v>
      </c>
      <c r="J811" s="36" t="s">
        <v>12536</v>
      </c>
      <c r="K811" s="36" t="s">
        <v>12537</v>
      </c>
      <c r="L811" s="36" t="s">
        <v>12538</v>
      </c>
      <c r="M811" s="36" t="s">
        <v>12539</v>
      </c>
      <c r="N811" s="36" t="s">
        <v>12540</v>
      </c>
      <c r="O811" s="36" t="s">
        <v>12541</v>
      </c>
      <c r="P811" s="36" t="s">
        <v>12528</v>
      </c>
    </row>
    <row r="812" spans="1:16">
      <c r="A812" s="132">
        <v>811</v>
      </c>
      <c r="B812" s="36" t="s">
        <v>12542</v>
      </c>
      <c r="C812" s="36" t="s">
        <v>12543</v>
      </c>
      <c r="D812" s="36" t="s">
        <v>12544</v>
      </c>
      <c r="E812" s="36" t="s">
        <v>12545</v>
      </c>
      <c r="F812" s="36" t="s">
        <v>12546</v>
      </c>
      <c r="G812" s="36" t="s">
        <v>12547</v>
      </c>
      <c r="H812" s="36" t="s">
        <v>12548</v>
      </c>
      <c r="I812" s="36" t="s">
        <v>12549</v>
      </c>
      <c r="J812" s="36" t="s">
        <v>12550</v>
      </c>
      <c r="K812" s="36" t="s">
        <v>12551</v>
      </c>
      <c r="L812" s="36" t="s">
        <v>12552</v>
      </c>
      <c r="M812" s="36" t="s">
        <v>12553</v>
      </c>
      <c r="N812" s="36" t="s">
        <v>12554</v>
      </c>
      <c r="O812" s="36" t="s">
        <v>12555</v>
      </c>
      <c r="P812" s="36" t="s">
        <v>12542</v>
      </c>
    </row>
    <row r="813" spans="1:16">
      <c r="A813" s="132">
        <v>812</v>
      </c>
      <c r="B813" s="36" t="s">
        <v>12556</v>
      </c>
      <c r="C813" s="36" t="s">
        <v>12557</v>
      </c>
      <c r="D813" s="36" t="s">
        <v>12558</v>
      </c>
      <c r="E813" s="36" t="s">
        <v>12559</v>
      </c>
      <c r="F813" s="36" t="s">
        <v>12560</v>
      </c>
      <c r="G813" s="36" t="s">
        <v>12561</v>
      </c>
      <c r="H813" s="36" t="s">
        <v>12562</v>
      </c>
      <c r="I813" s="36" t="s">
        <v>12563</v>
      </c>
      <c r="J813" s="36" t="s">
        <v>12564</v>
      </c>
      <c r="K813" s="36" t="s">
        <v>12565</v>
      </c>
      <c r="L813" s="36" t="s">
        <v>12566</v>
      </c>
      <c r="M813" s="36" t="s">
        <v>12567</v>
      </c>
      <c r="N813" s="36" t="s">
        <v>12568</v>
      </c>
      <c r="O813" s="36" t="s">
        <v>12569</v>
      </c>
      <c r="P813" s="36" t="s">
        <v>12556</v>
      </c>
    </row>
    <row r="814" spans="1:16">
      <c r="A814" s="132">
        <v>813</v>
      </c>
      <c r="B814" s="36" t="s">
        <v>12570</v>
      </c>
      <c r="C814" s="36" t="s">
        <v>12571</v>
      </c>
      <c r="D814" s="36" t="s">
        <v>12572</v>
      </c>
      <c r="E814" s="36" t="s">
        <v>12573</v>
      </c>
      <c r="F814" s="36" t="s">
        <v>12574</v>
      </c>
      <c r="G814" s="36" t="s">
        <v>12575</v>
      </c>
      <c r="H814" s="36" t="s">
        <v>12576</v>
      </c>
      <c r="I814" s="36" t="s">
        <v>12577</v>
      </c>
      <c r="J814" s="36" t="s">
        <v>12578</v>
      </c>
      <c r="K814" s="36" t="s">
        <v>12579</v>
      </c>
      <c r="L814" s="36" t="s">
        <v>12566</v>
      </c>
      <c r="M814" s="36" t="s">
        <v>12580</v>
      </c>
      <c r="N814" s="36" t="s">
        <v>12581</v>
      </c>
      <c r="O814" s="36" t="s">
        <v>12582</v>
      </c>
      <c r="P814" s="36" t="s">
        <v>12570</v>
      </c>
    </row>
    <row r="815" spans="1:16">
      <c r="A815" s="132">
        <v>814</v>
      </c>
      <c r="B815" s="36" t="s">
        <v>12583</v>
      </c>
      <c r="C815" s="36" t="s">
        <v>12584</v>
      </c>
      <c r="D815" s="36" t="s">
        <v>12585</v>
      </c>
      <c r="E815" s="36" t="s">
        <v>12586</v>
      </c>
      <c r="F815" s="36" t="s">
        <v>12587</v>
      </c>
      <c r="G815" s="36" t="s">
        <v>12588</v>
      </c>
      <c r="H815" s="36" t="s">
        <v>12589</v>
      </c>
      <c r="I815" s="36" t="s">
        <v>12590</v>
      </c>
      <c r="J815" s="36" t="s">
        <v>12591</v>
      </c>
      <c r="K815" s="36" t="s">
        <v>12592</v>
      </c>
      <c r="L815" s="36" t="s">
        <v>12593</v>
      </c>
      <c r="M815" s="36" t="s">
        <v>12594</v>
      </c>
      <c r="N815" s="36" t="s">
        <v>12595</v>
      </c>
      <c r="O815" s="36" t="s">
        <v>12596</v>
      </c>
      <c r="P815" s="36" t="s">
        <v>12583</v>
      </c>
    </row>
    <row r="816" spans="1:16">
      <c r="A816" s="132">
        <v>815</v>
      </c>
      <c r="B816" s="36" t="s">
        <v>12597</v>
      </c>
      <c r="C816" s="36" t="s">
        <v>12598</v>
      </c>
      <c r="D816" s="36" t="s">
        <v>12599</v>
      </c>
      <c r="E816" s="36" t="s">
        <v>12600</v>
      </c>
      <c r="F816" s="36" t="s">
        <v>12601</v>
      </c>
      <c r="G816" s="36" t="s">
        <v>12602</v>
      </c>
      <c r="H816" s="36" t="s">
        <v>12603</v>
      </c>
      <c r="I816" s="36" t="s">
        <v>12604</v>
      </c>
      <c r="J816" s="36" t="s">
        <v>12605</v>
      </c>
      <c r="K816" s="36" t="s">
        <v>12606</v>
      </c>
      <c r="L816" s="36" t="s">
        <v>12607</v>
      </c>
      <c r="M816" s="36" t="s">
        <v>12608</v>
      </c>
      <c r="N816" s="36" t="s">
        <v>12609</v>
      </c>
      <c r="O816" s="36" t="s">
        <v>12610</v>
      </c>
      <c r="P816" s="36" t="s">
        <v>12597</v>
      </c>
    </row>
    <row r="817" spans="1:16">
      <c r="A817" s="132">
        <v>816</v>
      </c>
      <c r="B817" s="36" t="s">
        <v>12611</v>
      </c>
      <c r="C817" s="36" t="s">
        <v>12612</v>
      </c>
      <c r="D817" s="36" t="s">
        <v>12613</v>
      </c>
      <c r="E817" s="36" t="s">
        <v>12614</v>
      </c>
      <c r="F817" s="36" t="s">
        <v>12615</v>
      </c>
      <c r="G817" s="36" t="s">
        <v>12616</v>
      </c>
      <c r="H817" s="36" t="s">
        <v>12617</v>
      </c>
      <c r="I817" s="36" t="s">
        <v>12618</v>
      </c>
      <c r="J817" s="36" t="s">
        <v>12619</v>
      </c>
      <c r="K817" s="36" t="s">
        <v>12620</v>
      </c>
      <c r="L817" s="36" t="s">
        <v>12621</v>
      </c>
      <c r="M817" s="36" t="s">
        <v>12622</v>
      </c>
      <c r="N817" s="36" t="s">
        <v>12623</v>
      </c>
      <c r="O817" s="36" t="s">
        <v>12624</v>
      </c>
      <c r="P817" s="36" t="s">
        <v>12611</v>
      </c>
    </row>
    <row r="818" spans="1:16">
      <c r="A818" s="132">
        <v>817</v>
      </c>
      <c r="B818" s="36" t="s">
        <v>12625</v>
      </c>
      <c r="C818" s="36" t="s">
        <v>12626</v>
      </c>
      <c r="D818" s="36" t="s">
        <v>12627</v>
      </c>
      <c r="E818" s="36" t="s">
        <v>12628</v>
      </c>
      <c r="F818" s="36" t="s">
        <v>12629</v>
      </c>
      <c r="G818" s="36" t="s">
        <v>12630</v>
      </c>
      <c r="H818" s="36" t="s">
        <v>12631</v>
      </c>
      <c r="I818" s="36" t="s">
        <v>12632</v>
      </c>
      <c r="J818" s="36" t="s">
        <v>12633</v>
      </c>
      <c r="K818" s="36" t="s">
        <v>12634</v>
      </c>
      <c r="L818" s="36" t="s">
        <v>12635</v>
      </c>
      <c r="M818" s="36" t="s">
        <v>12636</v>
      </c>
      <c r="N818" s="36" t="s">
        <v>12637</v>
      </c>
      <c r="O818" s="36" t="s">
        <v>12638</v>
      </c>
      <c r="P818" s="36" t="s">
        <v>12625</v>
      </c>
    </row>
    <row r="819" spans="1:16">
      <c r="A819" s="132">
        <v>818</v>
      </c>
      <c r="B819" s="36" t="s">
        <v>12639</v>
      </c>
      <c r="C819" s="36" t="s">
        <v>12640</v>
      </c>
      <c r="D819" s="36" t="s">
        <v>12641</v>
      </c>
      <c r="E819" s="36" t="s">
        <v>12642</v>
      </c>
      <c r="F819" s="36" t="s">
        <v>12491</v>
      </c>
      <c r="G819" s="36" t="s">
        <v>12643</v>
      </c>
      <c r="H819" s="36" t="s">
        <v>12644</v>
      </c>
      <c r="I819" s="36" t="s">
        <v>12645</v>
      </c>
      <c r="J819" s="36" t="s">
        <v>12646</v>
      </c>
      <c r="K819" s="36" t="s">
        <v>12647</v>
      </c>
      <c r="L819" s="36" t="s">
        <v>12648</v>
      </c>
      <c r="M819" s="36" t="s">
        <v>12649</v>
      </c>
      <c r="N819" s="36" t="s">
        <v>12650</v>
      </c>
      <c r="O819" s="36" t="s">
        <v>12651</v>
      </c>
      <c r="P819" s="36" t="s">
        <v>12639</v>
      </c>
    </row>
    <row r="820" spans="1:16">
      <c r="A820" s="132">
        <v>819</v>
      </c>
      <c r="B820" s="36" t="s">
        <v>12652</v>
      </c>
      <c r="C820" s="36" t="s">
        <v>12653</v>
      </c>
      <c r="D820" s="36" t="s">
        <v>12654</v>
      </c>
      <c r="E820" s="36" t="s">
        <v>12655</v>
      </c>
      <c r="F820" s="36" t="s">
        <v>12656</v>
      </c>
      <c r="G820" s="36" t="s">
        <v>12657</v>
      </c>
      <c r="H820" s="36" t="s">
        <v>12658</v>
      </c>
      <c r="I820" s="36" t="s">
        <v>12659</v>
      </c>
      <c r="J820" s="36" t="s">
        <v>12660</v>
      </c>
      <c r="K820" s="36" t="s">
        <v>12661</v>
      </c>
      <c r="L820" s="36" t="s">
        <v>12662</v>
      </c>
      <c r="M820" s="36" t="s">
        <v>12663</v>
      </c>
      <c r="N820" s="36" t="s">
        <v>12664</v>
      </c>
      <c r="O820" s="36" t="s">
        <v>12665</v>
      </c>
      <c r="P820" s="36" t="s">
        <v>12666</v>
      </c>
    </row>
    <row r="821" spans="1:16">
      <c r="A821" s="132">
        <v>820</v>
      </c>
      <c r="B821" s="36" t="s">
        <v>12667</v>
      </c>
      <c r="C821" s="36" t="s">
        <v>12667</v>
      </c>
      <c r="D821" s="36" t="s">
        <v>12668</v>
      </c>
      <c r="E821" s="36" t="s">
        <v>12669</v>
      </c>
      <c r="F821" s="36" t="s">
        <v>12670</v>
      </c>
      <c r="G821" s="36" t="s">
        <v>12671</v>
      </c>
      <c r="H821" s="36" t="s">
        <v>12672</v>
      </c>
      <c r="I821" s="36" t="s">
        <v>12673</v>
      </c>
      <c r="J821" s="36" t="s">
        <v>12667</v>
      </c>
      <c r="K821" s="36" t="s">
        <v>12674</v>
      </c>
      <c r="L821" s="36" t="s">
        <v>12667</v>
      </c>
      <c r="M821" s="36" t="s">
        <v>12667</v>
      </c>
      <c r="N821" s="36" t="s">
        <v>12667</v>
      </c>
      <c r="O821" s="36" t="s">
        <v>12675</v>
      </c>
      <c r="P821" s="36" t="s">
        <v>12667</v>
      </c>
    </row>
    <row r="822" spans="1:16">
      <c r="A822" s="132">
        <v>821</v>
      </c>
      <c r="B822" s="36" t="s">
        <v>12676</v>
      </c>
      <c r="C822" s="36" t="s">
        <v>12677</v>
      </c>
      <c r="D822" s="36" t="s">
        <v>12677</v>
      </c>
      <c r="E822" s="36" t="s">
        <v>12678</v>
      </c>
      <c r="F822" s="36" t="s">
        <v>12679</v>
      </c>
      <c r="G822" s="36" t="s">
        <v>8696</v>
      </c>
      <c r="H822" s="36" t="s">
        <v>6289</v>
      </c>
      <c r="I822" s="36" t="s">
        <v>12679</v>
      </c>
      <c r="J822" s="36" t="s">
        <v>12676</v>
      </c>
      <c r="K822" s="36" t="s">
        <v>12680</v>
      </c>
      <c r="L822" s="36" t="s">
        <v>12681</v>
      </c>
      <c r="M822" s="36" t="s">
        <v>12682</v>
      </c>
      <c r="N822" s="36" t="s">
        <v>12683</v>
      </c>
      <c r="O822" s="36" t="s">
        <v>12676</v>
      </c>
      <c r="P822" s="36" t="s">
        <v>12676</v>
      </c>
    </row>
    <row r="823" spans="1:16">
      <c r="A823" s="132">
        <v>822</v>
      </c>
      <c r="B823" s="36" t="s">
        <v>12684</v>
      </c>
      <c r="C823" s="36" t="s">
        <v>12685</v>
      </c>
      <c r="D823" s="36" t="s">
        <v>12686</v>
      </c>
      <c r="E823" s="36" t="s">
        <v>12687</v>
      </c>
      <c r="F823" s="36" t="s">
        <v>12688</v>
      </c>
      <c r="G823" s="36" t="s">
        <v>12689</v>
      </c>
      <c r="H823" s="36" t="s">
        <v>12690</v>
      </c>
      <c r="I823" s="36" t="s">
        <v>12691</v>
      </c>
      <c r="J823" s="36" t="s">
        <v>12692</v>
      </c>
      <c r="K823" s="36" t="s">
        <v>12693</v>
      </c>
      <c r="L823" s="36" t="s">
        <v>12694</v>
      </c>
      <c r="M823" s="36" t="s">
        <v>12695</v>
      </c>
      <c r="N823" s="36" t="s">
        <v>12696</v>
      </c>
      <c r="O823" s="36" t="s">
        <v>12697</v>
      </c>
      <c r="P823" s="36" t="s">
        <v>12684</v>
      </c>
    </row>
    <row r="824" spans="1:16">
      <c r="A824" s="132">
        <v>823</v>
      </c>
      <c r="B824" s="36" t="s">
        <v>10559</v>
      </c>
      <c r="C824" s="36" t="s">
        <v>10560</v>
      </c>
      <c r="D824" s="36" t="s">
        <v>10561</v>
      </c>
      <c r="E824" s="36" t="s">
        <v>10562</v>
      </c>
      <c r="F824" s="36" t="s">
        <v>10563</v>
      </c>
      <c r="G824" s="36" t="s">
        <v>10564</v>
      </c>
      <c r="H824" s="36" t="s">
        <v>10565</v>
      </c>
      <c r="I824" s="36" t="s">
        <v>10566</v>
      </c>
      <c r="J824" s="36" t="s">
        <v>10567</v>
      </c>
      <c r="K824" s="36" t="s">
        <v>10568</v>
      </c>
      <c r="L824" s="36" t="s">
        <v>10569</v>
      </c>
      <c r="M824" s="36" t="s">
        <v>10570</v>
      </c>
      <c r="N824" s="36" t="s">
        <v>10571</v>
      </c>
      <c r="O824" s="36" t="s">
        <v>10572</v>
      </c>
      <c r="P824" s="36" t="s">
        <v>10559</v>
      </c>
    </row>
    <row r="825" spans="1:16">
      <c r="A825" s="132">
        <v>824</v>
      </c>
      <c r="B825" s="36" t="s">
        <v>10559</v>
      </c>
      <c r="C825" s="36" t="s">
        <v>10560</v>
      </c>
      <c r="D825" s="36" t="s">
        <v>10561</v>
      </c>
      <c r="E825" s="36" t="s">
        <v>10562</v>
      </c>
      <c r="F825" s="36" t="s">
        <v>10563</v>
      </c>
      <c r="G825" s="36" t="s">
        <v>10564</v>
      </c>
      <c r="H825" s="36" t="s">
        <v>10565</v>
      </c>
      <c r="I825" s="36" t="s">
        <v>10566</v>
      </c>
      <c r="J825" s="36" t="s">
        <v>10567</v>
      </c>
      <c r="K825" s="36" t="s">
        <v>10568</v>
      </c>
      <c r="L825" s="36" t="s">
        <v>10569</v>
      </c>
      <c r="M825" s="36" t="s">
        <v>10570</v>
      </c>
      <c r="N825" s="36" t="s">
        <v>10571</v>
      </c>
      <c r="O825" s="36" t="s">
        <v>10572</v>
      </c>
      <c r="P825" s="36" t="s">
        <v>10559</v>
      </c>
    </row>
    <row r="826" spans="1:16">
      <c r="A826" s="132">
        <v>825</v>
      </c>
      <c r="B826" s="36" t="s">
        <v>12698</v>
      </c>
      <c r="C826" s="36" t="s">
        <v>12699</v>
      </c>
      <c r="D826" s="36" t="s">
        <v>12700</v>
      </c>
      <c r="E826" s="36" t="s">
        <v>12701</v>
      </c>
      <c r="F826" s="36" t="s">
        <v>12702</v>
      </c>
      <c r="G826" s="36" t="s">
        <v>12703</v>
      </c>
      <c r="H826" s="36" t="s">
        <v>12704</v>
      </c>
      <c r="I826" s="36" t="s">
        <v>12705</v>
      </c>
      <c r="J826" s="36" t="s">
        <v>12706</v>
      </c>
      <c r="K826" s="36" t="s">
        <v>12707</v>
      </c>
      <c r="L826" s="36" t="s">
        <v>12708</v>
      </c>
      <c r="M826" s="36" t="s">
        <v>12709</v>
      </c>
      <c r="N826" s="36" t="s">
        <v>12710</v>
      </c>
      <c r="O826" s="36" t="s">
        <v>12711</v>
      </c>
      <c r="P826" s="36" t="s">
        <v>12698</v>
      </c>
    </row>
    <row r="827" spans="1:16">
      <c r="A827" s="132">
        <v>826</v>
      </c>
      <c r="B827" s="36" t="s">
        <v>12712</v>
      </c>
      <c r="C827" s="36" t="s">
        <v>12713</v>
      </c>
      <c r="D827" s="36" t="s">
        <v>12714</v>
      </c>
      <c r="E827" s="36" t="s">
        <v>12715</v>
      </c>
      <c r="F827" s="36" t="s">
        <v>12716</v>
      </c>
      <c r="G827" s="36" t="s">
        <v>12717</v>
      </c>
      <c r="H827" s="36" t="s">
        <v>12718</v>
      </c>
      <c r="I827" s="36" t="s">
        <v>12719</v>
      </c>
      <c r="J827" s="36" t="s">
        <v>12720</v>
      </c>
      <c r="K827" s="36" t="s">
        <v>12721</v>
      </c>
      <c r="L827" s="36" t="s">
        <v>12722</v>
      </c>
      <c r="M827" s="36" t="s">
        <v>12723</v>
      </c>
      <c r="N827" s="36" t="s">
        <v>12724</v>
      </c>
      <c r="O827" s="36" t="s">
        <v>12725</v>
      </c>
      <c r="P827" s="36" t="s">
        <v>12712</v>
      </c>
    </row>
    <row r="828" spans="1:16">
      <c r="A828" s="132">
        <v>827</v>
      </c>
      <c r="B828" s="36" t="s">
        <v>12726</v>
      </c>
      <c r="C828" s="36" t="s">
        <v>12727</v>
      </c>
      <c r="D828" s="36" t="s">
        <v>12728</v>
      </c>
      <c r="E828" s="36" t="s">
        <v>12729</v>
      </c>
      <c r="F828" s="36" t="s">
        <v>12730</v>
      </c>
      <c r="G828" s="36" t="s">
        <v>12731</v>
      </c>
      <c r="H828" s="36" t="s">
        <v>12732</v>
      </c>
      <c r="I828" s="36" t="s">
        <v>12733</v>
      </c>
      <c r="J828" s="36" t="s">
        <v>12734</v>
      </c>
      <c r="K828" s="36" t="s">
        <v>12735</v>
      </c>
      <c r="L828" s="36" t="s">
        <v>12736</v>
      </c>
      <c r="M828" s="36" t="s">
        <v>12737</v>
      </c>
      <c r="N828" s="36" t="s">
        <v>12738</v>
      </c>
      <c r="O828" s="36" t="s">
        <v>12739</v>
      </c>
      <c r="P828" s="36" t="s">
        <v>12726</v>
      </c>
    </row>
    <row r="829" spans="1:16">
      <c r="A829" s="132">
        <v>828</v>
      </c>
      <c r="B829" s="36" t="s">
        <v>12740</v>
      </c>
      <c r="C829" s="36" t="s">
        <v>12741</v>
      </c>
      <c r="D829" s="36" t="s">
        <v>12742</v>
      </c>
      <c r="E829" s="36" t="s">
        <v>12743</v>
      </c>
      <c r="F829" s="36" t="s">
        <v>12744</v>
      </c>
      <c r="G829" s="36" t="s">
        <v>12745</v>
      </c>
      <c r="H829" s="36" t="s">
        <v>12746</v>
      </c>
      <c r="I829" s="36" t="s">
        <v>12747</v>
      </c>
      <c r="J829" s="36" t="s">
        <v>12748</v>
      </c>
      <c r="K829" s="36" t="s">
        <v>12749</v>
      </c>
      <c r="L829" s="36" t="s">
        <v>12750</v>
      </c>
      <c r="M829" s="36" t="s">
        <v>12751</v>
      </c>
      <c r="N829" s="36" t="s">
        <v>12752</v>
      </c>
      <c r="O829" s="36" t="s">
        <v>12753</v>
      </c>
      <c r="P829" s="36" t="s">
        <v>12740</v>
      </c>
    </row>
    <row r="830" spans="1:16">
      <c r="A830" s="132">
        <v>829</v>
      </c>
      <c r="B830" s="36" t="s">
        <v>3941</v>
      </c>
      <c r="C830" s="36" t="s">
        <v>3942</v>
      </c>
      <c r="D830" s="36" t="s">
        <v>3941</v>
      </c>
      <c r="E830" s="36" t="s">
        <v>3943</v>
      </c>
      <c r="F830" s="36" t="s">
        <v>3941</v>
      </c>
      <c r="G830" s="36" t="s">
        <v>3941</v>
      </c>
      <c r="H830" s="36" t="s">
        <v>3941</v>
      </c>
      <c r="I830" s="36" t="s">
        <v>3941</v>
      </c>
      <c r="J830" s="36" t="s">
        <v>3941</v>
      </c>
      <c r="K830" s="36" t="s">
        <v>3941</v>
      </c>
      <c r="L830" s="36" t="s">
        <v>3944</v>
      </c>
      <c r="M830" s="36" t="s">
        <v>3941</v>
      </c>
      <c r="N830" s="36" t="s">
        <v>3941</v>
      </c>
      <c r="O830" s="36" t="s">
        <v>3945</v>
      </c>
      <c r="P830" s="36" t="s">
        <v>3941</v>
      </c>
    </row>
    <row r="831" spans="1:16">
      <c r="A831" s="132">
        <v>830</v>
      </c>
      <c r="B831" s="36" t="s">
        <v>12754</v>
      </c>
      <c r="C831" s="36" t="s">
        <v>12754</v>
      </c>
      <c r="D831" s="36" t="s">
        <v>12754</v>
      </c>
      <c r="E831" s="36" t="s">
        <v>3943</v>
      </c>
      <c r="F831" s="36" t="s">
        <v>12755</v>
      </c>
      <c r="G831" s="36" t="s">
        <v>12754</v>
      </c>
      <c r="H831" s="36" t="s">
        <v>12754</v>
      </c>
      <c r="I831" s="36" t="s">
        <v>12755</v>
      </c>
      <c r="J831" s="36" t="s">
        <v>12754</v>
      </c>
      <c r="K831" s="36" t="s">
        <v>12754</v>
      </c>
      <c r="L831" s="36" t="s">
        <v>12756</v>
      </c>
      <c r="M831" s="36" t="s">
        <v>12754</v>
      </c>
      <c r="N831" s="36" t="s">
        <v>12757</v>
      </c>
      <c r="O831" s="36" t="s">
        <v>12758</v>
      </c>
      <c r="P831" s="36" t="s">
        <v>12754</v>
      </c>
    </row>
    <row r="832" spans="1:16">
      <c r="A832" s="132">
        <v>831</v>
      </c>
      <c r="B832" s="36" t="s">
        <v>12759</v>
      </c>
      <c r="C832" s="36" t="s">
        <v>12760</v>
      </c>
      <c r="D832" s="36" t="s">
        <v>12759</v>
      </c>
      <c r="E832" s="36" t="s">
        <v>12761</v>
      </c>
      <c r="F832" s="36" t="s">
        <v>12762</v>
      </c>
      <c r="G832" s="36" t="s">
        <v>12763</v>
      </c>
      <c r="H832" s="36" t="s">
        <v>12764</v>
      </c>
      <c r="I832" s="36" t="s">
        <v>12765</v>
      </c>
      <c r="J832" s="36" t="s">
        <v>12766</v>
      </c>
      <c r="K832" s="36" t="s">
        <v>12767</v>
      </c>
      <c r="L832" s="36" t="s">
        <v>12768</v>
      </c>
      <c r="M832" s="36" t="s">
        <v>12769</v>
      </c>
      <c r="N832" s="36" t="s">
        <v>12769</v>
      </c>
      <c r="O832" s="36" t="s">
        <v>12770</v>
      </c>
      <c r="P832" s="36" t="s">
        <v>12759</v>
      </c>
    </row>
    <row r="833" spans="1:16">
      <c r="A833" s="132">
        <v>832</v>
      </c>
      <c r="B833" s="36" t="s">
        <v>12771</v>
      </c>
      <c r="C833" s="36" t="s">
        <v>12772</v>
      </c>
      <c r="D833" s="36" t="s">
        <v>12773</v>
      </c>
      <c r="E833" s="36" t="s">
        <v>12774</v>
      </c>
      <c r="F833" s="36" t="s">
        <v>12775</v>
      </c>
      <c r="G833" s="36" t="s">
        <v>12776</v>
      </c>
      <c r="H833" s="36" t="s">
        <v>12777</v>
      </c>
      <c r="I833" s="36" t="s">
        <v>12778</v>
      </c>
      <c r="J833" s="36" t="s">
        <v>12779</v>
      </c>
      <c r="K833" s="36" t="s">
        <v>12780</v>
      </c>
      <c r="L833" s="36" t="s">
        <v>12781</v>
      </c>
      <c r="M833" s="36" t="s">
        <v>12782</v>
      </c>
      <c r="N833" s="36" t="s">
        <v>12783</v>
      </c>
      <c r="O833" s="36" t="s">
        <v>12784</v>
      </c>
      <c r="P833" s="36" t="s">
        <v>12771</v>
      </c>
    </row>
    <row r="834" spans="1:16">
      <c r="A834" s="132">
        <v>833</v>
      </c>
      <c r="B834" s="36" t="s">
        <v>12785</v>
      </c>
      <c r="C834" s="36" t="s">
        <v>12786</v>
      </c>
      <c r="D834" s="36" t="s">
        <v>12787</v>
      </c>
      <c r="E834" s="36" t="s">
        <v>12788</v>
      </c>
      <c r="F834" s="36" t="s">
        <v>12789</v>
      </c>
      <c r="G834" s="36" t="s">
        <v>12790</v>
      </c>
      <c r="H834" s="36" t="s">
        <v>12791</v>
      </c>
      <c r="I834" s="36" t="s">
        <v>12792</v>
      </c>
      <c r="J834" s="36" t="s">
        <v>12793</v>
      </c>
      <c r="K834" s="36" t="s">
        <v>12794</v>
      </c>
      <c r="L834" s="36" t="s">
        <v>12795</v>
      </c>
      <c r="M834" s="36" t="s">
        <v>12796</v>
      </c>
      <c r="N834" s="36" t="s">
        <v>12797</v>
      </c>
      <c r="O834" s="36" t="s">
        <v>12798</v>
      </c>
      <c r="P834" s="36" t="s">
        <v>12785</v>
      </c>
    </row>
    <row r="835" spans="1:16">
      <c r="A835" s="132">
        <v>834</v>
      </c>
      <c r="B835" s="36" t="s">
        <v>12799</v>
      </c>
      <c r="C835" s="36" t="s">
        <v>12800</v>
      </c>
      <c r="D835" s="36" t="s">
        <v>12801</v>
      </c>
      <c r="E835" s="36" t="s">
        <v>12802</v>
      </c>
      <c r="F835" s="36" t="s">
        <v>12803</v>
      </c>
      <c r="G835" s="36" t="s">
        <v>12804</v>
      </c>
      <c r="H835" s="36" t="s">
        <v>12805</v>
      </c>
      <c r="I835" s="36" t="s">
        <v>12806</v>
      </c>
      <c r="J835" s="36" t="s">
        <v>12807</v>
      </c>
      <c r="K835" s="36" t="s">
        <v>12808</v>
      </c>
      <c r="L835" s="36" t="s">
        <v>12809</v>
      </c>
      <c r="M835" s="36" t="s">
        <v>12799</v>
      </c>
      <c r="N835" s="36" t="s">
        <v>12799</v>
      </c>
      <c r="O835" s="36" t="s">
        <v>12810</v>
      </c>
      <c r="P835" s="36" t="s">
        <v>12799</v>
      </c>
    </row>
    <row r="836" spans="1:16">
      <c r="A836" s="132">
        <v>835</v>
      </c>
      <c r="B836" s="36" t="s">
        <v>12811</v>
      </c>
      <c r="C836" s="36" t="s">
        <v>12812</v>
      </c>
      <c r="D836" s="36" t="s">
        <v>12813</v>
      </c>
      <c r="E836" s="36" t="s">
        <v>12814</v>
      </c>
      <c r="F836" s="36" t="s">
        <v>12815</v>
      </c>
      <c r="G836" s="36" t="s">
        <v>12816</v>
      </c>
      <c r="H836" s="36" t="s">
        <v>12817</v>
      </c>
      <c r="I836" s="36" t="s">
        <v>12818</v>
      </c>
      <c r="J836" s="36" t="s">
        <v>12819</v>
      </c>
      <c r="K836" s="36" t="s">
        <v>12820</v>
      </c>
      <c r="L836" s="36" t="s">
        <v>12821</v>
      </c>
      <c r="M836" s="36" t="s">
        <v>12822</v>
      </c>
      <c r="N836" s="36" t="s">
        <v>12823</v>
      </c>
      <c r="O836" s="36" t="s">
        <v>12824</v>
      </c>
      <c r="P836" s="36" t="s">
        <v>12811</v>
      </c>
    </row>
    <row r="837" spans="1:16">
      <c r="A837" s="132">
        <v>836</v>
      </c>
      <c r="B837" s="36" t="s">
        <v>12825</v>
      </c>
      <c r="C837" s="36" t="s">
        <v>12826</v>
      </c>
      <c r="D837" s="36" t="s">
        <v>12827</v>
      </c>
      <c r="E837" s="36" t="s">
        <v>12828</v>
      </c>
      <c r="F837" s="36" t="s">
        <v>12829</v>
      </c>
      <c r="G837" s="36" t="s">
        <v>12830</v>
      </c>
      <c r="H837" s="36" t="s">
        <v>12831</v>
      </c>
      <c r="I837" s="36" t="s">
        <v>12832</v>
      </c>
      <c r="J837" s="36" t="s">
        <v>12833</v>
      </c>
      <c r="K837" s="36" t="s">
        <v>12834</v>
      </c>
      <c r="L837" s="36" t="s">
        <v>12835</v>
      </c>
      <c r="M837" s="36" t="s">
        <v>12836</v>
      </c>
      <c r="N837" s="36" t="s">
        <v>12837</v>
      </c>
      <c r="O837" s="36" t="s">
        <v>12838</v>
      </c>
      <c r="P837" s="36" t="s">
        <v>12825</v>
      </c>
    </row>
    <row r="838" spans="1:16">
      <c r="A838" s="132">
        <v>837</v>
      </c>
      <c r="B838" s="36" t="s">
        <v>12839</v>
      </c>
      <c r="C838" s="36" t="s">
        <v>12839</v>
      </c>
      <c r="D838" s="36" t="s">
        <v>12839</v>
      </c>
      <c r="E838" s="36" t="s">
        <v>12840</v>
      </c>
      <c r="F838" s="36" t="s">
        <v>12841</v>
      </c>
      <c r="G838" s="36" t="s">
        <v>12839</v>
      </c>
      <c r="H838" s="36" t="s">
        <v>12839</v>
      </c>
      <c r="I838" s="36" t="s">
        <v>12841</v>
      </c>
      <c r="J838" s="36" t="s">
        <v>12839</v>
      </c>
      <c r="K838" s="36" t="s">
        <v>12839</v>
      </c>
      <c r="L838" s="36" t="s">
        <v>12842</v>
      </c>
      <c r="M838" s="36" t="s">
        <v>12839</v>
      </c>
      <c r="N838" s="36" t="s">
        <v>12843</v>
      </c>
      <c r="O838" s="36" t="s">
        <v>12839</v>
      </c>
      <c r="P838" s="36" t="s">
        <v>12839</v>
      </c>
    </row>
    <row r="839" spans="1:16">
      <c r="A839" s="132">
        <v>838</v>
      </c>
      <c r="B839" s="36" t="s">
        <v>12844</v>
      </c>
      <c r="C839" s="36" t="s">
        <v>12845</v>
      </c>
      <c r="D839" s="36" t="s">
        <v>12846</v>
      </c>
      <c r="E839" s="36" t="s">
        <v>12847</v>
      </c>
      <c r="F839" s="36" t="s">
        <v>12848</v>
      </c>
      <c r="G839" s="36" t="s">
        <v>12849</v>
      </c>
      <c r="H839" s="36" t="s">
        <v>12850</v>
      </c>
      <c r="I839" s="36" t="s">
        <v>12851</v>
      </c>
      <c r="J839" s="36" t="s">
        <v>12852</v>
      </c>
      <c r="K839" s="36" t="s">
        <v>12853</v>
      </c>
      <c r="L839" s="36" t="s">
        <v>12854</v>
      </c>
      <c r="M839" s="36" t="s">
        <v>12855</v>
      </c>
      <c r="N839" s="36" t="s">
        <v>12856</v>
      </c>
      <c r="O839" s="36" t="s">
        <v>12857</v>
      </c>
      <c r="P839" s="36" t="s">
        <v>12844</v>
      </c>
    </row>
    <row r="840" spans="1:16">
      <c r="A840" s="132">
        <v>839</v>
      </c>
      <c r="B840" s="36" t="s">
        <v>12858</v>
      </c>
      <c r="C840" s="36" t="s">
        <v>12859</v>
      </c>
      <c r="D840" s="36" t="s">
        <v>12860</v>
      </c>
      <c r="E840" s="36" t="s">
        <v>12861</v>
      </c>
      <c r="F840" s="36" t="s">
        <v>12862</v>
      </c>
      <c r="G840" s="36" t="s">
        <v>12863</v>
      </c>
      <c r="H840" s="36" t="s">
        <v>12864</v>
      </c>
      <c r="I840" s="36" t="s">
        <v>12865</v>
      </c>
      <c r="J840" s="36" t="s">
        <v>12866</v>
      </c>
      <c r="K840" s="36" t="s">
        <v>12867</v>
      </c>
      <c r="L840" s="36" t="s">
        <v>12868</v>
      </c>
      <c r="M840" s="36" t="s">
        <v>12869</v>
      </c>
      <c r="N840" s="36" t="s">
        <v>12870</v>
      </c>
      <c r="O840" s="36" t="s">
        <v>12871</v>
      </c>
      <c r="P840" s="36" t="s">
        <v>12858</v>
      </c>
    </row>
    <row r="841" spans="1:16">
      <c r="A841" s="132">
        <v>840</v>
      </c>
      <c r="B841" s="36" t="s">
        <v>12872</v>
      </c>
      <c r="C841" s="36" t="s">
        <v>12873</v>
      </c>
      <c r="D841" s="36" t="s">
        <v>12874</v>
      </c>
      <c r="E841" s="36" t="s">
        <v>12875</v>
      </c>
      <c r="F841" s="36" t="s">
        <v>12876</v>
      </c>
      <c r="G841" s="36" t="s">
        <v>12858</v>
      </c>
      <c r="H841" s="36" t="s">
        <v>12877</v>
      </c>
      <c r="I841" s="36" t="s">
        <v>12878</v>
      </c>
      <c r="J841" s="36" t="s">
        <v>12879</v>
      </c>
      <c r="K841" s="36" t="s">
        <v>12880</v>
      </c>
      <c r="L841" s="36" t="s">
        <v>12881</v>
      </c>
      <c r="M841" s="36" t="s">
        <v>12882</v>
      </c>
      <c r="N841" s="36" t="s">
        <v>12883</v>
      </c>
      <c r="O841" s="36" t="s">
        <v>12884</v>
      </c>
      <c r="P841" s="36" t="s">
        <v>12872</v>
      </c>
    </row>
    <row r="842" spans="1:16">
      <c r="A842" s="132">
        <v>841</v>
      </c>
      <c r="B842" s="36" t="s">
        <v>12885</v>
      </c>
      <c r="C842" s="36" t="s">
        <v>12886</v>
      </c>
      <c r="D842" s="36" t="s">
        <v>12887</v>
      </c>
      <c r="E842" s="36" t="s">
        <v>12888</v>
      </c>
      <c r="F842" s="36" t="s">
        <v>12889</v>
      </c>
      <c r="G842" s="36" t="s">
        <v>12890</v>
      </c>
      <c r="H842" s="36" t="s">
        <v>12891</v>
      </c>
      <c r="I842" s="36" t="s">
        <v>12892</v>
      </c>
      <c r="J842" s="36" t="s">
        <v>12893</v>
      </c>
      <c r="K842" s="36" t="s">
        <v>12894</v>
      </c>
      <c r="L842" s="36" t="s">
        <v>12895</v>
      </c>
      <c r="M842" s="36" t="s">
        <v>12896</v>
      </c>
      <c r="N842" s="36" t="s">
        <v>12897</v>
      </c>
      <c r="O842" s="36" t="s">
        <v>12898</v>
      </c>
      <c r="P842" s="36" t="s">
        <v>12885</v>
      </c>
    </row>
    <row r="843" spans="1:16">
      <c r="A843" s="132">
        <v>842</v>
      </c>
      <c r="B843" s="36" t="s">
        <v>12899</v>
      </c>
      <c r="C843" s="36" t="s">
        <v>12900</v>
      </c>
      <c r="D843" s="36" t="s">
        <v>12901</v>
      </c>
      <c r="E843" s="36" t="s">
        <v>12902</v>
      </c>
      <c r="F843" s="36" t="s">
        <v>12903</v>
      </c>
      <c r="G843" s="36" t="s">
        <v>12904</v>
      </c>
      <c r="H843" s="36" t="s">
        <v>12905</v>
      </c>
      <c r="I843" s="36" t="s">
        <v>12906</v>
      </c>
      <c r="J843" s="36" t="s">
        <v>12907</v>
      </c>
      <c r="K843" s="36" t="s">
        <v>12908</v>
      </c>
      <c r="L843" s="36" t="s">
        <v>12909</v>
      </c>
      <c r="M843" s="36" t="s">
        <v>12910</v>
      </c>
      <c r="N843" s="36" t="s">
        <v>12911</v>
      </c>
      <c r="O843" s="36" t="s">
        <v>12912</v>
      </c>
      <c r="P843" s="36" t="s">
        <v>12899</v>
      </c>
    </row>
    <row r="844" spans="1:16">
      <c r="A844" s="132">
        <v>843</v>
      </c>
      <c r="B844" s="36" t="s">
        <v>12913</v>
      </c>
      <c r="C844" s="36" t="s">
        <v>12914</v>
      </c>
      <c r="D844" s="36" t="s">
        <v>12915</v>
      </c>
      <c r="E844" s="36" t="s">
        <v>12916</v>
      </c>
      <c r="F844" s="36" t="s">
        <v>12917</v>
      </c>
      <c r="G844" s="36" t="s">
        <v>12918</v>
      </c>
      <c r="H844" s="36" t="s">
        <v>12919</v>
      </c>
      <c r="I844" s="36" t="s">
        <v>12920</v>
      </c>
      <c r="J844" s="36" t="s">
        <v>12921</v>
      </c>
      <c r="K844" s="36" t="s">
        <v>12922</v>
      </c>
      <c r="L844" s="36" t="s">
        <v>12923</v>
      </c>
      <c r="M844" s="36" t="s">
        <v>12924</v>
      </c>
      <c r="N844" s="36" t="s">
        <v>12925</v>
      </c>
      <c r="O844" s="36" t="s">
        <v>12926</v>
      </c>
      <c r="P844" s="36" t="s">
        <v>12913</v>
      </c>
    </row>
    <row r="845" spans="1:16" ht="14.4">
      <c r="A845" s="132">
        <v>844</v>
      </c>
      <c r="B845" s="36" t="s">
        <v>12927</v>
      </c>
      <c r="C845" s="36" t="s">
        <v>12928</v>
      </c>
      <c r="D845" s="36" t="s">
        <v>12929</v>
      </c>
      <c r="E845" s="36" t="s">
        <v>12930</v>
      </c>
      <c r="F845" s="486" t="s">
        <v>29579</v>
      </c>
      <c r="G845" s="486" t="s">
        <v>29580</v>
      </c>
      <c r="H845" s="36" t="s">
        <v>12931</v>
      </c>
      <c r="I845" s="36" t="s">
        <v>12932</v>
      </c>
      <c r="J845" s="36" t="s">
        <v>12933</v>
      </c>
      <c r="K845" s="36" t="s">
        <v>12934</v>
      </c>
      <c r="L845" s="36" t="s">
        <v>12935</v>
      </c>
      <c r="M845" s="36" t="s">
        <v>12927</v>
      </c>
      <c r="N845" s="36" t="s">
        <v>12936</v>
      </c>
      <c r="O845" s="36" t="s">
        <v>12937</v>
      </c>
      <c r="P845" s="36" t="s">
        <v>12927</v>
      </c>
    </row>
    <row r="846" spans="1:16">
      <c r="A846" s="132">
        <v>845</v>
      </c>
      <c r="B846" s="36" t="s">
        <v>12938</v>
      </c>
      <c r="C846" s="36" t="s">
        <v>12939</v>
      </c>
      <c r="D846" s="36" t="s">
        <v>12940</v>
      </c>
      <c r="E846" s="36" t="s">
        <v>12941</v>
      </c>
      <c r="F846" s="36" t="s">
        <v>12942</v>
      </c>
      <c r="G846" s="36" t="s">
        <v>12943</v>
      </c>
      <c r="H846" s="36" t="s">
        <v>12944</v>
      </c>
      <c r="I846" s="36" t="s">
        <v>12945</v>
      </c>
      <c r="J846" s="36" t="s">
        <v>12946</v>
      </c>
      <c r="K846" s="36" t="s">
        <v>12947</v>
      </c>
      <c r="L846" s="36" t="s">
        <v>12948</v>
      </c>
      <c r="M846" s="36" t="s">
        <v>12949</v>
      </c>
      <c r="N846" s="36" t="s">
        <v>12950</v>
      </c>
      <c r="O846" s="36" t="s">
        <v>12951</v>
      </c>
      <c r="P846" s="36" t="s">
        <v>12938</v>
      </c>
    </row>
    <row r="847" spans="1:16">
      <c r="A847" s="132">
        <v>846</v>
      </c>
      <c r="B847" s="36" t="s">
        <v>12952</v>
      </c>
      <c r="C847" s="36" t="s">
        <v>12953</v>
      </c>
      <c r="D847" s="36" t="s">
        <v>12954</v>
      </c>
      <c r="E847" s="36" t="s">
        <v>12955</v>
      </c>
      <c r="F847" s="36" t="s">
        <v>12956</v>
      </c>
      <c r="G847" s="36" t="s">
        <v>12957</v>
      </c>
      <c r="H847" s="36" t="s">
        <v>12958</v>
      </c>
      <c r="I847" s="36" t="s">
        <v>12959</v>
      </c>
      <c r="J847" s="36" t="s">
        <v>12960</v>
      </c>
      <c r="K847" s="36" t="s">
        <v>12961</v>
      </c>
      <c r="L847" s="36" t="s">
        <v>12962</v>
      </c>
      <c r="M847" s="36" t="s">
        <v>12963</v>
      </c>
      <c r="N847" s="36" t="s">
        <v>12964</v>
      </c>
      <c r="O847" s="36" t="s">
        <v>12965</v>
      </c>
      <c r="P847" s="36" t="s">
        <v>12952</v>
      </c>
    </row>
    <row r="848" spans="1:16">
      <c r="A848" s="132">
        <v>847</v>
      </c>
      <c r="B848" s="36" t="s">
        <v>12966</v>
      </c>
      <c r="C848" s="36" t="s">
        <v>12967</v>
      </c>
      <c r="D848" s="36" t="s">
        <v>12968</v>
      </c>
      <c r="E848" s="36" t="s">
        <v>12969</v>
      </c>
      <c r="F848" s="36" t="s">
        <v>12970</v>
      </c>
      <c r="G848" s="36" t="s">
        <v>12971</v>
      </c>
      <c r="H848" s="36" t="s">
        <v>12972</v>
      </c>
      <c r="I848" s="36" t="s">
        <v>12973</v>
      </c>
      <c r="J848" s="36" t="s">
        <v>12974</v>
      </c>
      <c r="K848" s="36" t="s">
        <v>12975</v>
      </c>
      <c r="L848" s="36" t="s">
        <v>12976</v>
      </c>
      <c r="M848" s="36" t="s">
        <v>12977</v>
      </c>
      <c r="N848" s="36" t="s">
        <v>12978</v>
      </c>
      <c r="O848" s="36" t="s">
        <v>12979</v>
      </c>
      <c r="P848" s="36" t="s">
        <v>12966</v>
      </c>
    </row>
    <row r="849" spans="1:16">
      <c r="A849" s="132">
        <v>848</v>
      </c>
      <c r="B849" s="36" t="s">
        <v>12980</v>
      </c>
      <c r="C849" s="36" t="s">
        <v>12981</v>
      </c>
      <c r="D849" s="36" t="s">
        <v>12982</v>
      </c>
      <c r="E849" s="36" t="s">
        <v>12983</v>
      </c>
      <c r="F849" s="36" t="s">
        <v>5569</v>
      </c>
      <c r="G849" s="36" t="s">
        <v>12984</v>
      </c>
      <c r="H849" s="36" t="s">
        <v>12985</v>
      </c>
      <c r="I849" s="36" t="s">
        <v>5572</v>
      </c>
      <c r="J849" s="36" t="s">
        <v>12986</v>
      </c>
      <c r="K849" s="36" t="s">
        <v>12987</v>
      </c>
      <c r="L849" s="36" t="s">
        <v>5575</v>
      </c>
      <c r="M849" s="36" t="s">
        <v>12988</v>
      </c>
      <c r="N849" s="36" t="s">
        <v>12989</v>
      </c>
      <c r="O849" s="36" t="s">
        <v>12990</v>
      </c>
      <c r="P849" s="36" t="s">
        <v>12980</v>
      </c>
    </row>
    <row r="850" spans="1:16">
      <c r="A850" s="132">
        <v>849</v>
      </c>
      <c r="B850" s="36" t="s">
        <v>12991</v>
      </c>
      <c r="C850" s="36" t="s">
        <v>12992</v>
      </c>
      <c r="D850" s="36" t="s">
        <v>12993</v>
      </c>
      <c r="E850" s="36" t="s">
        <v>12994</v>
      </c>
      <c r="F850" s="36" t="s">
        <v>12995</v>
      </c>
      <c r="G850" s="36" t="s">
        <v>12996</v>
      </c>
      <c r="H850" s="36" t="s">
        <v>12997</v>
      </c>
      <c r="I850" s="36" t="s">
        <v>12998</v>
      </c>
      <c r="J850" s="36" t="s">
        <v>12999</v>
      </c>
      <c r="K850" s="36" t="s">
        <v>13000</v>
      </c>
      <c r="L850" s="36" t="s">
        <v>13001</v>
      </c>
      <c r="M850" s="36" t="s">
        <v>13002</v>
      </c>
      <c r="N850" s="36" t="s">
        <v>13003</v>
      </c>
      <c r="O850" s="36" t="s">
        <v>13004</v>
      </c>
      <c r="P850" s="36" t="s">
        <v>12991</v>
      </c>
    </row>
    <row r="851" spans="1:16">
      <c r="A851" s="132">
        <v>850</v>
      </c>
      <c r="B851" s="36" t="s">
        <v>13005</v>
      </c>
      <c r="C851" s="36" t="s">
        <v>13006</v>
      </c>
      <c r="D851" s="36" t="s">
        <v>13007</v>
      </c>
      <c r="E851" s="36" t="s">
        <v>13008</v>
      </c>
      <c r="F851" s="36" t="s">
        <v>13009</v>
      </c>
      <c r="G851" s="36" t="s">
        <v>13010</v>
      </c>
      <c r="H851" s="36" t="s">
        <v>13011</v>
      </c>
      <c r="I851" s="36" t="s">
        <v>13012</v>
      </c>
      <c r="J851" s="36" t="s">
        <v>13013</v>
      </c>
      <c r="K851" s="36" t="s">
        <v>13014</v>
      </c>
      <c r="L851" s="36" t="s">
        <v>13015</v>
      </c>
      <c r="M851" s="36" t="s">
        <v>13016</v>
      </c>
      <c r="N851" s="36" t="s">
        <v>13017</v>
      </c>
      <c r="O851" s="36" t="s">
        <v>13018</v>
      </c>
      <c r="P851" s="36" t="s">
        <v>13005</v>
      </c>
    </row>
    <row r="852" spans="1:16">
      <c r="A852" s="132">
        <v>851</v>
      </c>
      <c r="B852" s="36" t="s">
        <v>13019</v>
      </c>
      <c r="C852" s="36" t="s">
        <v>13020</v>
      </c>
      <c r="D852" s="36" t="s">
        <v>13021</v>
      </c>
      <c r="E852" s="36" t="s">
        <v>13022</v>
      </c>
      <c r="F852" s="36" t="s">
        <v>13023</v>
      </c>
      <c r="G852" s="36" t="s">
        <v>13024</v>
      </c>
      <c r="H852" s="36" t="s">
        <v>13025</v>
      </c>
      <c r="I852" s="36" t="s">
        <v>13026</v>
      </c>
      <c r="J852" s="36" t="s">
        <v>13027</v>
      </c>
      <c r="K852" s="36" t="s">
        <v>13028</v>
      </c>
      <c r="L852" s="36" t="s">
        <v>13029</v>
      </c>
      <c r="M852" s="36" t="s">
        <v>13030</v>
      </c>
      <c r="N852" s="36" t="s">
        <v>13031</v>
      </c>
      <c r="O852" s="36" t="s">
        <v>13032</v>
      </c>
      <c r="P852" s="36" t="s">
        <v>13019</v>
      </c>
    </row>
    <row r="853" spans="1:16">
      <c r="A853" s="132">
        <v>852</v>
      </c>
      <c r="B853" s="36" t="s">
        <v>13033</v>
      </c>
      <c r="C853" s="36" t="s">
        <v>13034</v>
      </c>
      <c r="D853" s="36" t="s">
        <v>13035</v>
      </c>
      <c r="E853" s="36" t="s">
        <v>13036</v>
      </c>
      <c r="F853" s="36" t="s">
        <v>13037</v>
      </c>
      <c r="G853" s="36" t="s">
        <v>13038</v>
      </c>
      <c r="H853" s="36" t="s">
        <v>13039</v>
      </c>
      <c r="I853" s="36" t="s">
        <v>13040</v>
      </c>
      <c r="J853" s="36" t="s">
        <v>13041</v>
      </c>
      <c r="K853" s="36" t="s">
        <v>13042</v>
      </c>
      <c r="L853" s="36" t="s">
        <v>13043</v>
      </c>
      <c r="M853" s="36" t="s">
        <v>13044</v>
      </c>
      <c r="N853" s="36" t="s">
        <v>13045</v>
      </c>
      <c r="O853" s="36" t="s">
        <v>13046</v>
      </c>
      <c r="P853" s="36" t="s">
        <v>13033</v>
      </c>
    </row>
    <row r="854" spans="1:16">
      <c r="A854" s="132">
        <v>853</v>
      </c>
      <c r="B854" s="36" t="s">
        <v>13047</v>
      </c>
      <c r="C854" s="36" t="s">
        <v>13048</v>
      </c>
      <c r="D854" s="36" t="s">
        <v>13049</v>
      </c>
      <c r="E854" s="36" t="s">
        <v>13050</v>
      </c>
      <c r="F854" s="36" t="s">
        <v>13051</v>
      </c>
      <c r="G854" s="36" t="s">
        <v>13052</v>
      </c>
      <c r="H854" s="36" t="s">
        <v>13053</v>
      </c>
      <c r="I854" s="36" t="s">
        <v>13054</v>
      </c>
      <c r="J854" s="36" t="s">
        <v>13055</v>
      </c>
      <c r="K854" s="36" t="s">
        <v>13056</v>
      </c>
      <c r="L854" s="36" t="s">
        <v>13057</v>
      </c>
      <c r="M854" s="36" t="s">
        <v>13058</v>
      </c>
      <c r="N854" s="36" t="s">
        <v>13057</v>
      </c>
      <c r="O854" s="36" t="s">
        <v>13059</v>
      </c>
      <c r="P854" s="36" t="s">
        <v>13047</v>
      </c>
    </row>
    <row r="855" spans="1:16">
      <c r="A855" s="132">
        <v>854</v>
      </c>
      <c r="B855" s="36" t="s">
        <v>13060</v>
      </c>
      <c r="C855" s="36" t="s">
        <v>13061</v>
      </c>
      <c r="D855" s="36" t="s">
        <v>13062</v>
      </c>
      <c r="E855" s="36" t="s">
        <v>13063</v>
      </c>
      <c r="F855" s="36" t="s">
        <v>13064</v>
      </c>
      <c r="G855" s="36" t="s">
        <v>13065</v>
      </c>
      <c r="H855" s="36" t="s">
        <v>13066</v>
      </c>
      <c r="I855" s="36" t="s">
        <v>13067</v>
      </c>
      <c r="J855" s="36" t="s">
        <v>13068</v>
      </c>
      <c r="K855" s="36" t="s">
        <v>13069</v>
      </c>
      <c r="L855" s="36" t="s">
        <v>13070</v>
      </c>
      <c r="M855" s="36" t="s">
        <v>13071</v>
      </c>
      <c r="N855" s="36" t="s">
        <v>13072</v>
      </c>
      <c r="O855" s="36" t="s">
        <v>13073</v>
      </c>
      <c r="P855" s="36" t="s">
        <v>13060</v>
      </c>
    </row>
    <row r="856" spans="1:16">
      <c r="A856" s="132">
        <v>855</v>
      </c>
      <c r="B856" s="36" t="s">
        <v>13074</v>
      </c>
      <c r="C856" s="36" t="s">
        <v>13075</v>
      </c>
      <c r="D856" s="36" t="s">
        <v>13076</v>
      </c>
      <c r="E856" s="36" t="s">
        <v>13077</v>
      </c>
      <c r="F856" s="36" t="s">
        <v>13078</v>
      </c>
      <c r="G856" s="36" t="s">
        <v>13079</v>
      </c>
      <c r="H856" s="36" t="s">
        <v>13080</v>
      </c>
      <c r="I856" s="36" t="s">
        <v>13081</v>
      </c>
      <c r="J856" s="36" t="s">
        <v>13082</v>
      </c>
      <c r="K856" s="36" t="s">
        <v>13083</v>
      </c>
      <c r="L856" s="36" t="s">
        <v>13084</v>
      </c>
      <c r="M856" s="36" t="s">
        <v>13085</v>
      </c>
      <c r="N856" s="36" t="s">
        <v>13086</v>
      </c>
      <c r="O856" s="36" t="s">
        <v>13087</v>
      </c>
      <c r="P856" s="36" t="s">
        <v>13074</v>
      </c>
    </row>
    <row r="857" spans="1:16">
      <c r="A857" s="132">
        <v>856</v>
      </c>
      <c r="B857" s="36" t="s">
        <v>13088</v>
      </c>
      <c r="C857" s="36" t="s">
        <v>13089</v>
      </c>
      <c r="D857" s="36" t="s">
        <v>13090</v>
      </c>
      <c r="E857" s="36" t="s">
        <v>13091</v>
      </c>
      <c r="F857" s="36" t="s">
        <v>13092</v>
      </c>
      <c r="G857" s="36" t="s">
        <v>13093</v>
      </c>
      <c r="H857" s="36" t="s">
        <v>13094</v>
      </c>
      <c r="I857" s="36" t="s">
        <v>13092</v>
      </c>
      <c r="J857" s="36" t="s">
        <v>13095</v>
      </c>
      <c r="K857" s="36" t="s">
        <v>13096</v>
      </c>
      <c r="L857" s="36" t="s">
        <v>13097</v>
      </c>
      <c r="M857" s="36" t="s">
        <v>13088</v>
      </c>
      <c r="N857" s="36" t="s">
        <v>13088</v>
      </c>
      <c r="O857" s="36" t="s">
        <v>13098</v>
      </c>
      <c r="P857" s="36" t="s">
        <v>13088</v>
      </c>
    </row>
    <row r="858" spans="1:16">
      <c r="A858" s="132">
        <v>857</v>
      </c>
      <c r="B858" s="36" t="s">
        <v>13099</v>
      </c>
      <c r="C858" s="36" t="s">
        <v>13100</v>
      </c>
      <c r="D858" s="36" t="s">
        <v>13100</v>
      </c>
      <c r="E858" s="36" t="s">
        <v>13091</v>
      </c>
      <c r="F858" s="36" t="s">
        <v>13101</v>
      </c>
      <c r="G858" s="36" t="s">
        <v>13102</v>
      </c>
      <c r="H858" s="36" t="s">
        <v>13103</v>
      </c>
      <c r="I858" s="36" t="s">
        <v>13101</v>
      </c>
      <c r="J858" s="36" t="s">
        <v>13104</v>
      </c>
      <c r="K858" s="36" t="s">
        <v>13099</v>
      </c>
      <c r="L858" s="36" t="s">
        <v>13105</v>
      </c>
      <c r="M858" s="36" t="s">
        <v>13100</v>
      </c>
      <c r="N858" s="36" t="s">
        <v>13099</v>
      </c>
      <c r="O858" s="36" t="s">
        <v>13106</v>
      </c>
      <c r="P858" s="36" t="s">
        <v>13099</v>
      </c>
    </row>
    <row r="859" spans="1:16">
      <c r="A859" s="132">
        <v>858</v>
      </c>
      <c r="B859" s="36" t="s">
        <v>13088</v>
      </c>
      <c r="C859" s="36" t="s">
        <v>13089</v>
      </c>
      <c r="D859" s="36" t="s">
        <v>13090</v>
      </c>
      <c r="E859" s="36" t="s">
        <v>13091</v>
      </c>
      <c r="F859" s="36" t="s">
        <v>13092</v>
      </c>
      <c r="G859" s="36" t="s">
        <v>13093</v>
      </c>
      <c r="H859" s="36" t="s">
        <v>13094</v>
      </c>
      <c r="I859" s="36" t="s">
        <v>13092</v>
      </c>
      <c r="J859" s="36" t="s">
        <v>13107</v>
      </c>
      <c r="K859" s="36" t="s">
        <v>13108</v>
      </c>
      <c r="L859" s="36" t="s">
        <v>13096</v>
      </c>
      <c r="M859" s="36" t="s">
        <v>13089</v>
      </c>
      <c r="N859" s="36" t="s">
        <v>13088</v>
      </c>
      <c r="O859" s="36" t="s">
        <v>13109</v>
      </c>
      <c r="P859" s="36" t="s">
        <v>13088</v>
      </c>
    </row>
    <row r="860" spans="1:16">
      <c r="A860" s="132">
        <v>859</v>
      </c>
      <c r="B860" s="36" t="s">
        <v>13110</v>
      </c>
      <c r="C860" s="36" t="s">
        <v>13111</v>
      </c>
      <c r="D860" s="36" t="s">
        <v>13112</v>
      </c>
      <c r="E860" s="36" t="s">
        <v>13113</v>
      </c>
      <c r="F860" s="36" t="s">
        <v>13114</v>
      </c>
      <c r="G860" s="36" t="s">
        <v>13115</v>
      </c>
      <c r="H860" s="36" t="s">
        <v>13116</v>
      </c>
      <c r="I860" s="36" t="s">
        <v>13117</v>
      </c>
      <c r="J860" s="36" t="s">
        <v>13118</v>
      </c>
      <c r="K860" s="36" t="s">
        <v>13119</v>
      </c>
      <c r="L860" s="36" t="s">
        <v>13120</v>
      </c>
      <c r="M860" s="36" t="s">
        <v>13121</v>
      </c>
      <c r="N860" s="36" t="s">
        <v>13122</v>
      </c>
      <c r="O860" s="36" t="s">
        <v>13123</v>
      </c>
      <c r="P860" s="36" t="s">
        <v>13110</v>
      </c>
    </row>
    <row r="861" spans="1:16">
      <c r="A861" s="132">
        <v>860</v>
      </c>
      <c r="B861" s="36" t="s">
        <v>2326</v>
      </c>
      <c r="C861" s="36" t="s">
        <v>13124</v>
      </c>
      <c r="D861" s="36" t="s">
        <v>13125</v>
      </c>
      <c r="E861" s="36" t="s">
        <v>13126</v>
      </c>
      <c r="F861" s="36" t="s">
        <v>13127</v>
      </c>
      <c r="G861" s="36" t="s">
        <v>13128</v>
      </c>
      <c r="H861" s="36" t="s">
        <v>13129</v>
      </c>
      <c r="I861" s="36" t="s">
        <v>13130</v>
      </c>
      <c r="J861" s="36" t="s">
        <v>13131</v>
      </c>
      <c r="K861" s="36" t="s">
        <v>13132</v>
      </c>
      <c r="L861" s="36" t="s">
        <v>13133</v>
      </c>
      <c r="M861" s="36" t="s">
        <v>13134</v>
      </c>
      <c r="N861" s="36" t="s">
        <v>13135</v>
      </c>
      <c r="O861" s="36" t="s">
        <v>13136</v>
      </c>
      <c r="P861" s="36" t="s">
        <v>2326</v>
      </c>
    </row>
    <row r="862" spans="1:16">
      <c r="A862" s="132">
        <v>861</v>
      </c>
      <c r="B862" s="36" t="s">
        <v>13137</v>
      </c>
      <c r="C862" s="36" t="s">
        <v>13138</v>
      </c>
      <c r="D862" s="36" t="s">
        <v>11565</v>
      </c>
      <c r="E862" s="36" t="s">
        <v>13139</v>
      </c>
      <c r="F862" s="36" t="s">
        <v>11609</v>
      </c>
      <c r="G862" s="36" t="s">
        <v>13140</v>
      </c>
      <c r="H862" s="36" t="s">
        <v>13141</v>
      </c>
      <c r="I862" s="36" t="s">
        <v>13142</v>
      </c>
      <c r="J862" s="36" t="s">
        <v>13143</v>
      </c>
      <c r="K862" s="36" t="s">
        <v>13144</v>
      </c>
      <c r="L862" s="36" t="s">
        <v>13145</v>
      </c>
      <c r="M862" s="36" t="s">
        <v>13146</v>
      </c>
      <c r="N862" s="36" t="s">
        <v>13147</v>
      </c>
      <c r="O862" s="36" t="s">
        <v>13148</v>
      </c>
      <c r="P862" s="36" t="s">
        <v>13137</v>
      </c>
    </row>
    <row r="863" spans="1:16">
      <c r="A863" s="132">
        <v>862</v>
      </c>
      <c r="B863" s="36" t="s">
        <v>13149</v>
      </c>
      <c r="C863" s="36" t="s">
        <v>13150</v>
      </c>
      <c r="D863" s="36" t="s">
        <v>13151</v>
      </c>
      <c r="E863" s="36" t="s">
        <v>13152</v>
      </c>
      <c r="F863" s="36" t="s">
        <v>13153</v>
      </c>
      <c r="G863" s="36" t="s">
        <v>13154</v>
      </c>
      <c r="H863" s="36" t="s">
        <v>13155</v>
      </c>
      <c r="I863" s="36" t="s">
        <v>13156</v>
      </c>
      <c r="J863" s="36" t="s">
        <v>13157</v>
      </c>
      <c r="K863" s="36" t="s">
        <v>13158</v>
      </c>
      <c r="L863" s="36" t="s">
        <v>13159</v>
      </c>
      <c r="M863" s="36" t="s">
        <v>13160</v>
      </c>
      <c r="N863" s="36" t="s">
        <v>13161</v>
      </c>
      <c r="O863" s="36" t="s">
        <v>13162</v>
      </c>
      <c r="P863" s="36" t="s">
        <v>13149</v>
      </c>
    </row>
    <row r="864" spans="1:16">
      <c r="A864" s="132">
        <v>863</v>
      </c>
      <c r="B864" s="36" t="s">
        <v>13163</v>
      </c>
      <c r="C864" s="36" t="s">
        <v>13164</v>
      </c>
      <c r="D864" s="36" t="s">
        <v>13165</v>
      </c>
      <c r="E864" s="36" t="s">
        <v>13166</v>
      </c>
      <c r="F864" s="36" t="s">
        <v>13167</v>
      </c>
      <c r="G864" s="36" t="s">
        <v>13168</v>
      </c>
      <c r="H864" s="36" t="s">
        <v>13169</v>
      </c>
      <c r="I864" s="36" t="s">
        <v>13170</v>
      </c>
      <c r="J864" s="36" t="s">
        <v>13171</v>
      </c>
      <c r="K864" s="36" t="s">
        <v>13172</v>
      </c>
      <c r="L864" s="36" t="s">
        <v>13173</v>
      </c>
      <c r="M864" s="36" t="s">
        <v>13174</v>
      </c>
      <c r="N864" s="36" t="s">
        <v>13175</v>
      </c>
      <c r="O864" s="36" t="s">
        <v>13176</v>
      </c>
      <c r="P864" s="36" t="s">
        <v>13163</v>
      </c>
    </row>
    <row r="865" spans="1:16">
      <c r="A865" s="132">
        <v>864</v>
      </c>
      <c r="B865" s="36" t="s">
        <v>13177</v>
      </c>
      <c r="C865" s="36" t="s">
        <v>13178</v>
      </c>
      <c r="D865" s="36" t="s">
        <v>13179</v>
      </c>
      <c r="E865" s="36" t="s">
        <v>13180</v>
      </c>
      <c r="F865" s="36" t="s">
        <v>13181</v>
      </c>
      <c r="G865" s="36" t="s">
        <v>13182</v>
      </c>
      <c r="H865" s="36" t="s">
        <v>13183</v>
      </c>
      <c r="I865" s="36" t="s">
        <v>13184</v>
      </c>
      <c r="J865" s="36" t="s">
        <v>13185</v>
      </c>
      <c r="K865" s="36" t="s">
        <v>13186</v>
      </c>
      <c r="L865" s="36" t="s">
        <v>13187</v>
      </c>
      <c r="M865" s="36" t="s">
        <v>13188</v>
      </c>
      <c r="N865" s="36" t="s">
        <v>13189</v>
      </c>
      <c r="O865" s="36" t="s">
        <v>13190</v>
      </c>
      <c r="P865" s="36" t="s">
        <v>13177</v>
      </c>
    </row>
    <row r="866" spans="1:16">
      <c r="A866" s="132">
        <v>865</v>
      </c>
      <c r="B866" s="36" t="s">
        <v>13191</v>
      </c>
      <c r="C866" s="36" t="s">
        <v>13192</v>
      </c>
      <c r="D866" s="36" t="s">
        <v>13193</v>
      </c>
      <c r="E866" s="36" t="s">
        <v>13194</v>
      </c>
      <c r="F866" s="36" t="s">
        <v>13195</v>
      </c>
      <c r="G866" s="36" t="s">
        <v>13196</v>
      </c>
      <c r="H866" s="36" t="s">
        <v>13197</v>
      </c>
      <c r="I866" s="36" t="s">
        <v>13198</v>
      </c>
      <c r="J866" s="36" t="s">
        <v>13199</v>
      </c>
      <c r="K866" s="36" t="s">
        <v>13200</v>
      </c>
      <c r="L866" s="36" t="s">
        <v>13201</v>
      </c>
      <c r="M866" s="36" t="s">
        <v>13202</v>
      </c>
      <c r="N866" s="36" t="s">
        <v>13203</v>
      </c>
      <c r="O866" s="36" t="s">
        <v>13204</v>
      </c>
      <c r="P866" s="36" t="s">
        <v>13191</v>
      </c>
    </row>
    <row r="867" spans="1:16">
      <c r="A867" s="132">
        <v>866</v>
      </c>
      <c r="B867" s="36" t="s">
        <v>13205</v>
      </c>
      <c r="C867" s="36" t="s">
        <v>13206</v>
      </c>
      <c r="D867" s="36" t="s">
        <v>13207</v>
      </c>
      <c r="E867" s="36" t="s">
        <v>13208</v>
      </c>
      <c r="F867" s="36" t="s">
        <v>13209</v>
      </c>
      <c r="G867" s="36" t="s">
        <v>13210</v>
      </c>
      <c r="H867" s="36" t="s">
        <v>13211</v>
      </c>
      <c r="I867" s="36" t="s">
        <v>13212</v>
      </c>
      <c r="J867" s="36" t="s">
        <v>13213</v>
      </c>
      <c r="K867" s="36" t="s">
        <v>13214</v>
      </c>
      <c r="L867" s="36" t="s">
        <v>13215</v>
      </c>
      <c r="M867" s="36" t="s">
        <v>13216</v>
      </c>
      <c r="N867" s="36" t="s">
        <v>13217</v>
      </c>
      <c r="O867" s="36" t="s">
        <v>13218</v>
      </c>
      <c r="P867" s="36" t="s">
        <v>13205</v>
      </c>
    </row>
    <row r="868" spans="1:16">
      <c r="A868" s="132">
        <v>867</v>
      </c>
      <c r="B868" s="36" t="s">
        <v>13219</v>
      </c>
      <c r="C868" s="36" t="s">
        <v>13220</v>
      </c>
      <c r="D868" s="36" t="s">
        <v>13221</v>
      </c>
      <c r="E868" s="36" t="s">
        <v>13222</v>
      </c>
      <c r="F868" s="36" t="s">
        <v>13223</v>
      </c>
      <c r="G868" s="36" t="s">
        <v>13224</v>
      </c>
      <c r="H868" s="36" t="s">
        <v>13225</v>
      </c>
      <c r="I868" s="36" t="s">
        <v>13226</v>
      </c>
      <c r="J868" s="36" t="s">
        <v>13227</v>
      </c>
      <c r="K868" s="36" t="s">
        <v>13228</v>
      </c>
      <c r="L868" s="36" t="s">
        <v>13229</v>
      </c>
      <c r="M868" s="36" t="s">
        <v>13230</v>
      </c>
      <c r="N868" s="36" t="s">
        <v>13231</v>
      </c>
      <c r="O868" s="36" t="s">
        <v>13232</v>
      </c>
      <c r="P868" s="36" t="s">
        <v>13219</v>
      </c>
    </row>
    <row r="869" spans="1:16">
      <c r="A869" s="132">
        <v>868</v>
      </c>
      <c r="B869" s="36" t="s">
        <v>13233</v>
      </c>
      <c r="C869" s="36" t="s">
        <v>13234</v>
      </c>
      <c r="D869" s="36" t="s">
        <v>13235</v>
      </c>
      <c r="E869" s="36" t="s">
        <v>13236</v>
      </c>
      <c r="F869" s="36" t="s">
        <v>13237</v>
      </c>
      <c r="G869" s="36" t="s">
        <v>13238</v>
      </c>
      <c r="H869" s="36" t="s">
        <v>13239</v>
      </c>
      <c r="I869" s="36" t="s">
        <v>13240</v>
      </c>
      <c r="J869" s="36" t="s">
        <v>13241</v>
      </c>
      <c r="K869" s="36" t="s">
        <v>13242</v>
      </c>
      <c r="L869" s="36" t="s">
        <v>13243</v>
      </c>
      <c r="M869" s="36" t="s">
        <v>13244</v>
      </c>
      <c r="N869" s="36" t="s">
        <v>13245</v>
      </c>
      <c r="O869" s="36" t="s">
        <v>13246</v>
      </c>
      <c r="P869" s="36" t="s">
        <v>13233</v>
      </c>
    </row>
    <row r="870" spans="1:16">
      <c r="A870" s="132">
        <v>869</v>
      </c>
      <c r="B870" s="36" t="s">
        <v>13247</v>
      </c>
      <c r="C870" s="36" t="s">
        <v>13248</v>
      </c>
      <c r="D870" s="36" t="s">
        <v>13249</v>
      </c>
      <c r="E870" s="36" t="s">
        <v>13250</v>
      </c>
      <c r="F870" s="36" t="s">
        <v>13251</v>
      </c>
      <c r="G870" s="36" t="s">
        <v>13252</v>
      </c>
      <c r="H870" s="36" t="s">
        <v>13253</v>
      </c>
      <c r="I870" s="36" t="s">
        <v>13254</v>
      </c>
      <c r="J870" s="36" t="s">
        <v>13255</v>
      </c>
      <c r="K870" s="36" t="s">
        <v>13256</v>
      </c>
      <c r="L870" s="36" t="s">
        <v>13257</v>
      </c>
      <c r="M870" s="36" t="s">
        <v>13258</v>
      </c>
      <c r="N870" s="36" t="s">
        <v>13259</v>
      </c>
      <c r="O870" s="36" t="s">
        <v>13260</v>
      </c>
      <c r="P870" s="36" t="s">
        <v>13247</v>
      </c>
    </row>
    <row r="871" spans="1:16">
      <c r="A871" s="132">
        <v>870</v>
      </c>
      <c r="B871" s="36" t="s">
        <v>13261</v>
      </c>
      <c r="C871" s="36" t="s">
        <v>13262</v>
      </c>
      <c r="D871" s="36" t="s">
        <v>13263</v>
      </c>
      <c r="E871" s="36" t="s">
        <v>13264</v>
      </c>
      <c r="F871" s="36" t="s">
        <v>13265</v>
      </c>
      <c r="G871" s="36" t="s">
        <v>13266</v>
      </c>
      <c r="H871" s="36" t="s">
        <v>13267</v>
      </c>
      <c r="I871" s="36" t="s">
        <v>13268</v>
      </c>
      <c r="J871" s="36" t="s">
        <v>13269</v>
      </c>
      <c r="K871" s="36" t="s">
        <v>13270</v>
      </c>
      <c r="L871" s="36" t="s">
        <v>13271</v>
      </c>
      <c r="M871" s="36" t="s">
        <v>13272</v>
      </c>
      <c r="N871" s="36" t="s">
        <v>13273</v>
      </c>
      <c r="O871" s="36" t="s">
        <v>13274</v>
      </c>
      <c r="P871" s="36" t="s">
        <v>13261</v>
      </c>
    </row>
    <row r="872" spans="1:16">
      <c r="A872" s="132">
        <v>871</v>
      </c>
      <c r="B872" s="36" t="s">
        <v>13233</v>
      </c>
      <c r="C872" s="36" t="s">
        <v>13234</v>
      </c>
      <c r="D872" s="36" t="s">
        <v>13235</v>
      </c>
      <c r="E872" s="36" t="s">
        <v>13236</v>
      </c>
      <c r="F872" s="36" t="s">
        <v>13275</v>
      </c>
      <c r="G872" s="36" t="s">
        <v>13238</v>
      </c>
      <c r="H872" s="36" t="s">
        <v>13239</v>
      </c>
      <c r="I872" s="36" t="s">
        <v>13276</v>
      </c>
      <c r="J872" s="36" t="s">
        <v>13277</v>
      </c>
      <c r="K872" s="36" t="s">
        <v>13242</v>
      </c>
      <c r="L872" s="36" t="s">
        <v>13243</v>
      </c>
      <c r="M872" s="36" t="s">
        <v>13243</v>
      </c>
      <c r="N872" s="36" t="s">
        <v>13278</v>
      </c>
      <c r="O872" s="36" t="s">
        <v>13246</v>
      </c>
      <c r="P872" s="36" t="s">
        <v>13233</v>
      </c>
    </row>
    <row r="873" spans="1:16">
      <c r="A873" s="132">
        <v>872</v>
      </c>
      <c r="B873" s="36" t="s">
        <v>13279</v>
      </c>
      <c r="C873" s="36" t="s">
        <v>13280</v>
      </c>
      <c r="D873" s="36" t="s">
        <v>13281</v>
      </c>
      <c r="E873" s="36" t="s">
        <v>13282</v>
      </c>
      <c r="F873" s="36" t="s">
        <v>13283</v>
      </c>
      <c r="G873" s="36" t="s">
        <v>13284</v>
      </c>
      <c r="H873" s="36" t="s">
        <v>13285</v>
      </c>
      <c r="I873" s="36" t="s">
        <v>13286</v>
      </c>
      <c r="J873" s="36" t="s">
        <v>13287</v>
      </c>
      <c r="K873" s="36" t="s">
        <v>13288</v>
      </c>
      <c r="L873" s="36" t="s">
        <v>13289</v>
      </c>
      <c r="M873" s="36" t="s">
        <v>13290</v>
      </c>
      <c r="N873" s="36" t="s">
        <v>13291</v>
      </c>
      <c r="O873" s="36" t="s">
        <v>13292</v>
      </c>
      <c r="P873" s="36" t="s">
        <v>13279</v>
      </c>
    </row>
    <row r="874" spans="1:16">
      <c r="A874" s="132">
        <v>873</v>
      </c>
      <c r="B874" s="36" t="s">
        <v>13293</v>
      </c>
      <c r="C874" s="36" t="s">
        <v>13294</v>
      </c>
      <c r="D874" s="36" t="s">
        <v>13295</v>
      </c>
      <c r="E874" s="36" t="s">
        <v>13296</v>
      </c>
      <c r="F874" s="36" t="s">
        <v>13297</v>
      </c>
      <c r="G874" s="36" t="s">
        <v>13298</v>
      </c>
      <c r="H874" s="36" t="s">
        <v>13299</v>
      </c>
      <c r="I874" s="36" t="s">
        <v>13300</v>
      </c>
      <c r="J874" s="36" t="s">
        <v>13301</v>
      </c>
      <c r="K874" s="36" t="s">
        <v>13302</v>
      </c>
      <c r="L874" s="36" t="s">
        <v>13303</v>
      </c>
      <c r="M874" s="36" t="s">
        <v>13304</v>
      </c>
      <c r="N874" s="36" t="s">
        <v>13305</v>
      </c>
      <c r="O874" s="36" t="s">
        <v>13306</v>
      </c>
      <c r="P874" s="36" t="s">
        <v>13293</v>
      </c>
    </row>
    <row r="875" spans="1:16">
      <c r="A875" s="132">
        <v>874</v>
      </c>
      <c r="B875" s="36" t="s">
        <v>13307</v>
      </c>
      <c r="C875" s="36" t="s">
        <v>13308</v>
      </c>
      <c r="D875" s="36" t="s">
        <v>13309</v>
      </c>
      <c r="E875" s="36" t="s">
        <v>13310</v>
      </c>
      <c r="F875" s="36" t="s">
        <v>13311</v>
      </c>
      <c r="G875" s="36" t="s">
        <v>13312</v>
      </c>
      <c r="H875" s="36" t="s">
        <v>13313</v>
      </c>
      <c r="I875" s="36" t="s">
        <v>13314</v>
      </c>
      <c r="J875" s="36" t="s">
        <v>13315</v>
      </c>
      <c r="K875" s="36" t="s">
        <v>13316</v>
      </c>
      <c r="L875" s="36" t="s">
        <v>13317</v>
      </c>
      <c r="M875" s="36" t="s">
        <v>13318</v>
      </c>
      <c r="N875" s="36" t="s">
        <v>13319</v>
      </c>
      <c r="O875" s="36" t="s">
        <v>13320</v>
      </c>
      <c r="P875" s="36" t="s">
        <v>13307</v>
      </c>
    </row>
    <row r="876" spans="1:16">
      <c r="A876" s="132">
        <v>875</v>
      </c>
      <c r="B876" s="36" t="s">
        <v>13321</v>
      </c>
      <c r="C876" s="36" t="s">
        <v>13322</v>
      </c>
      <c r="D876" s="36" t="s">
        <v>13323</v>
      </c>
      <c r="E876" s="36" t="s">
        <v>13324</v>
      </c>
      <c r="F876" s="36" t="s">
        <v>13325</v>
      </c>
      <c r="G876" s="36" t="s">
        <v>13326</v>
      </c>
      <c r="H876" s="36" t="s">
        <v>13327</v>
      </c>
      <c r="I876" s="36" t="s">
        <v>13328</v>
      </c>
      <c r="J876" s="36" t="s">
        <v>13329</v>
      </c>
      <c r="K876" s="36" t="s">
        <v>13330</v>
      </c>
      <c r="L876" s="36" t="s">
        <v>13331</v>
      </c>
      <c r="M876" s="36" t="s">
        <v>13332</v>
      </c>
      <c r="N876" s="36" t="s">
        <v>13333</v>
      </c>
      <c r="O876" s="36" t="s">
        <v>13334</v>
      </c>
      <c r="P876" s="36" t="s">
        <v>13321</v>
      </c>
    </row>
    <row r="877" spans="1:16">
      <c r="A877" s="132">
        <v>876</v>
      </c>
      <c r="B877" s="36" t="s">
        <v>13335</v>
      </c>
      <c r="C877" s="36" t="s">
        <v>13336</v>
      </c>
      <c r="D877" s="36" t="s">
        <v>13337</v>
      </c>
      <c r="E877" s="36" t="s">
        <v>13338</v>
      </c>
      <c r="F877" s="36" t="s">
        <v>13339</v>
      </c>
      <c r="G877" s="36" t="s">
        <v>13340</v>
      </c>
      <c r="H877" s="36" t="s">
        <v>13341</v>
      </c>
      <c r="I877" s="36" t="s">
        <v>13342</v>
      </c>
      <c r="J877" s="36" t="s">
        <v>13343</v>
      </c>
      <c r="K877" s="36" t="s">
        <v>13344</v>
      </c>
      <c r="L877" s="36" t="s">
        <v>13345</v>
      </c>
      <c r="M877" s="36" t="s">
        <v>13346</v>
      </c>
      <c r="N877" s="36" t="s">
        <v>13347</v>
      </c>
      <c r="O877" s="36" t="s">
        <v>13348</v>
      </c>
      <c r="P877" s="36" t="s">
        <v>13335</v>
      </c>
    </row>
    <row r="878" spans="1:16">
      <c r="A878" s="132">
        <v>877</v>
      </c>
      <c r="B878" s="36" t="s">
        <v>13349</v>
      </c>
      <c r="C878" s="36" t="s">
        <v>13350</v>
      </c>
      <c r="D878" s="36" t="s">
        <v>13351</v>
      </c>
      <c r="E878" s="36" t="s">
        <v>13352</v>
      </c>
      <c r="F878" s="36" t="s">
        <v>13353</v>
      </c>
      <c r="G878" s="36" t="s">
        <v>13354</v>
      </c>
      <c r="H878" s="36" t="s">
        <v>13355</v>
      </c>
      <c r="I878" s="36" t="s">
        <v>13356</v>
      </c>
      <c r="J878" s="36" t="s">
        <v>13357</v>
      </c>
      <c r="K878" s="36" t="s">
        <v>13358</v>
      </c>
      <c r="L878" s="36" t="s">
        <v>13359</v>
      </c>
      <c r="M878" s="36" t="s">
        <v>13360</v>
      </c>
      <c r="N878" s="36" t="s">
        <v>13361</v>
      </c>
      <c r="O878" s="36" t="s">
        <v>13362</v>
      </c>
      <c r="P878" s="36" t="s">
        <v>13349</v>
      </c>
    </row>
    <row r="879" spans="1:16">
      <c r="A879" s="132">
        <v>878</v>
      </c>
      <c r="B879" s="36" t="s">
        <v>13363</v>
      </c>
      <c r="C879" s="36" t="s">
        <v>13364</v>
      </c>
      <c r="D879" s="36" t="s">
        <v>13364</v>
      </c>
      <c r="E879" s="36" t="s">
        <v>13365</v>
      </c>
      <c r="F879" s="36" t="s">
        <v>13366</v>
      </c>
      <c r="G879" s="36" t="s">
        <v>13367</v>
      </c>
      <c r="H879" s="36" t="s">
        <v>13368</v>
      </c>
      <c r="I879" s="36" t="s">
        <v>13369</v>
      </c>
      <c r="J879" s="36" t="s">
        <v>13370</v>
      </c>
      <c r="K879" s="36" t="s">
        <v>13371</v>
      </c>
      <c r="L879" s="36" t="s">
        <v>13372</v>
      </c>
      <c r="M879" s="36" t="s">
        <v>13373</v>
      </c>
      <c r="N879" s="36" t="s">
        <v>13363</v>
      </c>
      <c r="O879" s="36" t="s">
        <v>13374</v>
      </c>
      <c r="P879" s="36" t="s">
        <v>13363</v>
      </c>
    </row>
    <row r="880" spans="1:16">
      <c r="A880" s="132">
        <v>879</v>
      </c>
      <c r="B880" s="36" t="s">
        <v>13375</v>
      </c>
      <c r="C880" s="36" t="s">
        <v>13376</v>
      </c>
      <c r="D880" s="36" t="s">
        <v>13377</v>
      </c>
      <c r="E880" s="36" t="s">
        <v>13378</v>
      </c>
      <c r="F880" s="36" t="s">
        <v>13379</v>
      </c>
      <c r="G880" s="36" t="s">
        <v>13380</v>
      </c>
      <c r="H880" s="36" t="s">
        <v>13381</v>
      </c>
      <c r="I880" s="36" t="s">
        <v>13382</v>
      </c>
      <c r="J880" s="36" t="s">
        <v>13383</v>
      </c>
      <c r="K880" s="36" t="s">
        <v>13384</v>
      </c>
      <c r="L880" s="36" t="s">
        <v>13385</v>
      </c>
      <c r="M880" s="36" t="s">
        <v>13386</v>
      </c>
      <c r="N880" s="36" t="s">
        <v>13387</v>
      </c>
      <c r="O880" s="36" t="s">
        <v>13388</v>
      </c>
      <c r="P880" s="36" t="s">
        <v>13375</v>
      </c>
    </row>
    <row r="881" spans="1:16">
      <c r="A881" s="132">
        <v>880</v>
      </c>
      <c r="B881" s="36" t="s">
        <v>13389</v>
      </c>
      <c r="C881" s="36" t="s">
        <v>13390</v>
      </c>
      <c r="D881" s="36" t="s">
        <v>13391</v>
      </c>
      <c r="E881" s="36" t="s">
        <v>13392</v>
      </c>
      <c r="F881" s="36" t="s">
        <v>13393</v>
      </c>
      <c r="G881" s="36" t="s">
        <v>13394</v>
      </c>
      <c r="H881" s="36" t="s">
        <v>13395</v>
      </c>
      <c r="I881" s="36" t="s">
        <v>13396</v>
      </c>
      <c r="J881" s="36" t="s">
        <v>13397</v>
      </c>
      <c r="K881" s="36" t="s">
        <v>13398</v>
      </c>
      <c r="L881" s="36" t="s">
        <v>13399</v>
      </c>
      <c r="M881" s="36" t="s">
        <v>13400</v>
      </c>
      <c r="N881" s="36" t="s">
        <v>13401</v>
      </c>
      <c r="O881" s="36" t="s">
        <v>13402</v>
      </c>
      <c r="P881" s="36" t="s">
        <v>13389</v>
      </c>
    </row>
    <row r="882" spans="1:16">
      <c r="A882" s="132">
        <v>881</v>
      </c>
      <c r="B882" s="36" t="s">
        <v>13403</v>
      </c>
      <c r="C882" s="36" t="s">
        <v>13404</v>
      </c>
      <c r="D882" s="36" t="s">
        <v>13405</v>
      </c>
      <c r="E882" s="36" t="s">
        <v>13406</v>
      </c>
      <c r="F882" s="36" t="s">
        <v>13407</v>
      </c>
      <c r="G882" s="36" t="s">
        <v>13408</v>
      </c>
      <c r="H882" s="36" t="s">
        <v>13409</v>
      </c>
      <c r="I882" s="36" t="s">
        <v>13410</v>
      </c>
      <c r="J882" s="36" t="s">
        <v>13411</v>
      </c>
      <c r="K882" s="36" t="s">
        <v>13412</v>
      </c>
      <c r="L882" s="36" t="s">
        <v>13413</v>
      </c>
      <c r="M882" s="36" t="s">
        <v>13414</v>
      </c>
      <c r="N882" s="36" t="s">
        <v>13415</v>
      </c>
      <c r="O882" s="36" t="s">
        <v>13416</v>
      </c>
      <c r="P882" s="36" t="s">
        <v>13403</v>
      </c>
    </row>
    <row r="883" spans="1:16">
      <c r="A883" s="132">
        <v>882</v>
      </c>
      <c r="B883" s="36" t="s">
        <v>13417</v>
      </c>
      <c r="C883" s="36" t="s">
        <v>13418</v>
      </c>
      <c r="D883" s="36" t="s">
        <v>13419</v>
      </c>
      <c r="E883" s="36" t="s">
        <v>13420</v>
      </c>
      <c r="F883" s="36" t="s">
        <v>13421</v>
      </c>
      <c r="G883" s="36" t="s">
        <v>13422</v>
      </c>
      <c r="H883" s="36" t="s">
        <v>13423</v>
      </c>
      <c r="I883" s="36" t="s">
        <v>13424</v>
      </c>
      <c r="J883" s="36" t="s">
        <v>13425</v>
      </c>
      <c r="K883" s="36" t="s">
        <v>13426</v>
      </c>
      <c r="L883" s="36" t="s">
        <v>13427</v>
      </c>
      <c r="M883" s="36" t="s">
        <v>13428</v>
      </c>
      <c r="N883" s="36" t="s">
        <v>13429</v>
      </c>
      <c r="O883" s="36" t="s">
        <v>13430</v>
      </c>
      <c r="P883" s="36" t="s">
        <v>13417</v>
      </c>
    </row>
    <row r="884" spans="1:16">
      <c r="A884" s="132">
        <v>883</v>
      </c>
      <c r="B884" s="36" t="s">
        <v>13431</v>
      </c>
      <c r="C884" s="36" t="s">
        <v>13432</v>
      </c>
      <c r="D884" s="36" t="s">
        <v>13433</v>
      </c>
      <c r="E884" s="36" t="s">
        <v>13434</v>
      </c>
      <c r="F884" s="36" t="s">
        <v>13435</v>
      </c>
      <c r="G884" s="36" t="s">
        <v>13436</v>
      </c>
      <c r="H884" s="36" t="s">
        <v>13437</v>
      </c>
      <c r="I884" s="36" t="s">
        <v>13438</v>
      </c>
      <c r="J884" s="36" t="s">
        <v>13439</v>
      </c>
      <c r="K884" s="36" t="s">
        <v>13440</v>
      </c>
      <c r="L884" s="36" t="s">
        <v>13441</v>
      </c>
      <c r="M884" s="36" t="s">
        <v>13442</v>
      </c>
      <c r="N884" s="36" t="s">
        <v>13443</v>
      </c>
      <c r="O884" s="36" t="s">
        <v>13444</v>
      </c>
      <c r="P884" s="36" t="s">
        <v>13431</v>
      </c>
    </row>
    <row r="885" spans="1:16">
      <c r="A885" s="132">
        <v>884</v>
      </c>
      <c r="B885" s="36" t="s">
        <v>13445</v>
      </c>
      <c r="C885" s="36" t="s">
        <v>13446</v>
      </c>
      <c r="D885" s="36" t="s">
        <v>13447</v>
      </c>
      <c r="E885" s="36" t="s">
        <v>13448</v>
      </c>
      <c r="F885" s="36" t="s">
        <v>13449</v>
      </c>
      <c r="G885" s="36" t="s">
        <v>13450</v>
      </c>
      <c r="H885" s="36" t="s">
        <v>13451</v>
      </c>
      <c r="I885" s="36" t="s">
        <v>13450</v>
      </c>
      <c r="J885" s="36" t="s">
        <v>13452</v>
      </c>
      <c r="K885" s="36" t="s">
        <v>13453</v>
      </c>
      <c r="L885" s="36" t="s">
        <v>13454</v>
      </c>
      <c r="M885" s="36" t="s">
        <v>13455</v>
      </c>
      <c r="N885" s="36" t="s">
        <v>13456</v>
      </c>
      <c r="O885" s="36" t="s">
        <v>13450</v>
      </c>
      <c r="P885" s="36" t="s">
        <v>13445</v>
      </c>
    </row>
    <row r="886" spans="1:16">
      <c r="A886" s="132">
        <v>885</v>
      </c>
      <c r="B886" s="36" t="s">
        <v>13457</v>
      </c>
      <c r="C886" s="36" t="s">
        <v>13458</v>
      </c>
      <c r="D886" s="36" t="s">
        <v>13459</v>
      </c>
      <c r="E886" s="36" t="s">
        <v>13460</v>
      </c>
      <c r="F886" s="36" t="s">
        <v>13461</v>
      </c>
      <c r="G886" s="36" t="s">
        <v>13462</v>
      </c>
      <c r="H886" s="36" t="s">
        <v>13463</v>
      </c>
      <c r="I886" s="36" t="s">
        <v>13464</v>
      </c>
      <c r="J886" s="36" t="s">
        <v>13465</v>
      </c>
      <c r="K886" s="36" t="s">
        <v>13466</v>
      </c>
      <c r="L886" s="36" t="s">
        <v>13467</v>
      </c>
      <c r="M886" s="36" t="s">
        <v>13468</v>
      </c>
      <c r="N886" s="36" t="s">
        <v>13457</v>
      </c>
      <c r="O886" s="36" t="s">
        <v>13469</v>
      </c>
      <c r="P886" s="36" t="s">
        <v>13457</v>
      </c>
    </row>
    <row r="887" spans="1:16">
      <c r="A887" s="132">
        <v>886</v>
      </c>
      <c r="B887" s="36" t="s">
        <v>28</v>
      </c>
      <c r="C887" s="36" t="s">
        <v>27</v>
      </c>
      <c r="D887" s="36" t="s">
        <v>28</v>
      </c>
      <c r="E887" s="36" t="s">
        <v>13470</v>
      </c>
      <c r="F887" s="36" t="s">
        <v>28</v>
      </c>
      <c r="G887" s="36" t="s">
        <v>27</v>
      </c>
      <c r="H887" s="36" t="s">
        <v>13471</v>
      </c>
      <c r="I887" s="36" t="s">
        <v>28</v>
      </c>
      <c r="J887" s="36" t="s">
        <v>27</v>
      </c>
      <c r="K887" s="36" t="s">
        <v>27</v>
      </c>
      <c r="L887" s="36" t="s">
        <v>13472</v>
      </c>
      <c r="M887" s="36" t="s">
        <v>27</v>
      </c>
      <c r="N887" s="36" t="s">
        <v>27</v>
      </c>
      <c r="O887" s="36" t="s">
        <v>27</v>
      </c>
      <c r="P887" s="36" t="s">
        <v>28</v>
      </c>
    </row>
    <row r="888" spans="1:16">
      <c r="A888" s="132">
        <v>887</v>
      </c>
      <c r="B888" s="36" t="s">
        <v>13473</v>
      </c>
      <c r="C888" s="36" t="s">
        <v>13474</v>
      </c>
      <c r="D888" s="36" t="s">
        <v>13475</v>
      </c>
      <c r="E888" s="36" t="s">
        <v>13476</v>
      </c>
      <c r="F888" s="36" t="s">
        <v>13477</v>
      </c>
      <c r="G888" s="36" t="s">
        <v>13478</v>
      </c>
      <c r="H888" s="36" t="s">
        <v>13479</v>
      </c>
      <c r="I888" s="36" t="s">
        <v>13480</v>
      </c>
      <c r="J888" s="36" t="s">
        <v>13481</v>
      </c>
      <c r="K888" s="36" t="s">
        <v>13482</v>
      </c>
      <c r="L888" s="36" t="s">
        <v>13483</v>
      </c>
      <c r="M888" s="36" t="s">
        <v>13484</v>
      </c>
      <c r="N888" s="36" t="s">
        <v>13485</v>
      </c>
      <c r="O888" s="36" t="s">
        <v>13486</v>
      </c>
      <c r="P888" s="36" t="s">
        <v>13473</v>
      </c>
    </row>
    <row r="889" spans="1:16">
      <c r="A889" s="132">
        <v>888</v>
      </c>
      <c r="B889" s="36" t="s">
        <v>13487</v>
      </c>
      <c r="C889" s="36" t="s">
        <v>13488</v>
      </c>
      <c r="D889" s="36" t="s">
        <v>13489</v>
      </c>
      <c r="E889" s="36" t="s">
        <v>13490</v>
      </c>
      <c r="F889" s="36" t="s">
        <v>13491</v>
      </c>
      <c r="G889" s="36" t="s">
        <v>13492</v>
      </c>
      <c r="H889" s="36" t="s">
        <v>13493</v>
      </c>
      <c r="I889" s="36" t="s">
        <v>13494</v>
      </c>
      <c r="J889" s="36" t="s">
        <v>13495</v>
      </c>
      <c r="K889" s="36" t="s">
        <v>13496</v>
      </c>
      <c r="L889" s="36" t="s">
        <v>13497</v>
      </c>
      <c r="M889" s="36" t="s">
        <v>13498</v>
      </c>
      <c r="N889" s="36" t="s">
        <v>13498</v>
      </c>
      <c r="O889" s="36" t="s">
        <v>13499</v>
      </c>
      <c r="P889" s="36" t="s">
        <v>13487</v>
      </c>
    </row>
    <row r="890" spans="1:16">
      <c r="A890" s="132">
        <v>889</v>
      </c>
      <c r="B890" s="36" t="s">
        <v>13500</v>
      </c>
      <c r="C890" s="36" t="s">
        <v>13488</v>
      </c>
      <c r="D890" s="36" t="s">
        <v>13489</v>
      </c>
      <c r="E890" s="36" t="s">
        <v>13501</v>
      </c>
      <c r="F890" s="36" t="s">
        <v>13502</v>
      </c>
      <c r="G890" s="36" t="s">
        <v>13503</v>
      </c>
      <c r="H890" s="36" t="s">
        <v>13504</v>
      </c>
      <c r="I890" s="36" t="s">
        <v>13505</v>
      </c>
      <c r="J890" s="36" t="s">
        <v>13506</v>
      </c>
      <c r="K890" s="36" t="s">
        <v>13507</v>
      </c>
      <c r="L890" s="36" t="s">
        <v>13508</v>
      </c>
      <c r="M890" s="36" t="s">
        <v>13509</v>
      </c>
      <c r="N890" s="36" t="s">
        <v>13509</v>
      </c>
      <c r="O890" s="36" t="s">
        <v>13510</v>
      </c>
      <c r="P890" s="36" t="s">
        <v>13500</v>
      </c>
    </row>
    <row r="891" spans="1:16">
      <c r="A891" s="132">
        <v>890</v>
      </c>
      <c r="B891" s="36" t="s">
        <v>13511</v>
      </c>
      <c r="C891" s="36" t="s">
        <v>13512</v>
      </c>
      <c r="D891" s="36" t="s">
        <v>13513</v>
      </c>
      <c r="E891" s="36" t="s">
        <v>13514</v>
      </c>
      <c r="F891" s="36" t="s">
        <v>13515</v>
      </c>
      <c r="G891" s="36" t="s">
        <v>13516</v>
      </c>
      <c r="H891" s="36" t="s">
        <v>13517</v>
      </c>
      <c r="I891" s="36" t="s">
        <v>13518</v>
      </c>
      <c r="J891" s="36" t="s">
        <v>13519</v>
      </c>
      <c r="K891" s="36" t="s">
        <v>13520</v>
      </c>
      <c r="L891" s="36" t="s">
        <v>13521</v>
      </c>
      <c r="M891" s="36" t="s">
        <v>13522</v>
      </c>
      <c r="N891" s="36" t="s">
        <v>13523</v>
      </c>
      <c r="O891" s="36" t="s">
        <v>13524</v>
      </c>
      <c r="P891" s="36" t="s">
        <v>13511</v>
      </c>
    </row>
    <row r="892" spans="1:16">
      <c r="A892" s="132">
        <v>891</v>
      </c>
      <c r="B892" s="36" t="s">
        <v>13525</v>
      </c>
      <c r="C892" s="36" t="s">
        <v>11951</v>
      </c>
      <c r="D892" s="36" t="s">
        <v>12144</v>
      </c>
      <c r="E892" s="36" t="s">
        <v>13526</v>
      </c>
      <c r="F892" s="36" t="s">
        <v>11957</v>
      </c>
      <c r="G892" s="36" t="s">
        <v>13527</v>
      </c>
      <c r="H892" s="36" t="s">
        <v>13528</v>
      </c>
      <c r="I892" s="36" t="s">
        <v>11957</v>
      </c>
      <c r="J892" s="36" t="s">
        <v>13529</v>
      </c>
      <c r="K892" s="36" t="s">
        <v>13530</v>
      </c>
      <c r="L892" s="36" t="s">
        <v>13531</v>
      </c>
      <c r="M892" s="36" t="s">
        <v>13532</v>
      </c>
      <c r="N892" s="36" t="s">
        <v>13533</v>
      </c>
      <c r="O892" s="36" t="s">
        <v>3776</v>
      </c>
      <c r="P892" s="36" t="s">
        <v>13525</v>
      </c>
    </row>
    <row r="893" spans="1:16">
      <c r="A893" s="132">
        <v>892</v>
      </c>
      <c r="B893" s="36" t="s">
        <v>13534</v>
      </c>
      <c r="C893" s="36" t="s">
        <v>13535</v>
      </c>
      <c r="D893" s="36" t="s">
        <v>13536</v>
      </c>
      <c r="E893" s="36" t="s">
        <v>13537</v>
      </c>
      <c r="F893" s="36" t="s">
        <v>13538</v>
      </c>
      <c r="G893" s="36" t="s">
        <v>13539</v>
      </c>
      <c r="H893" s="36" t="s">
        <v>13540</v>
      </c>
      <c r="I893" s="36" t="s">
        <v>13541</v>
      </c>
      <c r="J893" s="36" t="s">
        <v>13542</v>
      </c>
      <c r="K893" s="36" t="s">
        <v>13543</v>
      </c>
      <c r="L893" s="36" t="s">
        <v>13544</v>
      </c>
      <c r="M893" s="36" t="s">
        <v>13545</v>
      </c>
      <c r="N893" s="36" t="s">
        <v>13546</v>
      </c>
      <c r="O893" s="36" t="s">
        <v>13547</v>
      </c>
      <c r="P893" s="36" t="s">
        <v>13534</v>
      </c>
    </row>
    <row r="894" spans="1:16">
      <c r="A894" s="132">
        <v>893</v>
      </c>
      <c r="B894" s="36" t="s">
        <v>13548</v>
      </c>
      <c r="C894" s="36" t="s">
        <v>13549</v>
      </c>
      <c r="D894" s="36" t="s">
        <v>13550</v>
      </c>
      <c r="E894" s="36" t="s">
        <v>13551</v>
      </c>
      <c r="F894" s="36" t="s">
        <v>13552</v>
      </c>
      <c r="G894" s="36" t="s">
        <v>13553</v>
      </c>
      <c r="H894" s="36" t="s">
        <v>13554</v>
      </c>
      <c r="I894" s="36" t="s">
        <v>13555</v>
      </c>
      <c r="J894" s="36" t="s">
        <v>13556</v>
      </c>
      <c r="K894" s="36" t="s">
        <v>13557</v>
      </c>
      <c r="L894" s="36" t="s">
        <v>13558</v>
      </c>
      <c r="M894" s="36" t="s">
        <v>13559</v>
      </c>
      <c r="N894" s="36" t="s">
        <v>13560</v>
      </c>
      <c r="O894" s="36" t="s">
        <v>13561</v>
      </c>
      <c r="P894" s="36" t="s">
        <v>13548</v>
      </c>
    </row>
    <row r="895" spans="1:16">
      <c r="A895" s="132">
        <v>894</v>
      </c>
      <c r="B895" s="36" t="s">
        <v>13562</v>
      </c>
      <c r="C895" s="36" t="s">
        <v>13562</v>
      </c>
      <c r="D895" s="36" t="s">
        <v>13562</v>
      </c>
      <c r="E895" s="36" t="s">
        <v>13562</v>
      </c>
      <c r="F895" s="36" t="s">
        <v>13562</v>
      </c>
      <c r="G895" s="36" t="s">
        <v>13562</v>
      </c>
      <c r="H895" s="36" t="s">
        <v>13562</v>
      </c>
      <c r="I895" s="36" t="s">
        <v>13562</v>
      </c>
      <c r="J895" s="36" t="s">
        <v>13562</v>
      </c>
      <c r="K895" s="36" t="s">
        <v>13562</v>
      </c>
      <c r="L895" s="36" t="s">
        <v>13562</v>
      </c>
      <c r="M895" s="36" t="s">
        <v>13562</v>
      </c>
      <c r="N895" s="36" t="s">
        <v>13562</v>
      </c>
      <c r="O895" s="36" t="s">
        <v>13562</v>
      </c>
      <c r="P895" s="36" t="s">
        <v>13562</v>
      </c>
    </row>
    <row r="896" spans="1:16">
      <c r="A896" s="132">
        <v>895</v>
      </c>
      <c r="B896" s="36" t="s">
        <v>13563</v>
      </c>
      <c r="C896" s="36" t="s">
        <v>13563</v>
      </c>
      <c r="D896" s="36" t="s">
        <v>13563</v>
      </c>
      <c r="E896" s="36" t="s">
        <v>13563</v>
      </c>
      <c r="F896" s="36" t="s">
        <v>13563</v>
      </c>
      <c r="G896" s="36" t="s">
        <v>13563</v>
      </c>
      <c r="H896" s="36" t="s">
        <v>13563</v>
      </c>
      <c r="I896" s="36" t="s">
        <v>13563</v>
      </c>
      <c r="J896" s="36" t="s">
        <v>13563</v>
      </c>
      <c r="K896" s="36" t="s">
        <v>13563</v>
      </c>
      <c r="L896" s="36" t="s">
        <v>13563</v>
      </c>
      <c r="M896" s="36" t="s">
        <v>13563</v>
      </c>
      <c r="N896" s="36" t="s">
        <v>13563</v>
      </c>
      <c r="O896" s="36" t="s">
        <v>13563</v>
      </c>
      <c r="P896" s="36" t="s">
        <v>13563</v>
      </c>
    </row>
    <row r="897" spans="1:16">
      <c r="A897" s="132">
        <v>896</v>
      </c>
      <c r="B897" s="36" t="s">
        <v>13564</v>
      </c>
      <c r="C897" s="36" t="s">
        <v>13565</v>
      </c>
      <c r="D897" s="36" t="s">
        <v>13566</v>
      </c>
      <c r="E897" s="36" t="s">
        <v>13567</v>
      </c>
      <c r="F897" s="36" t="s">
        <v>13568</v>
      </c>
      <c r="G897" s="36" t="s">
        <v>13569</v>
      </c>
      <c r="H897" s="36" t="s">
        <v>13570</v>
      </c>
      <c r="I897" s="36" t="s">
        <v>13571</v>
      </c>
      <c r="J897" s="36" t="s">
        <v>13572</v>
      </c>
      <c r="K897" s="36" t="s">
        <v>13573</v>
      </c>
      <c r="L897" s="36" t="s">
        <v>13574</v>
      </c>
      <c r="M897" s="36" t="s">
        <v>13575</v>
      </c>
      <c r="N897" s="36" t="s">
        <v>13576</v>
      </c>
      <c r="O897" s="36" t="s">
        <v>13573</v>
      </c>
      <c r="P897" s="36" t="s">
        <v>13564</v>
      </c>
    </row>
    <row r="898" spans="1:16">
      <c r="A898" s="132">
        <v>897</v>
      </c>
      <c r="B898" s="36" t="s">
        <v>13577</v>
      </c>
      <c r="C898" s="36" t="s">
        <v>13578</v>
      </c>
      <c r="D898" s="36" t="s">
        <v>13579</v>
      </c>
      <c r="E898" s="36" t="s">
        <v>13580</v>
      </c>
      <c r="F898" s="36" t="s">
        <v>13581</v>
      </c>
      <c r="G898" s="36" t="s">
        <v>13582</v>
      </c>
      <c r="H898" s="36" t="s">
        <v>13583</v>
      </c>
      <c r="I898" s="36" t="s">
        <v>13584</v>
      </c>
      <c r="J898" s="36" t="s">
        <v>13585</v>
      </c>
      <c r="K898" s="36" t="s">
        <v>13586</v>
      </c>
      <c r="L898" s="36" t="s">
        <v>13587</v>
      </c>
      <c r="M898" s="36" t="s">
        <v>13588</v>
      </c>
      <c r="N898" s="36" t="s">
        <v>13589</v>
      </c>
      <c r="O898" s="36" t="s">
        <v>13590</v>
      </c>
      <c r="P898" s="36" t="s">
        <v>13577</v>
      </c>
    </row>
    <row r="899" spans="1:16">
      <c r="A899" s="132">
        <v>898</v>
      </c>
      <c r="B899" s="36" t="s">
        <v>13591</v>
      </c>
      <c r="C899" s="36" t="s">
        <v>13592</v>
      </c>
      <c r="D899" s="36" t="s">
        <v>13579</v>
      </c>
      <c r="E899" s="36" t="s">
        <v>13593</v>
      </c>
      <c r="F899" s="36" t="s">
        <v>13594</v>
      </c>
      <c r="G899" s="36" t="s">
        <v>13595</v>
      </c>
      <c r="H899" s="36" t="s">
        <v>13596</v>
      </c>
      <c r="I899" s="36" t="s">
        <v>13597</v>
      </c>
      <c r="J899" s="36" t="s">
        <v>13598</v>
      </c>
      <c r="K899" s="36" t="s">
        <v>13599</v>
      </c>
      <c r="L899" s="36" t="s">
        <v>13600</v>
      </c>
      <c r="M899" s="36" t="s">
        <v>13601</v>
      </c>
      <c r="N899" s="36" t="s">
        <v>13602</v>
      </c>
      <c r="O899" s="36" t="s">
        <v>13603</v>
      </c>
      <c r="P899" s="36" t="s">
        <v>13591</v>
      </c>
    </row>
    <row r="900" spans="1:16">
      <c r="A900" s="132">
        <v>899</v>
      </c>
      <c r="B900" s="36" t="s">
        <v>13604</v>
      </c>
      <c r="C900" s="36" t="s">
        <v>13605</v>
      </c>
      <c r="D900" s="36" t="s">
        <v>13606</v>
      </c>
      <c r="E900" s="36" t="s">
        <v>13607</v>
      </c>
      <c r="F900" s="36" t="s">
        <v>13608</v>
      </c>
      <c r="G900" s="36" t="s">
        <v>13609</v>
      </c>
      <c r="H900" s="36" t="s">
        <v>13610</v>
      </c>
      <c r="I900" s="36" t="s">
        <v>13611</v>
      </c>
      <c r="J900" s="36" t="s">
        <v>13612</v>
      </c>
      <c r="K900" s="36" t="s">
        <v>13613</v>
      </c>
      <c r="L900" s="36" t="s">
        <v>13614</v>
      </c>
      <c r="M900" s="36" t="s">
        <v>13615</v>
      </c>
      <c r="N900" s="36" t="s">
        <v>13616</v>
      </c>
      <c r="O900" s="36" t="s">
        <v>13617</v>
      </c>
      <c r="P900" s="36" t="s">
        <v>13604</v>
      </c>
    </row>
    <row r="901" spans="1:16">
      <c r="A901" s="132">
        <v>900</v>
      </c>
      <c r="B901" s="36" t="s">
        <v>13618</v>
      </c>
      <c r="C901" s="36" t="s">
        <v>13619</v>
      </c>
      <c r="D901" s="36" t="s">
        <v>13620</v>
      </c>
      <c r="E901" s="36" t="s">
        <v>13621</v>
      </c>
      <c r="F901" s="36" t="s">
        <v>13622</v>
      </c>
      <c r="G901" s="36" t="s">
        <v>13623</v>
      </c>
      <c r="H901" s="36" t="s">
        <v>13624</v>
      </c>
      <c r="I901" s="36" t="s">
        <v>13625</v>
      </c>
      <c r="J901" s="36" t="s">
        <v>13626</v>
      </c>
      <c r="K901" s="36" t="s">
        <v>13627</v>
      </c>
      <c r="L901" s="36" t="s">
        <v>13628</v>
      </c>
      <c r="M901" s="36" t="s">
        <v>13629</v>
      </c>
      <c r="N901" s="36" t="s">
        <v>13630</v>
      </c>
      <c r="O901" s="36" t="s">
        <v>13631</v>
      </c>
      <c r="P901" s="36" t="s">
        <v>13618</v>
      </c>
    </row>
    <row r="902" spans="1:16">
      <c r="A902" s="132">
        <v>901</v>
      </c>
      <c r="B902" s="36" t="s">
        <v>13632</v>
      </c>
      <c r="C902" s="36" t="s">
        <v>13633</v>
      </c>
      <c r="D902" s="36" t="s">
        <v>13634</v>
      </c>
      <c r="E902" s="36" t="s">
        <v>13635</v>
      </c>
      <c r="F902" s="36" t="s">
        <v>13632</v>
      </c>
      <c r="G902" s="36" t="s">
        <v>13632</v>
      </c>
      <c r="H902" s="36" t="s">
        <v>13632</v>
      </c>
      <c r="I902" s="36" t="s">
        <v>13636</v>
      </c>
      <c r="J902" s="36" t="s">
        <v>13637</v>
      </c>
      <c r="K902" s="36" t="s">
        <v>13638</v>
      </c>
      <c r="L902" s="36" t="s">
        <v>13632</v>
      </c>
      <c r="M902" s="36" t="s">
        <v>13632</v>
      </c>
      <c r="N902" s="36" t="s">
        <v>13632</v>
      </c>
      <c r="O902" s="36" t="s">
        <v>13632</v>
      </c>
      <c r="P902" s="36" t="s">
        <v>13632</v>
      </c>
    </row>
    <row r="903" spans="1:16">
      <c r="A903" s="132">
        <v>902</v>
      </c>
      <c r="B903" s="36" t="s">
        <v>13639</v>
      </c>
      <c r="C903" s="36" t="s">
        <v>13640</v>
      </c>
      <c r="D903" s="36" t="s">
        <v>13641</v>
      </c>
      <c r="E903" s="36" t="s">
        <v>13642</v>
      </c>
      <c r="F903" s="36" t="s">
        <v>13643</v>
      </c>
      <c r="G903" s="36" t="s">
        <v>13644</v>
      </c>
      <c r="H903" s="36" t="s">
        <v>13645</v>
      </c>
      <c r="I903" s="36" t="s">
        <v>13646</v>
      </c>
      <c r="J903" s="36" t="s">
        <v>13647</v>
      </c>
      <c r="K903" s="36" t="s">
        <v>13648</v>
      </c>
      <c r="L903" s="36" t="s">
        <v>13649</v>
      </c>
      <c r="M903" s="36" t="s">
        <v>13650</v>
      </c>
      <c r="N903" s="36" t="s">
        <v>13651</v>
      </c>
      <c r="O903" s="36" t="s">
        <v>13652</v>
      </c>
      <c r="P903" s="36" t="s">
        <v>13639</v>
      </c>
    </row>
    <row r="904" spans="1:16">
      <c r="A904" s="132">
        <v>903</v>
      </c>
      <c r="B904" s="36" t="s">
        <v>13653</v>
      </c>
      <c r="C904" s="36" t="s">
        <v>13653</v>
      </c>
      <c r="D904" s="36" t="s">
        <v>13653</v>
      </c>
      <c r="E904" s="36" t="s">
        <v>13654</v>
      </c>
      <c r="F904" s="36" t="s">
        <v>13655</v>
      </c>
      <c r="G904" s="36" t="s">
        <v>13656</v>
      </c>
      <c r="H904" s="36" t="s">
        <v>13657</v>
      </c>
      <c r="I904" s="36" t="s">
        <v>13658</v>
      </c>
      <c r="J904" s="36" t="s">
        <v>13659</v>
      </c>
      <c r="K904" s="36" t="s">
        <v>13660</v>
      </c>
      <c r="L904" s="36" t="s">
        <v>13661</v>
      </c>
      <c r="M904" s="36" t="s">
        <v>13662</v>
      </c>
      <c r="N904" s="36" t="s">
        <v>13661</v>
      </c>
      <c r="O904" s="36" t="s">
        <v>13663</v>
      </c>
      <c r="P904" s="36" t="s">
        <v>13653</v>
      </c>
    </row>
    <row r="905" spans="1:16">
      <c r="A905" s="132">
        <v>904</v>
      </c>
      <c r="B905" s="36" t="s">
        <v>13664</v>
      </c>
      <c r="C905" s="36" t="s">
        <v>13665</v>
      </c>
      <c r="D905" s="36" t="s">
        <v>13666</v>
      </c>
      <c r="E905" s="36" t="s">
        <v>13667</v>
      </c>
      <c r="F905" s="36" t="s">
        <v>13668</v>
      </c>
      <c r="G905" s="36" t="s">
        <v>13669</v>
      </c>
      <c r="H905" s="36" t="s">
        <v>13670</v>
      </c>
      <c r="I905" s="36" t="s">
        <v>13668</v>
      </c>
      <c r="J905" s="36" t="s">
        <v>13671</v>
      </c>
      <c r="K905" s="36" t="s">
        <v>13672</v>
      </c>
      <c r="L905" s="36" t="s">
        <v>13673</v>
      </c>
      <c r="M905" s="36" t="s">
        <v>13674</v>
      </c>
      <c r="N905" s="36" t="s">
        <v>13675</v>
      </c>
      <c r="O905" s="36" t="s">
        <v>13676</v>
      </c>
      <c r="P905" s="36" t="s">
        <v>13664</v>
      </c>
    </row>
    <row r="906" spans="1:16">
      <c r="A906" s="132">
        <v>905</v>
      </c>
      <c r="B906" s="36" t="s">
        <v>13677</v>
      </c>
      <c r="C906" s="36" t="s">
        <v>13678</v>
      </c>
      <c r="D906" s="36" t="s">
        <v>13679</v>
      </c>
      <c r="E906" s="36" t="s">
        <v>13680</v>
      </c>
      <c r="F906" s="36" t="s">
        <v>13515</v>
      </c>
      <c r="G906" s="36" t="s">
        <v>13681</v>
      </c>
      <c r="H906" s="36" t="s">
        <v>13682</v>
      </c>
      <c r="I906" s="36" t="s">
        <v>13683</v>
      </c>
      <c r="J906" s="36" t="s">
        <v>13684</v>
      </c>
      <c r="K906" s="36" t="s">
        <v>13685</v>
      </c>
      <c r="L906" s="36" t="s">
        <v>13686</v>
      </c>
      <c r="M906" s="36" t="s">
        <v>13687</v>
      </c>
      <c r="N906" s="36" t="s">
        <v>13688</v>
      </c>
      <c r="O906" s="36" t="s">
        <v>13689</v>
      </c>
      <c r="P906" s="36" t="s">
        <v>13677</v>
      </c>
    </row>
    <row r="907" spans="1:16">
      <c r="A907" s="132">
        <v>906</v>
      </c>
      <c r="B907" s="36" t="s">
        <v>13690</v>
      </c>
      <c r="C907" s="36" t="s">
        <v>13691</v>
      </c>
      <c r="D907" s="36" t="s">
        <v>13692</v>
      </c>
      <c r="E907" s="36" t="s">
        <v>13693</v>
      </c>
      <c r="F907" s="36" t="s">
        <v>13694</v>
      </c>
      <c r="G907" s="36" t="s">
        <v>13695</v>
      </c>
      <c r="H907" s="36" t="s">
        <v>13696</v>
      </c>
      <c r="I907" s="36" t="s">
        <v>13697</v>
      </c>
      <c r="J907" s="36" t="s">
        <v>13698</v>
      </c>
      <c r="K907" s="36" t="s">
        <v>13699</v>
      </c>
      <c r="L907" s="36" t="s">
        <v>13700</v>
      </c>
      <c r="M907" s="36" t="s">
        <v>13701</v>
      </c>
      <c r="N907" s="36" t="s">
        <v>13702</v>
      </c>
      <c r="O907" s="36" t="s">
        <v>13703</v>
      </c>
      <c r="P907" s="36" t="s">
        <v>13690</v>
      </c>
    </row>
    <row r="908" spans="1:16">
      <c r="A908" s="132">
        <v>907</v>
      </c>
      <c r="B908" s="36" t="s">
        <v>13704</v>
      </c>
      <c r="C908" s="36" t="s">
        <v>13705</v>
      </c>
      <c r="D908" s="36" t="s">
        <v>13706</v>
      </c>
      <c r="E908" s="36" t="s">
        <v>13707</v>
      </c>
      <c r="F908" s="36" t="s">
        <v>13708</v>
      </c>
      <c r="G908" s="36" t="s">
        <v>13709</v>
      </c>
      <c r="H908" s="36" t="s">
        <v>13710</v>
      </c>
      <c r="I908" s="36" t="s">
        <v>13711</v>
      </c>
      <c r="J908" s="36" t="s">
        <v>13712</v>
      </c>
      <c r="K908" s="36" t="s">
        <v>13713</v>
      </c>
      <c r="L908" s="36" t="s">
        <v>13714</v>
      </c>
      <c r="M908" s="36" t="s">
        <v>13715</v>
      </c>
      <c r="N908" s="36" t="s">
        <v>13716</v>
      </c>
      <c r="O908" s="36" t="s">
        <v>13717</v>
      </c>
      <c r="P908" s="36" t="s">
        <v>13704</v>
      </c>
    </row>
    <row r="909" spans="1:16">
      <c r="A909" s="132">
        <v>908</v>
      </c>
      <c r="B909" s="36" t="s">
        <v>13718</v>
      </c>
      <c r="C909" s="36" t="s">
        <v>13719</v>
      </c>
      <c r="D909" s="36" t="s">
        <v>13720</v>
      </c>
      <c r="E909" s="36" t="s">
        <v>13721</v>
      </c>
      <c r="F909" s="36" t="s">
        <v>13722</v>
      </c>
      <c r="G909" s="36" t="s">
        <v>13723</v>
      </c>
      <c r="H909" s="36" t="s">
        <v>13724</v>
      </c>
      <c r="I909" s="36" t="s">
        <v>13725</v>
      </c>
      <c r="J909" s="36" t="s">
        <v>13726</v>
      </c>
      <c r="K909" s="36" t="s">
        <v>13727</v>
      </c>
      <c r="L909" s="36" t="s">
        <v>13728</v>
      </c>
      <c r="M909" s="36" t="s">
        <v>13729</v>
      </c>
      <c r="N909" s="36" t="s">
        <v>13730</v>
      </c>
      <c r="O909" s="36" t="s">
        <v>13731</v>
      </c>
      <c r="P909" s="36" t="s">
        <v>13718</v>
      </c>
    </row>
    <row r="910" spans="1:16">
      <c r="A910" s="132">
        <v>909</v>
      </c>
      <c r="B910" s="36" t="s">
        <v>13732</v>
      </c>
      <c r="C910" s="36" t="s">
        <v>13733</v>
      </c>
      <c r="D910" s="36" t="s">
        <v>13734</v>
      </c>
      <c r="E910" s="36" t="s">
        <v>13735</v>
      </c>
      <c r="F910" s="36" t="s">
        <v>13736</v>
      </c>
      <c r="G910" s="36" t="s">
        <v>13737</v>
      </c>
      <c r="H910" s="36" t="s">
        <v>13738</v>
      </c>
      <c r="I910" s="36" t="s">
        <v>13739</v>
      </c>
      <c r="J910" s="36" t="s">
        <v>13740</v>
      </c>
      <c r="K910" s="36" t="s">
        <v>13741</v>
      </c>
      <c r="L910" s="36" t="s">
        <v>13742</v>
      </c>
      <c r="M910" s="36" t="s">
        <v>13743</v>
      </c>
      <c r="N910" s="36" t="s">
        <v>13744</v>
      </c>
      <c r="O910" s="36" t="s">
        <v>13745</v>
      </c>
      <c r="P910" s="36" t="s">
        <v>13732</v>
      </c>
    </row>
    <row r="911" spans="1:16">
      <c r="A911" s="132">
        <v>910</v>
      </c>
      <c r="B911" s="36" t="s">
        <v>13746</v>
      </c>
      <c r="C911" s="36" t="s">
        <v>13747</v>
      </c>
      <c r="D911" s="36" t="s">
        <v>13748</v>
      </c>
      <c r="E911" s="36" t="s">
        <v>13749</v>
      </c>
      <c r="F911" s="36" t="s">
        <v>13750</v>
      </c>
      <c r="G911" s="36" t="s">
        <v>13751</v>
      </c>
      <c r="H911" s="36" t="s">
        <v>13752</v>
      </c>
      <c r="I911" s="36" t="s">
        <v>13753</v>
      </c>
      <c r="J911" s="36" t="s">
        <v>13754</v>
      </c>
      <c r="K911" s="36" t="s">
        <v>13755</v>
      </c>
      <c r="L911" s="36" t="s">
        <v>13756</v>
      </c>
      <c r="M911" s="36" t="s">
        <v>13757</v>
      </c>
      <c r="N911" s="36" t="s">
        <v>13758</v>
      </c>
      <c r="O911" s="36" t="s">
        <v>13759</v>
      </c>
      <c r="P911" s="36" t="s">
        <v>13746</v>
      </c>
    </row>
    <row r="912" spans="1:16">
      <c r="A912" s="132">
        <v>911</v>
      </c>
      <c r="B912" s="36" t="s">
        <v>13760</v>
      </c>
      <c r="C912" s="36" t="s">
        <v>13761</v>
      </c>
      <c r="D912" s="36" t="s">
        <v>13762</v>
      </c>
      <c r="E912" s="36" t="s">
        <v>13763</v>
      </c>
      <c r="F912" s="36" t="s">
        <v>13764</v>
      </c>
      <c r="G912" s="36" t="s">
        <v>13765</v>
      </c>
      <c r="H912" s="36" t="s">
        <v>13766</v>
      </c>
      <c r="I912" s="36" t="s">
        <v>13767</v>
      </c>
      <c r="J912" s="36" t="s">
        <v>13768</v>
      </c>
      <c r="K912" s="36" t="s">
        <v>13769</v>
      </c>
      <c r="L912" s="36" t="s">
        <v>13770</v>
      </c>
      <c r="M912" s="36" t="s">
        <v>13771</v>
      </c>
      <c r="N912" s="36" t="s">
        <v>13772</v>
      </c>
      <c r="O912" s="36" t="s">
        <v>13773</v>
      </c>
      <c r="P912" s="36" t="s">
        <v>13760</v>
      </c>
    </row>
    <row r="913" spans="1:16">
      <c r="A913" s="132">
        <v>912</v>
      </c>
      <c r="B913" s="36" t="s">
        <v>13774</v>
      </c>
      <c r="C913" s="36" t="s">
        <v>13775</v>
      </c>
      <c r="D913" s="36" t="s">
        <v>13776</v>
      </c>
      <c r="E913" s="36" t="s">
        <v>13777</v>
      </c>
      <c r="F913" s="36" t="s">
        <v>13778</v>
      </c>
      <c r="G913" s="36" t="s">
        <v>13779</v>
      </c>
      <c r="H913" s="36" t="s">
        <v>13780</v>
      </c>
      <c r="I913" s="36" t="s">
        <v>13781</v>
      </c>
      <c r="J913" s="36" t="s">
        <v>13782</v>
      </c>
      <c r="K913" s="36" t="s">
        <v>13783</v>
      </c>
      <c r="L913" s="36" t="s">
        <v>13784</v>
      </c>
      <c r="M913" s="36" t="s">
        <v>13785</v>
      </c>
      <c r="N913" s="36" t="s">
        <v>13786</v>
      </c>
      <c r="O913" s="36" t="s">
        <v>13787</v>
      </c>
      <c r="P913" s="36" t="s">
        <v>13774</v>
      </c>
    </row>
    <row r="914" spans="1:16">
      <c r="A914" s="132">
        <v>913</v>
      </c>
      <c r="B914" s="36" t="s">
        <v>13788</v>
      </c>
      <c r="C914" s="36" t="s">
        <v>13789</v>
      </c>
      <c r="D914" s="36" t="s">
        <v>13790</v>
      </c>
      <c r="E914" s="36" t="s">
        <v>13791</v>
      </c>
      <c r="F914" s="36" t="s">
        <v>13792</v>
      </c>
      <c r="G914" s="36" t="s">
        <v>13793</v>
      </c>
      <c r="H914" s="36" t="s">
        <v>13794</v>
      </c>
      <c r="I914" s="36" t="s">
        <v>13795</v>
      </c>
      <c r="J914" s="36" t="s">
        <v>13796</v>
      </c>
      <c r="K914" s="36" t="s">
        <v>13797</v>
      </c>
      <c r="L914" s="36" t="s">
        <v>13798</v>
      </c>
      <c r="M914" s="36" t="s">
        <v>13799</v>
      </c>
      <c r="N914" s="36" t="s">
        <v>13800</v>
      </c>
      <c r="O914" s="36" t="s">
        <v>13801</v>
      </c>
      <c r="P914" s="36" t="s">
        <v>13788</v>
      </c>
    </row>
    <row r="915" spans="1:16">
      <c r="A915" s="132">
        <v>914</v>
      </c>
      <c r="B915" s="36" t="s">
        <v>13802</v>
      </c>
      <c r="C915" s="36" t="s">
        <v>13803</v>
      </c>
      <c r="D915" s="36" t="s">
        <v>13804</v>
      </c>
      <c r="E915" s="36" t="s">
        <v>13805</v>
      </c>
      <c r="F915" s="36" t="s">
        <v>13806</v>
      </c>
      <c r="G915" s="36" t="s">
        <v>13807</v>
      </c>
      <c r="H915" s="36" t="s">
        <v>13808</v>
      </c>
      <c r="I915" s="36" t="s">
        <v>13809</v>
      </c>
      <c r="J915" s="36" t="s">
        <v>13810</v>
      </c>
      <c r="K915" s="36" t="s">
        <v>13811</v>
      </c>
      <c r="L915" s="36" t="s">
        <v>13812</v>
      </c>
      <c r="M915" s="36" t="s">
        <v>13813</v>
      </c>
      <c r="N915" s="36" t="s">
        <v>13814</v>
      </c>
      <c r="O915" s="36" t="s">
        <v>13815</v>
      </c>
      <c r="P915" s="36" t="s">
        <v>13802</v>
      </c>
    </row>
    <row r="916" spans="1:16">
      <c r="A916" s="132">
        <v>915</v>
      </c>
      <c r="B916" s="36" t="s">
        <v>13816</v>
      </c>
      <c r="C916" s="36" t="s">
        <v>13817</v>
      </c>
      <c r="D916" s="36" t="s">
        <v>13818</v>
      </c>
      <c r="E916" s="36" t="s">
        <v>13819</v>
      </c>
      <c r="F916" s="36" t="s">
        <v>13806</v>
      </c>
      <c r="G916" s="36" t="s">
        <v>13820</v>
      </c>
      <c r="H916" s="36" t="s">
        <v>13821</v>
      </c>
      <c r="I916" s="36" t="s">
        <v>13822</v>
      </c>
      <c r="J916" s="36" t="s">
        <v>13823</v>
      </c>
      <c r="K916" s="36" t="s">
        <v>13824</v>
      </c>
      <c r="L916" s="36" t="s">
        <v>13825</v>
      </c>
      <c r="M916" s="36" t="s">
        <v>13826</v>
      </c>
      <c r="N916" s="36" t="s">
        <v>13827</v>
      </c>
      <c r="O916" s="36" t="s">
        <v>13828</v>
      </c>
      <c r="P916" s="36" t="s">
        <v>13816</v>
      </c>
    </row>
    <row r="917" spans="1:16">
      <c r="A917" s="132">
        <v>916</v>
      </c>
      <c r="B917" s="36" t="s">
        <v>13829</v>
      </c>
      <c r="C917" s="36" t="s">
        <v>13830</v>
      </c>
      <c r="D917" s="36" t="s">
        <v>13831</v>
      </c>
      <c r="E917" s="36" t="s">
        <v>13832</v>
      </c>
      <c r="F917" s="36" t="s">
        <v>13833</v>
      </c>
      <c r="G917" s="36" t="s">
        <v>13834</v>
      </c>
      <c r="H917" s="36" t="s">
        <v>13835</v>
      </c>
      <c r="I917" s="36" t="s">
        <v>13836</v>
      </c>
      <c r="J917" s="36" t="s">
        <v>13837</v>
      </c>
      <c r="K917" s="36" t="s">
        <v>13838</v>
      </c>
      <c r="L917" s="36" t="s">
        <v>13839</v>
      </c>
      <c r="M917" s="36" t="s">
        <v>13840</v>
      </c>
      <c r="N917" s="36" t="s">
        <v>13841</v>
      </c>
      <c r="O917" s="36" t="s">
        <v>13842</v>
      </c>
      <c r="P917" s="36" t="s">
        <v>13829</v>
      </c>
    </row>
    <row r="918" spans="1:16">
      <c r="A918" s="132">
        <v>917</v>
      </c>
      <c r="B918" s="36" t="s">
        <v>13843</v>
      </c>
      <c r="C918" s="36" t="s">
        <v>6489</v>
      </c>
      <c r="D918" s="36" t="s">
        <v>11966</v>
      </c>
      <c r="E918" s="36" t="s">
        <v>6298</v>
      </c>
      <c r="F918" s="36" t="s">
        <v>6274</v>
      </c>
      <c r="G918" s="36" t="s">
        <v>13844</v>
      </c>
      <c r="H918" s="36" t="s">
        <v>13845</v>
      </c>
      <c r="I918" s="36" t="s">
        <v>13846</v>
      </c>
      <c r="J918" s="36" t="s">
        <v>13847</v>
      </c>
      <c r="K918" s="36" t="s">
        <v>13848</v>
      </c>
      <c r="L918" s="36" t="s">
        <v>13849</v>
      </c>
      <c r="M918" s="36" t="s">
        <v>13850</v>
      </c>
      <c r="N918" s="36" t="s">
        <v>13851</v>
      </c>
      <c r="O918" s="36" t="s">
        <v>13852</v>
      </c>
      <c r="P918" s="36" t="s">
        <v>13843</v>
      </c>
    </row>
    <row r="919" spans="1:16">
      <c r="A919" s="132">
        <v>918</v>
      </c>
      <c r="B919" s="36" t="s">
        <v>13853</v>
      </c>
      <c r="C919" s="36" t="s">
        <v>6489</v>
      </c>
      <c r="D919" s="36" t="s">
        <v>11966</v>
      </c>
      <c r="E919" s="36" t="s">
        <v>6298</v>
      </c>
      <c r="F919" s="36" t="s">
        <v>6274</v>
      </c>
      <c r="G919" s="36" t="s">
        <v>13854</v>
      </c>
      <c r="H919" s="36" t="s">
        <v>13845</v>
      </c>
      <c r="I919" s="36" t="s">
        <v>13855</v>
      </c>
      <c r="J919" s="36" t="s">
        <v>13856</v>
      </c>
      <c r="K919" s="36" t="s">
        <v>13848</v>
      </c>
      <c r="L919" s="36" t="s">
        <v>13857</v>
      </c>
      <c r="M919" s="36" t="s">
        <v>13850</v>
      </c>
      <c r="N919" s="36" t="s">
        <v>13858</v>
      </c>
      <c r="O919" s="36" t="s">
        <v>13859</v>
      </c>
      <c r="P919" s="36" t="s">
        <v>13853</v>
      </c>
    </row>
    <row r="920" spans="1:16">
      <c r="A920" s="132">
        <v>919</v>
      </c>
      <c r="B920" s="36" t="s">
        <v>13860</v>
      </c>
      <c r="C920" s="36" t="s">
        <v>13861</v>
      </c>
      <c r="D920" s="36" t="s">
        <v>13862</v>
      </c>
      <c r="E920" s="36" t="s">
        <v>13863</v>
      </c>
      <c r="F920" s="36" t="s">
        <v>5002</v>
      </c>
      <c r="G920" s="36" t="s">
        <v>13864</v>
      </c>
      <c r="H920" s="36" t="s">
        <v>13865</v>
      </c>
      <c r="I920" s="36" t="s">
        <v>13866</v>
      </c>
      <c r="J920" s="36" t="s">
        <v>13867</v>
      </c>
      <c r="K920" s="36" t="s">
        <v>13868</v>
      </c>
      <c r="L920" s="36" t="s">
        <v>13869</v>
      </c>
      <c r="M920" s="36" t="s">
        <v>13870</v>
      </c>
      <c r="N920" s="36" t="s">
        <v>13871</v>
      </c>
      <c r="O920" s="36" t="s">
        <v>13872</v>
      </c>
      <c r="P920" s="36" t="s">
        <v>13860</v>
      </c>
    </row>
    <row r="921" spans="1:16">
      <c r="A921" s="132">
        <v>920</v>
      </c>
      <c r="B921" s="36" t="s">
        <v>13873</v>
      </c>
      <c r="C921" s="36" t="s">
        <v>13874</v>
      </c>
      <c r="D921" s="36" t="s">
        <v>13875</v>
      </c>
      <c r="E921" s="36" t="s">
        <v>13876</v>
      </c>
      <c r="F921" s="36" t="s">
        <v>13877</v>
      </c>
      <c r="G921" s="36" t="s">
        <v>13878</v>
      </c>
      <c r="H921" s="36" t="s">
        <v>13879</v>
      </c>
      <c r="I921" s="36" t="s">
        <v>13880</v>
      </c>
      <c r="J921" s="36" t="s">
        <v>13881</v>
      </c>
      <c r="K921" s="36" t="s">
        <v>13882</v>
      </c>
      <c r="L921" s="36" t="s">
        <v>13883</v>
      </c>
      <c r="M921" s="36" t="s">
        <v>11878</v>
      </c>
      <c r="N921" s="36" t="s">
        <v>13884</v>
      </c>
      <c r="O921" s="36" t="s">
        <v>13885</v>
      </c>
      <c r="P921" s="36" t="s">
        <v>13873</v>
      </c>
    </row>
    <row r="922" spans="1:16">
      <c r="A922" s="132">
        <v>921</v>
      </c>
      <c r="B922" s="36" t="s">
        <v>13886</v>
      </c>
      <c r="C922" s="36" t="s">
        <v>13887</v>
      </c>
      <c r="D922" s="36" t="s">
        <v>13888</v>
      </c>
      <c r="E922" s="36" t="s">
        <v>13889</v>
      </c>
      <c r="F922" s="36" t="s">
        <v>13890</v>
      </c>
      <c r="G922" s="36" t="s">
        <v>13891</v>
      </c>
      <c r="H922" s="36" t="s">
        <v>13892</v>
      </c>
      <c r="I922" s="36" t="s">
        <v>13893</v>
      </c>
      <c r="J922" s="36" t="s">
        <v>13894</v>
      </c>
      <c r="K922" s="36" t="s">
        <v>13895</v>
      </c>
      <c r="L922" s="36" t="s">
        <v>13896</v>
      </c>
      <c r="M922" s="36" t="s">
        <v>13897</v>
      </c>
      <c r="N922" s="36" t="s">
        <v>13898</v>
      </c>
      <c r="O922" s="36" t="s">
        <v>13899</v>
      </c>
      <c r="P922" s="36" t="s">
        <v>13886</v>
      </c>
    </row>
    <row r="923" spans="1:16">
      <c r="A923" s="132">
        <v>922</v>
      </c>
      <c r="B923" s="36" t="s">
        <v>13900</v>
      </c>
      <c r="C923" s="36" t="s">
        <v>13901</v>
      </c>
      <c r="D923" s="36" t="s">
        <v>13902</v>
      </c>
      <c r="E923" s="36" t="s">
        <v>13903</v>
      </c>
      <c r="F923" s="36" t="s">
        <v>13904</v>
      </c>
      <c r="G923" s="36" t="s">
        <v>13905</v>
      </c>
      <c r="H923" s="36" t="s">
        <v>13906</v>
      </c>
      <c r="I923" s="36" t="s">
        <v>13907</v>
      </c>
      <c r="J923" s="36" t="s">
        <v>13908</v>
      </c>
      <c r="K923" s="36" t="s">
        <v>13909</v>
      </c>
      <c r="L923" s="36" t="s">
        <v>13910</v>
      </c>
      <c r="M923" s="36" t="s">
        <v>13911</v>
      </c>
      <c r="N923" s="36" t="s">
        <v>13912</v>
      </c>
      <c r="O923" s="36" t="s">
        <v>13913</v>
      </c>
      <c r="P923" s="36" t="s">
        <v>13900</v>
      </c>
    </row>
    <row r="924" spans="1:16">
      <c r="A924" s="132">
        <v>923</v>
      </c>
      <c r="B924" s="36" t="s">
        <v>13914</v>
      </c>
      <c r="C924" s="36" t="s">
        <v>13915</v>
      </c>
      <c r="D924" s="36" t="s">
        <v>13916</v>
      </c>
      <c r="E924" s="36" t="s">
        <v>13917</v>
      </c>
      <c r="F924" s="36" t="s">
        <v>13918</v>
      </c>
      <c r="G924" s="36" t="s">
        <v>13919</v>
      </c>
      <c r="H924" s="36" t="s">
        <v>13920</v>
      </c>
      <c r="I924" s="36" t="s">
        <v>13921</v>
      </c>
      <c r="J924" s="36" t="s">
        <v>13922</v>
      </c>
      <c r="K924" s="36" t="s">
        <v>13923</v>
      </c>
      <c r="L924" s="36" t="s">
        <v>13924</v>
      </c>
      <c r="M924" s="36" t="s">
        <v>13925</v>
      </c>
      <c r="N924" s="36" t="s">
        <v>13922</v>
      </c>
      <c r="O924" s="36" t="s">
        <v>13926</v>
      </c>
      <c r="P924" s="36" t="s">
        <v>13914</v>
      </c>
    </row>
    <row r="925" spans="1:16">
      <c r="A925" s="132">
        <v>924</v>
      </c>
      <c r="B925" s="36" t="s">
        <v>13927</v>
      </c>
      <c r="C925" s="36" t="s">
        <v>13928</v>
      </c>
      <c r="D925" s="36" t="s">
        <v>13929</v>
      </c>
      <c r="E925" s="36" t="s">
        <v>13930</v>
      </c>
      <c r="F925" s="36" t="s">
        <v>13931</v>
      </c>
      <c r="G925" s="36" t="s">
        <v>13932</v>
      </c>
      <c r="H925" s="36" t="s">
        <v>13933</v>
      </c>
      <c r="I925" s="36" t="s">
        <v>13934</v>
      </c>
      <c r="J925" s="36" t="s">
        <v>13935</v>
      </c>
      <c r="K925" s="36" t="s">
        <v>13936</v>
      </c>
      <c r="L925" s="36" t="s">
        <v>13937</v>
      </c>
      <c r="M925" s="36" t="s">
        <v>13938</v>
      </c>
      <c r="N925" s="36" t="s">
        <v>13939</v>
      </c>
      <c r="O925" s="36" t="s">
        <v>13940</v>
      </c>
      <c r="P925" s="36" t="s">
        <v>13927</v>
      </c>
    </row>
    <row r="926" spans="1:16">
      <c r="A926" s="132">
        <v>925</v>
      </c>
      <c r="B926" s="36" t="s">
        <v>13941</v>
      </c>
      <c r="C926" s="36" t="s">
        <v>13942</v>
      </c>
      <c r="D926" s="36" t="s">
        <v>13943</v>
      </c>
      <c r="E926" s="36" t="s">
        <v>13944</v>
      </c>
      <c r="F926" s="36" t="s">
        <v>13945</v>
      </c>
      <c r="G926" s="36" t="s">
        <v>13946</v>
      </c>
      <c r="H926" s="36" t="s">
        <v>13947</v>
      </c>
      <c r="I926" s="36" t="s">
        <v>13948</v>
      </c>
      <c r="J926" s="36" t="s">
        <v>13949</v>
      </c>
      <c r="K926" s="36" t="s">
        <v>13950</v>
      </c>
      <c r="L926" s="36" t="s">
        <v>13951</v>
      </c>
      <c r="M926" s="36" t="s">
        <v>13952</v>
      </c>
      <c r="N926" s="36" t="s">
        <v>13953</v>
      </c>
      <c r="O926" s="36" t="s">
        <v>13954</v>
      </c>
      <c r="P926" s="36" t="s">
        <v>13941</v>
      </c>
    </row>
    <row r="927" spans="1:16">
      <c r="A927" s="132">
        <v>926</v>
      </c>
      <c r="B927" s="36" t="s">
        <v>39087</v>
      </c>
      <c r="C927" s="36" t="s">
        <v>39088</v>
      </c>
      <c r="D927" s="36" t="s">
        <v>39089</v>
      </c>
      <c r="E927" s="36" t="s">
        <v>39090</v>
      </c>
      <c r="F927" s="36" t="s">
        <v>39091</v>
      </c>
      <c r="G927" s="36" t="s">
        <v>39092</v>
      </c>
      <c r="H927" s="36" t="s">
        <v>39093</v>
      </c>
      <c r="I927" s="36" t="s">
        <v>39094</v>
      </c>
      <c r="J927" s="36" t="s">
        <v>39095</v>
      </c>
      <c r="K927" s="36" t="s">
        <v>39096</v>
      </c>
      <c r="L927" s="36" t="s">
        <v>39097</v>
      </c>
      <c r="M927" s="36" t="s">
        <v>39098</v>
      </c>
      <c r="N927" s="36" t="s">
        <v>39099</v>
      </c>
      <c r="O927" s="36" t="s">
        <v>39100</v>
      </c>
      <c r="P927" s="36" t="s">
        <v>39087</v>
      </c>
    </row>
    <row r="928" spans="1:16">
      <c r="A928" s="132">
        <v>927</v>
      </c>
      <c r="B928" s="36" t="s">
        <v>13955</v>
      </c>
      <c r="C928" s="36" t="s">
        <v>13956</v>
      </c>
      <c r="D928" s="36" t="s">
        <v>13957</v>
      </c>
      <c r="E928" s="36" t="s">
        <v>13958</v>
      </c>
      <c r="F928" s="36" t="s">
        <v>13959</v>
      </c>
      <c r="G928" s="36" t="s">
        <v>13960</v>
      </c>
      <c r="H928" s="36" t="s">
        <v>13961</v>
      </c>
      <c r="I928" s="36" t="s">
        <v>13962</v>
      </c>
      <c r="J928" s="36" t="s">
        <v>13963</v>
      </c>
      <c r="K928" s="36" t="s">
        <v>13964</v>
      </c>
      <c r="L928" s="36" t="s">
        <v>13965</v>
      </c>
      <c r="M928" s="36" t="s">
        <v>13966</v>
      </c>
      <c r="N928" s="36" t="s">
        <v>13967</v>
      </c>
      <c r="O928" s="36" t="s">
        <v>13968</v>
      </c>
      <c r="P928" s="36" t="s">
        <v>13955</v>
      </c>
    </row>
    <row r="929" spans="1:16">
      <c r="A929" s="132">
        <v>928</v>
      </c>
      <c r="B929" s="36" t="s">
        <v>13969</v>
      </c>
      <c r="C929" s="36" t="s">
        <v>13970</v>
      </c>
      <c r="D929" s="36" t="s">
        <v>13971</v>
      </c>
      <c r="E929" s="36" t="s">
        <v>13972</v>
      </c>
      <c r="F929" s="36" t="s">
        <v>13973</v>
      </c>
      <c r="G929" s="36" t="s">
        <v>13974</v>
      </c>
      <c r="H929" s="36" t="s">
        <v>13975</v>
      </c>
      <c r="I929" s="36" t="s">
        <v>13976</v>
      </c>
      <c r="J929" s="36" t="s">
        <v>13977</v>
      </c>
      <c r="K929" s="36" t="s">
        <v>13978</v>
      </c>
      <c r="L929" s="36" t="s">
        <v>13979</v>
      </c>
      <c r="M929" s="36" t="s">
        <v>13980</v>
      </c>
      <c r="N929" s="36" t="s">
        <v>13981</v>
      </c>
      <c r="O929" s="36" t="s">
        <v>13982</v>
      </c>
      <c r="P929" s="36" t="s">
        <v>13969</v>
      </c>
    </row>
    <row r="930" spans="1:16">
      <c r="A930" s="132">
        <v>929</v>
      </c>
      <c r="B930" s="36" t="s">
        <v>13983</v>
      </c>
      <c r="C930" s="36" t="s">
        <v>13984</v>
      </c>
      <c r="D930" s="36" t="s">
        <v>13985</v>
      </c>
      <c r="E930" s="36" t="s">
        <v>13986</v>
      </c>
      <c r="F930" s="36" t="s">
        <v>13987</v>
      </c>
      <c r="G930" s="36" t="s">
        <v>13988</v>
      </c>
      <c r="H930" s="36" t="s">
        <v>13989</v>
      </c>
      <c r="I930" s="36" t="s">
        <v>11971</v>
      </c>
      <c r="J930" s="36" t="s">
        <v>13990</v>
      </c>
      <c r="K930" s="36" t="s">
        <v>13991</v>
      </c>
      <c r="L930" s="36" t="s">
        <v>13992</v>
      </c>
      <c r="M930" s="36" t="s">
        <v>13993</v>
      </c>
      <c r="N930" s="36" t="s">
        <v>13994</v>
      </c>
      <c r="O930" s="36" t="s">
        <v>13995</v>
      </c>
      <c r="P930" s="36" t="s">
        <v>13983</v>
      </c>
    </row>
    <row r="931" spans="1:16">
      <c r="A931" s="132">
        <v>930</v>
      </c>
      <c r="B931" s="36" t="s">
        <v>13996</v>
      </c>
      <c r="C931" s="36" t="s">
        <v>13997</v>
      </c>
      <c r="D931" s="36" t="s">
        <v>13998</v>
      </c>
      <c r="E931" s="36" t="s">
        <v>13999</v>
      </c>
      <c r="F931" s="36" t="s">
        <v>14000</v>
      </c>
      <c r="G931" s="36" t="s">
        <v>14001</v>
      </c>
      <c r="H931" s="36" t="s">
        <v>14002</v>
      </c>
      <c r="I931" s="36" t="s">
        <v>14003</v>
      </c>
      <c r="J931" s="36" t="s">
        <v>14004</v>
      </c>
      <c r="K931" s="36" t="s">
        <v>14005</v>
      </c>
      <c r="L931" s="36" t="s">
        <v>14006</v>
      </c>
      <c r="M931" s="36" t="s">
        <v>14007</v>
      </c>
      <c r="N931" s="36" t="s">
        <v>14008</v>
      </c>
      <c r="O931" s="36" t="s">
        <v>14009</v>
      </c>
      <c r="P931" s="36" t="s">
        <v>13996</v>
      </c>
    </row>
    <row r="932" spans="1:16">
      <c r="A932" s="132">
        <v>931</v>
      </c>
      <c r="B932" s="36" t="s">
        <v>14010</v>
      </c>
      <c r="C932" s="36" t="s">
        <v>14011</v>
      </c>
      <c r="D932" s="36" t="s">
        <v>14012</v>
      </c>
      <c r="E932" s="36" t="s">
        <v>14013</v>
      </c>
      <c r="F932" s="36" t="s">
        <v>14014</v>
      </c>
      <c r="G932" s="36" t="s">
        <v>14015</v>
      </c>
      <c r="H932" s="36" t="s">
        <v>14016</v>
      </c>
      <c r="I932" s="36" t="s">
        <v>14017</v>
      </c>
      <c r="J932" s="36" t="s">
        <v>14018</v>
      </c>
      <c r="K932" s="36" t="s">
        <v>14019</v>
      </c>
      <c r="L932" s="36" t="s">
        <v>14020</v>
      </c>
      <c r="M932" s="36" t="s">
        <v>14021</v>
      </c>
      <c r="N932" s="36" t="s">
        <v>14022</v>
      </c>
      <c r="O932" s="36" t="s">
        <v>14023</v>
      </c>
      <c r="P932" s="36" t="s">
        <v>14010</v>
      </c>
    </row>
    <row r="933" spans="1:16">
      <c r="A933" s="132">
        <v>932</v>
      </c>
      <c r="B933" s="36" t="s">
        <v>14024</v>
      </c>
      <c r="C933" s="36" t="s">
        <v>14025</v>
      </c>
      <c r="D933" s="36" t="s">
        <v>14026</v>
      </c>
      <c r="E933" s="36" t="s">
        <v>14027</v>
      </c>
      <c r="F933" s="36" t="s">
        <v>14028</v>
      </c>
      <c r="G933" s="36" t="s">
        <v>14029</v>
      </c>
      <c r="H933" s="36" t="s">
        <v>14030</v>
      </c>
      <c r="I933" s="36" t="s">
        <v>14031</v>
      </c>
      <c r="J933" s="36" t="s">
        <v>14032</v>
      </c>
      <c r="K933" s="36" t="s">
        <v>14033</v>
      </c>
      <c r="L933" s="36" t="s">
        <v>14034</v>
      </c>
      <c r="M933" s="36" t="s">
        <v>14035</v>
      </c>
      <c r="N933" s="36" t="s">
        <v>14036</v>
      </c>
      <c r="O933" s="36" t="s">
        <v>14037</v>
      </c>
      <c r="P933" s="36" t="s">
        <v>14024</v>
      </c>
    </row>
    <row r="934" spans="1:16">
      <c r="A934" s="132">
        <v>933</v>
      </c>
      <c r="B934" s="36" t="s">
        <v>14038</v>
      </c>
      <c r="C934" s="36" t="s">
        <v>14039</v>
      </c>
      <c r="D934" s="36" t="s">
        <v>14040</v>
      </c>
      <c r="E934" s="36" t="s">
        <v>14041</v>
      </c>
      <c r="F934" s="36" t="s">
        <v>14042</v>
      </c>
      <c r="G934" s="36" t="s">
        <v>14043</v>
      </c>
      <c r="H934" s="36" t="s">
        <v>14044</v>
      </c>
      <c r="I934" s="36" t="s">
        <v>14045</v>
      </c>
      <c r="J934" s="36" t="s">
        <v>14046</v>
      </c>
      <c r="K934" s="36" t="s">
        <v>14047</v>
      </c>
      <c r="L934" s="36" t="s">
        <v>14048</v>
      </c>
      <c r="M934" s="36" t="s">
        <v>14049</v>
      </c>
      <c r="N934" s="36" t="s">
        <v>14050</v>
      </c>
      <c r="O934" s="36" t="s">
        <v>14051</v>
      </c>
      <c r="P934" s="36" t="s">
        <v>14038</v>
      </c>
    </row>
    <row r="935" spans="1:16">
      <c r="A935" s="132">
        <v>934</v>
      </c>
      <c r="B935" s="36" t="s">
        <v>14052</v>
      </c>
      <c r="C935" s="36" t="s">
        <v>14053</v>
      </c>
      <c r="D935" s="36" t="s">
        <v>13985</v>
      </c>
      <c r="E935" s="36" t="s">
        <v>14054</v>
      </c>
      <c r="F935" s="36" t="s">
        <v>14055</v>
      </c>
      <c r="G935" s="36" t="s">
        <v>14056</v>
      </c>
      <c r="H935" s="36" t="s">
        <v>14057</v>
      </c>
      <c r="I935" s="36" t="s">
        <v>11971</v>
      </c>
      <c r="J935" s="36" t="s">
        <v>14058</v>
      </c>
      <c r="K935" s="36" t="s">
        <v>14059</v>
      </c>
      <c r="L935" s="36" t="s">
        <v>14060</v>
      </c>
      <c r="M935" s="36" t="s">
        <v>14061</v>
      </c>
      <c r="N935" s="36" t="s">
        <v>13994</v>
      </c>
      <c r="O935" s="36" t="s">
        <v>14062</v>
      </c>
      <c r="P935" s="36" t="s">
        <v>14052</v>
      </c>
    </row>
    <row r="936" spans="1:16">
      <c r="A936" s="132">
        <v>935</v>
      </c>
      <c r="B936" s="36" t="s">
        <v>14063</v>
      </c>
      <c r="C936" s="36" t="s">
        <v>14064</v>
      </c>
      <c r="D936" s="36" t="s">
        <v>14065</v>
      </c>
      <c r="E936" s="36" t="s">
        <v>14066</v>
      </c>
      <c r="F936" s="36" t="s">
        <v>14067</v>
      </c>
      <c r="G936" s="36" t="s">
        <v>14068</v>
      </c>
      <c r="H936" s="36" t="s">
        <v>11873</v>
      </c>
      <c r="I936" s="36" t="s">
        <v>14069</v>
      </c>
      <c r="J936" s="36" t="s">
        <v>14070</v>
      </c>
      <c r="K936" s="36" t="s">
        <v>14071</v>
      </c>
      <c r="L936" s="36" t="s">
        <v>14072</v>
      </c>
      <c r="M936" s="36" t="s">
        <v>14073</v>
      </c>
      <c r="N936" s="36" t="s">
        <v>14074</v>
      </c>
      <c r="O936" s="36" t="s">
        <v>14075</v>
      </c>
      <c r="P936" s="36" t="s">
        <v>14063</v>
      </c>
    </row>
    <row r="937" spans="1:16">
      <c r="A937" s="132">
        <v>936</v>
      </c>
      <c r="B937" s="36" t="s">
        <v>14076</v>
      </c>
      <c r="C937" s="36" t="s">
        <v>14077</v>
      </c>
      <c r="D937" s="36" t="s">
        <v>14078</v>
      </c>
      <c r="E937" s="36" t="s">
        <v>14079</v>
      </c>
      <c r="F937" s="36" t="s">
        <v>14080</v>
      </c>
      <c r="G937" s="36" t="s">
        <v>14081</v>
      </c>
      <c r="H937" s="36" t="s">
        <v>14082</v>
      </c>
      <c r="I937" s="36" t="s">
        <v>14083</v>
      </c>
      <c r="J937" s="36" t="s">
        <v>14084</v>
      </c>
      <c r="K937" s="36" t="s">
        <v>14085</v>
      </c>
      <c r="L937" s="36" t="s">
        <v>14086</v>
      </c>
      <c r="M937" s="36" t="s">
        <v>14087</v>
      </c>
      <c r="N937" s="36" t="s">
        <v>14088</v>
      </c>
      <c r="O937" s="36" t="s">
        <v>14089</v>
      </c>
      <c r="P937" s="36" t="s">
        <v>14076</v>
      </c>
    </row>
    <row r="938" spans="1:16">
      <c r="A938" s="132">
        <v>937</v>
      </c>
      <c r="B938" s="36" t="s">
        <v>14090</v>
      </c>
      <c r="C938" s="36" t="s">
        <v>14091</v>
      </c>
      <c r="D938" s="36" t="s">
        <v>14092</v>
      </c>
      <c r="E938" s="36" t="s">
        <v>14093</v>
      </c>
      <c r="F938" s="36" t="s">
        <v>14094</v>
      </c>
      <c r="G938" s="36" t="s">
        <v>14095</v>
      </c>
      <c r="H938" s="36" t="s">
        <v>14096</v>
      </c>
      <c r="I938" s="36" t="s">
        <v>14097</v>
      </c>
      <c r="J938" s="36" t="s">
        <v>14098</v>
      </c>
      <c r="K938" s="36" t="s">
        <v>14099</v>
      </c>
      <c r="L938" s="36" t="s">
        <v>14100</v>
      </c>
      <c r="M938" s="36" t="s">
        <v>14101</v>
      </c>
      <c r="N938" s="36" t="s">
        <v>14102</v>
      </c>
      <c r="O938" s="36" t="s">
        <v>14103</v>
      </c>
      <c r="P938" s="36" t="s">
        <v>14090</v>
      </c>
    </row>
    <row r="939" spans="1:16">
      <c r="A939" s="132">
        <v>938</v>
      </c>
      <c r="B939" s="36" t="s">
        <v>14104</v>
      </c>
      <c r="C939" s="36" t="s">
        <v>14105</v>
      </c>
      <c r="D939" s="36" t="s">
        <v>14106</v>
      </c>
      <c r="E939" s="36" t="s">
        <v>14107</v>
      </c>
      <c r="F939" s="36" t="s">
        <v>14108</v>
      </c>
      <c r="G939" s="36" t="s">
        <v>14109</v>
      </c>
      <c r="H939" s="36" t="s">
        <v>14110</v>
      </c>
      <c r="I939" s="36" t="s">
        <v>14111</v>
      </c>
      <c r="J939" s="36" t="s">
        <v>14112</v>
      </c>
      <c r="K939" s="36" t="s">
        <v>14113</v>
      </c>
      <c r="L939" s="36" t="s">
        <v>14114</v>
      </c>
      <c r="M939" s="36" t="s">
        <v>14115</v>
      </c>
      <c r="N939" s="36" t="s">
        <v>14116</v>
      </c>
      <c r="O939" s="36" t="s">
        <v>14117</v>
      </c>
      <c r="P939" s="36" t="s">
        <v>14104</v>
      </c>
    </row>
    <row r="940" spans="1:16">
      <c r="A940" s="132">
        <v>939</v>
      </c>
      <c r="B940" s="36" t="s">
        <v>14118</v>
      </c>
      <c r="C940" s="36" t="s">
        <v>14119</v>
      </c>
      <c r="D940" s="36" t="s">
        <v>14120</v>
      </c>
      <c r="E940" s="36" t="s">
        <v>14121</v>
      </c>
      <c r="F940" s="36" t="s">
        <v>14122</v>
      </c>
      <c r="G940" s="36" t="s">
        <v>14122</v>
      </c>
      <c r="H940" s="36" t="s">
        <v>14123</v>
      </c>
      <c r="I940" s="36" t="s">
        <v>14123</v>
      </c>
      <c r="J940" s="36" t="s">
        <v>14124</v>
      </c>
      <c r="K940" s="36" t="s">
        <v>14123</v>
      </c>
      <c r="L940" s="36" t="s">
        <v>14123</v>
      </c>
      <c r="M940" s="36" t="s">
        <v>14123</v>
      </c>
      <c r="N940" s="36" t="s">
        <v>14123</v>
      </c>
      <c r="O940" s="36" t="s">
        <v>14125</v>
      </c>
      <c r="P940" s="36" t="s">
        <v>14118</v>
      </c>
    </row>
    <row r="941" spans="1:16">
      <c r="A941" s="132">
        <v>940</v>
      </c>
      <c r="B941" s="36" t="s">
        <v>14126</v>
      </c>
      <c r="C941" s="36" t="s">
        <v>14127</v>
      </c>
      <c r="D941" s="36" t="s">
        <v>14128</v>
      </c>
      <c r="E941" s="36" t="s">
        <v>14126</v>
      </c>
      <c r="F941" s="36" t="s">
        <v>14129</v>
      </c>
      <c r="G941" s="36" t="s">
        <v>14130</v>
      </c>
      <c r="H941" s="36" t="s">
        <v>14131</v>
      </c>
      <c r="I941" s="36" t="s">
        <v>14127</v>
      </c>
      <c r="J941" s="36" t="s">
        <v>14132</v>
      </c>
      <c r="K941" s="36" t="s">
        <v>14133</v>
      </c>
      <c r="L941" s="36" t="s">
        <v>14127</v>
      </c>
      <c r="M941" s="36" t="s">
        <v>14134</v>
      </c>
      <c r="N941" s="36" t="s">
        <v>14134</v>
      </c>
      <c r="O941" s="36" t="s">
        <v>14135</v>
      </c>
      <c r="P941" s="36" t="s">
        <v>14126</v>
      </c>
    </row>
    <row r="942" spans="1:16">
      <c r="A942" s="132">
        <v>941</v>
      </c>
      <c r="B942" s="36" t="s">
        <v>14136</v>
      </c>
      <c r="C942" s="36" t="s">
        <v>14137</v>
      </c>
      <c r="D942" s="36" t="s">
        <v>14138</v>
      </c>
      <c r="E942" s="36" t="s">
        <v>14139</v>
      </c>
      <c r="F942" s="36" t="s">
        <v>14140</v>
      </c>
      <c r="G942" s="36" t="s">
        <v>14141</v>
      </c>
      <c r="H942" s="36" t="s">
        <v>14142</v>
      </c>
      <c r="I942" s="36" t="s">
        <v>14143</v>
      </c>
      <c r="J942" s="36" t="s">
        <v>14144</v>
      </c>
      <c r="K942" s="36" t="s">
        <v>14145</v>
      </c>
      <c r="L942" s="36" t="s">
        <v>14146</v>
      </c>
      <c r="M942" s="36" t="s">
        <v>14147</v>
      </c>
      <c r="N942" s="36" t="s">
        <v>14148</v>
      </c>
      <c r="O942" s="36" t="s">
        <v>14149</v>
      </c>
      <c r="P942" s="36" t="s">
        <v>14136</v>
      </c>
    </row>
    <row r="943" spans="1:16">
      <c r="A943" s="132">
        <v>942</v>
      </c>
      <c r="B943" s="36" t="s">
        <v>14150</v>
      </c>
      <c r="C943" s="36" t="s">
        <v>14151</v>
      </c>
      <c r="D943" s="36" t="s">
        <v>14152</v>
      </c>
      <c r="E943" s="36" t="s">
        <v>14150</v>
      </c>
      <c r="F943" s="36" t="s">
        <v>14153</v>
      </c>
      <c r="G943" s="36" t="s">
        <v>14154</v>
      </c>
      <c r="H943" s="36" t="s">
        <v>14155</v>
      </c>
      <c r="I943" s="36" t="s">
        <v>14151</v>
      </c>
      <c r="J943" s="36" t="s">
        <v>14156</v>
      </c>
      <c r="K943" s="36" t="s">
        <v>14157</v>
      </c>
      <c r="L943" s="36" t="s">
        <v>14156</v>
      </c>
      <c r="M943" s="36" t="s">
        <v>14156</v>
      </c>
      <c r="N943" s="36" t="s">
        <v>14156</v>
      </c>
      <c r="O943" s="36" t="s">
        <v>14158</v>
      </c>
      <c r="P943" s="36" t="s">
        <v>14150</v>
      </c>
    </row>
    <row r="944" spans="1:16">
      <c r="A944" s="132">
        <v>943</v>
      </c>
      <c r="B944" s="36" t="s">
        <v>14159</v>
      </c>
      <c r="C944" s="36" t="s">
        <v>14160</v>
      </c>
      <c r="D944" s="36" t="s">
        <v>14161</v>
      </c>
      <c r="E944" s="36" t="s">
        <v>14162</v>
      </c>
      <c r="F944" s="36" t="s">
        <v>14163</v>
      </c>
      <c r="G944" s="36" t="s">
        <v>14164</v>
      </c>
      <c r="H944" s="36" t="s">
        <v>14165</v>
      </c>
      <c r="I944" s="36" t="s">
        <v>14166</v>
      </c>
      <c r="J944" s="36" t="s">
        <v>14167</v>
      </c>
      <c r="K944" s="36" t="s">
        <v>14168</v>
      </c>
      <c r="L944" s="36" t="s">
        <v>14169</v>
      </c>
      <c r="M944" s="36" t="s">
        <v>14170</v>
      </c>
      <c r="N944" s="36" t="s">
        <v>14171</v>
      </c>
      <c r="O944" s="36" t="s">
        <v>14172</v>
      </c>
      <c r="P944" s="36" t="s">
        <v>14159</v>
      </c>
    </row>
    <row r="945" spans="1:16">
      <c r="A945" s="132">
        <v>944</v>
      </c>
      <c r="B945" s="36" t="s">
        <v>14173</v>
      </c>
      <c r="C945" s="36" t="s">
        <v>14174</v>
      </c>
      <c r="D945" s="36" t="s">
        <v>14175</v>
      </c>
      <c r="E945" s="36" t="s">
        <v>14176</v>
      </c>
      <c r="F945" s="36" t="s">
        <v>14177</v>
      </c>
      <c r="G945" s="36" t="s">
        <v>14178</v>
      </c>
      <c r="H945" s="36" t="s">
        <v>14179</v>
      </c>
      <c r="I945" s="36" t="s">
        <v>14180</v>
      </c>
      <c r="J945" s="36" t="s">
        <v>14181</v>
      </c>
      <c r="K945" s="36" t="s">
        <v>14182</v>
      </c>
      <c r="L945" s="36" t="s">
        <v>14183</v>
      </c>
      <c r="M945" s="36" t="s">
        <v>14184</v>
      </c>
      <c r="N945" s="36" t="s">
        <v>14185</v>
      </c>
      <c r="O945" s="36" t="s">
        <v>14186</v>
      </c>
      <c r="P945" s="36" t="s">
        <v>14173</v>
      </c>
    </row>
    <row r="946" spans="1:16">
      <c r="A946" s="132">
        <v>945</v>
      </c>
      <c r="B946" s="36" t="s">
        <v>14187</v>
      </c>
      <c r="C946" s="36" t="s">
        <v>14188</v>
      </c>
      <c r="D946" s="36" t="s">
        <v>14189</v>
      </c>
      <c r="E946" s="36" t="s">
        <v>14190</v>
      </c>
      <c r="F946" s="36" t="s">
        <v>14191</v>
      </c>
      <c r="G946" s="36" t="s">
        <v>14192</v>
      </c>
      <c r="H946" s="36" t="s">
        <v>14193</v>
      </c>
      <c r="I946" s="36" t="s">
        <v>14194</v>
      </c>
      <c r="J946" s="36" t="s">
        <v>14195</v>
      </c>
      <c r="K946" s="36" t="s">
        <v>14196</v>
      </c>
      <c r="L946" s="36" t="s">
        <v>14197</v>
      </c>
      <c r="M946" s="36" t="s">
        <v>14198</v>
      </c>
      <c r="N946" s="36" t="s">
        <v>14199</v>
      </c>
      <c r="O946" s="36" t="s">
        <v>14200</v>
      </c>
      <c r="P946" s="36" t="s">
        <v>14187</v>
      </c>
    </row>
    <row r="947" spans="1:16">
      <c r="A947" s="132">
        <v>946</v>
      </c>
      <c r="B947" s="36" t="s">
        <v>14201</v>
      </c>
      <c r="C947" s="36" t="s">
        <v>14202</v>
      </c>
      <c r="D947" s="36" t="s">
        <v>14203</v>
      </c>
      <c r="E947" s="36" t="s">
        <v>14204</v>
      </c>
      <c r="F947" s="36" t="s">
        <v>14205</v>
      </c>
      <c r="G947" s="36" t="s">
        <v>14206</v>
      </c>
      <c r="H947" s="36" t="s">
        <v>14207</v>
      </c>
      <c r="I947" s="36" t="s">
        <v>14208</v>
      </c>
      <c r="J947" s="36" t="s">
        <v>14209</v>
      </c>
      <c r="K947" s="36" t="s">
        <v>14210</v>
      </c>
      <c r="L947" s="36" t="s">
        <v>14211</v>
      </c>
      <c r="M947" s="36" t="s">
        <v>14212</v>
      </c>
      <c r="N947" s="36" t="s">
        <v>14213</v>
      </c>
      <c r="O947" s="36" t="s">
        <v>14214</v>
      </c>
      <c r="P947" s="36" t="s">
        <v>14201</v>
      </c>
    </row>
    <row r="948" spans="1:16">
      <c r="A948" s="132">
        <v>947</v>
      </c>
      <c r="B948" s="36" t="s">
        <v>14215</v>
      </c>
      <c r="C948" s="36" t="s">
        <v>14216</v>
      </c>
      <c r="D948" s="36" t="s">
        <v>14217</v>
      </c>
      <c r="E948" s="36" t="s">
        <v>14218</v>
      </c>
      <c r="F948" s="36" t="s">
        <v>14219</v>
      </c>
      <c r="G948" s="36" t="s">
        <v>14220</v>
      </c>
      <c r="H948" s="36" t="s">
        <v>14221</v>
      </c>
      <c r="I948" s="36" t="s">
        <v>14222</v>
      </c>
      <c r="J948" s="36" t="s">
        <v>14223</v>
      </c>
      <c r="K948" s="36" t="s">
        <v>14224</v>
      </c>
      <c r="L948" s="36" t="s">
        <v>14225</v>
      </c>
      <c r="M948" s="36" t="s">
        <v>14226</v>
      </c>
      <c r="N948" s="36" t="s">
        <v>14227</v>
      </c>
      <c r="O948" s="36" t="s">
        <v>14228</v>
      </c>
      <c r="P948" s="36" t="s">
        <v>14215</v>
      </c>
    </row>
    <row r="949" spans="1:16">
      <c r="A949" s="132">
        <v>948</v>
      </c>
      <c r="B949" s="36" t="s">
        <v>14229</v>
      </c>
      <c r="C949" s="36" t="s">
        <v>14230</v>
      </c>
      <c r="D949" s="36" t="s">
        <v>14231</v>
      </c>
      <c r="E949" s="36" t="s">
        <v>14232</v>
      </c>
      <c r="F949" s="36" t="s">
        <v>14233</v>
      </c>
      <c r="G949" s="36" t="s">
        <v>14234</v>
      </c>
      <c r="H949" s="36" t="s">
        <v>14235</v>
      </c>
      <c r="I949" s="36" t="s">
        <v>14236</v>
      </c>
      <c r="J949" s="36" t="s">
        <v>14237</v>
      </c>
      <c r="K949" s="36" t="s">
        <v>14238</v>
      </c>
      <c r="L949" s="36" t="s">
        <v>14239</v>
      </c>
      <c r="M949" s="36" t="s">
        <v>14240</v>
      </c>
      <c r="N949" s="36" t="s">
        <v>14241</v>
      </c>
      <c r="O949" s="36" t="s">
        <v>14242</v>
      </c>
      <c r="P949" s="36" t="s">
        <v>14229</v>
      </c>
    </row>
    <row r="950" spans="1:16">
      <c r="A950" s="132">
        <v>949</v>
      </c>
      <c r="B950" s="36" t="s">
        <v>14243</v>
      </c>
      <c r="C950" s="36" t="s">
        <v>14244</v>
      </c>
      <c r="D950" s="36" t="s">
        <v>14245</v>
      </c>
      <c r="E950" s="36" t="s">
        <v>14246</v>
      </c>
      <c r="F950" s="36" t="s">
        <v>14247</v>
      </c>
      <c r="G950" s="36" t="s">
        <v>14248</v>
      </c>
      <c r="H950" s="36" t="s">
        <v>14249</v>
      </c>
      <c r="I950" s="36" t="s">
        <v>14250</v>
      </c>
      <c r="J950" s="36" t="s">
        <v>14251</v>
      </c>
      <c r="K950" s="36" t="s">
        <v>14252</v>
      </c>
      <c r="L950" s="36" t="s">
        <v>14253</v>
      </c>
      <c r="M950" s="36" t="s">
        <v>14254</v>
      </c>
      <c r="N950" s="36" t="s">
        <v>14255</v>
      </c>
      <c r="O950" s="36" t="s">
        <v>14256</v>
      </c>
      <c r="P950" s="36" t="s">
        <v>14243</v>
      </c>
    </row>
    <row r="951" spans="1:16">
      <c r="A951" s="132">
        <v>950</v>
      </c>
      <c r="B951" s="36" t="s">
        <v>14257</v>
      </c>
      <c r="C951" s="36" t="s">
        <v>14258</v>
      </c>
      <c r="D951" s="36" t="s">
        <v>14259</v>
      </c>
      <c r="E951" s="36" t="s">
        <v>14260</v>
      </c>
      <c r="F951" s="36" t="s">
        <v>14261</v>
      </c>
      <c r="G951" s="36" t="s">
        <v>14262</v>
      </c>
      <c r="H951" s="36" t="s">
        <v>14263</v>
      </c>
      <c r="I951" s="36" t="s">
        <v>14264</v>
      </c>
      <c r="J951" s="36" t="s">
        <v>14265</v>
      </c>
      <c r="K951" s="36" t="s">
        <v>14266</v>
      </c>
      <c r="L951" s="36" t="s">
        <v>14267</v>
      </c>
      <c r="M951" s="36" t="s">
        <v>14268</v>
      </c>
      <c r="N951" s="36" t="s">
        <v>14269</v>
      </c>
      <c r="O951" s="36" t="s">
        <v>14270</v>
      </c>
      <c r="P951" s="36" t="s">
        <v>14257</v>
      </c>
    </row>
    <row r="952" spans="1:16">
      <c r="A952" s="132">
        <v>951</v>
      </c>
      <c r="B952" s="36" t="s">
        <v>14271</v>
      </c>
      <c r="C952" s="36" t="s">
        <v>14272</v>
      </c>
      <c r="D952" s="36" t="s">
        <v>14273</v>
      </c>
      <c r="E952" s="36" t="s">
        <v>14274</v>
      </c>
      <c r="F952" s="36" t="s">
        <v>14275</v>
      </c>
      <c r="G952" s="36" t="s">
        <v>14276</v>
      </c>
      <c r="H952" s="36" t="s">
        <v>14277</v>
      </c>
      <c r="I952" s="36" t="s">
        <v>14278</v>
      </c>
      <c r="J952" s="36" t="s">
        <v>14279</v>
      </c>
      <c r="K952" s="36" t="s">
        <v>14280</v>
      </c>
      <c r="L952" s="36" t="s">
        <v>14281</v>
      </c>
      <c r="M952" s="36" t="s">
        <v>14282</v>
      </c>
      <c r="N952" s="36" t="s">
        <v>14283</v>
      </c>
      <c r="O952" s="36" t="s">
        <v>14284</v>
      </c>
      <c r="P952" s="36" t="s">
        <v>14271</v>
      </c>
    </row>
    <row r="953" spans="1:16">
      <c r="A953" s="132">
        <v>952</v>
      </c>
      <c r="B953" s="36" t="s">
        <v>14285</v>
      </c>
      <c r="C953" s="36" t="s">
        <v>14286</v>
      </c>
      <c r="D953" s="36" t="s">
        <v>14287</v>
      </c>
      <c r="E953" s="36" t="s">
        <v>14288</v>
      </c>
      <c r="F953" s="36" t="s">
        <v>14289</v>
      </c>
      <c r="G953" s="36" t="s">
        <v>14290</v>
      </c>
      <c r="H953" s="36" t="s">
        <v>14291</v>
      </c>
      <c r="I953" s="36" t="s">
        <v>14292</v>
      </c>
      <c r="J953" s="36" t="s">
        <v>14293</v>
      </c>
      <c r="K953" s="36" t="s">
        <v>14294</v>
      </c>
      <c r="L953" s="36" t="s">
        <v>14295</v>
      </c>
      <c r="M953" s="36" t="s">
        <v>14296</v>
      </c>
      <c r="N953" s="36" t="s">
        <v>14297</v>
      </c>
      <c r="O953" s="36" t="s">
        <v>14298</v>
      </c>
      <c r="P953" s="36" t="s">
        <v>14285</v>
      </c>
    </row>
    <row r="954" spans="1:16">
      <c r="A954" s="132">
        <v>953</v>
      </c>
      <c r="B954" s="36" t="s">
        <v>14299</v>
      </c>
      <c r="C954" s="36" t="s">
        <v>14300</v>
      </c>
      <c r="D954" s="36" t="s">
        <v>14301</v>
      </c>
      <c r="E954" s="36" t="s">
        <v>14302</v>
      </c>
      <c r="F954" s="36" t="s">
        <v>14303</v>
      </c>
      <c r="G954" s="36" t="s">
        <v>14304</v>
      </c>
      <c r="H954" s="36" t="s">
        <v>14305</v>
      </c>
      <c r="I954" s="36" t="s">
        <v>14306</v>
      </c>
      <c r="J954" s="36" t="s">
        <v>14307</v>
      </c>
      <c r="K954" s="36" t="s">
        <v>14308</v>
      </c>
      <c r="L954" s="36" t="s">
        <v>14309</v>
      </c>
      <c r="M954" s="36" t="s">
        <v>14310</v>
      </c>
      <c r="N954" s="36" t="s">
        <v>14311</v>
      </c>
      <c r="O954" s="36" t="s">
        <v>14312</v>
      </c>
      <c r="P954" s="36" t="s">
        <v>14299</v>
      </c>
    </row>
    <row r="955" spans="1:16">
      <c r="A955" s="132">
        <v>954</v>
      </c>
      <c r="B955" s="36" t="s">
        <v>14313</v>
      </c>
      <c r="C955" s="36" t="s">
        <v>14314</v>
      </c>
      <c r="D955" s="36" t="s">
        <v>14315</v>
      </c>
      <c r="E955" s="36" t="s">
        <v>14316</v>
      </c>
      <c r="F955" s="36" t="s">
        <v>14317</v>
      </c>
      <c r="G955" s="36" t="s">
        <v>14318</v>
      </c>
      <c r="H955" s="36" t="s">
        <v>14319</v>
      </c>
      <c r="I955" s="36" t="s">
        <v>14320</v>
      </c>
      <c r="J955" s="36" t="s">
        <v>14321</v>
      </c>
      <c r="K955" s="36" t="s">
        <v>14322</v>
      </c>
      <c r="L955" s="36" t="s">
        <v>14323</v>
      </c>
      <c r="M955" s="36" t="s">
        <v>14324</v>
      </c>
      <c r="N955" s="36" t="s">
        <v>14325</v>
      </c>
      <c r="O955" s="36" t="s">
        <v>14326</v>
      </c>
      <c r="P955" s="36" t="s">
        <v>14313</v>
      </c>
    </row>
    <row r="956" spans="1:16">
      <c r="A956" s="132">
        <v>955</v>
      </c>
      <c r="B956" s="36" t="s">
        <v>14327</v>
      </c>
      <c r="C956" s="36" t="s">
        <v>14328</v>
      </c>
      <c r="D956" s="36" t="s">
        <v>14329</v>
      </c>
      <c r="E956" s="36" t="s">
        <v>14330</v>
      </c>
      <c r="F956" s="36" t="s">
        <v>14331</v>
      </c>
      <c r="G956" s="36" t="s">
        <v>14332</v>
      </c>
      <c r="H956" s="36" t="s">
        <v>14333</v>
      </c>
      <c r="I956" s="36" t="s">
        <v>14334</v>
      </c>
      <c r="J956" s="36" t="s">
        <v>14335</v>
      </c>
      <c r="K956" s="36" t="s">
        <v>14336</v>
      </c>
      <c r="L956" s="36" t="s">
        <v>14337</v>
      </c>
      <c r="M956" s="36" t="s">
        <v>14338</v>
      </c>
      <c r="N956" s="36" t="s">
        <v>14339</v>
      </c>
      <c r="O956" s="36" t="s">
        <v>14340</v>
      </c>
      <c r="P956" s="36" t="s">
        <v>14327</v>
      </c>
    </row>
    <row r="957" spans="1:16">
      <c r="A957" s="132">
        <v>956</v>
      </c>
      <c r="B957" s="36" t="s">
        <v>14341</v>
      </c>
      <c r="C957" s="36" t="s">
        <v>14342</v>
      </c>
      <c r="D957" s="36" t="s">
        <v>14343</v>
      </c>
      <c r="E957" s="36" t="s">
        <v>14344</v>
      </c>
      <c r="F957" s="36" t="s">
        <v>14345</v>
      </c>
      <c r="G957" s="36" t="s">
        <v>14346</v>
      </c>
      <c r="H957" s="36" t="s">
        <v>14347</v>
      </c>
      <c r="I957" s="36" t="s">
        <v>14348</v>
      </c>
      <c r="J957" s="36" t="s">
        <v>14349</v>
      </c>
      <c r="K957" s="36" t="s">
        <v>14350</v>
      </c>
      <c r="L957" s="36" t="s">
        <v>14351</v>
      </c>
      <c r="M957" s="36" t="s">
        <v>14352</v>
      </c>
      <c r="N957" s="36" t="s">
        <v>14353</v>
      </c>
      <c r="O957" s="36" t="s">
        <v>14354</v>
      </c>
      <c r="P957" s="36" t="s">
        <v>14341</v>
      </c>
    </row>
    <row r="958" spans="1:16">
      <c r="A958" s="132">
        <v>957</v>
      </c>
      <c r="B958" s="36" t="s">
        <v>14355</v>
      </c>
      <c r="C958" s="36" t="s">
        <v>14356</v>
      </c>
      <c r="D958" s="36" t="s">
        <v>14357</v>
      </c>
      <c r="E958" s="36" t="s">
        <v>14358</v>
      </c>
      <c r="F958" s="36" t="s">
        <v>14359</v>
      </c>
      <c r="G958" s="36" t="s">
        <v>14360</v>
      </c>
      <c r="H958" s="36" t="s">
        <v>14361</v>
      </c>
      <c r="I958" s="36" t="s">
        <v>14362</v>
      </c>
      <c r="J958" s="36" t="s">
        <v>14363</v>
      </c>
      <c r="K958" s="36" t="s">
        <v>14364</v>
      </c>
      <c r="L958" s="36" t="s">
        <v>14365</v>
      </c>
      <c r="M958" s="36" t="s">
        <v>14366</v>
      </c>
      <c r="N958" s="36" t="s">
        <v>14367</v>
      </c>
      <c r="O958" s="36" t="s">
        <v>14364</v>
      </c>
      <c r="P958" s="36" t="s">
        <v>14355</v>
      </c>
    </row>
    <row r="959" spans="1:16">
      <c r="A959" s="132">
        <v>958</v>
      </c>
      <c r="B959" s="36" t="s">
        <v>14368</v>
      </c>
      <c r="C959" s="36" t="s">
        <v>14369</v>
      </c>
      <c r="D959" s="36" t="s">
        <v>14370</v>
      </c>
      <c r="E959" s="36" t="s">
        <v>14371</v>
      </c>
      <c r="F959" s="36" t="s">
        <v>14372</v>
      </c>
      <c r="G959" s="36" t="s">
        <v>14373</v>
      </c>
      <c r="H959" s="36" t="s">
        <v>14374</v>
      </c>
      <c r="I959" s="36" t="s">
        <v>14375</v>
      </c>
      <c r="J959" s="36" t="s">
        <v>14376</v>
      </c>
      <c r="K959" s="36" t="s">
        <v>14377</v>
      </c>
      <c r="L959" s="36" t="s">
        <v>14378</v>
      </c>
      <c r="M959" s="36" t="s">
        <v>14379</v>
      </c>
      <c r="N959" s="36" t="s">
        <v>14380</v>
      </c>
      <c r="O959" s="36" t="s">
        <v>14381</v>
      </c>
      <c r="P959" s="36" t="s">
        <v>14382</v>
      </c>
    </row>
    <row r="960" spans="1:16">
      <c r="A960" s="132">
        <v>959</v>
      </c>
      <c r="B960" s="36" t="s">
        <v>14383</v>
      </c>
      <c r="C960" s="36" t="s">
        <v>14384</v>
      </c>
      <c r="D960" s="36" t="s">
        <v>14385</v>
      </c>
      <c r="E960" s="36" t="s">
        <v>14386</v>
      </c>
      <c r="F960" s="36" t="s">
        <v>14387</v>
      </c>
      <c r="G960" s="36" t="s">
        <v>14388</v>
      </c>
      <c r="H960" s="36" t="s">
        <v>14389</v>
      </c>
      <c r="I960" s="36" t="s">
        <v>14387</v>
      </c>
      <c r="J960" s="36" t="s">
        <v>14390</v>
      </c>
      <c r="K960" s="36" t="s">
        <v>14391</v>
      </c>
      <c r="L960" s="36" t="s">
        <v>14390</v>
      </c>
      <c r="M960" s="36" t="s">
        <v>14392</v>
      </c>
      <c r="N960" s="36" t="s">
        <v>14393</v>
      </c>
      <c r="O960" s="36" t="s">
        <v>14394</v>
      </c>
      <c r="P960" s="36" t="s">
        <v>14383</v>
      </c>
    </row>
    <row r="961" spans="1:16" ht="16.2">
      <c r="A961" s="132">
        <v>960</v>
      </c>
      <c r="B961" s="36" t="s">
        <v>14395</v>
      </c>
      <c r="C961" s="36" t="s">
        <v>14396</v>
      </c>
      <c r="D961" s="36" t="s">
        <v>14397</v>
      </c>
      <c r="E961" s="36" t="s">
        <v>14398</v>
      </c>
      <c r="F961" s="36" t="s">
        <v>14399</v>
      </c>
      <c r="G961" s="36" t="s">
        <v>14400</v>
      </c>
      <c r="H961" s="36" t="s">
        <v>14401</v>
      </c>
      <c r="I961" s="36" t="s">
        <v>14402</v>
      </c>
      <c r="J961" s="36" t="s">
        <v>14403</v>
      </c>
      <c r="K961" s="36" t="s">
        <v>14404</v>
      </c>
      <c r="L961" s="36" t="s">
        <v>14405</v>
      </c>
      <c r="M961" s="36" t="s">
        <v>14406</v>
      </c>
      <c r="N961" s="36" t="s">
        <v>14407</v>
      </c>
      <c r="O961" s="36" t="s">
        <v>14408</v>
      </c>
      <c r="P961" s="36" t="s">
        <v>14395</v>
      </c>
    </row>
    <row r="962" spans="1:16">
      <c r="A962" s="132">
        <v>961</v>
      </c>
      <c r="B962" s="36" t="s">
        <v>14409</v>
      </c>
      <c r="C962" s="36" t="s">
        <v>14410</v>
      </c>
      <c r="D962" s="36" t="s">
        <v>14411</v>
      </c>
      <c r="E962" s="36" t="s">
        <v>14412</v>
      </c>
      <c r="F962" s="36" t="s">
        <v>14413</v>
      </c>
      <c r="G962" s="36" t="s">
        <v>14414</v>
      </c>
      <c r="H962" s="36" t="s">
        <v>14415</v>
      </c>
      <c r="I962" s="36" t="s">
        <v>14416</v>
      </c>
      <c r="J962" s="36" t="s">
        <v>14417</v>
      </c>
      <c r="K962" s="36" t="s">
        <v>14418</v>
      </c>
      <c r="L962" s="36" t="s">
        <v>14419</v>
      </c>
      <c r="M962" s="36" t="s">
        <v>14420</v>
      </c>
      <c r="N962" s="36" t="s">
        <v>14421</v>
      </c>
      <c r="O962" s="36" t="s">
        <v>14422</v>
      </c>
      <c r="P962" s="36" t="s">
        <v>14409</v>
      </c>
    </row>
    <row r="963" spans="1:16">
      <c r="A963" s="132">
        <v>962</v>
      </c>
      <c r="B963" s="36" t="s">
        <v>14423</v>
      </c>
      <c r="C963" s="36" t="s">
        <v>14424</v>
      </c>
      <c r="D963" s="36" t="s">
        <v>14425</v>
      </c>
      <c r="E963" s="36" t="s">
        <v>14426</v>
      </c>
      <c r="F963" s="36" t="s">
        <v>14427</v>
      </c>
      <c r="G963" s="36" t="s">
        <v>14428</v>
      </c>
      <c r="H963" s="36" t="s">
        <v>14429</v>
      </c>
      <c r="I963" s="36" t="s">
        <v>14430</v>
      </c>
      <c r="J963" s="36" t="s">
        <v>14431</v>
      </c>
      <c r="K963" s="36" t="s">
        <v>14432</v>
      </c>
      <c r="L963" s="36" t="s">
        <v>14433</v>
      </c>
      <c r="M963" s="36" t="s">
        <v>14434</v>
      </c>
      <c r="N963" s="36" t="s">
        <v>14435</v>
      </c>
      <c r="O963" s="36" t="s">
        <v>14436</v>
      </c>
      <c r="P963" s="36" t="s">
        <v>14437</v>
      </c>
    </row>
    <row r="964" spans="1:16">
      <c r="A964" s="132">
        <v>963</v>
      </c>
      <c r="B964" s="36" t="s">
        <v>14438</v>
      </c>
      <c r="C964" s="36" t="s">
        <v>14439</v>
      </c>
      <c r="D964" s="36" t="s">
        <v>14440</v>
      </c>
      <c r="E964" s="36" t="s">
        <v>14441</v>
      </c>
      <c r="F964" s="36" t="s">
        <v>14442</v>
      </c>
      <c r="G964" s="36" t="s">
        <v>14443</v>
      </c>
      <c r="H964" s="36" t="s">
        <v>14444</v>
      </c>
      <c r="I964" s="36" t="s">
        <v>14445</v>
      </c>
      <c r="J964" s="36" t="s">
        <v>14446</v>
      </c>
      <c r="K964" s="36" t="s">
        <v>14447</v>
      </c>
      <c r="L964" s="36" t="s">
        <v>14448</v>
      </c>
      <c r="M964" s="36" t="s">
        <v>14449</v>
      </c>
      <c r="N964" s="36" t="s">
        <v>14450</v>
      </c>
      <c r="O964" s="36" t="s">
        <v>14451</v>
      </c>
      <c r="P964" s="36" t="s">
        <v>14438</v>
      </c>
    </row>
    <row r="965" spans="1:16">
      <c r="A965" s="132">
        <v>964</v>
      </c>
      <c r="B965" s="36" t="s">
        <v>14452</v>
      </c>
      <c r="C965" s="36" t="s">
        <v>14453</v>
      </c>
      <c r="D965" s="36" t="s">
        <v>14454</v>
      </c>
      <c r="E965" s="36" t="s">
        <v>14455</v>
      </c>
      <c r="F965" s="36" t="s">
        <v>14456</v>
      </c>
      <c r="G965" s="36" t="s">
        <v>14457</v>
      </c>
      <c r="H965" s="36" t="s">
        <v>14458</v>
      </c>
      <c r="I965" s="36" t="s">
        <v>14459</v>
      </c>
      <c r="J965" s="36" t="s">
        <v>14460</v>
      </c>
      <c r="K965" s="36" t="s">
        <v>14461</v>
      </c>
      <c r="L965" s="36" t="s">
        <v>14462</v>
      </c>
      <c r="M965" s="36" t="s">
        <v>14463</v>
      </c>
      <c r="N965" s="36" t="s">
        <v>14464</v>
      </c>
      <c r="O965" s="36" t="s">
        <v>14465</v>
      </c>
      <c r="P965" s="36" t="s">
        <v>14452</v>
      </c>
    </row>
    <row r="966" spans="1:16">
      <c r="A966" s="132">
        <v>965</v>
      </c>
      <c r="B966" s="36" t="s">
        <v>14466</v>
      </c>
      <c r="C966" s="36" t="s">
        <v>14467</v>
      </c>
      <c r="D966" s="36" t="s">
        <v>14468</v>
      </c>
      <c r="E966" s="36" t="s">
        <v>14469</v>
      </c>
      <c r="F966" s="36" t="s">
        <v>14470</v>
      </c>
      <c r="G966" s="36" t="s">
        <v>14471</v>
      </c>
      <c r="H966" s="36" t="s">
        <v>14472</v>
      </c>
      <c r="I966" s="36" t="s">
        <v>14473</v>
      </c>
      <c r="J966" s="36" t="s">
        <v>14474</v>
      </c>
      <c r="K966" s="36" t="s">
        <v>14475</v>
      </c>
      <c r="L966" s="36" t="s">
        <v>14476</v>
      </c>
      <c r="M966" s="36" t="s">
        <v>14477</v>
      </c>
      <c r="N966" s="36" t="s">
        <v>14478</v>
      </c>
      <c r="O966" s="36" t="s">
        <v>14479</v>
      </c>
      <c r="P966" s="36" t="s">
        <v>14466</v>
      </c>
    </row>
    <row r="967" spans="1:16">
      <c r="A967" s="132">
        <v>966</v>
      </c>
      <c r="B967" s="36" t="s">
        <v>14480</v>
      </c>
      <c r="C967" s="36" t="s">
        <v>14481</v>
      </c>
      <c r="D967" s="36" t="s">
        <v>14482</v>
      </c>
      <c r="E967" s="36" t="s">
        <v>14483</v>
      </c>
      <c r="F967" s="36" t="s">
        <v>14484</v>
      </c>
      <c r="G967" s="36" t="s">
        <v>14485</v>
      </c>
      <c r="H967" s="36" t="s">
        <v>14486</v>
      </c>
      <c r="I967" s="36" t="s">
        <v>14487</v>
      </c>
      <c r="J967" s="36" t="s">
        <v>14488</v>
      </c>
      <c r="K967" s="36" t="s">
        <v>14489</v>
      </c>
      <c r="L967" s="36" t="s">
        <v>14490</v>
      </c>
      <c r="M967" s="36" t="s">
        <v>14491</v>
      </c>
      <c r="N967" s="36" t="s">
        <v>14492</v>
      </c>
      <c r="O967" s="36" t="s">
        <v>14493</v>
      </c>
      <c r="P967" s="36" t="s">
        <v>14480</v>
      </c>
    </row>
    <row r="968" spans="1:16">
      <c r="A968" s="132">
        <v>967</v>
      </c>
      <c r="B968" s="36" t="s">
        <v>14494</v>
      </c>
      <c r="C968" s="36" t="s">
        <v>14495</v>
      </c>
      <c r="D968" s="36" t="s">
        <v>14496</v>
      </c>
      <c r="E968" s="36" t="s">
        <v>14497</v>
      </c>
      <c r="F968" s="36" t="s">
        <v>14498</v>
      </c>
      <c r="G968" s="36" t="s">
        <v>14499</v>
      </c>
      <c r="H968" s="36" t="s">
        <v>14500</v>
      </c>
      <c r="I968" s="36" t="s">
        <v>14501</v>
      </c>
      <c r="J968" s="36" t="s">
        <v>14502</v>
      </c>
      <c r="K968" s="36" t="s">
        <v>14503</v>
      </c>
      <c r="L968" s="36" t="s">
        <v>14504</v>
      </c>
      <c r="M968" s="36" t="s">
        <v>14505</v>
      </c>
      <c r="N968" s="36" t="s">
        <v>14506</v>
      </c>
      <c r="O968" s="36" t="s">
        <v>14507</v>
      </c>
      <c r="P968" s="36" t="s">
        <v>14494</v>
      </c>
    </row>
    <row r="969" spans="1:16">
      <c r="A969" s="132">
        <v>968</v>
      </c>
      <c r="B969" s="36" t="s">
        <v>14508</v>
      </c>
      <c r="C969" s="36" t="s">
        <v>14509</v>
      </c>
      <c r="D969" s="36" t="s">
        <v>14510</v>
      </c>
      <c r="E969" s="36" t="s">
        <v>14511</v>
      </c>
      <c r="F969" s="36" t="s">
        <v>14512</v>
      </c>
      <c r="G969" s="36" t="s">
        <v>14513</v>
      </c>
      <c r="H969" s="36" t="s">
        <v>14514</v>
      </c>
      <c r="I969" s="36" t="s">
        <v>14515</v>
      </c>
      <c r="J969" s="36" t="s">
        <v>14516</v>
      </c>
      <c r="K969" s="36" t="s">
        <v>14517</v>
      </c>
      <c r="L969" s="36" t="s">
        <v>14518</v>
      </c>
      <c r="M969" s="36" t="s">
        <v>14519</v>
      </c>
      <c r="N969" s="36" t="s">
        <v>14520</v>
      </c>
      <c r="O969" s="36" t="s">
        <v>14521</v>
      </c>
      <c r="P969" s="36" t="s">
        <v>14508</v>
      </c>
    </row>
    <row r="970" spans="1:16">
      <c r="A970" s="132">
        <v>969</v>
      </c>
      <c r="B970" s="36" t="s">
        <v>14522</v>
      </c>
      <c r="C970" s="36" t="s">
        <v>14523</v>
      </c>
      <c r="D970" s="36" t="s">
        <v>14524</v>
      </c>
      <c r="E970" s="36" t="s">
        <v>14525</v>
      </c>
      <c r="F970" s="36" t="s">
        <v>14526</v>
      </c>
      <c r="G970" s="36" t="s">
        <v>14527</v>
      </c>
      <c r="H970" s="36" t="s">
        <v>14528</v>
      </c>
      <c r="I970" s="36" t="s">
        <v>14529</v>
      </c>
      <c r="J970" s="36" t="s">
        <v>14530</v>
      </c>
      <c r="K970" s="36" t="s">
        <v>14531</v>
      </c>
      <c r="L970" s="36" t="s">
        <v>14532</v>
      </c>
      <c r="M970" s="36" t="s">
        <v>14533</v>
      </c>
      <c r="N970" s="36" t="s">
        <v>14534</v>
      </c>
      <c r="O970" s="36" t="s">
        <v>14535</v>
      </c>
      <c r="P970" s="36" t="s">
        <v>14522</v>
      </c>
    </row>
    <row r="971" spans="1:16">
      <c r="A971" s="132">
        <v>970</v>
      </c>
      <c r="B971" s="36" t="s">
        <v>14536</v>
      </c>
      <c r="C971" s="36" t="s">
        <v>14537</v>
      </c>
      <c r="D971" s="36" t="s">
        <v>14538</v>
      </c>
      <c r="E971" s="36" t="s">
        <v>14539</v>
      </c>
      <c r="F971" s="36" t="s">
        <v>14540</v>
      </c>
      <c r="G971" s="36" t="s">
        <v>14541</v>
      </c>
      <c r="H971" s="36" t="s">
        <v>14542</v>
      </c>
      <c r="I971" s="36" t="s">
        <v>14543</v>
      </c>
      <c r="J971" s="36" t="s">
        <v>14544</v>
      </c>
      <c r="K971" s="36" t="s">
        <v>14545</v>
      </c>
      <c r="L971" s="36" t="s">
        <v>14546</v>
      </c>
      <c r="M971" s="36" t="s">
        <v>14547</v>
      </c>
      <c r="N971" s="36" t="s">
        <v>14548</v>
      </c>
      <c r="O971" s="36" t="s">
        <v>14549</v>
      </c>
      <c r="P971" s="36" t="s">
        <v>14536</v>
      </c>
    </row>
    <row r="972" spans="1:16">
      <c r="A972" s="132">
        <v>971</v>
      </c>
      <c r="B972" s="36" t="s">
        <v>14550</v>
      </c>
      <c r="C972" s="36" t="s">
        <v>14551</v>
      </c>
      <c r="D972" s="36" t="s">
        <v>14552</v>
      </c>
      <c r="E972" s="36" t="s">
        <v>14553</v>
      </c>
      <c r="F972" s="36" t="s">
        <v>14554</v>
      </c>
      <c r="G972" s="36" t="s">
        <v>14555</v>
      </c>
      <c r="H972" s="36" t="s">
        <v>14556</v>
      </c>
      <c r="I972" s="36" t="s">
        <v>14557</v>
      </c>
      <c r="J972" s="36" t="s">
        <v>14558</v>
      </c>
      <c r="K972" s="36" t="s">
        <v>14559</v>
      </c>
      <c r="L972" s="36" t="s">
        <v>14560</v>
      </c>
      <c r="M972" s="36" t="s">
        <v>14561</v>
      </c>
      <c r="N972" s="36" t="s">
        <v>14562</v>
      </c>
      <c r="O972" s="36" t="s">
        <v>14563</v>
      </c>
      <c r="P972" s="36" t="s">
        <v>14550</v>
      </c>
    </row>
    <row r="973" spans="1:16">
      <c r="A973" s="132">
        <v>972</v>
      </c>
      <c r="B973" s="36" t="s">
        <v>14564</v>
      </c>
      <c r="C973" s="36" t="s">
        <v>14565</v>
      </c>
      <c r="D973" s="36" t="s">
        <v>14566</v>
      </c>
      <c r="E973" s="36" t="s">
        <v>14567</v>
      </c>
      <c r="F973" s="36" t="s">
        <v>14568</v>
      </c>
      <c r="G973" s="36" t="s">
        <v>14569</v>
      </c>
      <c r="H973" s="36" t="s">
        <v>14570</v>
      </c>
      <c r="I973" s="36" t="s">
        <v>14571</v>
      </c>
      <c r="J973" s="36" t="s">
        <v>14572</v>
      </c>
      <c r="K973" s="36" t="s">
        <v>14573</v>
      </c>
      <c r="L973" s="36" t="s">
        <v>14574</v>
      </c>
      <c r="M973" s="36" t="s">
        <v>14575</v>
      </c>
      <c r="N973" s="36" t="s">
        <v>14576</v>
      </c>
      <c r="O973" s="36" t="s">
        <v>14577</v>
      </c>
      <c r="P973" s="36" t="s">
        <v>14564</v>
      </c>
    </row>
    <row r="974" spans="1:16">
      <c r="A974" s="132">
        <v>973</v>
      </c>
      <c r="B974" s="36" t="s">
        <v>14578</v>
      </c>
      <c r="C974" s="36" t="s">
        <v>14579</v>
      </c>
      <c r="D974" s="36" t="s">
        <v>14580</v>
      </c>
      <c r="E974" s="36" t="s">
        <v>14581</v>
      </c>
      <c r="F974" s="36" t="s">
        <v>14582</v>
      </c>
      <c r="G974" s="36" t="s">
        <v>14583</v>
      </c>
      <c r="H974" s="36" t="s">
        <v>14584</v>
      </c>
      <c r="I974" s="36" t="s">
        <v>14585</v>
      </c>
      <c r="J974" s="36" t="s">
        <v>14586</v>
      </c>
      <c r="K974" s="36" t="s">
        <v>14587</v>
      </c>
      <c r="L974" s="36" t="s">
        <v>14588</v>
      </c>
      <c r="M974" s="36" t="s">
        <v>14589</v>
      </c>
      <c r="N974" s="36" t="s">
        <v>14590</v>
      </c>
      <c r="O974" s="36" t="s">
        <v>14591</v>
      </c>
      <c r="P974" s="36" t="s">
        <v>14578</v>
      </c>
    </row>
    <row r="975" spans="1:16">
      <c r="A975" s="132">
        <v>974</v>
      </c>
      <c r="B975" s="36" t="s">
        <v>14592</v>
      </c>
      <c r="C975" s="36" t="s">
        <v>14593</v>
      </c>
      <c r="D975" s="36" t="s">
        <v>14594</v>
      </c>
      <c r="E975" s="36" t="s">
        <v>14595</v>
      </c>
      <c r="F975" s="36" t="s">
        <v>14596</v>
      </c>
      <c r="G975" s="36" t="s">
        <v>14597</v>
      </c>
      <c r="H975" s="36" t="s">
        <v>14598</v>
      </c>
      <c r="I975" s="36" t="s">
        <v>14599</v>
      </c>
      <c r="J975" s="36" t="s">
        <v>14600</v>
      </c>
      <c r="K975" s="36" t="s">
        <v>14601</v>
      </c>
      <c r="L975" s="36" t="s">
        <v>14602</v>
      </c>
      <c r="M975" s="36" t="s">
        <v>14603</v>
      </c>
      <c r="N975" s="36" t="s">
        <v>14604</v>
      </c>
      <c r="O975" s="36" t="s">
        <v>14605</v>
      </c>
      <c r="P975" s="36" t="s">
        <v>14592</v>
      </c>
    </row>
    <row r="976" spans="1:16">
      <c r="A976" s="132">
        <v>975</v>
      </c>
      <c r="B976" s="36" t="s">
        <v>14606</v>
      </c>
      <c r="C976" s="36" t="s">
        <v>14607</v>
      </c>
      <c r="D976" s="36" t="s">
        <v>14608</v>
      </c>
      <c r="E976" s="36" t="s">
        <v>14609</v>
      </c>
      <c r="F976" s="36" t="s">
        <v>14610</v>
      </c>
      <c r="G976" s="36" t="s">
        <v>14611</v>
      </c>
      <c r="H976" s="36" t="s">
        <v>14612</v>
      </c>
      <c r="I976" s="36" t="s">
        <v>14613</v>
      </c>
      <c r="J976" s="36" t="s">
        <v>14614</v>
      </c>
      <c r="K976" s="36" t="s">
        <v>14615</v>
      </c>
      <c r="L976" s="36" t="s">
        <v>14616</v>
      </c>
      <c r="M976" s="36" t="s">
        <v>14617</v>
      </c>
      <c r="N976" s="36" t="s">
        <v>14618</v>
      </c>
      <c r="O976" s="36" t="s">
        <v>14619</v>
      </c>
      <c r="P976" s="36" t="s">
        <v>14606</v>
      </c>
    </row>
    <row r="977" spans="1:16">
      <c r="A977" s="132">
        <v>976</v>
      </c>
      <c r="B977" s="36" t="s">
        <v>14620</v>
      </c>
      <c r="C977" s="36" t="s">
        <v>14621</v>
      </c>
      <c r="D977" s="36" t="s">
        <v>14622</v>
      </c>
      <c r="E977" s="36" t="s">
        <v>14623</v>
      </c>
      <c r="F977" s="36" t="s">
        <v>14624</v>
      </c>
      <c r="G977" s="36" t="s">
        <v>14625</v>
      </c>
      <c r="H977" s="36" t="s">
        <v>14626</v>
      </c>
      <c r="I977" s="36" t="s">
        <v>14627</v>
      </c>
      <c r="J977" s="36" t="s">
        <v>14628</v>
      </c>
      <c r="K977" s="36" t="s">
        <v>14629</v>
      </c>
      <c r="L977" s="36" t="s">
        <v>14630</v>
      </c>
      <c r="M977" s="36" t="s">
        <v>14631</v>
      </c>
      <c r="N977" s="36" t="s">
        <v>14632</v>
      </c>
      <c r="O977" s="36" t="s">
        <v>14633</v>
      </c>
      <c r="P977" s="36" t="s">
        <v>14620</v>
      </c>
    </row>
    <row r="978" spans="1:16">
      <c r="A978" s="132">
        <v>977</v>
      </c>
      <c r="B978" s="36" t="s">
        <v>14634</v>
      </c>
      <c r="C978" s="36" t="s">
        <v>14635</v>
      </c>
      <c r="D978" s="36" t="s">
        <v>14636</v>
      </c>
      <c r="E978" s="36" t="s">
        <v>14637</v>
      </c>
      <c r="F978" s="36" t="s">
        <v>14638</v>
      </c>
      <c r="G978" s="36" t="s">
        <v>14639</v>
      </c>
      <c r="H978" s="36" t="s">
        <v>14640</v>
      </c>
      <c r="I978" s="36" t="s">
        <v>14641</v>
      </c>
      <c r="J978" s="36" t="s">
        <v>14642</v>
      </c>
      <c r="K978" s="36" t="s">
        <v>14643</v>
      </c>
      <c r="L978" s="36" t="s">
        <v>14644</v>
      </c>
      <c r="M978" s="36" t="s">
        <v>14645</v>
      </c>
      <c r="N978" s="36" t="s">
        <v>14646</v>
      </c>
      <c r="O978" s="36" t="s">
        <v>14647</v>
      </c>
      <c r="P978" s="36" t="s">
        <v>14634</v>
      </c>
    </row>
    <row r="979" spans="1:16">
      <c r="A979" s="132">
        <v>978</v>
      </c>
      <c r="B979" s="36" t="s">
        <v>14648</v>
      </c>
      <c r="C979" s="36" t="s">
        <v>14649</v>
      </c>
      <c r="D979" s="36" t="s">
        <v>14650</v>
      </c>
      <c r="E979" s="36" t="s">
        <v>14651</v>
      </c>
      <c r="F979" s="36" t="s">
        <v>14652</v>
      </c>
      <c r="G979" s="36" t="s">
        <v>14653</v>
      </c>
      <c r="H979" s="36" t="s">
        <v>14654</v>
      </c>
      <c r="I979" s="36" t="s">
        <v>14655</v>
      </c>
      <c r="J979" s="36" t="s">
        <v>14656</v>
      </c>
      <c r="K979" s="36" t="s">
        <v>14657</v>
      </c>
      <c r="L979" s="36" t="s">
        <v>14658</v>
      </c>
      <c r="M979" s="36" t="s">
        <v>14659</v>
      </c>
      <c r="N979" s="36" t="s">
        <v>14660</v>
      </c>
      <c r="O979" s="36" t="s">
        <v>14661</v>
      </c>
      <c r="P979" s="36" t="s">
        <v>14648</v>
      </c>
    </row>
    <row r="980" spans="1:16">
      <c r="A980" s="132">
        <v>979</v>
      </c>
      <c r="B980" s="36" t="s">
        <v>14662</v>
      </c>
      <c r="C980" s="36" t="s">
        <v>14663</v>
      </c>
      <c r="D980" s="36" t="s">
        <v>14664</v>
      </c>
      <c r="E980" s="36" t="s">
        <v>14665</v>
      </c>
      <c r="F980" s="36" t="s">
        <v>14666</v>
      </c>
      <c r="G980" s="36" t="s">
        <v>14667</v>
      </c>
      <c r="H980" s="36" t="s">
        <v>14668</v>
      </c>
      <c r="I980" s="36" t="s">
        <v>14669</v>
      </c>
      <c r="J980" s="36" t="s">
        <v>14670</v>
      </c>
      <c r="K980" s="36" t="s">
        <v>14671</v>
      </c>
      <c r="L980" s="36" t="s">
        <v>14672</v>
      </c>
      <c r="M980" s="36" t="s">
        <v>14673</v>
      </c>
      <c r="N980" s="36" t="s">
        <v>14674</v>
      </c>
      <c r="O980" s="36" t="s">
        <v>14675</v>
      </c>
      <c r="P980" s="36" t="s">
        <v>14662</v>
      </c>
    </row>
    <row r="981" spans="1:16">
      <c r="A981" s="132">
        <v>980</v>
      </c>
      <c r="B981" s="36" t="s">
        <v>14676</v>
      </c>
      <c r="C981" s="36" t="s">
        <v>14677</v>
      </c>
      <c r="D981" s="36" t="s">
        <v>14678</v>
      </c>
      <c r="E981" s="36" t="s">
        <v>14679</v>
      </c>
      <c r="F981" s="36" t="s">
        <v>14680</v>
      </c>
      <c r="G981" s="36" t="s">
        <v>14681</v>
      </c>
      <c r="H981" s="36" t="s">
        <v>14682</v>
      </c>
      <c r="I981" s="36" t="s">
        <v>14683</v>
      </c>
      <c r="J981" s="36" t="s">
        <v>14684</v>
      </c>
      <c r="K981" s="36" t="s">
        <v>14685</v>
      </c>
      <c r="L981" s="36" t="s">
        <v>14686</v>
      </c>
      <c r="M981" s="36" t="s">
        <v>14687</v>
      </c>
      <c r="N981" s="36" t="s">
        <v>14688</v>
      </c>
      <c r="O981" s="36" t="s">
        <v>14689</v>
      </c>
      <c r="P981" s="36" t="s">
        <v>14676</v>
      </c>
    </row>
    <row r="982" spans="1:16">
      <c r="A982" s="132">
        <v>981</v>
      </c>
      <c r="B982" s="36" t="s">
        <v>14690</v>
      </c>
      <c r="C982" s="36" t="s">
        <v>14691</v>
      </c>
      <c r="D982" s="36" t="s">
        <v>14692</v>
      </c>
      <c r="E982" s="36" t="s">
        <v>14693</v>
      </c>
      <c r="F982" s="36" t="s">
        <v>14694</v>
      </c>
      <c r="G982" s="36" t="s">
        <v>14695</v>
      </c>
      <c r="H982" s="36" t="s">
        <v>14696</v>
      </c>
      <c r="I982" s="36" t="s">
        <v>14697</v>
      </c>
      <c r="J982" s="36" t="s">
        <v>14698</v>
      </c>
      <c r="K982" s="36" t="s">
        <v>14699</v>
      </c>
      <c r="L982" s="36" t="s">
        <v>14700</v>
      </c>
      <c r="M982" s="36" t="s">
        <v>14701</v>
      </c>
      <c r="N982" s="36" t="s">
        <v>14702</v>
      </c>
      <c r="O982" s="36" t="s">
        <v>14703</v>
      </c>
      <c r="P982" s="36" t="s">
        <v>14690</v>
      </c>
    </row>
    <row r="983" spans="1:16">
      <c r="A983" s="132">
        <v>982</v>
      </c>
      <c r="B983" s="36" t="s">
        <v>14480</v>
      </c>
      <c r="C983" s="36" t="s">
        <v>14704</v>
      </c>
      <c r="D983" s="36" t="s">
        <v>14482</v>
      </c>
      <c r="E983" s="36" t="s">
        <v>14483</v>
      </c>
      <c r="F983" s="36" t="s">
        <v>14484</v>
      </c>
      <c r="G983" s="36" t="s">
        <v>14485</v>
      </c>
      <c r="H983" s="36" t="s">
        <v>14486</v>
      </c>
      <c r="I983" s="36" t="s">
        <v>14487</v>
      </c>
      <c r="J983" s="36" t="s">
        <v>14488</v>
      </c>
      <c r="K983" s="36" t="s">
        <v>14489</v>
      </c>
      <c r="L983" s="36" t="s">
        <v>14490</v>
      </c>
      <c r="M983" s="36" t="s">
        <v>14491</v>
      </c>
      <c r="N983" s="36" t="s">
        <v>14492</v>
      </c>
      <c r="O983" s="36" t="s">
        <v>14493</v>
      </c>
      <c r="P983" s="36" t="s">
        <v>14480</v>
      </c>
    </row>
    <row r="984" spans="1:16">
      <c r="A984" s="132">
        <v>983</v>
      </c>
      <c r="B984" s="36" t="s">
        <v>14705</v>
      </c>
      <c r="C984" s="36" t="s">
        <v>14706</v>
      </c>
      <c r="D984" s="36" t="s">
        <v>14707</v>
      </c>
      <c r="E984" s="36" t="s">
        <v>14708</v>
      </c>
      <c r="F984" s="36" t="s">
        <v>14709</v>
      </c>
      <c r="G984" s="36" t="s">
        <v>14710</v>
      </c>
      <c r="H984" s="36" t="s">
        <v>14711</v>
      </c>
      <c r="I984" s="36" t="s">
        <v>14712</v>
      </c>
      <c r="J984" s="36" t="s">
        <v>14713</v>
      </c>
      <c r="K984" s="36" t="s">
        <v>14714</v>
      </c>
      <c r="L984" s="36" t="s">
        <v>14715</v>
      </c>
      <c r="M984" s="36" t="s">
        <v>14716</v>
      </c>
      <c r="N984" s="36" t="s">
        <v>14717</v>
      </c>
      <c r="O984" s="36" t="s">
        <v>14718</v>
      </c>
      <c r="P984" s="36" t="s">
        <v>14705</v>
      </c>
    </row>
    <row r="985" spans="1:16">
      <c r="A985" s="132">
        <v>984</v>
      </c>
      <c r="B985" s="36" t="s">
        <v>14719</v>
      </c>
      <c r="C985" s="36" t="s">
        <v>14720</v>
      </c>
      <c r="D985" s="36" t="s">
        <v>14721</v>
      </c>
      <c r="E985" s="36" t="s">
        <v>14722</v>
      </c>
      <c r="F985" s="36" t="s">
        <v>14723</v>
      </c>
      <c r="G985" s="36" t="s">
        <v>14724</v>
      </c>
      <c r="H985" s="36" t="s">
        <v>14725</v>
      </c>
      <c r="I985" s="36" t="s">
        <v>14726</v>
      </c>
      <c r="J985" s="36" t="s">
        <v>14727</v>
      </c>
      <c r="K985" s="36" t="s">
        <v>14728</v>
      </c>
      <c r="L985" s="36" t="s">
        <v>14729</v>
      </c>
      <c r="M985" s="36" t="s">
        <v>14730</v>
      </c>
      <c r="N985" s="36" t="s">
        <v>14731</v>
      </c>
      <c r="O985" s="36" t="s">
        <v>14732</v>
      </c>
      <c r="P985" s="36" t="s">
        <v>14719</v>
      </c>
    </row>
    <row r="986" spans="1:16">
      <c r="A986" s="132">
        <v>985</v>
      </c>
      <c r="B986" s="36" t="s">
        <v>14733</v>
      </c>
      <c r="C986" s="36" t="s">
        <v>14734</v>
      </c>
      <c r="D986" s="36" t="s">
        <v>14735</v>
      </c>
      <c r="E986" s="36" t="s">
        <v>14736</v>
      </c>
      <c r="F986" s="36" t="s">
        <v>14737</v>
      </c>
      <c r="G986" s="36" t="s">
        <v>14738</v>
      </c>
      <c r="H986" s="36" t="s">
        <v>14739</v>
      </c>
      <c r="I986" s="36" t="s">
        <v>14740</v>
      </c>
      <c r="J986" s="36" t="s">
        <v>14741</v>
      </c>
      <c r="K986" s="36" t="s">
        <v>14742</v>
      </c>
      <c r="L986" s="36" t="s">
        <v>14743</v>
      </c>
      <c r="M986" s="36" t="s">
        <v>14744</v>
      </c>
      <c r="N986" s="36" t="s">
        <v>14745</v>
      </c>
      <c r="O986" s="36" t="s">
        <v>14746</v>
      </c>
      <c r="P986" s="36" t="s">
        <v>14733</v>
      </c>
    </row>
    <row r="987" spans="1:16">
      <c r="A987" s="132">
        <v>986</v>
      </c>
      <c r="B987" s="36" t="s">
        <v>14747</v>
      </c>
      <c r="C987" s="36" t="s">
        <v>14748</v>
      </c>
      <c r="D987" s="36" t="s">
        <v>14749</v>
      </c>
      <c r="E987" s="36" t="s">
        <v>14750</v>
      </c>
      <c r="F987" s="36" t="s">
        <v>14751</v>
      </c>
      <c r="G987" s="36" t="s">
        <v>14752</v>
      </c>
      <c r="H987" s="36" t="s">
        <v>14753</v>
      </c>
      <c r="I987" s="36" t="s">
        <v>14754</v>
      </c>
      <c r="J987" s="36" t="s">
        <v>14755</v>
      </c>
      <c r="K987" s="36" t="s">
        <v>14742</v>
      </c>
      <c r="L987" s="36" t="s">
        <v>14756</v>
      </c>
      <c r="M987" s="36" t="s">
        <v>14757</v>
      </c>
      <c r="N987" s="36" t="s">
        <v>14758</v>
      </c>
      <c r="O987" s="36" t="s">
        <v>14759</v>
      </c>
      <c r="P987" s="36" t="s">
        <v>14747</v>
      </c>
    </row>
    <row r="988" spans="1:16">
      <c r="A988" s="132">
        <v>987</v>
      </c>
      <c r="B988" s="36" t="s">
        <v>14760</v>
      </c>
      <c r="C988" s="36" t="s">
        <v>14761</v>
      </c>
      <c r="D988" s="36" t="s">
        <v>14762</v>
      </c>
      <c r="E988" s="36" t="s">
        <v>14763</v>
      </c>
      <c r="F988" s="36" t="s">
        <v>14764</v>
      </c>
      <c r="G988" s="36" t="s">
        <v>14765</v>
      </c>
      <c r="H988" s="36" t="s">
        <v>14766</v>
      </c>
      <c r="I988" s="36" t="s">
        <v>14767</v>
      </c>
      <c r="J988" s="36" t="s">
        <v>14768</v>
      </c>
      <c r="K988" s="36" t="s">
        <v>14769</v>
      </c>
      <c r="L988" s="36" t="s">
        <v>14770</v>
      </c>
      <c r="M988" s="36" t="s">
        <v>14771</v>
      </c>
      <c r="N988" s="36" t="s">
        <v>14772</v>
      </c>
      <c r="O988" s="36" t="s">
        <v>14773</v>
      </c>
      <c r="P988" s="36" t="s">
        <v>14760</v>
      </c>
    </row>
    <row r="989" spans="1:16">
      <c r="A989" s="132">
        <v>988</v>
      </c>
      <c r="B989" s="36" t="s">
        <v>14774</v>
      </c>
      <c r="C989" s="36" t="s">
        <v>14775</v>
      </c>
      <c r="D989" s="36" t="s">
        <v>14776</v>
      </c>
      <c r="E989" s="36" t="s">
        <v>14777</v>
      </c>
      <c r="F989" s="36" t="s">
        <v>5657</v>
      </c>
      <c r="G989" s="36" t="s">
        <v>14778</v>
      </c>
      <c r="H989" s="36" t="s">
        <v>14779</v>
      </c>
      <c r="I989" s="36" t="s">
        <v>14780</v>
      </c>
      <c r="J989" s="36" t="s">
        <v>14781</v>
      </c>
      <c r="K989" s="36" t="s">
        <v>14782</v>
      </c>
      <c r="L989" s="36" t="s">
        <v>14783</v>
      </c>
      <c r="M989" s="36" t="s">
        <v>14784</v>
      </c>
      <c r="N989" s="36" t="s">
        <v>14785</v>
      </c>
      <c r="O989" s="36" t="s">
        <v>14786</v>
      </c>
      <c r="P989" s="36" t="s">
        <v>14774</v>
      </c>
    </row>
    <row r="990" spans="1:16">
      <c r="A990" s="132">
        <v>989</v>
      </c>
      <c r="B990" s="36" t="s">
        <v>14787</v>
      </c>
      <c r="C990" s="36" t="s">
        <v>14788</v>
      </c>
      <c r="D990" s="36" t="s">
        <v>14789</v>
      </c>
      <c r="E990" s="36" t="s">
        <v>14790</v>
      </c>
      <c r="F990" s="36" t="s">
        <v>13987</v>
      </c>
      <c r="G990" s="36" t="s">
        <v>14791</v>
      </c>
      <c r="H990" s="36" t="s">
        <v>14792</v>
      </c>
      <c r="I990" s="36" t="s">
        <v>14793</v>
      </c>
      <c r="J990" s="36" t="s">
        <v>14794</v>
      </c>
      <c r="K990" s="36" t="s">
        <v>14795</v>
      </c>
      <c r="L990" s="36" t="s">
        <v>14796</v>
      </c>
      <c r="M990" s="36" t="s">
        <v>14797</v>
      </c>
      <c r="N990" s="36" t="s">
        <v>14798</v>
      </c>
      <c r="O990" s="36" t="s">
        <v>14799</v>
      </c>
      <c r="P990" s="36" t="s">
        <v>14787</v>
      </c>
    </row>
    <row r="991" spans="1:16">
      <c r="A991" s="132">
        <v>990</v>
      </c>
      <c r="B991" s="36" t="s">
        <v>14800</v>
      </c>
      <c r="C991" s="36" t="s">
        <v>14801</v>
      </c>
      <c r="D991" s="36" t="s">
        <v>14802</v>
      </c>
      <c r="E991" s="36" t="s">
        <v>14803</v>
      </c>
      <c r="F991" s="36" t="s">
        <v>14804</v>
      </c>
      <c r="G991" s="36" t="s">
        <v>14805</v>
      </c>
      <c r="H991" s="36" t="s">
        <v>14806</v>
      </c>
      <c r="I991" s="36" t="s">
        <v>14807</v>
      </c>
      <c r="J991" s="36" t="s">
        <v>14808</v>
      </c>
      <c r="K991" s="36" t="s">
        <v>14809</v>
      </c>
      <c r="L991" s="36" t="s">
        <v>14810</v>
      </c>
      <c r="M991" s="36" t="s">
        <v>14811</v>
      </c>
      <c r="N991" s="36" t="s">
        <v>14812</v>
      </c>
      <c r="O991" s="36" t="s">
        <v>14813</v>
      </c>
      <c r="P991" s="36" t="s">
        <v>14800</v>
      </c>
    </row>
    <row r="992" spans="1:16">
      <c r="A992" s="132">
        <v>991</v>
      </c>
      <c r="B992" s="36" t="s">
        <v>14814</v>
      </c>
      <c r="C992" s="36" t="s">
        <v>14815</v>
      </c>
      <c r="D992" s="36" t="s">
        <v>7820</v>
      </c>
      <c r="E992" s="36" t="s">
        <v>14816</v>
      </c>
      <c r="F992" s="36" t="s">
        <v>14817</v>
      </c>
      <c r="G992" s="36" t="s">
        <v>13394</v>
      </c>
      <c r="H992" s="36" t="s">
        <v>14818</v>
      </c>
      <c r="I992" s="36" t="s">
        <v>14819</v>
      </c>
      <c r="J992" s="36" t="s">
        <v>14820</v>
      </c>
      <c r="K992" s="36" t="s">
        <v>14821</v>
      </c>
      <c r="L992" s="36" t="s">
        <v>14822</v>
      </c>
      <c r="M992" s="36" t="s">
        <v>14823</v>
      </c>
      <c r="N992" s="36" t="s">
        <v>14824</v>
      </c>
      <c r="O992" s="36" t="s">
        <v>14825</v>
      </c>
      <c r="P992" s="36" t="s">
        <v>14814</v>
      </c>
    </row>
    <row r="993" spans="1:16">
      <c r="A993" s="132">
        <v>992</v>
      </c>
      <c r="B993" s="36" t="s">
        <v>30</v>
      </c>
      <c r="C993" s="36" t="s">
        <v>14826</v>
      </c>
      <c r="D993" s="36" t="s">
        <v>14827</v>
      </c>
      <c r="E993" s="36" t="s">
        <v>14828</v>
      </c>
      <c r="F993" s="36" t="s">
        <v>14829</v>
      </c>
      <c r="G993" s="36" t="s">
        <v>14826</v>
      </c>
      <c r="H993" s="36" t="s">
        <v>14830</v>
      </c>
      <c r="I993" s="36" t="s">
        <v>14831</v>
      </c>
      <c r="J993" s="36" t="s">
        <v>14832</v>
      </c>
      <c r="K993" s="36" t="s">
        <v>14833</v>
      </c>
      <c r="L993" s="36" t="s">
        <v>14834</v>
      </c>
      <c r="M993" s="36" t="s">
        <v>14835</v>
      </c>
      <c r="N993" s="36" t="s">
        <v>14836</v>
      </c>
      <c r="O993" s="36" t="s">
        <v>14837</v>
      </c>
      <c r="P993" s="36" t="s">
        <v>30</v>
      </c>
    </row>
    <row r="994" spans="1:16">
      <c r="A994" s="132">
        <v>993</v>
      </c>
      <c r="B994" s="36" t="s">
        <v>14838</v>
      </c>
      <c r="C994" s="36" t="s">
        <v>14838</v>
      </c>
      <c r="D994" s="36" t="s">
        <v>14838</v>
      </c>
      <c r="E994" s="36" t="s">
        <v>14838</v>
      </c>
      <c r="F994" s="36" t="s">
        <v>14838</v>
      </c>
      <c r="G994" s="36" t="s">
        <v>14838</v>
      </c>
      <c r="H994" s="36" t="s">
        <v>14838</v>
      </c>
      <c r="I994" s="36" t="s">
        <v>14838</v>
      </c>
      <c r="J994" s="36" t="s">
        <v>14838</v>
      </c>
      <c r="K994" s="36" t="s">
        <v>14838</v>
      </c>
      <c r="L994" s="36" t="s">
        <v>14838</v>
      </c>
      <c r="M994" s="36" t="s">
        <v>14838</v>
      </c>
      <c r="N994" s="36" t="s">
        <v>14838</v>
      </c>
      <c r="O994" s="36" t="s">
        <v>14838</v>
      </c>
      <c r="P994" s="36" t="s">
        <v>14838</v>
      </c>
    </row>
    <row r="995" spans="1:16">
      <c r="A995" s="132">
        <v>994</v>
      </c>
      <c r="B995" s="36" t="s">
        <v>14839</v>
      </c>
      <c r="C995" s="36" t="s">
        <v>14839</v>
      </c>
      <c r="D995" s="36" t="s">
        <v>14839</v>
      </c>
      <c r="E995" s="36" t="s">
        <v>14839</v>
      </c>
      <c r="F995" s="36" t="s">
        <v>14839</v>
      </c>
      <c r="G995" s="36" t="s">
        <v>14839</v>
      </c>
      <c r="H995" s="36" t="s">
        <v>14839</v>
      </c>
      <c r="I995" s="36" t="s">
        <v>14839</v>
      </c>
      <c r="J995" s="36" t="s">
        <v>14839</v>
      </c>
      <c r="K995" s="36" t="s">
        <v>14839</v>
      </c>
      <c r="L995" s="36" t="s">
        <v>14839</v>
      </c>
      <c r="M995" s="36" t="s">
        <v>14839</v>
      </c>
      <c r="N995" s="36" t="s">
        <v>14839</v>
      </c>
      <c r="O995" s="36" t="s">
        <v>14839</v>
      </c>
      <c r="P995" s="36" t="s">
        <v>14839</v>
      </c>
    </row>
    <row r="996" spans="1:16">
      <c r="A996" s="132">
        <v>995</v>
      </c>
      <c r="B996" s="36" t="s">
        <v>14840</v>
      </c>
      <c r="C996" s="36" t="s">
        <v>14840</v>
      </c>
      <c r="D996" s="36" t="s">
        <v>14840</v>
      </c>
      <c r="E996" s="36" t="s">
        <v>14840</v>
      </c>
      <c r="F996" s="36" t="s">
        <v>14840</v>
      </c>
      <c r="G996" s="36" t="s">
        <v>14840</v>
      </c>
      <c r="H996" s="36" t="s">
        <v>14840</v>
      </c>
      <c r="I996" s="36" t="s">
        <v>14840</v>
      </c>
      <c r="J996" s="36" t="s">
        <v>14840</v>
      </c>
      <c r="K996" s="36" t="s">
        <v>14840</v>
      </c>
      <c r="L996" s="36" t="s">
        <v>14840</v>
      </c>
      <c r="M996" s="36" t="s">
        <v>14840</v>
      </c>
      <c r="N996" s="36" t="s">
        <v>14840</v>
      </c>
      <c r="O996" s="36" t="s">
        <v>14840</v>
      </c>
      <c r="P996" s="36" t="s">
        <v>14840</v>
      </c>
    </row>
    <row r="997" spans="1:16">
      <c r="A997" s="132">
        <v>996</v>
      </c>
      <c r="B997" s="36" t="s">
        <v>14841</v>
      </c>
      <c r="C997" s="36" t="s">
        <v>14841</v>
      </c>
      <c r="D997" s="36" t="s">
        <v>14841</v>
      </c>
      <c r="E997" s="36" t="s">
        <v>14841</v>
      </c>
      <c r="F997" s="36" t="s">
        <v>14841</v>
      </c>
      <c r="G997" s="36" t="s">
        <v>14841</v>
      </c>
      <c r="H997" s="36" t="s">
        <v>14841</v>
      </c>
      <c r="I997" s="36" t="s">
        <v>14841</v>
      </c>
      <c r="J997" s="36" t="s">
        <v>14841</v>
      </c>
      <c r="K997" s="36" t="s">
        <v>14841</v>
      </c>
      <c r="L997" s="36" t="s">
        <v>14841</v>
      </c>
      <c r="M997" s="36" t="s">
        <v>14841</v>
      </c>
      <c r="N997" s="36" t="s">
        <v>14841</v>
      </c>
      <c r="O997" s="36" t="s">
        <v>14841</v>
      </c>
      <c r="P997" s="36" t="s">
        <v>14841</v>
      </c>
    </row>
    <row r="998" spans="1:16">
      <c r="A998" s="132">
        <v>997</v>
      </c>
      <c r="B998" s="36" t="s">
        <v>14842</v>
      </c>
      <c r="C998" s="36" t="s">
        <v>14843</v>
      </c>
      <c r="D998" s="36" t="s">
        <v>14844</v>
      </c>
      <c r="E998" s="36" t="s">
        <v>14845</v>
      </c>
      <c r="F998" s="36" t="s">
        <v>14846</v>
      </c>
      <c r="G998" s="36" t="s">
        <v>14847</v>
      </c>
      <c r="H998" s="36" t="s">
        <v>14848</v>
      </c>
      <c r="I998" s="36" t="s">
        <v>14849</v>
      </c>
      <c r="J998" s="36" t="s">
        <v>14850</v>
      </c>
      <c r="K998" s="36" t="s">
        <v>14851</v>
      </c>
      <c r="L998" s="36" t="s">
        <v>13015</v>
      </c>
      <c r="M998" s="36" t="s">
        <v>14852</v>
      </c>
      <c r="N998" s="36" t="s">
        <v>14853</v>
      </c>
      <c r="O998" s="36" t="s">
        <v>14854</v>
      </c>
      <c r="P998" s="36" t="s">
        <v>14842</v>
      </c>
    </row>
    <row r="999" spans="1:16">
      <c r="A999" s="132">
        <v>998</v>
      </c>
      <c r="B999" s="36" t="s">
        <v>14855</v>
      </c>
      <c r="C999" s="36" t="s">
        <v>14856</v>
      </c>
      <c r="D999" s="36" t="s">
        <v>14857</v>
      </c>
      <c r="E999" s="36" t="s">
        <v>14858</v>
      </c>
      <c r="F999" s="36" t="s">
        <v>14859</v>
      </c>
      <c r="G999" s="36" t="s">
        <v>14860</v>
      </c>
      <c r="H999" s="36" t="s">
        <v>14861</v>
      </c>
      <c r="I999" s="36" t="s">
        <v>14862</v>
      </c>
      <c r="J999" s="36" t="s">
        <v>14863</v>
      </c>
      <c r="K999" s="36" t="s">
        <v>14864</v>
      </c>
      <c r="L999" s="36" t="s">
        <v>14865</v>
      </c>
      <c r="M999" s="36" t="s">
        <v>14866</v>
      </c>
      <c r="N999" s="36" t="s">
        <v>14867</v>
      </c>
      <c r="O999" s="36" t="s">
        <v>14868</v>
      </c>
      <c r="P999" s="36" t="s">
        <v>14855</v>
      </c>
    </row>
    <row r="1000" spans="1:16">
      <c r="A1000" s="132">
        <v>999</v>
      </c>
      <c r="B1000" s="36" t="s">
        <v>14869</v>
      </c>
      <c r="C1000" s="36" t="s">
        <v>14870</v>
      </c>
      <c r="D1000" s="36" t="s">
        <v>14844</v>
      </c>
      <c r="E1000" s="36" t="s">
        <v>14871</v>
      </c>
      <c r="F1000" s="36" t="s">
        <v>14846</v>
      </c>
      <c r="G1000" s="36" t="s">
        <v>14872</v>
      </c>
      <c r="H1000" s="36" t="s">
        <v>14873</v>
      </c>
      <c r="I1000" s="36" t="s">
        <v>14874</v>
      </c>
      <c r="J1000" s="36" t="s">
        <v>14875</v>
      </c>
      <c r="K1000" s="36" t="s">
        <v>14876</v>
      </c>
      <c r="L1000" s="36" t="s">
        <v>14877</v>
      </c>
      <c r="M1000" s="36" t="s">
        <v>14878</v>
      </c>
      <c r="N1000" s="36" t="s">
        <v>14879</v>
      </c>
      <c r="O1000" s="36" t="s">
        <v>14880</v>
      </c>
      <c r="P1000" s="36" t="s">
        <v>14869</v>
      </c>
    </row>
    <row r="1001" spans="1:16">
      <c r="A1001" s="132">
        <v>1000</v>
      </c>
      <c r="B1001" s="36" t="s">
        <v>14881</v>
      </c>
      <c r="C1001" s="36" t="s">
        <v>14882</v>
      </c>
      <c r="D1001" s="36" t="s">
        <v>14844</v>
      </c>
      <c r="E1001" s="36" t="s">
        <v>14883</v>
      </c>
      <c r="F1001" s="36" t="s">
        <v>14846</v>
      </c>
      <c r="G1001" s="36" t="s">
        <v>14884</v>
      </c>
      <c r="H1001" s="36" t="s">
        <v>14885</v>
      </c>
      <c r="I1001" s="36" t="s">
        <v>14886</v>
      </c>
      <c r="J1001" s="36" t="s">
        <v>14887</v>
      </c>
      <c r="K1001" s="36" t="s">
        <v>14888</v>
      </c>
      <c r="L1001" s="36" t="s">
        <v>14889</v>
      </c>
      <c r="M1001" s="36" t="s">
        <v>14890</v>
      </c>
      <c r="N1001" s="36" t="s">
        <v>14891</v>
      </c>
      <c r="O1001" s="36" t="s">
        <v>14892</v>
      </c>
      <c r="P1001" s="36" t="s">
        <v>14881</v>
      </c>
    </row>
    <row r="1002" spans="1:16">
      <c r="A1002" s="132">
        <v>1001</v>
      </c>
      <c r="B1002" s="36" t="s">
        <v>14893</v>
      </c>
      <c r="C1002" s="36" t="s">
        <v>14894</v>
      </c>
      <c r="D1002" s="36" t="s">
        <v>14895</v>
      </c>
      <c r="E1002" s="36" t="s">
        <v>14896</v>
      </c>
      <c r="F1002" s="36" t="s">
        <v>14897</v>
      </c>
      <c r="G1002" s="36" t="s">
        <v>14898</v>
      </c>
      <c r="H1002" s="36" t="s">
        <v>14899</v>
      </c>
      <c r="I1002" s="36" t="s">
        <v>14900</v>
      </c>
      <c r="J1002" s="36" t="s">
        <v>14901</v>
      </c>
      <c r="K1002" s="36" t="s">
        <v>14902</v>
      </c>
      <c r="L1002" s="36" t="s">
        <v>14903</v>
      </c>
      <c r="M1002" s="36" t="s">
        <v>14904</v>
      </c>
      <c r="N1002" s="36" t="s">
        <v>14905</v>
      </c>
      <c r="O1002" s="36" t="s">
        <v>14906</v>
      </c>
      <c r="P1002" s="36" t="s">
        <v>14893</v>
      </c>
    </row>
    <row r="1003" spans="1:16">
      <c r="A1003" s="132">
        <v>1002</v>
      </c>
      <c r="B1003" s="36" t="s">
        <v>14907</v>
      </c>
      <c r="C1003" s="36" t="s">
        <v>14908</v>
      </c>
      <c r="D1003" s="36" t="s">
        <v>14909</v>
      </c>
      <c r="E1003" s="36" t="s">
        <v>14910</v>
      </c>
      <c r="F1003" s="36" t="s">
        <v>14911</v>
      </c>
      <c r="G1003" s="36" t="s">
        <v>14912</v>
      </c>
      <c r="H1003" s="36" t="s">
        <v>14913</v>
      </c>
      <c r="I1003" s="36" t="s">
        <v>14914</v>
      </c>
      <c r="J1003" s="36" t="s">
        <v>14915</v>
      </c>
      <c r="K1003" s="36" t="s">
        <v>14916</v>
      </c>
      <c r="L1003" s="36" t="s">
        <v>14917</v>
      </c>
      <c r="M1003" s="36" t="s">
        <v>14918</v>
      </c>
      <c r="N1003" s="36" t="s">
        <v>14919</v>
      </c>
      <c r="O1003" s="36" t="s">
        <v>14920</v>
      </c>
      <c r="P1003" s="36" t="s">
        <v>14907</v>
      </c>
    </row>
    <row r="1004" spans="1:16">
      <c r="A1004" s="132">
        <v>1003</v>
      </c>
      <c r="B1004" s="36" t="s">
        <v>14921</v>
      </c>
      <c r="C1004" s="36" t="s">
        <v>14922</v>
      </c>
      <c r="D1004" s="36" t="s">
        <v>14923</v>
      </c>
      <c r="E1004" s="36" t="s">
        <v>14924</v>
      </c>
      <c r="F1004" s="36" t="s">
        <v>14925</v>
      </c>
      <c r="G1004" s="36" t="s">
        <v>14926</v>
      </c>
      <c r="H1004" s="36" t="s">
        <v>14927</v>
      </c>
      <c r="I1004" s="36" t="s">
        <v>14928</v>
      </c>
      <c r="J1004" s="36" t="s">
        <v>14929</v>
      </c>
      <c r="K1004" s="36" t="s">
        <v>14930</v>
      </c>
      <c r="L1004" s="36" t="s">
        <v>14931</v>
      </c>
      <c r="M1004" s="36" t="s">
        <v>14932</v>
      </c>
      <c r="N1004" s="36" t="s">
        <v>14933</v>
      </c>
      <c r="O1004" s="36" t="s">
        <v>14934</v>
      </c>
      <c r="P1004" s="36" t="s">
        <v>14921</v>
      </c>
    </row>
    <row r="1005" spans="1:16">
      <c r="A1005" s="132">
        <v>1004</v>
      </c>
      <c r="B1005" s="36" t="s">
        <v>14935</v>
      </c>
      <c r="C1005" s="36" t="s">
        <v>14936</v>
      </c>
      <c r="D1005" s="36" t="s">
        <v>14937</v>
      </c>
      <c r="E1005" s="36" t="s">
        <v>14938</v>
      </c>
      <c r="F1005" s="36" t="s">
        <v>14939</v>
      </c>
      <c r="G1005" s="36" t="s">
        <v>14940</v>
      </c>
      <c r="H1005" s="36" t="s">
        <v>14941</v>
      </c>
      <c r="I1005" s="36" t="s">
        <v>14942</v>
      </c>
      <c r="J1005" s="36" t="s">
        <v>14943</v>
      </c>
      <c r="K1005" s="36" t="s">
        <v>14944</v>
      </c>
      <c r="L1005" s="36" t="s">
        <v>14945</v>
      </c>
      <c r="M1005" s="36" t="s">
        <v>14946</v>
      </c>
      <c r="N1005" s="36" t="s">
        <v>14947</v>
      </c>
      <c r="O1005" s="36" t="s">
        <v>14948</v>
      </c>
      <c r="P1005" s="36" t="s">
        <v>14935</v>
      </c>
    </row>
    <row r="1006" spans="1:16">
      <c r="A1006" s="132">
        <v>1005</v>
      </c>
      <c r="B1006" s="36" t="s">
        <v>14949</v>
      </c>
      <c r="C1006" s="36" t="s">
        <v>14950</v>
      </c>
      <c r="D1006" s="36" t="s">
        <v>14951</v>
      </c>
      <c r="E1006" s="36" t="s">
        <v>14952</v>
      </c>
      <c r="F1006" s="36" t="s">
        <v>14953</v>
      </c>
      <c r="G1006" s="36" t="s">
        <v>14954</v>
      </c>
      <c r="H1006" s="36" t="s">
        <v>14955</v>
      </c>
      <c r="I1006" s="36" t="s">
        <v>14956</v>
      </c>
      <c r="J1006" s="36" t="s">
        <v>14957</v>
      </c>
      <c r="K1006" s="36" t="s">
        <v>14958</v>
      </c>
      <c r="L1006" s="36" t="s">
        <v>14959</v>
      </c>
      <c r="M1006" s="36" t="s">
        <v>14960</v>
      </c>
      <c r="N1006" s="36" t="s">
        <v>14961</v>
      </c>
      <c r="O1006" s="36" t="s">
        <v>14962</v>
      </c>
      <c r="P1006" s="36" t="s">
        <v>14949</v>
      </c>
    </row>
    <row r="1007" spans="1:16">
      <c r="A1007" s="132">
        <v>1006</v>
      </c>
      <c r="B1007" s="36" t="s">
        <v>14963</v>
      </c>
      <c r="C1007" s="36" t="s">
        <v>14964</v>
      </c>
      <c r="D1007" s="36" t="s">
        <v>14965</v>
      </c>
      <c r="E1007" s="36" t="s">
        <v>14966</v>
      </c>
      <c r="F1007" s="36" t="s">
        <v>14967</v>
      </c>
      <c r="G1007" s="36" t="s">
        <v>14968</v>
      </c>
      <c r="H1007" s="36" t="s">
        <v>14969</v>
      </c>
      <c r="I1007" s="36" t="s">
        <v>14970</v>
      </c>
      <c r="J1007" s="36" t="s">
        <v>14971</v>
      </c>
      <c r="K1007" s="36" t="s">
        <v>14972</v>
      </c>
      <c r="L1007" s="36" t="s">
        <v>14973</v>
      </c>
      <c r="M1007" s="36" t="s">
        <v>14974</v>
      </c>
      <c r="N1007" s="36" t="s">
        <v>14975</v>
      </c>
      <c r="O1007" s="36" t="s">
        <v>14976</v>
      </c>
      <c r="P1007" s="36" t="s">
        <v>14963</v>
      </c>
    </row>
    <row r="1008" spans="1:16">
      <c r="A1008" s="132">
        <v>1007</v>
      </c>
      <c r="B1008" s="36" t="s">
        <v>14977</v>
      </c>
      <c r="C1008" s="36" t="s">
        <v>14978</v>
      </c>
      <c r="D1008" s="36" t="s">
        <v>14979</v>
      </c>
      <c r="E1008" s="36" t="s">
        <v>14980</v>
      </c>
      <c r="F1008" s="36" t="s">
        <v>14981</v>
      </c>
      <c r="G1008" s="36" t="s">
        <v>14982</v>
      </c>
      <c r="H1008" s="36" t="s">
        <v>14983</v>
      </c>
      <c r="I1008" s="36" t="s">
        <v>14984</v>
      </c>
      <c r="J1008" s="36" t="s">
        <v>14985</v>
      </c>
      <c r="K1008" s="36" t="s">
        <v>14986</v>
      </c>
      <c r="L1008" s="36" t="s">
        <v>14987</v>
      </c>
      <c r="M1008" s="36" t="s">
        <v>14988</v>
      </c>
      <c r="N1008" s="36" t="s">
        <v>14989</v>
      </c>
      <c r="O1008" s="36" t="s">
        <v>14990</v>
      </c>
      <c r="P1008" s="36" t="s">
        <v>14977</v>
      </c>
    </row>
    <row r="1009" spans="1:16">
      <c r="A1009" s="132">
        <v>1008</v>
      </c>
      <c r="B1009" s="36" t="s">
        <v>14991</v>
      </c>
      <c r="C1009" s="36" t="s">
        <v>14992</v>
      </c>
      <c r="D1009" s="36" t="s">
        <v>14993</v>
      </c>
      <c r="E1009" s="36" t="s">
        <v>14994</v>
      </c>
      <c r="F1009" s="36" t="s">
        <v>14995</v>
      </c>
      <c r="G1009" s="36" t="s">
        <v>14996</v>
      </c>
      <c r="H1009" s="36" t="s">
        <v>14997</v>
      </c>
      <c r="I1009" s="36" t="s">
        <v>14998</v>
      </c>
      <c r="J1009" s="36" t="s">
        <v>14999</v>
      </c>
      <c r="K1009" s="36" t="s">
        <v>15000</v>
      </c>
      <c r="L1009" s="36" t="s">
        <v>15001</v>
      </c>
      <c r="M1009" s="36" t="s">
        <v>15002</v>
      </c>
      <c r="N1009" s="36" t="s">
        <v>15003</v>
      </c>
      <c r="O1009" s="36" t="s">
        <v>15004</v>
      </c>
      <c r="P1009" s="36" t="s">
        <v>14991</v>
      </c>
    </row>
    <row r="1010" spans="1:16">
      <c r="A1010" s="132">
        <v>1009</v>
      </c>
      <c r="B1010" s="36" t="s">
        <v>15005</v>
      </c>
      <c r="C1010" s="36" t="s">
        <v>15006</v>
      </c>
      <c r="D1010" s="36" t="s">
        <v>15007</v>
      </c>
      <c r="E1010" s="36" t="s">
        <v>15008</v>
      </c>
      <c r="F1010" s="36" t="s">
        <v>15009</v>
      </c>
      <c r="G1010" s="36" t="s">
        <v>15010</v>
      </c>
      <c r="H1010" s="36" t="s">
        <v>15011</v>
      </c>
      <c r="I1010" s="36" t="s">
        <v>15012</v>
      </c>
      <c r="J1010" s="36" t="s">
        <v>15013</v>
      </c>
      <c r="K1010" s="36" t="s">
        <v>15014</v>
      </c>
      <c r="L1010" s="36" t="s">
        <v>15015</v>
      </c>
      <c r="M1010" s="36" t="s">
        <v>15016</v>
      </c>
      <c r="N1010" s="36" t="s">
        <v>15017</v>
      </c>
      <c r="O1010" s="36" t="s">
        <v>15018</v>
      </c>
      <c r="P1010" s="36" t="s">
        <v>15005</v>
      </c>
    </row>
    <row r="1011" spans="1:16">
      <c r="A1011" s="132">
        <v>1010</v>
      </c>
      <c r="B1011" s="36" t="s">
        <v>15019</v>
      </c>
      <c r="C1011" s="36" t="s">
        <v>15020</v>
      </c>
      <c r="D1011" s="36" t="s">
        <v>15021</v>
      </c>
      <c r="E1011" s="36" t="s">
        <v>15022</v>
      </c>
      <c r="F1011" s="36" t="s">
        <v>15023</v>
      </c>
      <c r="G1011" s="36" t="s">
        <v>15024</v>
      </c>
      <c r="H1011" s="36" t="s">
        <v>15025</v>
      </c>
      <c r="I1011" s="36" t="s">
        <v>15026</v>
      </c>
      <c r="J1011" s="36" t="s">
        <v>15027</v>
      </c>
      <c r="K1011" s="36" t="s">
        <v>15028</v>
      </c>
      <c r="L1011" s="36" t="s">
        <v>15029</v>
      </c>
      <c r="M1011" s="36" t="s">
        <v>15030</v>
      </c>
      <c r="N1011" s="36" t="s">
        <v>15031</v>
      </c>
      <c r="O1011" s="36" t="s">
        <v>15032</v>
      </c>
      <c r="P1011" s="36" t="s">
        <v>15019</v>
      </c>
    </row>
    <row r="1012" spans="1:16">
      <c r="A1012" s="132">
        <v>1011</v>
      </c>
      <c r="B1012" s="36" t="s">
        <v>15033</v>
      </c>
      <c r="C1012" s="36" t="s">
        <v>15034</v>
      </c>
      <c r="D1012" s="36" t="s">
        <v>15035</v>
      </c>
      <c r="E1012" s="36" t="s">
        <v>5471</v>
      </c>
      <c r="F1012" s="36" t="s">
        <v>15036</v>
      </c>
      <c r="G1012" s="36" t="s">
        <v>15037</v>
      </c>
      <c r="H1012" s="36" t="s">
        <v>15038</v>
      </c>
      <c r="I1012" s="36" t="s">
        <v>15039</v>
      </c>
      <c r="J1012" s="36" t="s">
        <v>15040</v>
      </c>
      <c r="K1012" s="36" t="s">
        <v>15041</v>
      </c>
      <c r="L1012" s="36" t="s">
        <v>15042</v>
      </c>
      <c r="M1012" s="36" t="s">
        <v>15043</v>
      </c>
      <c r="N1012" s="36" t="s">
        <v>15044</v>
      </c>
      <c r="O1012" s="36" t="s">
        <v>15045</v>
      </c>
      <c r="P1012" s="36" t="s">
        <v>15033</v>
      </c>
    </row>
    <row r="1013" spans="1:16">
      <c r="A1013" s="132">
        <v>1012</v>
      </c>
      <c r="B1013" s="36" t="s">
        <v>15046</v>
      </c>
      <c r="C1013" s="36" t="s">
        <v>15047</v>
      </c>
      <c r="D1013" s="36" t="s">
        <v>15048</v>
      </c>
      <c r="E1013" s="36" t="s">
        <v>15049</v>
      </c>
      <c r="F1013" s="36" t="s">
        <v>15050</v>
      </c>
      <c r="G1013" s="36" t="s">
        <v>15051</v>
      </c>
      <c r="H1013" s="36" t="s">
        <v>15052</v>
      </c>
      <c r="I1013" s="36" t="s">
        <v>15053</v>
      </c>
      <c r="J1013" s="36" t="s">
        <v>15054</v>
      </c>
      <c r="K1013" s="36" t="s">
        <v>15055</v>
      </c>
      <c r="L1013" s="36" t="s">
        <v>15056</v>
      </c>
      <c r="M1013" s="36" t="s">
        <v>15057</v>
      </c>
      <c r="N1013" s="36" t="s">
        <v>15058</v>
      </c>
      <c r="O1013" s="36" t="s">
        <v>15059</v>
      </c>
      <c r="P1013" s="36" t="s">
        <v>15046</v>
      </c>
    </row>
    <row r="1014" spans="1:16">
      <c r="A1014" s="132">
        <v>1013</v>
      </c>
      <c r="B1014" s="36" t="s">
        <v>15060</v>
      </c>
      <c r="C1014" s="36" t="s">
        <v>15061</v>
      </c>
      <c r="D1014" s="36" t="s">
        <v>15062</v>
      </c>
      <c r="E1014" s="36" t="s">
        <v>15063</v>
      </c>
      <c r="F1014" s="36" t="s">
        <v>15064</v>
      </c>
      <c r="G1014" s="36" t="s">
        <v>15065</v>
      </c>
      <c r="H1014" s="36" t="s">
        <v>15066</v>
      </c>
      <c r="I1014" s="36" t="s">
        <v>15067</v>
      </c>
      <c r="J1014" s="36" t="s">
        <v>15068</v>
      </c>
      <c r="K1014" s="36" t="s">
        <v>15069</v>
      </c>
      <c r="L1014" s="36" t="s">
        <v>15070</v>
      </c>
      <c r="M1014" s="36" t="s">
        <v>15071</v>
      </c>
      <c r="N1014" s="36" t="s">
        <v>15072</v>
      </c>
      <c r="O1014" s="36" t="s">
        <v>15073</v>
      </c>
      <c r="P1014" s="36" t="s">
        <v>15060</v>
      </c>
    </row>
    <row r="1015" spans="1:16">
      <c r="A1015" s="132">
        <v>1014</v>
      </c>
      <c r="B1015" s="36" t="s">
        <v>11661</v>
      </c>
      <c r="C1015" s="36" t="s">
        <v>11662</v>
      </c>
      <c r="D1015" s="36" t="s">
        <v>11663</v>
      </c>
      <c r="E1015" s="36" t="s">
        <v>15074</v>
      </c>
      <c r="F1015" s="36" t="s">
        <v>15075</v>
      </c>
      <c r="G1015" s="36" t="s">
        <v>15076</v>
      </c>
      <c r="H1015" s="36" t="s">
        <v>15077</v>
      </c>
      <c r="I1015" s="36" t="s">
        <v>15078</v>
      </c>
      <c r="J1015" s="36" t="s">
        <v>15079</v>
      </c>
      <c r="K1015" s="36" t="s">
        <v>15080</v>
      </c>
      <c r="L1015" s="36" t="s">
        <v>15081</v>
      </c>
      <c r="M1015" s="36" t="s">
        <v>15082</v>
      </c>
      <c r="N1015" s="36" t="s">
        <v>15083</v>
      </c>
      <c r="O1015" s="36" t="s">
        <v>11674</v>
      </c>
      <c r="P1015" s="36" t="s">
        <v>11661</v>
      </c>
    </row>
    <row r="1016" spans="1:16">
      <c r="A1016" s="132">
        <v>1015</v>
      </c>
      <c r="B1016" s="36" t="s">
        <v>15084</v>
      </c>
      <c r="C1016" s="36" t="s">
        <v>15085</v>
      </c>
      <c r="D1016" s="36" t="s">
        <v>15084</v>
      </c>
      <c r="E1016" s="36" t="s">
        <v>15086</v>
      </c>
      <c r="F1016" s="36" t="s">
        <v>15087</v>
      </c>
      <c r="G1016" s="36" t="s">
        <v>15088</v>
      </c>
      <c r="H1016" s="36" t="s">
        <v>15089</v>
      </c>
      <c r="I1016" s="36" t="s">
        <v>15090</v>
      </c>
      <c r="J1016" s="36" t="s">
        <v>15091</v>
      </c>
      <c r="K1016" s="36" t="s">
        <v>15092</v>
      </c>
      <c r="L1016" s="36" t="s">
        <v>15093</v>
      </c>
      <c r="M1016" s="36" t="s">
        <v>15094</v>
      </c>
      <c r="N1016" s="36" t="s">
        <v>15094</v>
      </c>
      <c r="O1016" s="36" t="s">
        <v>15092</v>
      </c>
      <c r="P1016" s="36" t="s">
        <v>15084</v>
      </c>
    </row>
    <row r="1017" spans="1:16">
      <c r="A1017" s="132">
        <v>1016</v>
      </c>
      <c r="B1017" s="36" t="s">
        <v>15095</v>
      </c>
      <c r="C1017" s="36" t="s">
        <v>15096</v>
      </c>
      <c r="D1017" s="36" t="s">
        <v>15095</v>
      </c>
      <c r="E1017" s="36" t="s">
        <v>15097</v>
      </c>
      <c r="F1017" s="36" t="s">
        <v>15098</v>
      </c>
      <c r="G1017" s="36" t="s">
        <v>15099</v>
      </c>
      <c r="H1017" s="36" t="s">
        <v>15100</v>
      </c>
      <c r="I1017" s="36" t="s">
        <v>15101</v>
      </c>
      <c r="J1017" s="36" t="s">
        <v>15102</v>
      </c>
      <c r="K1017" s="36" t="s">
        <v>15103</v>
      </c>
      <c r="L1017" s="36" t="s">
        <v>15104</v>
      </c>
      <c r="M1017" s="36" t="s">
        <v>15105</v>
      </c>
      <c r="N1017" s="36" t="s">
        <v>15105</v>
      </c>
      <c r="O1017" s="36" t="s">
        <v>15106</v>
      </c>
      <c r="P1017" s="36" t="s">
        <v>15095</v>
      </c>
    </row>
    <row r="1018" spans="1:16">
      <c r="A1018" s="132">
        <v>1017</v>
      </c>
      <c r="B1018" s="36" t="s">
        <v>15107</v>
      </c>
      <c r="C1018" s="36" t="s">
        <v>15108</v>
      </c>
      <c r="D1018" s="36" t="s">
        <v>15107</v>
      </c>
      <c r="E1018" s="36" t="s">
        <v>15109</v>
      </c>
      <c r="F1018" s="36" t="s">
        <v>15110</v>
      </c>
      <c r="G1018" s="36" t="s">
        <v>15111</v>
      </c>
      <c r="H1018" s="36" t="s">
        <v>15112</v>
      </c>
      <c r="I1018" s="36" t="s">
        <v>15113</v>
      </c>
      <c r="J1018" s="36" t="s">
        <v>15114</v>
      </c>
      <c r="K1018" s="36" t="s">
        <v>15115</v>
      </c>
      <c r="L1018" s="36" t="s">
        <v>15116</v>
      </c>
      <c r="M1018" s="36" t="s">
        <v>15117</v>
      </c>
      <c r="N1018" s="36" t="s">
        <v>15117</v>
      </c>
      <c r="O1018" s="36" t="s">
        <v>15118</v>
      </c>
      <c r="P1018" s="36" t="s">
        <v>15107</v>
      </c>
    </row>
    <row r="1019" spans="1:16">
      <c r="A1019" s="132">
        <v>1018</v>
      </c>
      <c r="B1019" s="36" t="s">
        <v>15119</v>
      </c>
      <c r="C1019" s="36" t="s">
        <v>15120</v>
      </c>
      <c r="D1019" s="36" t="s">
        <v>15121</v>
      </c>
      <c r="E1019" s="36" t="s">
        <v>13876</v>
      </c>
      <c r="F1019" s="36" t="s">
        <v>15122</v>
      </c>
      <c r="G1019" s="36" t="s">
        <v>15123</v>
      </c>
      <c r="H1019" s="36" t="s">
        <v>15124</v>
      </c>
      <c r="I1019" s="36" t="s">
        <v>15125</v>
      </c>
      <c r="J1019" s="36" t="s">
        <v>15126</v>
      </c>
      <c r="K1019" s="36" t="s">
        <v>15127</v>
      </c>
      <c r="L1019" s="36" t="s">
        <v>15128</v>
      </c>
      <c r="M1019" s="36" t="s">
        <v>15129</v>
      </c>
      <c r="N1019" s="36" t="s">
        <v>15130</v>
      </c>
      <c r="O1019" s="36" t="s">
        <v>15131</v>
      </c>
      <c r="P1019" s="36" t="s">
        <v>15119</v>
      </c>
    </row>
    <row r="1020" spans="1:16">
      <c r="A1020" s="132">
        <v>1019</v>
      </c>
      <c r="B1020" s="36" t="s">
        <v>15132</v>
      </c>
      <c r="C1020" s="36" t="s">
        <v>15133</v>
      </c>
      <c r="D1020" s="36" t="s">
        <v>15134</v>
      </c>
      <c r="E1020" s="36" t="s">
        <v>15135</v>
      </c>
      <c r="F1020" s="36" t="s">
        <v>15136</v>
      </c>
      <c r="G1020" s="36" t="s">
        <v>15137</v>
      </c>
      <c r="H1020" s="36" t="s">
        <v>15138</v>
      </c>
      <c r="I1020" s="36" t="s">
        <v>15139</v>
      </c>
      <c r="J1020" s="36" t="s">
        <v>15140</v>
      </c>
      <c r="K1020" s="36" t="s">
        <v>15141</v>
      </c>
      <c r="L1020" s="36" t="s">
        <v>15142</v>
      </c>
      <c r="M1020" s="36" t="s">
        <v>15143</v>
      </c>
      <c r="N1020" s="36" t="s">
        <v>15144</v>
      </c>
      <c r="O1020" s="36" t="s">
        <v>15145</v>
      </c>
      <c r="P1020" s="36" t="s">
        <v>15132</v>
      </c>
    </row>
    <row r="1021" spans="1:16">
      <c r="A1021" s="132">
        <v>1020</v>
      </c>
      <c r="B1021" s="36" t="s">
        <v>15146</v>
      </c>
      <c r="C1021" s="36" t="s">
        <v>15147</v>
      </c>
      <c r="D1021" s="36" t="s">
        <v>15148</v>
      </c>
      <c r="E1021" s="36" t="s">
        <v>15149</v>
      </c>
      <c r="F1021" s="36" t="s">
        <v>15150</v>
      </c>
      <c r="G1021" s="36" t="s">
        <v>15151</v>
      </c>
      <c r="H1021" s="36" t="s">
        <v>15152</v>
      </c>
      <c r="I1021" s="36" t="s">
        <v>15153</v>
      </c>
      <c r="J1021" s="36" t="s">
        <v>15154</v>
      </c>
      <c r="K1021" s="36" t="s">
        <v>15155</v>
      </c>
      <c r="L1021" s="36" t="s">
        <v>15156</v>
      </c>
      <c r="M1021" s="36" t="s">
        <v>15157</v>
      </c>
      <c r="N1021" s="36" t="s">
        <v>15158</v>
      </c>
      <c r="O1021" s="36" t="s">
        <v>15159</v>
      </c>
      <c r="P1021" s="36" t="s">
        <v>15146</v>
      </c>
    </row>
    <row r="1022" spans="1:16">
      <c r="A1022" s="132">
        <v>1021</v>
      </c>
      <c r="B1022" s="36" t="s">
        <v>15160</v>
      </c>
      <c r="C1022" s="36" t="s">
        <v>15161</v>
      </c>
      <c r="D1022" s="36" t="s">
        <v>15162</v>
      </c>
      <c r="E1022" s="36" t="s">
        <v>15163</v>
      </c>
      <c r="F1022" s="36" t="s">
        <v>15164</v>
      </c>
      <c r="G1022" s="36" t="s">
        <v>15165</v>
      </c>
      <c r="H1022" s="36" t="s">
        <v>15166</v>
      </c>
      <c r="I1022" s="36" t="s">
        <v>15167</v>
      </c>
      <c r="J1022" s="36" t="s">
        <v>15168</v>
      </c>
      <c r="K1022" s="36" t="s">
        <v>15169</v>
      </c>
      <c r="L1022" s="36" t="s">
        <v>15170</v>
      </c>
      <c r="M1022" s="36" t="s">
        <v>15171</v>
      </c>
      <c r="N1022" s="36" t="s">
        <v>15172</v>
      </c>
      <c r="O1022" s="36" t="s">
        <v>15173</v>
      </c>
      <c r="P1022" s="36" t="s">
        <v>15160</v>
      </c>
    </row>
    <row r="1023" spans="1:16">
      <c r="A1023" s="132">
        <v>1022</v>
      </c>
      <c r="B1023" s="36" t="s">
        <v>15174</v>
      </c>
      <c r="C1023" s="36" t="s">
        <v>15175</v>
      </c>
      <c r="D1023" s="36" t="s">
        <v>15176</v>
      </c>
      <c r="E1023" s="36" t="s">
        <v>15177</v>
      </c>
      <c r="F1023" s="36" t="s">
        <v>15178</v>
      </c>
      <c r="G1023" s="36" t="s">
        <v>15179</v>
      </c>
      <c r="H1023" s="36" t="s">
        <v>15180</v>
      </c>
      <c r="I1023" s="36" t="s">
        <v>15181</v>
      </c>
      <c r="J1023" s="36" t="s">
        <v>15182</v>
      </c>
      <c r="K1023" s="36" t="s">
        <v>15183</v>
      </c>
      <c r="L1023" s="36" t="s">
        <v>15184</v>
      </c>
      <c r="M1023" s="36" t="s">
        <v>15185</v>
      </c>
      <c r="N1023" s="36" t="s">
        <v>15185</v>
      </c>
      <c r="O1023" s="36" t="s">
        <v>15186</v>
      </c>
      <c r="P1023" s="36" t="s">
        <v>15174</v>
      </c>
    </row>
    <row r="1024" spans="1:16">
      <c r="A1024" s="132">
        <v>1023</v>
      </c>
      <c r="B1024" s="36" t="s">
        <v>15187</v>
      </c>
      <c r="C1024" s="36" t="s">
        <v>15188</v>
      </c>
      <c r="D1024" s="36" t="s">
        <v>15189</v>
      </c>
      <c r="E1024" s="36" t="s">
        <v>15190</v>
      </c>
      <c r="F1024" s="36" t="s">
        <v>15191</v>
      </c>
      <c r="G1024" s="36" t="s">
        <v>15192</v>
      </c>
      <c r="H1024" s="36" t="s">
        <v>15193</v>
      </c>
      <c r="I1024" s="36" t="s">
        <v>15194</v>
      </c>
      <c r="J1024" s="36" t="s">
        <v>15195</v>
      </c>
      <c r="K1024" s="36" t="s">
        <v>15196</v>
      </c>
      <c r="L1024" s="36" t="s">
        <v>15197</v>
      </c>
      <c r="M1024" s="36" t="s">
        <v>15198</v>
      </c>
      <c r="N1024" s="36" t="s">
        <v>15198</v>
      </c>
      <c r="O1024" s="36" t="s">
        <v>15199</v>
      </c>
      <c r="P1024" s="36" t="s">
        <v>15187</v>
      </c>
    </row>
    <row r="1025" spans="1:16">
      <c r="A1025" s="132">
        <v>1024</v>
      </c>
      <c r="B1025" s="36" t="s">
        <v>15200</v>
      </c>
      <c r="C1025" s="36" t="s">
        <v>15201</v>
      </c>
      <c r="D1025" s="36" t="s">
        <v>15202</v>
      </c>
      <c r="E1025" s="36" t="s">
        <v>15203</v>
      </c>
      <c r="F1025" s="36" t="s">
        <v>7593</v>
      </c>
      <c r="G1025" s="36" t="s">
        <v>15204</v>
      </c>
      <c r="H1025" s="36" t="s">
        <v>15205</v>
      </c>
      <c r="I1025" s="36" t="s">
        <v>15206</v>
      </c>
      <c r="J1025" s="36" t="s">
        <v>15207</v>
      </c>
      <c r="K1025" s="36" t="s">
        <v>15208</v>
      </c>
      <c r="L1025" s="36" t="s">
        <v>15209</v>
      </c>
      <c r="M1025" s="36" t="s">
        <v>15210</v>
      </c>
      <c r="N1025" s="36" t="s">
        <v>15211</v>
      </c>
      <c r="O1025" s="36" t="s">
        <v>15212</v>
      </c>
      <c r="P1025" s="36" t="s">
        <v>15200</v>
      </c>
    </row>
    <row r="1026" spans="1:16">
      <c r="A1026" s="132">
        <v>1025</v>
      </c>
      <c r="B1026" s="36" t="s">
        <v>15213</v>
      </c>
      <c r="C1026" s="36" t="s">
        <v>15214</v>
      </c>
      <c r="D1026" s="36" t="s">
        <v>15215</v>
      </c>
      <c r="E1026" s="36" t="s">
        <v>15216</v>
      </c>
      <c r="F1026" s="36" t="s">
        <v>15217</v>
      </c>
      <c r="G1026" s="36" t="s">
        <v>15218</v>
      </c>
      <c r="H1026" s="36" t="s">
        <v>15219</v>
      </c>
      <c r="I1026" s="36" t="s">
        <v>15220</v>
      </c>
      <c r="J1026" s="36" t="s">
        <v>15221</v>
      </c>
      <c r="K1026" s="36" t="s">
        <v>15222</v>
      </c>
      <c r="L1026" s="36" t="s">
        <v>15223</v>
      </c>
      <c r="M1026" s="36" t="s">
        <v>15224</v>
      </c>
      <c r="N1026" s="36" t="s">
        <v>15225</v>
      </c>
      <c r="O1026" s="36" t="s">
        <v>15226</v>
      </c>
      <c r="P1026" s="36" t="s">
        <v>15227</v>
      </c>
    </row>
    <row r="1027" spans="1:16">
      <c r="A1027" s="132">
        <v>1026</v>
      </c>
      <c r="B1027" s="36" t="s">
        <v>15228</v>
      </c>
      <c r="C1027" s="36" t="s">
        <v>15229</v>
      </c>
      <c r="D1027" s="36" t="s">
        <v>15230</v>
      </c>
      <c r="E1027" s="36" t="s">
        <v>15231</v>
      </c>
      <c r="F1027" s="36" t="s">
        <v>15232</v>
      </c>
      <c r="G1027" s="36" t="s">
        <v>15233</v>
      </c>
      <c r="H1027" s="36" t="s">
        <v>15234</v>
      </c>
      <c r="I1027" s="36" t="s">
        <v>15235</v>
      </c>
      <c r="J1027" s="36" t="s">
        <v>15236</v>
      </c>
      <c r="K1027" s="36" t="s">
        <v>15237</v>
      </c>
      <c r="L1027" s="36" t="s">
        <v>15238</v>
      </c>
      <c r="M1027" s="36" t="s">
        <v>15239</v>
      </c>
      <c r="N1027" s="36" t="s">
        <v>15239</v>
      </c>
      <c r="O1027" s="36" t="s">
        <v>15237</v>
      </c>
      <c r="P1027" s="36" t="s">
        <v>15228</v>
      </c>
    </row>
    <row r="1028" spans="1:16">
      <c r="A1028" s="132">
        <v>1027</v>
      </c>
      <c r="B1028" s="36" t="s">
        <v>15240</v>
      </c>
      <c r="C1028" s="36" t="s">
        <v>15241</v>
      </c>
      <c r="D1028" s="36" t="s">
        <v>15242</v>
      </c>
      <c r="E1028" s="36" t="s">
        <v>15243</v>
      </c>
      <c r="F1028" s="36" t="s">
        <v>15244</v>
      </c>
      <c r="G1028" s="36" t="s">
        <v>15245</v>
      </c>
      <c r="H1028" s="36" t="s">
        <v>15246</v>
      </c>
      <c r="I1028" s="36" t="s">
        <v>15247</v>
      </c>
      <c r="J1028" s="36" t="s">
        <v>15248</v>
      </c>
      <c r="K1028" s="36" t="s">
        <v>15249</v>
      </c>
      <c r="L1028" s="36" t="s">
        <v>15250</v>
      </c>
      <c r="M1028" s="36" t="s">
        <v>15251</v>
      </c>
      <c r="N1028" s="36" t="s">
        <v>15251</v>
      </c>
      <c r="O1028" s="36" t="s">
        <v>15249</v>
      </c>
      <c r="P1028" s="36" t="s">
        <v>15240</v>
      </c>
    </row>
    <row r="1029" spans="1:16">
      <c r="A1029" s="132">
        <v>1028</v>
      </c>
      <c r="B1029" s="36" t="s">
        <v>15252</v>
      </c>
      <c r="C1029" s="36" t="s">
        <v>15253</v>
      </c>
      <c r="D1029" s="36" t="s">
        <v>15254</v>
      </c>
      <c r="E1029" s="36" t="s">
        <v>15255</v>
      </c>
      <c r="F1029" s="36" t="s">
        <v>15256</v>
      </c>
      <c r="G1029" s="36" t="s">
        <v>15257</v>
      </c>
      <c r="H1029" s="36" t="s">
        <v>15258</v>
      </c>
      <c r="I1029" s="36" t="s">
        <v>15259</v>
      </c>
      <c r="J1029" s="36" t="s">
        <v>15260</v>
      </c>
      <c r="K1029" s="36" t="s">
        <v>15261</v>
      </c>
      <c r="L1029" s="36" t="s">
        <v>15262</v>
      </c>
      <c r="M1029" s="36" t="s">
        <v>15263</v>
      </c>
      <c r="N1029" s="36" t="s">
        <v>15264</v>
      </c>
      <c r="O1029" s="36" t="s">
        <v>15265</v>
      </c>
      <c r="P1029" s="36" t="s">
        <v>15252</v>
      </c>
    </row>
    <row r="1030" spans="1:16">
      <c r="A1030" s="132">
        <v>1029</v>
      </c>
      <c r="B1030" s="36" t="s">
        <v>15266</v>
      </c>
      <c r="C1030" s="36" t="s">
        <v>15267</v>
      </c>
      <c r="D1030" s="36" t="s">
        <v>15268</v>
      </c>
      <c r="E1030" s="36" t="s">
        <v>15269</v>
      </c>
      <c r="F1030" s="36" t="s">
        <v>15270</v>
      </c>
      <c r="G1030" s="36" t="s">
        <v>15271</v>
      </c>
      <c r="H1030" s="36" t="s">
        <v>15272</v>
      </c>
      <c r="I1030" s="36" t="s">
        <v>15273</v>
      </c>
      <c r="J1030" s="36" t="s">
        <v>15274</v>
      </c>
      <c r="K1030" s="36" t="s">
        <v>15275</v>
      </c>
      <c r="L1030" s="36" t="s">
        <v>15276</v>
      </c>
      <c r="M1030" s="36" t="s">
        <v>15277</v>
      </c>
      <c r="N1030" s="36" t="s">
        <v>15278</v>
      </c>
      <c r="O1030" s="36" t="s">
        <v>15279</v>
      </c>
      <c r="P1030" s="36" t="s">
        <v>15266</v>
      </c>
    </row>
    <row r="1031" spans="1:16">
      <c r="A1031" s="132">
        <v>1030</v>
      </c>
      <c r="B1031" s="36" t="s">
        <v>15280</v>
      </c>
      <c r="C1031" s="36" t="s">
        <v>15281</v>
      </c>
      <c r="D1031" s="36" t="s">
        <v>15282</v>
      </c>
      <c r="E1031" s="36" t="s">
        <v>15283</v>
      </c>
      <c r="F1031" s="36" t="s">
        <v>15284</v>
      </c>
      <c r="G1031" s="36" t="s">
        <v>15285</v>
      </c>
      <c r="H1031" s="36" t="s">
        <v>15286</v>
      </c>
      <c r="I1031" s="36" t="s">
        <v>15287</v>
      </c>
      <c r="J1031" s="36" t="s">
        <v>15288</v>
      </c>
      <c r="K1031" s="36" t="s">
        <v>15289</v>
      </c>
      <c r="L1031" s="36" t="s">
        <v>15290</v>
      </c>
      <c r="M1031" s="36" t="s">
        <v>15291</v>
      </c>
      <c r="N1031" s="36" t="s">
        <v>15292</v>
      </c>
      <c r="O1031" s="36" t="s">
        <v>15293</v>
      </c>
      <c r="P1031" s="36" t="s">
        <v>15280</v>
      </c>
    </row>
    <row r="1032" spans="1:16">
      <c r="A1032" s="132">
        <v>1031</v>
      </c>
      <c r="B1032" s="36" t="s">
        <v>15294</v>
      </c>
      <c r="C1032" s="36" t="s">
        <v>15295</v>
      </c>
      <c r="D1032" s="36" t="s">
        <v>15296</v>
      </c>
      <c r="E1032" s="36" t="s">
        <v>15297</v>
      </c>
      <c r="F1032" s="36" t="s">
        <v>15298</v>
      </c>
      <c r="G1032" s="36" t="s">
        <v>15299</v>
      </c>
      <c r="H1032" s="36" t="s">
        <v>15300</v>
      </c>
      <c r="I1032" s="36" t="s">
        <v>15301</v>
      </c>
      <c r="J1032" s="36" t="s">
        <v>15302</v>
      </c>
      <c r="K1032" s="36" t="s">
        <v>15303</v>
      </c>
      <c r="L1032" s="36" t="s">
        <v>15304</v>
      </c>
      <c r="M1032" s="36" t="s">
        <v>15305</v>
      </c>
      <c r="N1032" s="36" t="s">
        <v>15306</v>
      </c>
      <c r="O1032" s="36" t="s">
        <v>15307</v>
      </c>
      <c r="P1032" s="36" t="s">
        <v>15294</v>
      </c>
    </row>
    <row r="1033" spans="1:16">
      <c r="A1033" s="132">
        <v>1032</v>
      </c>
      <c r="B1033" s="36" t="s">
        <v>15308</v>
      </c>
      <c r="C1033" s="36" t="s">
        <v>15309</v>
      </c>
      <c r="D1033" s="36" t="s">
        <v>15310</v>
      </c>
      <c r="E1033" s="36" t="s">
        <v>15311</v>
      </c>
      <c r="F1033" s="36" t="s">
        <v>15312</v>
      </c>
      <c r="G1033" s="36" t="s">
        <v>15312</v>
      </c>
      <c r="H1033" s="36" t="s">
        <v>15313</v>
      </c>
      <c r="I1033" s="36" t="s">
        <v>15313</v>
      </c>
      <c r="J1033" s="36" t="s">
        <v>15314</v>
      </c>
      <c r="K1033" s="36" t="s">
        <v>15313</v>
      </c>
      <c r="L1033" s="36" t="s">
        <v>14123</v>
      </c>
      <c r="M1033" s="36" t="s">
        <v>15313</v>
      </c>
      <c r="N1033" s="36" t="s">
        <v>15313</v>
      </c>
      <c r="O1033" s="36" t="s">
        <v>15313</v>
      </c>
      <c r="P1033" s="36" t="s">
        <v>15308</v>
      </c>
    </row>
    <row r="1034" spans="1:16">
      <c r="A1034" s="132">
        <v>1033</v>
      </c>
      <c r="B1034" s="36" t="s">
        <v>15315</v>
      </c>
      <c r="C1034" s="36" t="s">
        <v>15316</v>
      </c>
      <c r="D1034" s="36" t="s">
        <v>15317</v>
      </c>
      <c r="E1034" s="36" t="s">
        <v>15318</v>
      </c>
      <c r="F1034" s="36" t="s">
        <v>4921</v>
      </c>
      <c r="G1034" s="36" t="s">
        <v>15319</v>
      </c>
      <c r="H1034" s="36" t="s">
        <v>15320</v>
      </c>
      <c r="I1034" s="36" t="s">
        <v>15321</v>
      </c>
      <c r="J1034" s="36" t="s">
        <v>15322</v>
      </c>
      <c r="K1034" s="36" t="s">
        <v>15323</v>
      </c>
      <c r="L1034" s="36" t="s">
        <v>15324</v>
      </c>
      <c r="M1034" s="36" t="s">
        <v>15325</v>
      </c>
      <c r="N1034" s="36" t="s">
        <v>15325</v>
      </c>
      <c r="O1034" s="36" t="s">
        <v>15326</v>
      </c>
      <c r="P1034" s="36" t="s">
        <v>15315</v>
      </c>
    </row>
    <row r="1035" spans="1:16">
      <c r="A1035" s="132">
        <v>1034</v>
      </c>
      <c r="B1035" s="36" t="s">
        <v>15327</v>
      </c>
      <c r="C1035" s="36" t="s">
        <v>15328</v>
      </c>
      <c r="D1035" s="36" t="s">
        <v>15329</v>
      </c>
      <c r="E1035" s="36" t="s">
        <v>15330</v>
      </c>
      <c r="F1035" s="36" t="s">
        <v>15331</v>
      </c>
      <c r="G1035" s="36" t="s">
        <v>15332</v>
      </c>
      <c r="H1035" s="36" t="s">
        <v>15333</v>
      </c>
      <c r="I1035" s="36" t="s">
        <v>15334</v>
      </c>
      <c r="J1035" s="36" t="s">
        <v>15335</v>
      </c>
      <c r="K1035" s="36" t="s">
        <v>15336</v>
      </c>
      <c r="L1035" s="36" t="s">
        <v>15337</v>
      </c>
      <c r="M1035" s="36" t="s">
        <v>15338</v>
      </c>
      <c r="N1035" s="36" t="s">
        <v>15339</v>
      </c>
      <c r="O1035" s="36" t="s">
        <v>15340</v>
      </c>
      <c r="P1035" s="36" t="s">
        <v>15327</v>
      </c>
    </row>
    <row r="1036" spans="1:16">
      <c r="A1036" s="132">
        <v>1035</v>
      </c>
      <c r="B1036" s="36" t="s">
        <v>15341</v>
      </c>
      <c r="C1036" s="36" t="s">
        <v>15342</v>
      </c>
      <c r="D1036" s="36" t="s">
        <v>15343</v>
      </c>
      <c r="E1036" s="36" t="s">
        <v>15344</v>
      </c>
      <c r="F1036" s="36" t="s">
        <v>15345</v>
      </c>
      <c r="G1036" s="36" t="s">
        <v>15346</v>
      </c>
      <c r="H1036" s="36" t="s">
        <v>15347</v>
      </c>
      <c r="I1036" s="36" t="s">
        <v>15348</v>
      </c>
      <c r="J1036" s="36" t="s">
        <v>15349</v>
      </c>
      <c r="K1036" s="36" t="s">
        <v>15350</v>
      </c>
      <c r="L1036" s="36" t="s">
        <v>15351</v>
      </c>
      <c r="M1036" s="36" t="s">
        <v>15352</v>
      </c>
      <c r="N1036" s="36" t="s">
        <v>15353</v>
      </c>
      <c r="O1036" s="36" t="s">
        <v>15354</v>
      </c>
      <c r="P1036" s="36" t="s">
        <v>15341</v>
      </c>
    </row>
    <row r="1037" spans="1:16">
      <c r="A1037" s="132">
        <v>1036</v>
      </c>
      <c r="B1037" s="36" t="s">
        <v>15355</v>
      </c>
      <c r="C1037" s="36" t="s">
        <v>15356</v>
      </c>
      <c r="D1037" s="36" t="s">
        <v>15357</v>
      </c>
      <c r="E1037" s="36" t="s">
        <v>15358</v>
      </c>
      <c r="F1037" s="36" t="s">
        <v>15359</v>
      </c>
      <c r="G1037" s="36" t="s">
        <v>15360</v>
      </c>
      <c r="H1037" s="36" t="s">
        <v>15361</v>
      </c>
      <c r="I1037" s="36" t="s">
        <v>15362</v>
      </c>
      <c r="J1037" s="36" t="s">
        <v>15363</v>
      </c>
      <c r="K1037" s="36" t="s">
        <v>15364</v>
      </c>
      <c r="L1037" s="36" t="s">
        <v>15365</v>
      </c>
      <c r="M1037" s="36" t="s">
        <v>15366</v>
      </c>
      <c r="N1037" s="36" t="s">
        <v>15367</v>
      </c>
      <c r="O1037" s="36" t="s">
        <v>15368</v>
      </c>
      <c r="P1037" s="36" t="s">
        <v>15355</v>
      </c>
    </row>
    <row r="1038" spans="1:16">
      <c r="A1038" s="132">
        <v>1037</v>
      </c>
      <c r="B1038" s="36" t="s">
        <v>15369</v>
      </c>
      <c r="C1038" s="36" t="s">
        <v>15370</v>
      </c>
      <c r="D1038" s="36" t="s">
        <v>15371</v>
      </c>
      <c r="E1038" s="36" t="s">
        <v>15372</v>
      </c>
      <c r="F1038" s="36" t="s">
        <v>15373</v>
      </c>
      <c r="G1038" s="36" t="s">
        <v>15374</v>
      </c>
      <c r="H1038" s="36" t="s">
        <v>15375</v>
      </c>
      <c r="I1038" s="36" t="s">
        <v>15376</v>
      </c>
      <c r="J1038" s="36" t="s">
        <v>15377</v>
      </c>
      <c r="K1038" s="36" t="s">
        <v>15378</v>
      </c>
      <c r="L1038" s="36" t="s">
        <v>15379</v>
      </c>
      <c r="M1038" s="36" t="s">
        <v>15380</v>
      </c>
      <c r="N1038" s="36" t="s">
        <v>15381</v>
      </c>
      <c r="O1038" s="36" t="s">
        <v>15382</v>
      </c>
      <c r="P1038" s="36" t="s">
        <v>15369</v>
      </c>
    </row>
    <row r="1039" spans="1:16">
      <c r="A1039" s="132">
        <v>1038</v>
      </c>
      <c r="B1039" s="36" t="s">
        <v>15383</v>
      </c>
      <c r="C1039" s="36" t="s">
        <v>15384</v>
      </c>
      <c r="D1039" s="36" t="s">
        <v>15385</v>
      </c>
      <c r="E1039" s="36" t="s">
        <v>15386</v>
      </c>
      <c r="F1039" s="36" t="s">
        <v>15387</v>
      </c>
      <c r="G1039" s="36" t="s">
        <v>15388</v>
      </c>
      <c r="H1039" s="36" t="s">
        <v>15389</v>
      </c>
      <c r="I1039" s="36" t="s">
        <v>15390</v>
      </c>
      <c r="J1039" s="36" t="s">
        <v>15391</v>
      </c>
      <c r="K1039" s="36" t="s">
        <v>15392</v>
      </c>
      <c r="L1039" s="36" t="s">
        <v>15393</v>
      </c>
      <c r="M1039" s="36" t="s">
        <v>15394</v>
      </c>
      <c r="N1039" s="36" t="s">
        <v>15395</v>
      </c>
      <c r="O1039" s="36" t="s">
        <v>15396</v>
      </c>
      <c r="P1039" s="36" t="s">
        <v>15383</v>
      </c>
    </row>
    <row r="1040" spans="1:16">
      <c r="A1040" s="132">
        <v>1039</v>
      </c>
      <c r="B1040" s="36" t="s">
        <v>15397</v>
      </c>
      <c r="C1040" s="36" t="s">
        <v>15398</v>
      </c>
      <c r="D1040" s="36" t="s">
        <v>15399</v>
      </c>
      <c r="E1040" s="36" t="s">
        <v>15400</v>
      </c>
      <c r="F1040" s="36" t="s">
        <v>15401</v>
      </c>
      <c r="G1040" s="36" t="s">
        <v>15402</v>
      </c>
      <c r="H1040" s="36" t="s">
        <v>15403</v>
      </c>
      <c r="I1040" s="36" t="s">
        <v>15404</v>
      </c>
      <c r="J1040" s="36" t="s">
        <v>15405</v>
      </c>
      <c r="K1040" s="36" t="s">
        <v>15406</v>
      </c>
      <c r="L1040" s="36" t="s">
        <v>15407</v>
      </c>
      <c r="M1040" s="36" t="s">
        <v>15408</v>
      </c>
      <c r="N1040" s="36" t="s">
        <v>15409</v>
      </c>
      <c r="O1040" s="36" t="s">
        <v>15410</v>
      </c>
      <c r="P1040" s="36" t="s">
        <v>15397</v>
      </c>
    </row>
    <row r="1041" spans="1:16">
      <c r="A1041" s="132">
        <v>1040</v>
      </c>
      <c r="B1041" s="36" t="s">
        <v>15411</v>
      </c>
      <c r="C1041" s="36" t="s">
        <v>15412</v>
      </c>
      <c r="D1041" s="36" t="s">
        <v>15413</v>
      </c>
      <c r="E1041" s="36" t="s">
        <v>15414</v>
      </c>
      <c r="F1041" s="36" t="s">
        <v>15415</v>
      </c>
      <c r="G1041" s="36" t="s">
        <v>15416</v>
      </c>
      <c r="H1041" s="36" t="s">
        <v>15417</v>
      </c>
      <c r="I1041" s="36" t="s">
        <v>15418</v>
      </c>
      <c r="J1041" s="36" t="s">
        <v>15419</v>
      </c>
      <c r="K1041" s="36" t="s">
        <v>15420</v>
      </c>
      <c r="L1041" s="36" t="s">
        <v>15421</v>
      </c>
      <c r="M1041" s="36" t="s">
        <v>15422</v>
      </c>
      <c r="N1041" s="36" t="s">
        <v>15423</v>
      </c>
      <c r="O1041" s="36" t="s">
        <v>15424</v>
      </c>
      <c r="P1041" s="36" t="s">
        <v>15411</v>
      </c>
    </row>
    <row r="1042" spans="1:16">
      <c r="A1042" s="132">
        <v>1041</v>
      </c>
      <c r="B1042" s="36" t="s">
        <v>15425</v>
      </c>
      <c r="C1042" s="36" t="s">
        <v>15426</v>
      </c>
      <c r="D1042" s="36" t="s">
        <v>15427</v>
      </c>
      <c r="E1042" s="36" t="s">
        <v>15428</v>
      </c>
      <c r="F1042" s="36" t="s">
        <v>15429</v>
      </c>
      <c r="G1042" s="36" t="s">
        <v>15430</v>
      </c>
      <c r="H1042" s="36" t="s">
        <v>15431</v>
      </c>
      <c r="I1042" s="36" t="s">
        <v>15432</v>
      </c>
      <c r="J1042" s="36" t="s">
        <v>15433</v>
      </c>
      <c r="K1042" s="36" t="s">
        <v>15434</v>
      </c>
      <c r="L1042" s="36" t="s">
        <v>15435</v>
      </c>
      <c r="M1042" s="36" t="s">
        <v>15436</v>
      </c>
      <c r="N1042" s="36" t="s">
        <v>15437</v>
      </c>
      <c r="O1042" s="36" t="s">
        <v>15438</v>
      </c>
      <c r="P1042" s="36" t="s">
        <v>15425</v>
      </c>
    </row>
    <row r="1043" spans="1:16">
      <c r="A1043" s="132">
        <v>1042</v>
      </c>
      <c r="B1043" s="36" t="s">
        <v>15439</v>
      </c>
      <c r="C1043" s="36" t="s">
        <v>15440</v>
      </c>
      <c r="D1043" s="36" t="s">
        <v>15441</v>
      </c>
      <c r="E1043" s="36" t="s">
        <v>15442</v>
      </c>
      <c r="F1043" s="36" t="s">
        <v>15443</v>
      </c>
      <c r="G1043" s="36" t="s">
        <v>15444</v>
      </c>
      <c r="H1043" s="36" t="s">
        <v>15445</v>
      </c>
      <c r="I1043" s="36" t="s">
        <v>15446</v>
      </c>
      <c r="J1043" s="36" t="s">
        <v>15447</v>
      </c>
      <c r="K1043" s="36" t="s">
        <v>15448</v>
      </c>
      <c r="L1043" s="36" t="s">
        <v>15449</v>
      </c>
      <c r="M1043" s="36" t="s">
        <v>15450</v>
      </c>
      <c r="N1043" s="36" t="s">
        <v>15451</v>
      </c>
      <c r="O1043" s="36" t="s">
        <v>15452</v>
      </c>
      <c r="P1043" s="36" t="s">
        <v>15439</v>
      </c>
    </row>
    <row r="1044" spans="1:16">
      <c r="A1044" s="132">
        <v>1043</v>
      </c>
      <c r="B1044" s="36" t="s">
        <v>15453</v>
      </c>
      <c r="C1044" s="36" t="s">
        <v>15454</v>
      </c>
      <c r="D1044" s="36" t="s">
        <v>15455</v>
      </c>
      <c r="E1044" s="36" t="s">
        <v>15456</v>
      </c>
      <c r="F1044" s="36" t="s">
        <v>15457</v>
      </c>
      <c r="G1044" s="36" t="s">
        <v>15458</v>
      </c>
      <c r="H1044" s="36" t="s">
        <v>15459</v>
      </c>
      <c r="I1044" s="36" t="s">
        <v>15460</v>
      </c>
      <c r="J1044" s="36" t="s">
        <v>15461</v>
      </c>
      <c r="K1044" s="36" t="s">
        <v>15462</v>
      </c>
      <c r="L1044" s="36" t="s">
        <v>15463</v>
      </c>
      <c r="M1044" s="36" t="s">
        <v>15464</v>
      </c>
      <c r="N1044" s="36" t="s">
        <v>15465</v>
      </c>
      <c r="O1044" s="36" t="s">
        <v>15466</v>
      </c>
      <c r="P1044" s="36" t="s">
        <v>15453</v>
      </c>
    </row>
    <row r="1045" spans="1:16">
      <c r="A1045" s="132">
        <v>1044</v>
      </c>
      <c r="B1045" s="36" t="s">
        <v>15467</v>
      </c>
      <c r="C1045" s="36" t="s">
        <v>15468</v>
      </c>
      <c r="D1045" s="36" t="s">
        <v>15468</v>
      </c>
      <c r="E1045" s="36" t="s">
        <v>15467</v>
      </c>
      <c r="F1045" s="36" t="s">
        <v>15467</v>
      </c>
      <c r="G1045" s="36" t="s">
        <v>15467</v>
      </c>
      <c r="H1045" s="36" t="s">
        <v>15467</v>
      </c>
      <c r="I1045" s="36" t="s">
        <v>15467</v>
      </c>
      <c r="J1045" s="36" t="s">
        <v>15467</v>
      </c>
      <c r="K1045" s="36" t="s">
        <v>15467</v>
      </c>
      <c r="L1045" s="36" t="s">
        <v>15467</v>
      </c>
      <c r="M1045" s="36" t="s">
        <v>15467</v>
      </c>
      <c r="N1045" s="36" t="s">
        <v>15467</v>
      </c>
      <c r="O1045" s="36" t="s">
        <v>15467</v>
      </c>
      <c r="P1045" s="36" t="s">
        <v>15467</v>
      </c>
    </row>
    <row r="1046" spans="1:16">
      <c r="A1046" s="132">
        <v>1045</v>
      </c>
      <c r="B1046" s="36" t="s">
        <v>15469</v>
      </c>
      <c r="C1046" s="36" t="s">
        <v>15469</v>
      </c>
      <c r="D1046" s="36" t="s">
        <v>15469</v>
      </c>
      <c r="E1046" s="36" t="s">
        <v>15469</v>
      </c>
      <c r="F1046" s="36" t="s">
        <v>15469</v>
      </c>
      <c r="G1046" s="36" t="s">
        <v>15469</v>
      </c>
      <c r="H1046" s="36" t="s">
        <v>15469</v>
      </c>
      <c r="I1046" s="36" t="s">
        <v>15469</v>
      </c>
      <c r="J1046" s="36" t="s">
        <v>15469</v>
      </c>
      <c r="K1046" s="36" t="s">
        <v>15469</v>
      </c>
      <c r="L1046" s="36" t="s">
        <v>15469</v>
      </c>
      <c r="M1046" s="36" t="s">
        <v>15469</v>
      </c>
      <c r="N1046" s="36" t="s">
        <v>15469</v>
      </c>
      <c r="O1046" s="36" t="s">
        <v>15469</v>
      </c>
      <c r="P1046" s="36" t="s">
        <v>15469</v>
      </c>
    </row>
    <row r="1047" spans="1:16">
      <c r="A1047" s="132">
        <v>1046</v>
      </c>
      <c r="B1047" s="36" t="s">
        <v>15470</v>
      </c>
      <c r="C1047" s="36" t="s">
        <v>15470</v>
      </c>
      <c r="D1047" s="36" t="s">
        <v>15470</v>
      </c>
      <c r="E1047" s="36" t="s">
        <v>15470</v>
      </c>
      <c r="F1047" s="36" t="s">
        <v>15470</v>
      </c>
      <c r="G1047" s="36" t="s">
        <v>15470</v>
      </c>
      <c r="H1047" s="36" t="s">
        <v>15470</v>
      </c>
      <c r="I1047" s="36" t="s">
        <v>15470</v>
      </c>
      <c r="J1047" s="36" t="s">
        <v>15470</v>
      </c>
      <c r="K1047" s="36" t="s">
        <v>15470</v>
      </c>
      <c r="L1047" s="36" t="s">
        <v>15470</v>
      </c>
      <c r="M1047" s="36" t="s">
        <v>15470</v>
      </c>
      <c r="N1047" s="36" t="s">
        <v>15470</v>
      </c>
      <c r="O1047" s="36" t="s">
        <v>15470</v>
      </c>
      <c r="P1047" s="36" t="s">
        <v>15470</v>
      </c>
    </row>
    <row r="1048" spans="1:16">
      <c r="A1048" s="132">
        <v>1047</v>
      </c>
      <c r="B1048" s="36" t="s">
        <v>15471</v>
      </c>
      <c r="C1048" s="36" t="s">
        <v>15471</v>
      </c>
      <c r="D1048" s="36" t="s">
        <v>15471</v>
      </c>
      <c r="E1048" s="36" t="s">
        <v>15471</v>
      </c>
      <c r="F1048" s="36" t="s">
        <v>15471</v>
      </c>
      <c r="G1048" s="36" t="s">
        <v>15471</v>
      </c>
      <c r="H1048" s="36" t="s">
        <v>15471</v>
      </c>
      <c r="I1048" s="36" t="s">
        <v>15471</v>
      </c>
      <c r="J1048" s="36" t="s">
        <v>15471</v>
      </c>
      <c r="K1048" s="36" t="s">
        <v>15471</v>
      </c>
      <c r="L1048" s="36" t="s">
        <v>15471</v>
      </c>
      <c r="M1048" s="36" t="s">
        <v>15471</v>
      </c>
      <c r="N1048" s="36" t="s">
        <v>15471</v>
      </c>
      <c r="O1048" s="36" t="s">
        <v>15471</v>
      </c>
      <c r="P1048" s="36" t="s">
        <v>15471</v>
      </c>
    </row>
    <row r="1049" spans="1:16">
      <c r="A1049" s="132">
        <v>1048</v>
      </c>
      <c r="B1049" s="36" t="s">
        <v>15472</v>
      </c>
      <c r="C1049" s="36" t="s">
        <v>15472</v>
      </c>
      <c r="D1049" s="36" t="s">
        <v>15472</v>
      </c>
      <c r="E1049" s="36" t="s">
        <v>15472</v>
      </c>
      <c r="F1049" s="36" t="s">
        <v>15472</v>
      </c>
      <c r="G1049" s="36" t="s">
        <v>15472</v>
      </c>
      <c r="H1049" s="36" t="s">
        <v>15472</v>
      </c>
      <c r="I1049" s="36" t="s">
        <v>15472</v>
      </c>
      <c r="J1049" s="36" t="s">
        <v>15472</v>
      </c>
      <c r="K1049" s="36" t="s">
        <v>15472</v>
      </c>
      <c r="L1049" s="36" t="s">
        <v>15472</v>
      </c>
      <c r="M1049" s="36" t="s">
        <v>15472</v>
      </c>
      <c r="N1049" s="36" t="s">
        <v>15472</v>
      </c>
      <c r="O1049" s="36" t="s">
        <v>15472</v>
      </c>
      <c r="P1049" s="36" t="s">
        <v>15472</v>
      </c>
    </row>
    <row r="1050" spans="1:16">
      <c r="A1050" s="132">
        <v>1049</v>
      </c>
      <c r="B1050" s="36" t="s">
        <v>15473</v>
      </c>
      <c r="C1050" s="36" t="s">
        <v>15473</v>
      </c>
      <c r="D1050" s="36" t="s">
        <v>15473</v>
      </c>
      <c r="E1050" s="36" t="s">
        <v>15473</v>
      </c>
      <c r="F1050" s="36" t="s">
        <v>15473</v>
      </c>
      <c r="G1050" s="36" t="s">
        <v>15473</v>
      </c>
      <c r="H1050" s="36" t="s">
        <v>15473</v>
      </c>
      <c r="I1050" s="36" t="s">
        <v>15473</v>
      </c>
      <c r="J1050" s="36" t="s">
        <v>15473</v>
      </c>
      <c r="K1050" s="36" t="s">
        <v>15473</v>
      </c>
      <c r="L1050" s="36" t="s">
        <v>15473</v>
      </c>
      <c r="M1050" s="36" t="s">
        <v>15473</v>
      </c>
      <c r="N1050" s="36" t="s">
        <v>15473</v>
      </c>
      <c r="O1050" s="36" t="s">
        <v>15473</v>
      </c>
      <c r="P1050" s="36" t="s">
        <v>15473</v>
      </c>
    </row>
    <row r="1051" spans="1:16">
      <c r="A1051" s="132">
        <v>1050</v>
      </c>
      <c r="B1051" s="36" t="s">
        <v>15474</v>
      </c>
      <c r="C1051" s="36" t="s">
        <v>15474</v>
      </c>
      <c r="D1051" s="36" t="s">
        <v>15474</v>
      </c>
      <c r="E1051" s="36" t="s">
        <v>15474</v>
      </c>
      <c r="F1051" s="36" t="s">
        <v>15474</v>
      </c>
      <c r="G1051" s="36" t="s">
        <v>15474</v>
      </c>
      <c r="H1051" s="36" t="s">
        <v>15474</v>
      </c>
      <c r="I1051" s="36" t="s">
        <v>15474</v>
      </c>
      <c r="J1051" s="36" t="s">
        <v>15474</v>
      </c>
      <c r="K1051" s="36" t="s">
        <v>15474</v>
      </c>
      <c r="L1051" s="36" t="s">
        <v>15474</v>
      </c>
      <c r="M1051" s="36" t="s">
        <v>15474</v>
      </c>
      <c r="N1051" s="36" t="s">
        <v>15474</v>
      </c>
      <c r="O1051" s="36" t="s">
        <v>15474</v>
      </c>
      <c r="P1051" s="36" t="s">
        <v>15474</v>
      </c>
    </row>
    <row r="1052" spans="1:16">
      <c r="A1052" s="132">
        <v>1051</v>
      </c>
      <c r="B1052" s="36" t="s">
        <v>15475</v>
      </c>
      <c r="C1052" s="36" t="s">
        <v>15475</v>
      </c>
      <c r="D1052" s="36" t="s">
        <v>15475</v>
      </c>
      <c r="E1052" s="36" t="s">
        <v>15475</v>
      </c>
      <c r="F1052" s="36" t="s">
        <v>15475</v>
      </c>
      <c r="G1052" s="36" t="s">
        <v>15475</v>
      </c>
      <c r="H1052" s="36" t="s">
        <v>15475</v>
      </c>
      <c r="I1052" s="36" t="s">
        <v>15475</v>
      </c>
      <c r="J1052" s="36" t="s">
        <v>15475</v>
      </c>
      <c r="K1052" s="36" t="s">
        <v>15475</v>
      </c>
      <c r="L1052" s="36" t="s">
        <v>15475</v>
      </c>
      <c r="M1052" s="36" t="s">
        <v>15475</v>
      </c>
      <c r="N1052" s="36" t="s">
        <v>15475</v>
      </c>
      <c r="O1052" s="36" t="s">
        <v>15475</v>
      </c>
      <c r="P1052" s="36" t="s">
        <v>15475</v>
      </c>
    </row>
    <row r="1053" spans="1:16">
      <c r="A1053" s="132">
        <v>1052</v>
      </c>
      <c r="B1053" s="36" t="s">
        <v>15476</v>
      </c>
      <c r="C1053" s="36" t="s">
        <v>15476</v>
      </c>
      <c r="D1053" s="36" t="s">
        <v>15476</v>
      </c>
      <c r="E1053" s="36" t="s">
        <v>15476</v>
      </c>
      <c r="F1053" s="36" t="s">
        <v>15476</v>
      </c>
      <c r="G1053" s="36" t="s">
        <v>15476</v>
      </c>
      <c r="H1053" s="36" t="s">
        <v>15476</v>
      </c>
      <c r="I1053" s="36" t="s">
        <v>15476</v>
      </c>
      <c r="J1053" s="36" t="s">
        <v>15476</v>
      </c>
      <c r="K1053" s="36" t="s">
        <v>15476</v>
      </c>
      <c r="L1053" s="36" t="s">
        <v>15476</v>
      </c>
      <c r="M1053" s="36" t="s">
        <v>15476</v>
      </c>
      <c r="N1053" s="36" t="s">
        <v>15476</v>
      </c>
      <c r="O1053" s="36" t="s">
        <v>15476</v>
      </c>
      <c r="P1053" s="36" t="s">
        <v>15476</v>
      </c>
    </row>
    <row r="1054" spans="1:16">
      <c r="A1054" s="132">
        <v>1053</v>
      </c>
      <c r="B1054" s="36" t="s">
        <v>15477</v>
      </c>
      <c r="C1054" s="36" t="s">
        <v>15477</v>
      </c>
      <c r="D1054" s="36" t="s">
        <v>15477</v>
      </c>
      <c r="E1054" s="36" t="s">
        <v>15477</v>
      </c>
      <c r="F1054" s="36" t="s">
        <v>15477</v>
      </c>
      <c r="G1054" s="36" t="s">
        <v>15477</v>
      </c>
      <c r="H1054" s="36" t="s">
        <v>15477</v>
      </c>
      <c r="I1054" s="36" t="s">
        <v>15477</v>
      </c>
      <c r="J1054" s="36" t="s">
        <v>15477</v>
      </c>
      <c r="K1054" s="36" t="s">
        <v>15477</v>
      </c>
      <c r="L1054" s="36" t="s">
        <v>15477</v>
      </c>
      <c r="M1054" s="36" t="s">
        <v>15477</v>
      </c>
      <c r="N1054" s="36" t="s">
        <v>15477</v>
      </c>
      <c r="O1054" s="36" t="s">
        <v>15477</v>
      </c>
      <c r="P1054" s="36" t="s">
        <v>15477</v>
      </c>
    </row>
    <row r="1055" spans="1:16">
      <c r="A1055" s="132">
        <v>1054</v>
      </c>
      <c r="B1055" s="36" t="s">
        <v>15478</v>
      </c>
      <c r="C1055" s="36" t="s">
        <v>15478</v>
      </c>
      <c r="D1055" s="36" t="s">
        <v>15478</v>
      </c>
      <c r="E1055" s="36" t="s">
        <v>15478</v>
      </c>
      <c r="F1055" s="36" t="s">
        <v>15478</v>
      </c>
      <c r="G1055" s="36" t="s">
        <v>15478</v>
      </c>
      <c r="H1055" s="36" t="s">
        <v>15478</v>
      </c>
      <c r="I1055" s="36" t="s">
        <v>15478</v>
      </c>
      <c r="J1055" s="36" t="s">
        <v>15478</v>
      </c>
      <c r="K1055" s="36" t="s">
        <v>15478</v>
      </c>
      <c r="L1055" s="36" t="s">
        <v>15478</v>
      </c>
      <c r="M1055" s="36" t="s">
        <v>15478</v>
      </c>
      <c r="N1055" s="36" t="s">
        <v>15478</v>
      </c>
      <c r="O1055" s="36" t="s">
        <v>15478</v>
      </c>
      <c r="P1055" s="36" t="s">
        <v>15478</v>
      </c>
    </row>
    <row r="1056" spans="1:16">
      <c r="A1056" s="132">
        <v>1055</v>
      </c>
      <c r="B1056" s="36" t="s">
        <v>15479</v>
      </c>
      <c r="C1056" s="36" t="s">
        <v>15479</v>
      </c>
      <c r="D1056" s="36" t="s">
        <v>15479</v>
      </c>
      <c r="E1056" s="36" t="s">
        <v>15479</v>
      </c>
      <c r="F1056" s="36" t="s">
        <v>15479</v>
      </c>
      <c r="G1056" s="36" t="s">
        <v>15479</v>
      </c>
      <c r="H1056" s="36" t="s">
        <v>15479</v>
      </c>
      <c r="I1056" s="36" t="s">
        <v>15479</v>
      </c>
      <c r="J1056" s="36" t="s">
        <v>15479</v>
      </c>
      <c r="K1056" s="36" t="s">
        <v>15479</v>
      </c>
      <c r="L1056" s="36" t="s">
        <v>15479</v>
      </c>
      <c r="M1056" s="36" t="s">
        <v>15479</v>
      </c>
      <c r="N1056" s="36" t="s">
        <v>15479</v>
      </c>
      <c r="O1056" s="36" t="s">
        <v>15479</v>
      </c>
      <c r="P1056" s="36" t="s">
        <v>15479</v>
      </c>
    </row>
    <row r="1057" spans="1:16">
      <c r="A1057" s="132">
        <v>1056</v>
      </c>
      <c r="B1057" s="36" t="s">
        <v>15480</v>
      </c>
      <c r="C1057" s="36" t="s">
        <v>15480</v>
      </c>
      <c r="D1057" s="36" t="s">
        <v>15480</v>
      </c>
      <c r="E1057" s="36" t="s">
        <v>15480</v>
      </c>
      <c r="F1057" s="36" t="s">
        <v>15480</v>
      </c>
      <c r="G1057" s="36" t="s">
        <v>15480</v>
      </c>
      <c r="H1057" s="36" t="s">
        <v>15480</v>
      </c>
      <c r="I1057" s="36" t="s">
        <v>15480</v>
      </c>
      <c r="J1057" s="36" t="s">
        <v>15480</v>
      </c>
      <c r="K1057" s="36" t="s">
        <v>15480</v>
      </c>
      <c r="L1057" s="36" t="s">
        <v>15480</v>
      </c>
      <c r="M1057" s="36" t="s">
        <v>15480</v>
      </c>
      <c r="N1057" s="36" t="s">
        <v>15480</v>
      </c>
      <c r="O1057" s="36" t="s">
        <v>15480</v>
      </c>
      <c r="P1057" s="36" t="s">
        <v>15480</v>
      </c>
    </row>
    <row r="1058" spans="1:16">
      <c r="A1058" s="132">
        <v>1057</v>
      </c>
      <c r="B1058" s="36" t="s">
        <v>15481</v>
      </c>
      <c r="C1058" s="36" t="s">
        <v>15481</v>
      </c>
      <c r="D1058" s="36" t="s">
        <v>15481</v>
      </c>
      <c r="E1058" s="36" t="s">
        <v>15481</v>
      </c>
      <c r="F1058" s="36" t="s">
        <v>15481</v>
      </c>
      <c r="G1058" s="36" t="s">
        <v>15481</v>
      </c>
      <c r="H1058" s="36" t="s">
        <v>15481</v>
      </c>
      <c r="I1058" s="36" t="s">
        <v>15481</v>
      </c>
      <c r="J1058" s="36" t="s">
        <v>15481</v>
      </c>
      <c r="K1058" s="36" t="s">
        <v>15481</v>
      </c>
      <c r="L1058" s="36" t="s">
        <v>15481</v>
      </c>
      <c r="M1058" s="36" t="s">
        <v>15481</v>
      </c>
      <c r="N1058" s="36" t="s">
        <v>15481</v>
      </c>
      <c r="O1058" s="36" t="s">
        <v>15481</v>
      </c>
      <c r="P1058" s="36" t="s">
        <v>15481</v>
      </c>
    </row>
    <row r="1059" spans="1:16">
      <c r="A1059" s="132">
        <v>1058</v>
      </c>
      <c r="B1059" s="36" t="s">
        <v>15482</v>
      </c>
      <c r="C1059" s="36" t="s">
        <v>15482</v>
      </c>
      <c r="D1059" s="36" t="s">
        <v>15482</v>
      </c>
      <c r="E1059" s="36" t="s">
        <v>15482</v>
      </c>
      <c r="F1059" s="36" t="s">
        <v>15482</v>
      </c>
      <c r="G1059" s="36" t="s">
        <v>15482</v>
      </c>
      <c r="H1059" s="36" t="s">
        <v>15482</v>
      </c>
      <c r="I1059" s="36" t="s">
        <v>15482</v>
      </c>
      <c r="J1059" s="36" t="s">
        <v>15482</v>
      </c>
      <c r="K1059" s="36" t="s">
        <v>15482</v>
      </c>
      <c r="L1059" s="36" t="s">
        <v>15482</v>
      </c>
      <c r="M1059" s="36" t="s">
        <v>15482</v>
      </c>
      <c r="N1059" s="36" t="s">
        <v>15482</v>
      </c>
      <c r="O1059" s="36" t="s">
        <v>15482</v>
      </c>
      <c r="P1059" s="36" t="s">
        <v>15482</v>
      </c>
    </row>
    <row r="1060" spans="1:16">
      <c r="A1060" s="132">
        <v>1059</v>
      </c>
      <c r="B1060" s="36" t="s">
        <v>15483</v>
      </c>
      <c r="C1060" s="36" t="s">
        <v>15483</v>
      </c>
      <c r="D1060" s="36" t="s">
        <v>15483</v>
      </c>
      <c r="E1060" s="36" t="s">
        <v>15483</v>
      </c>
      <c r="F1060" s="36" t="s">
        <v>15483</v>
      </c>
      <c r="G1060" s="36" t="s">
        <v>15483</v>
      </c>
      <c r="H1060" s="36" t="s">
        <v>15483</v>
      </c>
      <c r="I1060" s="36" t="s">
        <v>15483</v>
      </c>
      <c r="J1060" s="36" t="s">
        <v>15483</v>
      </c>
      <c r="K1060" s="36" t="s">
        <v>15483</v>
      </c>
      <c r="L1060" s="36" t="s">
        <v>15483</v>
      </c>
      <c r="M1060" s="36" t="s">
        <v>15483</v>
      </c>
      <c r="N1060" s="36" t="s">
        <v>15483</v>
      </c>
      <c r="O1060" s="36" t="s">
        <v>15483</v>
      </c>
      <c r="P1060" s="36" t="s">
        <v>15483</v>
      </c>
    </row>
    <row r="1061" spans="1:16">
      <c r="A1061" s="132">
        <v>1060</v>
      </c>
      <c r="B1061" s="36" t="s">
        <v>15484</v>
      </c>
      <c r="C1061" s="36" t="s">
        <v>15484</v>
      </c>
      <c r="D1061" s="36" t="s">
        <v>15484</v>
      </c>
      <c r="E1061" s="36" t="s">
        <v>15484</v>
      </c>
      <c r="F1061" s="36" t="s">
        <v>15484</v>
      </c>
      <c r="G1061" s="36" t="s">
        <v>15484</v>
      </c>
      <c r="H1061" s="36" t="s">
        <v>15484</v>
      </c>
      <c r="I1061" s="36" t="s">
        <v>15484</v>
      </c>
      <c r="J1061" s="36" t="s">
        <v>15484</v>
      </c>
      <c r="K1061" s="36" t="s">
        <v>15484</v>
      </c>
      <c r="L1061" s="36" t="s">
        <v>15484</v>
      </c>
      <c r="M1061" s="36" t="s">
        <v>15484</v>
      </c>
      <c r="N1061" s="36" t="s">
        <v>15484</v>
      </c>
      <c r="O1061" s="36" t="s">
        <v>15484</v>
      </c>
      <c r="P1061" s="36" t="s">
        <v>15484</v>
      </c>
    </row>
    <row r="1062" spans="1:16">
      <c r="A1062" s="132">
        <v>1061</v>
      </c>
      <c r="B1062" s="36" t="s">
        <v>15485</v>
      </c>
      <c r="C1062" s="36" t="s">
        <v>15485</v>
      </c>
      <c r="D1062" s="36" t="s">
        <v>15485</v>
      </c>
      <c r="E1062" s="36" t="s">
        <v>15485</v>
      </c>
      <c r="F1062" s="36" t="s">
        <v>15485</v>
      </c>
      <c r="G1062" s="36" t="s">
        <v>15485</v>
      </c>
      <c r="H1062" s="36" t="s">
        <v>15485</v>
      </c>
      <c r="I1062" s="36" t="s">
        <v>15485</v>
      </c>
      <c r="J1062" s="36" t="s">
        <v>15485</v>
      </c>
      <c r="K1062" s="36" t="s">
        <v>15485</v>
      </c>
      <c r="L1062" s="36" t="s">
        <v>15485</v>
      </c>
      <c r="M1062" s="36" t="s">
        <v>15485</v>
      </c>
      <c r="N1062" s="36" t="s">
        <v>15485</v>
      </c>
      <c r="O1062" s="36" t="s">
        <v>15485</v>
      </c>
      <c r="P1062" s="36" t="s">
        <v>15485</v>
      </c>
    </row>
    <row r="1063" spans="1:16">
      <c r="A1063" s="132">
        <v>1062</v>
      </c>
      <c r="B1063" s="36" t="s">
        <v>15486</v>
      </c>
      <c r="C1063" s="36" t="s">
        <v>15486</v>
      </c>
      <c r="D1063" s="36" t="s">
        <v>15486</v>
      </c>
      <c r="E1063" s="36" t="s">
        <v>15486</v>
      </c>
      <c r="F1063" s="36" t="s">
        <v>15486</v>
      </c>
      <c r="G1063" s="36" t="s">
        <v>15486</v>
      </c>
      <c r="H1063" s="36" t="s">
        <v>15486</v>
      </c>
      <c r="I1063" s="36" t="s">
        <v>15486</v>
      </c>
      <c r="J1063" s="36" t="s">
        <v>15486</v>
      </c>
      <c r="K1063" s="36" t="s">
        <v>15486</v>
      </c>
      <c r="L1063" s="36" t="s">
        <v>15486</v>
      </c>
      <c r="M1063" s="36" t="s">
        <v>15486</v>
      </c>
      <c r="N1063" s="36" t="s">
        <v>15486</v>
      </c>
      <c r="O1063" s="36" t="s">
        <v>15486</v>
      </c>
      <c r="P1063" s="36" t="s">
        <v>15486</v>
      </c>
    </row>
    <row r="1064" spans="1:16">
      <c r="A1064" s="132">
        <v>1063</v>
      </c>
      <c r="B1064" s="36" t="s">
        <v>15487</v>
      </c>
      <c r="C1064" s="36" t="s">
        <v>15487</v>
      </c>
      <c r="D1064" s="36" t="s">
        <v>15487</v>
      </c>
      <c r="E1064" s="36" t="s">
        <v>15487</v>
      </c>
      <c r="F1064" s="36" t="s">
        <v>15487</v>
      </c>
      <c r="G1064" s="36" t="s">
        <v>15487</v>
      </c>
      <c r="H1064" s="36" t="s">
        <v>15487</v>
      </c>
      <c r="I1064" s="36" t="s">
        <v>15487</v>
      </c>
      <c r="J1064" s="36" t="s">
        <v>15487</v>
      </c>
      <c r="K1064" s="36" t="s">
        <v>15487</v>
      </c>
      <c r="L1064" s="36" t="s">
        <v>15487</v>
      </c>
      <c r="M1064" s="36" t="s">
        <v>15487</v>
      </c>
      <c r="N1064" s="36" t="s">
        <v>15487</v>
      </c>
      <c r="O1064" s="36" t="s">
        <v>15487</v>
      </c>
      <c r="P1064" s="36" t="s">
        <v>15487</v>
      </c>
    </row>
    <row r="1065" spans="1:16">
      <c r="A1065" s="132">
        <v>1064</v>
      </c>
      <c r="B1065" s="36" t="s">
        <v>15488</v>
      </c>
      <c r="C1065" s="36" t="s">
        <v>15488</v>
      </c>
      <c r="D1065" s="36" t="s">
        <v>15488</v>
      </c>
      <c r="E1065" s="36" t="s">
        <v>15488</v>
      </c>
      <c r="F1065" s="36" t="s">
        <v>15488</v>
      </c>
      <c r="G1065" s="36" t="s">
        <v>15488</v>
      </c>
      <c r="H1065" s="36" t="s">
        <v>15488</v>
      </c>
      <c r="I1065" s="36" t="s">
        <v>15488</v>
      </c>
      <c r="J1065" s="36" t="s">
        <v>15488</v>
      </c>
      <c r="K1065" s="36" t="s">
        <v>15488</v>
      </c>
      <c r="L1065" s="36" t="s">
        <v>15488</v>
      </c>
      <c r="M1065" s="36" t="s">
        <v>15488</v>
      </c>
      <c r="N1065" s="36" t="s">
        <v>15488</v>
      </c>
      <c r="O1065" s="36" t="s">
        <v>15488</v>
      </c>
      <c r="P1065" s="36" t="s">
        <v>15488</v>
      </c>
    </row>
    <row r="1066" spans="1:16">
      <c r="A1066" s="132">
        <v>1065</v>
      </c>
      <c r="B1066" s="36" t="s">
        <v>15489</v>
      </c>
      <c r="C1066" s="36" t="s">
        <v>15489</v>
      </c>
      <c r="D1066" s="36" t="s">
        <v>15489</v>
      </c>
      <c r="E1066" s="36" t="s">
        <v>15489</v>
      </c>
      <c r="F1066" s="36" t="s">
        <v>15489</v>
      </c>
      <c r="G1066" s="36" t="s">
        <v>15489</v>
      </c>
      <c r="H1066" s="36" t="s">
        <v>15489</v>
      </c>
      <c r="I1066" s="36" t="s">
        <v>15489</v>
      </c>
      <c r="J1066" s="36" t="s">
        <v>15489</v>
      </c>
      <c r="K1066" s="36" t="s">
        <v>15489</v>
      </c>
      <c r="L1066" s="36" t="s">
        <v>15489</v>
      </c>
      <c r="M1066" s="36" t="s">
        <v>15489</v>
      </c>
      <c r="N1066" s="36" t="s">
        <v>15489</v>
      </c>
      <c r="O1066" s="36" t="s">
        <v>15489</v>
      </c>
      <c r="P1066" s="36" t="s">
        <v>15489</v>
      </c>
    </row>
    <row r="1067" spans="1:16">
      <c r="A1067" s="132">
        <v>1066</v>
      </c>
      <c r="B1067" s="36" t="s">
        <v>15490</v>
      </c>
      <c r="C1067" s="36" t="s">
        <v>15490</v>
      </c>
      <c r="D1067" s="36" t="s">
        <v>15490</v>
      </c>
      <c r="E1067" s="36" t="s">
        <v>15490</v>
      </c>
      <c r="F1067" s="36" t="s">
        <v>15490</v>
      </c>
      <c r="G1067" s="36" t="s">
        <v>15490</v>
      </c>
      <c r="H1067" s="36" t="s">
        <v>15490</v>
      </c>
      <c r="I1067" s="36" t="s">
        <v>15490</v>
      </c>
      <c r="J1067" s="36" t="s">
        <v>15490</v>
      </c>
      <c r="K1067" s="36" t="s">
        <v>15490</v>
      </c>
      <c r="L1067" s="36" t="s">
        <v>15490</v>
      </c>
      <c r="M1067" s="36" t="s">
        <v>15490</v>
      </c>
      <c r="N1067" s="36" t="s">
        <v>15490</v>
      </c>
      <c r="O1067" s="36" t="s">
        <v>15490</v>
      </c>
      <c r="P1067" s="36" t="s">
        <v>15490</v>
      </c>
    </row>
    <row r="1068" spans="1:16">
      <c r="A1068" s="132">
        <v>1067</v>
      </c>
      <c r="B1068" s="36" t="s">
        <v>15491</v>
      </c>
      <c r="C1068" s="36" t="s">
        <v>15491</v>
      </c>
      <c r="D1068" s="36" t="s">
        <v>15491</v>
      </c>
      <c r="E1068" s="36" t="s">
        <v>15491</v>
      </c>
      <c r="F1068" s="36" t="s">
        <v>15491</v>
      </c>
      <c r="G1068" s="36" t="s">
        <v>15491</v>
      </c>
      <c r="H1068" s="36" t="s">
        <v>15491</v>
      </c>
      <c r="I1068" s="36" t="s">
        <v>15491</v>
      </c>
      <c r="J1068" s="36" t="s">
        <v>15491</v>
      </c>
      <c r="K1068" s="36" t="s">
        <v>15491</v>
      </c>
      <c r="L1068" s="36" t="s">
        <v>15491</v>
      </c>
      <c r="M1068" s="36" t="s">
        <v>15491</v>
      </c>
      <c r="N1068" s="36" t="s">
        <v>15491</v>
      </c>
      <c r="O1068" s="36" t="s">
        <v>15491</v>
      </c>
      <c r="P1068" s="36" t="s">
        <v>15491</v>
      </c>
    </row>
    <row r="1069" spans="1:16">
      <c r="A1069" s="132">
        <v>1068</v>
      </c>
      <c r="B1069" s="36" t="s">
        <v>15492</v>
      </c>
      <c r="C1069" s="36" t="s">
        <v>15492</v>
      </c>
      <c r="D1069" s="36" t="s">
        <v>15492</v>
      </c>
      <c r="E1069" s="36" t="s">
        <v>15492</v>
      </c>
      <c r="F1069" s="36" t="s">
        <v>15492</v>
      </c>
      <c r="G1069" s="36" t="s">
        <v>15492</v>
      </c>
      <c r="H1069" s="36" t="s">
        <v>15492</v>
      </c>
      <c r="I1069" s="36" t="s">
        <v>15492</v>
      </c>
      <c r="J1069" s="36" t="s">
        <v>15492</v>
      </c>
      <c r="K1069" s="36" t="s">
        <v>15492</v>
      </c>
      <c r="L1069" s="36" t="s">
        <v>15492</v>
      </c>
      <c r="M1069" s="36" t="s">
        <v>15492</v>
      </c>
      <c r="N1069" s="36" t="s">
        <v>15492</v>
      </c>
      <c r="O1069" s="36" t="s">
        <v>15492</v>
      </c>
      <c r="P1069" s="36" t="s">
        <v>15492</v>
      </c>
    </row>
    <row r="1070" spans="1:16">
      <c r="A1070" s="132">
        <v>1069</v>
      </c>
      <c r="B1070" s="36" t="s">
        <v>15493</v>
      </c>
      <c r="C1070" s="36" t="s">
        <v>15493</v>
      </c>
      <c r="D1070" s="36" t="s">
        <v>15493</v>
      </c>
      <c r="E1070" s="36" t="s">
        <v>15493</v>
      </c>
      <c r="F1070" s="36" t="s">
        <v>15493</v>
      </c>
      <c r="G1070" s="36" t="s">
        <v>15493</v>
      </c>
      <c r="H1070" s="36" t="s">
        <v>15493</v>
      </c>
      <c r="I1070" s="36" t="s">
        <v>15493</v>
      </c>
      <c r="J1070" s="36" t="s">
        <v>15493</v>
      </c>
      <c r="K1070" s="36" t="s">
        <v>15493</v>
      </c>
      <c r="L1070" s="36" t="s">
        <v>15493</v>
      </c>
      <c r="M1070" s="36" t="s">
        <v>15493</v>
      </c>
      <c r="N1070" s="36" t="s">
        <v>15493</v>
      </c>
      <c r="O1070" s="36" t="s">
        <v>15493</v>
      </c>
      <c r="P1070" s="36" t="s">
        <v>15493</v>
      </c>
    </row>
    <row r="1071" spans="1:16">
      <c r="A1071" s="132">
        <v>1070</v>
      </c>
      <c r="B1071" s="36" t="s">
        <v>15494</v>
      </c>
      <c r="C1071" s="36" t="s">
        <v>15494</v>
      </c>
      <c r="D1071" s="36" t="s">
        <v>15494</v>
      </c>
      <c r="E1071" s="36" t="s">
        <v>15494</v>
      </c>
      <c r="F1071" s="36" t="s">
        <v>15494</v>
      </c>
      <c r="G1071" s="36" t="s">
        <v>15494</v>
      </c>
      <c r="H1071" s="36" t="s">
        <v>15494</v>
      </c>
      <c r="I1071" s="36" t="s">
        <v>15494</v>
      </c>
      <c r="J1071" s="36" t="s">
        <v>15494</v>
      </c>
      <c r="K1071" s="36" t="s">
        <v>15494</v>
      </c>
      <c r="L1071" s="36" t="s">
        <v>15494</v>
      </c>
      <c r="M1071" s="36" t="s">
        <v>15494</v>
      </c>
      <c r="N1071" s="36" t="s">
        <v>15494</v>
      </c>
      <c r="O1071" s="36" t="s">
        <v>15494</v>
      </c>
      <c r="P1071" s="36" t="s">
        <v>15494</v>
      </c>
    </row>
    <row r="1072" spans="1:16">
      <c r="A1072" s="132">
        <v>1071</v>
      </c>
      <c r="B1072" s="36" t="s">
        <v>15495</v>
      </c>
      <c r="C1072" s="36" t="s">
        <v>15495</v>
      </c>
      <c r="D1072" s="36" t="s">
        <v>15495</v>
      </c>
      <c r="E1072" s="36" t="s">
        <v>15495</v>
      </c>
      <c r="F1072" s="36" t="s">
        <v>15495</v>
      </c>
      <c r="G1072" s="36" t="s">
        <v>15495</v>
      </c>
      <c r="H1072" s="36" t="s">
        <v>15495</v>
      </c>
      <c r="I1072" s="36" t="s">
        <v>15495</v>
      </c>
      <c r="J1072" s="36" t="s">
        <v>15495</v>
      </c>
      <c r="K1072" s="36" t="s">
        <v>15495</v>
      </c>
      <c r="L1072" s="36" t="s">
        <v>15495</v>
      </c>
      <c r="M1072" s="36" t="s">
        <v>15495</v>
      </c>
      <c r="N1072" s="36" t="s">
        <v>15495</v>
      </c>
      <c r="O1072" s="36" t="s">
        <v>15495</v>
      </c>
      <c r="P1072" s="36" t="s">
        <v>15495</v>
      </c>
    </row>
    <row r="1073" spans="1:16">
      <c r="A1073" s="132">
        <v>1072</v>
      </c>
      <c r="B1073" s="36" t="s">
        <v>15496</v>
      </c>
      <c r="C1073" s="36" t="s">
        <v>15496</v>
      </c>
      <c r="D1073" s="36" t="s">
        <v>15496</v>
      </c>
      <c r="E1073" s="36" t="s">
        <v>15496</v>
      </c>
      <c r="F1073" s="36" t="s">
        <v>15496</v>
      </c>
      <c r="G1073" s="36" t="s">
        <v>15496</v>
      </c>
      <c r="H1073" s="36" t="s">
        <v>15496</v>
      </c>
      <c r="I1073" s="36" t="s">
        <v>15496</v>
      </c>
      <c r="J1073" s="36" t="s">
        <v>15496</v>
      </c>
      <c r="K1073" s="36" t="s">
        <v>15496</v>
      </c>
      <c r="L1073" s="36" t="s">
        <v>15496</v>
      </c>
      <c r="M1073" s="36" t="s">
        <v>15496</v>
      </c>
      <c r="N1073" s="36" t="s">
        <v>15496</v>
      </c>
      <c r="O1073" s="36" t="s">
        <v>15496</v>
      </c>
      <c r="P1073" s="36" t="s">
        <v>15496</v>
      </c>
    </row>
    <row r="1074" spans="1:16">
      <c r="A1074" s="132">
        <v>1073</v>
      </c>
      <c r="B1074" s="36" t="s">
        <v>15497</v>
      </c>
      <c r="C1074" s="36" t="s">
        <v>15497</v>
      </c>
      <c r="D1074" s="36" t="s">
        <v>15497</v>
      </c>
      <c r="E1074" s="36" t="s">
        <v>15497</v>
      </c>
      <c r="F1074" s="36" t="s">
        <v>15497</v>
      </c>
      <c r="G1074" s="36" t="s">
        <v>15497</v>
      </c>
      <c r="H1074" s="36" t="s">
        <v>15497</v>
      </c>
      <c r="I1074" s="36" t="s">
        <v>15497</v>
      </c>
      <c r="J1074" s="36" t="s">
        <v>15497</v>
      </c>
      <c r="K1074" s="36" t="s">
        <v>15497</v>
      </c>
      <c r="L1074" s="36" t="s">
        <v>15497</v>
      </c>
      <c r="M1074" s="36" t="s">
        <v>15497</v>
      </c>
      <c r="N1074" s="36" t="s">
        <v>15497</v>
      </c>
      <c r="O1074" s="36" t="s">
        <v>15497</v>
      </c>
      <c r="P1074" s="36" t="s">
        <v>15497</v>
      </c>
    </row>
    <row r="1075" spans="1:16">
      <c r="A1075" s="132">
        <v>1074</v>
      </c>
      <c r="B1075" s="36" t="s">
        <v>15498</v>
      </c>
      <c r="C1075" s="36" t="s">
        <v>15498</v>
      </c>
      <c r="D1075" s="36" t="s">
        <v>15498</v>
      </c>
      <c r="E1075" s="36" t="s">
        <v>15498</v>
      </c>
      <c r="F1075" s="36" t="s">
        <v>15498</v>
      </c>
      <c r="G1075" s="36" t="s">
        <v>15498</v>
      </c>
      <c r="H1075" s="36" t="s">
        <v>15498</v>
      </c>
      <c r="I1075" s="36" t="s">
        <v>15498</v>
      </c>
      <c r="J1075" s="36" t="s">
        <v>15498</v>
      </c>
      <c r="K1075" s="36" t="s">
        <v>15498</v>
      </c>
      <c r="L1075" s="36" t="s">
        <v>15498</v>
      </c>
      <c r="M1075" s="36" t="s">
        <v>15498</v>
      </c>
      <c r="N1075" s="36" t="s">
        <v>15498</v>
      </c>
      <c r="O1075" s="36" t="s">
        <v>15498</v>
      </c>
      <c r="P1075" s="36" t="s">
        <v>15498</v>
      </c>
    </row>
    <row r="1076" spans="1:16">
      <c r="A1076" s="132">
        <v>1075</v>
      </c>
      <c r="B1076" s="36" t="s">
        <v>15499</v>
      </c>
      <c r="C1076" s="36" t="s">
        <v>15499</v>
      </c>
      <c r="D1076" s="36" t="s">
        <v>15499</v>
      </c>
      <c r="E1076" s="36" t="s">
        <v>15499</v>
      </c>
      <c r="F1076" s="36" t="s">
        <v>15499</v>
      </c>
      <c r="G1076" s="36" t="s">
        <v>15499</v>
      </c>
      <c r="H1076" s="36" t="s">
        <v>15499</v>
      </c>
      <c r="I1076" s="36" t="s">
        <v>15499</v>
      </c>
      <c r="J1076" s="36" t="s">
        <v>15499</v>
      </c>
      <c r="K1076" s="36" t="s">
        <v>15499</v>
      </c>
      <c r="L1076" s="36" t="s">
        <v>15499</v>
      </c>
      <c r="M1076" s="36" t="s">
        <v>15499</v>
      </c>
      <c r="N1076" s="36" t="s">
        <v>15499</v>
      </c>
      <c r="O1076" s="36" t="s">
        <v>15499</v>
      </c>
      <c r="P1076" s="36" t="s">
        <v>15499</v>
      </c>
    </row>
    <row r="1077" spans="1:16">
      <c r="A1077" s="132">
        <v>1076</v>
      </c>
      <c r="B1077" s="36" t="s">
        <v>15500</v>
      </c>
      <c r="C1077" s="36" t="s">
        <v>15500</v>
      </c>
      <c r="D1077" s="36" t="s">
        <v>15500</v>
      </c>
      <c r="E1077" s="36" t="s">
        <v>15500</v>
      </c>
      <c r="F1077" s="36" t="s">
        <v>15500</v>
      </c>
      <c r="G1077" s="36" t="s">
        <v>15500</v>
      </c>
      <c r="H1077" s="36" t="s">
        <v>15500</v>
      </c>
      <c r="I1077" s="36" t="s">
        <v>15500</v>
      </c>
      <c r="J1077" s="36" t="s">
        <v>15500</v>
      </c>
      <c r="K1077" s="36" t="s">
        <v>15500</v>
      </c>
      <c r="L1077" s="36" t="s">
        <v>15500</v>
      </c>
      <c r="M1077" s="36" t="s">
        <v>15500</v>
      </c>
      <c r="N1077" s="36" t="s">
        <v>15500</v>
      </c>
      <c r="O1077" s="36" t="s">
        <v>15500</v>
      </c>
      <c r="P1077" s="36" t="s">
        <v>15500</v>
      </c>
    </row>
    <row r="1078" spans="1:16">
      <c r="A1078" s="132">
        <v>1077</v>
      </c>
      <c r="B1078" s="36" t="s">
        <v>15501</v>
      </c>
      <c r="C1078" s="36" t="s">
        <v>15501</v>
      </c>
      <c r="D1078" s="36" t="s">
        <v>15501</v>
      </c>
      <c r="E1078" s="36" t="s">
        <v>15501</v>
      </c>
      <c r="F1078" s="36" t="s">
        <v>15501</v>
      </c>
      <c r="G1078" s="36" t="s">
        <v>15501</v>
      </c>
      <c r="H1078" s="36" t="s">
        <v>15501</v>
      </c>
      <c r="I1078" s="36" t="s">
        <v>15501</v>
      </c>
      <c r="J1078" s="36" t="s">
        <v>15501</v>
      </c>
      <c r="K1078" s="36" t="s">
        <v>15501</v>
      </c>
      <c r="L1078" s="36" t="s">
        <v>15501</v>
      </c>
      <c r="M1078" s="36" t="s">
        <v>15501</v>
      </c>
      <c r="N1078" s="36" t="s">
        <v>15501</v>
      </c>
      <c r="O1078" s="36" t="s">
        <v>15501</v>
      </c>
      <c r="P1078" s="36" t="s">
        <v>15501</v>
      </c>
    </row>
    <row r="1079" spans="1:16">
      <c r="A1079" s="132">
        <v>1078</v>
      </c>
      <c r="B1079" s="36" t="s">
        <v>15502</v>
      </c>
      <c r="C1079" s="36" t="s">
        <v>15502</v>
      </c>
      <c r="D1079" s="36" t="s">
        <v>15502</v>
      </c>
      <c r="E1079" s="36" t="s">
        <v>15502</v>
      </c>
      <c r="F1079" s="36" t="s">
        <v>15502</v>
      </c>
      <c r="G1079" s="36" t="s">
        <v>15502</v>
      </c>
      <c r="H1079" s="36" t="s">
        <v>15502</v>
      </c>
      <c r="I1079" s="36" t="s">
        <v>15502</v>
      </c>
      <c r="J1079" s="36" t="s">
        <v>15502</v>
      </c>
      <c r="K1079" s="36" t="s">
        <v>15502</v>
      </c>
      <c r="L1079" s="36" t="s">
        <v>15502</v>
      </c>
      <c r="M1079" s="36" t="s">
        <v>15502</v>
      </c>
      <c r="N1079" s="36" t="s">
        <v>15502</v>
      </c>
      <c r="O1079" s="36" t="s">
        <v>15502</v>
      </c>
      <c r="P1079" s="36" t="s">
        <v>15502</v>
      </c>
    </row>
    <row r="1080" spans="1:16">
      <c r="A1080" s="132">
        <v>1079</v>
      </c>
      <c r="B1080" s="36" t="s">
        <v>15503</v>
      </c>
      <c r="C1080" s="36" t="s">
        <v>15503</v>
      </c>
      <c r="D1080" s="36" t="s">
        <v>15503</v>
      </c>
      <c r="E1080" s="36" t="s">
        <v>15503</v>
      </c>
      <c r="F1080" s="36" t="s">
        <v>15503</v>
      </c>
      <c r="G1080" s="36" t="s">
        <v>15503</v>
      </c>
      <c r="H1080" s="36" t="s">
        <v>15503</v>
      </c>
      <c r="I1080" s="36" t="s">
        <v>15503</v>
      </c>
      <c r="J1080" s="36" t="s">
        <v>15503</v>
      </c>
      <c r="K1080" s="36" t="s">
        <v>15503</v>
      </c>
      <c r="L1080" s="36" t="s">
        <v>15503</v>
      </c>
      <c r="M1080" s="36" t="s">
        <v>15503</v>
      </c>
      <c r="N1080" s="36" t="s">
        <v>15503</v>
      </c>
      <c r="O1080" s="36" t="s">
        <v>15503</v>
      </c>
      <c r="P1080" s="36" t="s">
        <v>15503</v>
      </c>
    </row>
    <row r="1081" spans="1:16">
      <c r="A1081" s="132">
        <v>1080</v>
      </c>
      <c r="B1081" s="36" t="s">
        <v>15504</v>
      </c>
      <c r="C1081" s="36" t="s">
        <v>15504</v>
      </c>
      <c r="D1081" s="36" t="s">
        <v>15504</v>
      </c>
      <c r="E1081" s="36" t="s">
        <v>15504</v>
      </c>
      <c r="F1081" s="36" t="s">
        <v>15504</v>
      </c>
      <c r="G1081" s="36" t="s">
        <v>15504</v>
      </c>
      <c r="H1081" s="36" t="s">
        <v>15504</v>
      </c>
      <c r="I1081" s="36" t="s">
        <v>15504</v>
      </c>
      <c r="J1081" s="36" t="s">
        <v>15504</v>
      </c>
      <c r="K1081" s="36" t="s">
        <v>15504</v>
      </c>
      <c r="L1081" s="36" t="s">
        <v>15504</v>
      </c>
      <c r="M1081" s="36" t="s">
        <v>15504</v>
      </c>
      <c r="N1081" s="36" t="s">
        <v>15504</v>
      </c>
      <c r="O1081" s="36" t="s">
        <v>15504</v>
      </c>
      <c r="P1081" s="36" t="s">
        <v>15504</v>
      </c>
    </row>
    <row r="1082" spans="1:16">
      <c r="A1082" s="132">
        <v>1081</v>
      </c>
      <c r="B1082" s="36" t="s">
        <v>15505</v>
      </c>
      <c r="C1082" s="36" t="s">
        <v>15505</v>
      </c>
      <c r="D1082" s="36" t="s">
        <v>15505</v>
      </c>
      <c r="E1082" s="36" t="s">
        <v>15505</v>
      </c>
      <c r="F1082" s="36" t="s">
        <v>15505</v>
      </c>
      <c r="G1082" s="36" t="s">
        <v>15505</v>
      </c>
      <c r="H1082" s="36" t="s">
        <v>15505</v>
      </c>
      <c r="I1082" s="36" t="s">
        <v>15505</v>
      </c>
      <c r="J1082" s="36" t="s">
        <v>15505</v>
      </c>
      <c r="K1082" s="36" t="s">
        <v>15505</v>
      </c>
      <c r="L1082" s="36" t="s">
        <v>15505</v>
      </c>
      <c r="M1082" s="36" t="s">
        <v>15505</v>
      </c>
      <c r="N1082" s="36" t="s">
        <v>15505</v>
      </c>
      <c r="O1082" s="36" t="s">
        <v>15505</v>
      </c>
      <c r="P1082" s="36" t="s">
        <v>15505</v>
      </c>
    </row>
    <row r="1083" spans="1:16">
      <c r="A1083" s="132">
        <v>1082</v>
      </c>
      <c r="B1083" s="36" t="s">
        <v>15506</v>
      </c>
      <c r="C1083" s="36" t="s">
        <v>15506</v>
      </c>
      <c r="D1083" s="36" t="s">
        <v>15506</v>
      </c>
      <c r="E1083" s="36" t="s">
        <v>15506</v>
      </c>
      <c r="F1083" s="36" t="s">
        <v>15506</v>
      </c>
      <c r="G1083" s="36" t="s">
        <v>15506</v>
      </c>
      <c r="H1083" s="36" t="s">
        <v>15506</v>
      </c>
      <c r="I1083" s="36" t="s">
        <v>15506</v>
      </c>
      <c r="J1083" s="36" t="s">
        <v>15506</v>
      </c>
      <c r="K1083" s="36" t="s">
        <v>15506</v>
      </c>
      <c r="L1083" s="36" t="s">
        <v>15506</v>
      </c>
      <c r="M1083" s="36" t="s">
        <v>15506</v>
      </c>
      <c r="N1083" s="36" t="s">
        <v>15506</v>
      </c>
      <c r="O1083" s="36" t="s">
        <v>15506</v>
      </c>
      <c r="P1083" s="36" t="s">
        <v>15506</v>
      </c>
    </row>
    <row r="1084" spans="1:16">
      <c r="A1084" s="132">
        <v>1083</v>
      </c>
      <c r="B1084" s="36" t="s">
        <v>15507</v>
      </c>
      <c r="C1084" s="36" t="s">
        <v>15507</v>
      </c>
      <c r="D1084" s="36" t="s">
        <v>15507</v>
      </c>
      <c r="E1084" s="36" t="s">
        <v>15507</v>
      </c>
      <c r="F1084" s="36" t="s">
        <v>15507</v>
      </c>
      <c r="G1084" s="36" t="s">
        <v>15507</v>
      </c>
      <c r="H1084" s="36" t="s">
        <v>15507</v>
      </c>
      <c r="I1084" s="36" t="s">
        <v>15507</v>
      </c>
      <c r="J1084" s="36" t="s">
        <v>15507</v>
      </c>
      <c r="K1084" s="36" t="s">
        <v>15507</v>
      </c>
      <c r="L1084" s="36" t="s">
        <v>15507</v>
      </c>
      <c r="M1084" s="36" t="s">
        <v>15507</v>
      </c>
      <c r="N1084" s="36" t="s">
        <v>15507</v>
      </c>
      <c r="O1084" s="36" t="s">
        <v>15507</v>
      </c>
      <c r="P1084" s="36" t="s">
        <v>15507</v>
      </c>
    </row>
    <row r="1085" spans="1:16">
      <c r="A1085" s="132">
        <v>1084</v>
      </c>
      <c r="B1085" s="36" t="s">
        <v>15508</v>
      </c>
      <c r="C1085" s="36" t="s">
        <v>15508</v>
      </c>
      <c r="D1085" s="36" t="s">
        <v>15508</v>
      </c>
      <c r="E1085" s="36" t="s">
        <v>15508</v>
      </c>
      <c r="F1085" s="36" t="s">
        <v>15508</v>
      </c>
      <c r="G1085" s="36" t="s">
        <v>15508</v>
      </c>
      <c r="H1085" s="36" t="s">
        <v>15508</v>
      </c>
      <c r="I1085" s="36" t="s">
        <v>15508</v>
      </c>
      <c r="J1085" s="36" t="s">
        <v>15508</v>
      </c>
      <c r="K1085" s="36" t="s">
        <v>15508</v>
      </c>
      <c r="L1085" s="36" t="s">
        <v>15508</v>
      </c>
      <c r="M1085" s="36" t="s">
        <v>15508</v>
      </c>
      <c r="N1085" s="36" t="s">
        <v>15508</v>
      </c>
      <c r="O1085" s="36" t="s">
        <v>15508</v>
      </c>
      <c r="P1085" s="36" t="s">
        <v>15508</v>
      </c>
    </row>
    <row r="1086" spans="1:16">
      <c r="A1086" s="132">
        <v>1085</v>
      </c>
      <c r="B1086" s="36" t="s">
        <v>15509</v>
      </c>
      <c r="C1086" s="36" t="s">
        <v>15509</v>
      </c>
      <c r="D1086" s="36" t="s">
        <v>15509</v>
      </c>
      <c r="E1086" s="36" t="s">
        <v>15509</v>
      </c>
      <c r="F1086" s="36" t="s">
        <v>15509</v>
      </c>
      <c r="G1086" s="36" t="s">
        <v>15509</v>
      </c>
      <c r="H1086" s="36" t="s">
        <v>15509</v>
      </c>
      <c r="I1086" s="36" t="s">
        <v>15509</v>
      </c>
      <c r="J1086" s="36" t="s">
        <v>15509</v>
      </c>
      <c r="K1086" s="36" t="s">
        <v>15509</v>
      </c>
      <c r="L1086" s="36" t="s">
        <v>15509</v>
      </c>
      <c r="M1086" s="36" t="s">
        <v>15509</v>
      </c>
      <c r="N1086" s="36" t="s">
        <v>15509</v>
      </c>
      <c r="O1086" s="36" t="s">
        <v>15509</v>
      </c>
      <c r="P1086" s="36" t="s">
        <v>15509</v>
      </c>
    </row>
    <row r="1087" spans="1:16">
      <c r="A1087" s="132">
        <v>1086</v>
      </c>
      <c r="B1087" s="36" t="s">
        <v>15510</v>
      </c>
      <c r="C1087" s="36" t="s">
        <v>15510</v>
      </c>
      <c r="D1087" s="36" t="s">
        <v>15510</v>
      </c>
      <c r="E1087" s="36" t="s">
        <v>15510</v>
      </c>
      <c r="F1087" s="36" t="s">
        <v>15510</v>
      </c>
      <c r="G1087" s="36" t="s">
        <v>15510</v>
      </c>
      <c r="H1087" s="36" t="s">
        <v>15510</v>
      </c>
      <c r="I1087" s="36" t="s">
        <v>15510</v>
      </c>
      <c r="J1087" s="36" t="s">
        <v>15510</v>
      </c>
      <c r="K1087" s="36" t="s">
        <v>15510</v>
      </c>
      <c r="L1087" s="36" t="s">
        <v>15510</v>
      </c>
      <c r="M1087" s="36" t="s">
        <v>15510</v>
      </c>
      <c r="N1087" s="36" t="s">
        <v>15510</v>
      </c>
      <c r="O1087" s="36" t="s">
        <v>15510</v>
      </c>
      <c r="P1087" s="36" t="s">
        <v>15510</v>
      </c>
    </row>
    <row r="1088" spans="1:16">
      <c r="A1088" s="132">
        <v>1087</v>
      </c>
      <c r="B1088" s="36" t="s">
        <v>15511</v>
      </c>
      <c r="C1088" s="36" t="s">
        <v>15511</v>
      </c>
      <c r="D1088" s="36" t="s">
        <v>15511</v>
      </c>
      <c r="E1088" s="36" t="s">
        <v>15511</v>
      </c>
      <c r="F1088" s="36" t="s">
        <v>15511</v>
      </c>
      <c r="G1088" s="36" t="s">
        <v>15511</v>
      </c>
      <c r="H1088" s="36" t="s">
        <v>15511</v>
      </c>
      <c r="I1088" s="36" t="s">
        <v>15511</v>
      </c>
      <c r="J1088" s="36" t="s">
        <v>15511</v>
      </c>
      <c r="K1088" s="36" t="s">
        <v>15511</v>
      </c>
      <c r="L1088" s="36" t="s">
        <v>15511</v>
      </c>
      <c r="M1088" s="36" t="s">
        <v>15511</v>
      </c>
      <c r="N1088" s="36" t="s">
        <v>15511</v>
      </c>
      <c r="O1088" s="36" t="s">
        <v>15511</v>
      </c>
      <c r="P1088" s="36" t="s">
        <v>15511</v>
      </c>
    </row>
    <row r="1089" spans="1:16">
      <c r="A1089" s="132">
        <v>1088</v>
      </c>
      <c r="B1089" s="36" t="s">
        <v>15512</v>
      </c>
      <c r="C1089" s="36" t="s">
        <v>15512</v>
      </c>
      <c r="D1089" s="36" t="s">
        <v>15512</v>
      </c>
      <c r="E1089" s="36" t="s">
        <v>15512</v>
      </c>
      <c r="F1089" s="36" t="s">
        <v>15512</v>
      </c>
      <c r="G1089" s="36" t="s">
        <v>15512</v>
      </c>
      <c r="H1089" s="36" t="s">
        <v>15512</v>
      </c>
      <c r="I1089" s="36" t="s">
        <v>15512</v>
      </c>
      <c r="J1089" s="36" t="s">
        <v>15512</v>
      </c>
      <c r="K1089" s="36" t="s">
        <v>15512</v>
      </c>
      <c r="L1089" s="36" t="s">
        <v>15512</v>
      </c>
      <c r="M1089" s="36" t="s">
        <v>15512</v>
      </c>
      <c r="N1089" s="36" t="s">
        <v>15512</v>
      </c>
      <c r="O1089" s="36" t="s">
        <v>15512</v>
      </c>
      <c r="P1089" s="36" t="s">
        <v>15512</v>
      </c>
    </row>
    <row r="1090" spans="1:16">
      <c r="A1090" s="132">
        <v>1089</v>
      </c>
      <c r="B1090" s="36" t="s">
        <v>15513</v>
      </c>
      <c r="C1090" s="36" t="s">
        <v>15513</v>
      </c>
      <c r="D1090" s="36" t="s">
        <v>15513</v>
      </c>
      <c r="E1090" s="36" t="s">
        <v>15513</v>
      </c>
      <c r="F1090" s="36" t="s">
        <v>15513</v>
      </c>
      <c r="G1090" s="36" t="s">
        <v>15513</v>
      </c>
      <c r="H1090" s="36" t="s">
        <v>15513</v>
      </c>
      <c r="I1090" s="36" t="s">
        <v>15513</v>
      </c>
      <c r="J1090" s="36" t="s">
        <v>15513</v>
      </c>
      <c r="K1090" s="36" t="s">
        <v>15513</v>
      </c>
      <c r="L1090" s="36" t="s">
        <v>15513</v>
      </c>
      <c r="M1090" s="36" t="s">
        <v>15513</v>
      </c>
      <c r="N1090" s="36" t="s">
        <v>15513</v>
      </c>
      <c r="O1090" s="36" t="s">
        <v>15513</v>
      </c>
      <c r="P1090" s="36" t="s">
        <v>15513</v>
      </c>
    </row>
    <row r="1091" spans="1:16">
      <c r="A1091" s="132">
        <v>1090</v>
      </c>
      <c r="B1091" s="36" t="s">
        <v>15514</v>
      </c>
      <c r="C1091" s="36" t="s">
        <v>15514</v>
      </c>
      <c r="D1091" s="36" t="s">
        <v>15514</v>
      </c>
      <c r="E1091" s="36" t="s">
        <v>15514</v>
      </c>
      <c r="F1091" s="36" t="s">
        <v>15514</v>
      </c>
      <c r="G1091" s="36" t="s">
        <v>15514</v>
      </c>
      <c r="H1091" s="36" t="s">
        <v>15514</v>
      </c>
      <c r="I1091" s="36" t="s">
        <v>15514</v>
      </c>
      <c r="J1091" s="36" t="s">
        <v>15514</v>
      </c>
      <c r="K1091" s="36" t="s">
        <v>15514</v>
      </c>
      <c r="L1091" s="36" t="s">
        <v>15514</v>
      </c>
      <c r="M1091" s="36" t="s">
        <v>15514</v>
      </c>
      <c r="N1091" s="36" t="s">
        <v>15514</v>
      </c>
      <c r="O1091" s="36" t="s">
        <v>15514</v>
      </c>
      <c r="P1091" s="36" t="s">
        <v>15514</v>
      </c>
    </row>
    <row r="1092" spans="1:16">
      <c r="A1092" s="132">
        <v>1091</v>
      </c>
      <c r="B1092" s="36" t="s">
        <v>15515</v>
      </c>
      <c r="C1092" s="36" t="s">
        <v>15515</v>
      </c>
      <c r="D1092" s="36" t="s">
        <v>15515</v>
      </c>
      <c r="E1092" s="36" t="s">
        <v>15515</v>
      </c>
      <c r="F1092" s="36" t="s">
        <v>15515</v>
      </c>
      <c r="G1092" s="36" t="s">
        <v>15515</v>
      </c>
      <c r="H1092" s="36" t="s">
        <v>15515</v>
      </c>
      <c r="I1092" s="36" t="s">
        <v>15515</v>
      </c>
      <c r="J1092" s="36" t="s">
        <v>15515</v>
      </c>
      <c r="K1092" s="36" t="s">
        <v>15515</v>
      </c>
      <c r="L1092" s="36" t="s">
        <v>15515</v>
      </c>
      <c r="M1092" s="36" t="s">
        <v>15515</v>
      </c>
      <c r="N1092" s="36" t="s">
        <v>15515</v>
      </c>
      <c r="O1092" s="36" t="s">
        <v>15515</v>
      </c>
      <c r="P1092" s="36" t="s">
        <v>15515</v>
      </c>
    </row>
    <row r="1093" spans="1:16">
      <c r="A1093" s="132">
        <v>1092</v>
      </c>
      <c r="B1093" s="36" t="s">
        <v>15516</v>
      </c>
      <c r="C1093" s="36" t="s">
        <v>15516</v>
      </c>
      <c r="D1093" s="36" t="s">
        <v>15516</v>
      </c>
      <c r="E1093" s="36" t="s">
        <v>15516</v>
      </c>
      <c r="F1093" s="36" t="s">
        <v>15516</v>
      </c>
      <c r="G1093" s="36" t="s">
        <v>15516</v>
      </c>
      <c r="H1093" s="36" t="s">
        <v>15516</v>
      </c>
      <c r="I1093" s="36" t="s">
        <v>15516</v>
      </c>
      <c r="J1093" s="36" t="s">
        <v>15516</v>
      </c>
      <c r="K1093" s="36" t="s">
        <v>15516</v>
      </c>
      <c r="L1093" s="36" t="s">
        <v>15516</v>
      </c>
      <c r="M1093" s="36" t="s">
        <v>15516</v>
      </c>
      <c r="N1093" s="36" t="s">
        <v>15516</v>
      </c>
      <c r="O1093" s="36" t="s">
        <v>15516</v>
      </c>
      <c r="P1093" s="36" t="s">
        <v>15516</v>
      </c>
    </row>
    <row r="1094" spans="1:16">
      <c r="A1094" s="132">
        <v>1093</v>
      </c>
      <c r="B1094" s="36" t="s">
        <v>15517</v>
      </c>
      <c r="C1094" s="36" t="s">
        <v>15517</v>
      </c>
      <c r="D1094" s="36" t="s">
        <v>15517</v>
      </c>
      <c r="E1094" s="36" t="s">
        <v>15517</v>
      </c>
      <c r="F1094" s="36" t="s">
        <v>15517</v>
      </c>
      <c r="G1094" s="36" t="s">
        <v>15517</v>
      </c>
      <c r="H1094" s="36" t="s">
        <v>15517</v>
      </c>
      <c r="I1094" s="36" t="s">
        <v>15517</v>
      </c>
      <c r="J1094" s="36" t="s">
        <v>15517</v>
      </c>
      <c r="K1094" s="36" t="s">
        <v>15517</v>
      </c>
      <c r="L1094" s="36" t="s">
        <v>15517</v>
      </c>
      <c r="M1094" s="36" t="s">
        <v>15517</v>
      </c>
      <c r="N1094" s="36" t="s">
        <v>15517</v>
      </c>
      <c r="O1094" s="36" t="s">
        <v>15517</v>
      </c>
      <c r="P1094" s="36" t="s">
        <v>15517</v>
      </c>
    </row>
    <row r="1095" spans="1:16">
      <c r="A1095" s="132">
        <v>1094</v>
      </c>
      <c r="B1095" s="36" t="s">
        <v>15518</v>
      </c>
      <c r="C1095" s="36">
        <v>1</v>
      </c>
      <c r="D1095" s="36">
        <v>1</v>
      </c>
      <c r="E1095" s="36">
        <v>1</v>
      </c>
      <c r="F1095" s="36">
        <v>1</v>
      </c>
      <c r="G1095" s="36">
        <v>1</v>
      </c>
      <c r="H1095" s="36">
        <v>1</v>
      </c>
      <c r="I1095" s="36">
        <v>1</v>
      </c>
      <c r="J1095" s="36">
        <v>1</v>
      </c>
      <c r="K1095" s="36">
        <v>1</v>
      </c>
      <c r="L1095" s="36">
        <v>1</v>
      </c>
      <c r="M1095" s="36">
        <v>1</v>
      </c>
      <c r="N1095" s="36">
        <v>1</v>
      </c>
      <c r="O1095" s="36">
        <v>1</v>
      </c>
      <c r="P1095" s="36" t="s">
        <v>15518</v>
      </c>
    </row>
    <row r="1096" spans="1:16">
      <c r="A1096" s="132">
        <v>1095</v>
      </c>
      <c r="B1096" s="36" t="s">
        <v>15519</v>
      </c>
      <c r="C1096" s="36">
        <v>2</v>
      </c>
      <c r="D1096" s="36">
        <v>2</v>
      </c>
      <c r="E1096" s="36">
        <v>2</v>
      </c>
      <c r="F1096" s="36">
        <v>2</v>
      </c>
      <c r="G1096" s="36">
        <v>2</v>
      </c>
      <c r="H1096" s="36">
        <v>2</v>
      </c>
      <c r="I1096" s="36">
        <v>2</v>
      </c>
      <c r="J1096" s="36">
        <v>2</v>
      </c>
      <c r="K1096" s="36">
        <v>2</v>
      </c>
      <c r="L1096" s="36">
        <v>2</v>
      </c>
      <c r="M1096" s="36">
        <v>2</v>
      </c>
      <c r="N1096" s="36">
        <v>2</v>
      </c>
      <c r="O1096" s="36">
        <v>2</v>
      </c>
      <c r="P1096" s="36" t="s">
        <v>15519</v>
      </c>
    </row>
    <row r="1097" spans="1:16">
      <c r="A1097" s="132">
        <v>1096</v>
      </c>
      <c r="B1097" s="36" t="s">
        <v>15520</v>
      </c>
      <c r="C1097" s="36">
        <v>3</v>
      </c>
      <c r="D1097" s="36">
        <v>3</v>
      </c>
      <c r="E1097" s="36">
        <v>3</v>
      </c>
      <c r="F1097" s="36">
        <v>3</v>
      </c>
      <c r="G1097" s="36">
        <v>3</v>
      </c>
      <c r="H1097" s="36">
        <v>3</v>
      </c>
      <c r="I1097" s="36">
        <v>3</v>
      </c>
      <c r="J1097" s="36">
        <v>3</v>
      </c>
      <c r="K1097" s="36">
        <v>3</v>
      </c>
      <c r="L1097" s="36">
        <v>3</v>
      </c>
      <c r="M1097" s="36">
        <v>3</v>
      </c>
      <c r="N1097" s="36">
        <v>3</v>
      </c>
      <c r="O1097" s="36">
        <v>3</v>
      </c>
      <c r="P1097" s="36" t="s">
        <v>15520</v>
      </c>
    </row>
    <row r="1098" spans="1:16">
      <c r="A1098" s="132">
        <v>1097</v>
      </c>
      <c r="B1098" s="36" t="s">
        <v>15521</v>
      </c>
      <c r="C1098" s="36">
        <v>4</v>
      </c>
      <c r="D1098" s="36">
        <v>4</v>
      </c>
      <c r="E1098" s="36">
        <v>4</v>
      </c>
      <c r="F1098" s="36">
        <v>4</v>
      </c>
      <c r="G1098" s="36">
        <v>4</v>
      </c>
      <c r="H1098" s="36">
        <v>4</v>
      </c>
      <c r="I1098" s="36">
        <v>4</v>
      </c>
      <c r="J1098" s="36">
        <v>4</v>
      </c>
      <c r="K1098" s="36">
        <v>4</v>
      </c>
      <c r="L1098" s="36">
        <v>4</v>
      </c>
      <c r="M1098" s="36">
        <v>4</v>
      </c>
      <c r="N1098" s="36">
        <v>4</v>
      </c>
      <c r="O1098" s="36">
        <v>4</v>
      </c>
      <c r="P1098" s="36" t="s">
        <v>15521</v>
      </c>
    </row>
    <row r="1099" spans="1:16">
      <c r="A1099" s="132">
        <v>1098</v>
      </c>
      <c r="B1099" s="36" t="s">
        <v>15522</v>
      </c>
      <c r="C1099" s="36">
        <v>5</v>
      </c>
      <c r="D1099" s="36">
        <v>5</v>
      </c>
      <c r="E1099" s="36">
        <v>5</v>
      </c>
      <c r="F1099" s="36">
        <v>5</v>
      </c>
      <c r="G1099" s="36">
        <v>5</v>
      </c>
      <c r="H1099" s="36">
        <v>5</v>
      </c>
      <c r="I1099" s="36">
        <v>5</v>
      </c>
      <c r="J1099" s="36">
        <v>5</v>
      </c>
      <c r="K1099" s="36">
        <v>5</v>
      </c>
      <c r="L1099" s="36">
        <v>5</v>
      </c>
      <c r="M1099" s="36">
        <v>5</v>
      </c>
      <c r="N1099" s="36">
        <v>5</v>
      </c>
      <c r="O1099" s="36">
        <v>5</v>
      </c>
      <c r="P1099" s="36" t="s">
        <v>15522</v>
      </c>
    </row>
    <row r="1100" spans="1:16">
      <c r="A1100" s="132">
        <v>1099</v>
      </c>
      <c r="B1100" s="36" t="s">
        <v>15523</v>
      </c>
      <c r="C1100" s="36">
        <v>6</v>
      </c>
      <c r="D1100" s="36">
        <v>6</v>
      </c>
      <c r="E1100" s="36">
        <v>6</v>
      </c>
      <c r="F1100" s="36">
        <v>6</v>
      </c>
      <c r="G1100" s="36">
        <v>6</v>
      </c>
      <c r="H1100" s="36">
        <v>6</v>
      </c>
      <c r="I1100" s="36">
        <v>6</v>
      </c>
      <c r="J1100" s="36">
        <v>6</v>
      </c>
      <c r="K1100" s="36">
        <v>6</v>
      </c>
      <c r="L1100" s="36">
        <v>6</v>
      </c>
      <c r="M1100" s="36">
        <v>6</v>
      </c>
      <c r="N1100" s="36">
        <v>6</v>
      </c>
      <c r="O1100" s="36">
        <v>6</v>
      </c>
      <c r="P1100" s="36" t="s">
        <v>15523</v>
      </c>
    </row>
    <row r="1101" spans="1:16">
      <c r="A1101" s="132">
        <v>1100</v>
      </c>
      <c r="B1101" s="36" t="s">
        <v>15524</v>
      </c>
      <c r="C1101" s="36">
        <v>7</v>
      </c>
      <c r="D1101" s="36">
        <v>7</v>
      </c>
      <c r="E1101" s="36">
        <v>7</v>
      </c>
      <c r="F1101" s="36">
        <v>7</v>
      </c>
      <c r="G1101" s="36">
        <v>7</v>
      </c>
      <c r="H1101" s="36">
        <v>7</v>
      </c>
      <c r="I1101" s="36">
        <v>7</v>
      </c>
      <c r="J1101" s="36">
        <v>7</v>
      </c>
      <c r="K1101" s="36">
        <v>7</v>
      </c>
      <c r="L1101" s="36">
        <v>7</v>
      </c>
      <c r="M1101" s="36">
        <v>7</v>
      </c>
      <c r="N1101" s="36">
        <v>7</v>
      </c>
      <c r="O1101" s="36">
        <v>7</v>
      </c>
      <c r="P1101" s="36" t="s">
        <v>15524</v>
      </c>
    </row>
    <row r="1102" spans="1:16">
      <c r="A1102" s="132">
        <v>1101</v>
      </c>
      <c r="B1102" s="36" t="s">
        <v>15525</v>
      </c>
      <c r="C1102" s="36">
        <v>8</v>
      </c>
      <c r="D1102" s="36">
        <v>8</v>
      </c>
      <c r="E1102" s="36">
        <v>8</v>
      </c>
      <c r="F1102" s="36">
        <v>8</v>
      </c>
      <c r="G1102" s="36">
        <v>8</v>
      </c>
      <c r="H1102" s="36">
        <v>8</v>
      </c>
      <c r="I1102" s="36">
        <v>8</v>
      </c>
      <c r="J1102" s="36">
        <v>8</v>
      </c>
      <c r="K1102" s="36">
        <v>8</v>
      </c>
      <c r="L1102" s="36">
        <v>8</v>
      </c>
      <c r="M1102" s="36">
        <v>8</v>
      </c>
      <c r="N1102" s="36">
        <v>8</v>
      </c>
      <c r="O1102" s="36">
        <v>8</v>
      </c>
      <c r="P1102" s="36" t="s">
        <v>15525</v>
      </c>
    </row>
    <row r="1103" spans="1:16">
      <c r="A1103" s="132">
        <v>1102</v>
      </c>
      <c r="B1103" s="36" t="s">
        <v>15526</v>
      </c>
      <c r="C1103" s="36">
        <v>9</v>
      </c>
      <c r="D1103" s="36">
        <v>9</v>
      </c>
      <c r="E1103" s="36">
        <v>9</v>
      </c>
      <c r="F1103" s="36">
        <v>9</v>
      </c>
      <c r="G1103" s="36">
        <v>9</v>
      </c>
      <c r="H1103" s="36">
        <v>9</v>
      </c>
      <c r="I1103" s="36">
        <v>9</v>
      </c>
      <c r="J1103" s="36">
        <v>9</v>
      </c>
      <c r="K1103" s="36">
        <v>9</v>
      </c>
      <c r="L1103" s="36">
        <v>9</v>
      </c>
      <c r="M1103" s="36">
        <v>9</v>
      </c>
      <c r="N1103" s="36">
        <v>9</v>
      </c>
      <c r="O1103" s="36">
        <v>9</v>
      </c>
      <c r="P1103" s="36" t="s">
        <v>15526</v>
      </c>
    </row>
    <row r="1104" spans="1:16">
      <c r="A1104" s="132">
        <v>1103</v>
      </c>
      <c r="B1104" s="36" t="s">
        <v>15527</v>
      </c>
      <c r="C1104" s="36">
        <v>10</v>
      </c>
      <c r="D1104" s="36">
        <v>10</v>
      </c>
      <c r="E1104" s="36">
        <v>10</v>
      </c>
      <c r="F1104" s="36">
        <v>10</v>
      </c>
      <c r="G1104" s="36">
        <v>10</v>
      </c>
      <c r="H1104" s="36">
        <v>10</v>
      </c>
      <c r="I1104" s="36">
        <v>10</v>
      </c>
      <c r="J1104" s="36">
        <v>10</v>
      </c>
      <c r="K1104" s="36">
        <v>10</v>
      </c>
      <c r="L1104" s="36">
        <v>10</v>
      </c>
      <c r="M1104" s="36">
        <v>10</v>
      </c>
      <c r="N1104" s="36">
        <v>10</v>
      </c>
      <c r="O1104" s="36">
        <v>10</v>
      </c>
      <c r="P1104" s="36" t="s">
        <v>15527</v>
      </c>
    </row>
    <row r="1105" spans="1:16">
      <c r="A1105" s="132">
        <v>1104</v>
      </c>
      <c r="B1105" s="36" t="s">
        <v>15528</v>
      </c>
      <c r="C1105" s="36">
        <v>11</v>
      </c>
      <c r="D1105" s="36">
        <v>11</v>
      </c>
      <c r="E1105" s="36">
        <v>11</v>
      </c>
      <c r="F1105" s="36">
        <v>11</v>
      </c>
      <c r="G1105" s="36">
        <v>11</v>
      </c>
      <c r="H1105" s="36">
        <v>11</v>
      </c>
      <c r="I1105" s="36">
        <v>11</v>
      </c>
      <c r="J1105" s="36">
        <v>11</v>
      </c>
      <c r="K1105" s="36">
        <v>11</v>
      </c>
      <c r="L1105" s="36">
        <v>11</v>
      </c>
      <c r="M1105" s="36">
        <v>11</v>
      </c>
      <c r="N1105" s="36">
        <v>11</v>
      </c>
      <c r="O1105" s="36">
        <v>11</v>
      </c>
      <c r="P1105" s="36" t="s">
        <v>15528</v>
      </c>
    </row>
    <row r="1106" spans="1:16">
      <c r="A1106" s="132">
        <v>1105</v>
      </c>
      <c r="B1106" s="36" t="s">
        <v>15529</v>
      </c>
      <c r="C1106" s="36">
        <v>12</v>
      </c>
      <c r="D1106" s="36">
        <v>12</v>
      </c>
      <c r="E1106" s="36">
        <v>12</v>
      </c>
      <c r="F1106" s="36">
        <v>12</v>
      </c>
      <c r="G1106" s="36">
        <v>12</v>
      </c>
      <c r="H1106" s="36">
        <v>12</v>
      </c>
      <c r="I1106" s="36">
        <v>12</v>
      </c>
      <c r="J1106" s="36">
        <v>12</v>
      </c>
      <c r="K1106" s="36">
        <v>12</v>
      </c>
      <c r="L1106" s="36">
        <v>12</v>
      </c>
      <c r="M1106" s="36">
        <v>12</v>
      </c>
      <c r="N1106" s="36">
        <v>12</v>
      </c>
      <c r="O1106" s="36">
        <v>12</v>
      </c>
      <c r="P1106" s="36" t="s">
        <v>15529</v>
      </c>
    </row>
    <row r="1107" spans="1:16">
      <c r="A1107" s="132">
        <v>1106</v>
      </c>
      <c r="B1107" s="36" t="s">
        <v>15530</v>
      </c>
      <c r="C1107" s="36">
        <v>13</v>
      </c>
      <c r="D1107" s="36">
        <v>13</v>
      </c>
      <c r="E1107" s="36">
        <v>13</v>
      </c>
      <c r="F1107" s="36">
        <v>13</v>
      </c>
      <c r="G1107" s="36">
        <v>13</v>
      </c>
      <c r="H1107" s="36">
        <v>13</v>
      </c>
      <c r="I1107" s="36">
        <v>13</v>
      </c>
      <c r="J1107" s="36">
        <v>13</v>
      </c>
      <c r="K1107" s="36">
        <v>13</v>
      </c>
      <c r="L1107" s="36">
        <v>13</v>
      </c>
      <c r="M1107" s="36">
        <v>13</v>
      </c>
      <c r="N1107" s="36">
        <v>13</v>
      </c>
      <c r="O1107" s="36">
        <v>13</v>
      </c>
      <c r="P1107" s="36" t="s">
        <v>15530</v>
      </c>
    </row>
    <row r="1108" spans="1:16">
      <c r="A1108" s="132">
        <v>1107</v>
      </c>
      <c r="B1108" s="36" t="s">
        <v>15531</v>
      </c>
      <c r="C1108" s="36">
        <v>14</v>
      </c>
      <c r="D1108" s="36">
        <v>14</v>
      </c>
      <c r="E1108" s="36">
        <v>14</v>
      </c>
      <c r="F1108" s="36">
        <v>14</v>
      </c>
      <c r="G1108" s="36">
        <v>14</v>
      </c>
      <c r="H1108" s="36">
        <v>14</v>
      </c>
      <c r="I1108" s="36">
        <v>14</v>
      </c>
      <c r="J1108" s="36">
        <v>14</v>
      </c>
      <c r="K1108" s="36">
        <v>14</v>
      </c>
      <c r="L1108" s="36">
        <v>14</v>
      </c>
      <c r="M1108" s="36">
        <v>14</v>
      </c>
      <c r="N1108" s="36">
        <v>14</v>
      </c>
      <c r="O1108" s="36">
        <v>14</v>
      </c>
      <c r="P1108" s="36" t="s">
        <v>15531</v>
      </c>
    </row>
    <row r="1109" spans="1:16">
      <c r="A1109" s="132">
        <v>1108</v>
      </c>
      <c r="B1109" s="36" t="s">
        <v>15532</v>
      </c>
      <c r="C1109" s="36">
        <v>15</v>
      </c>
      <c r="D1109" s="36">
        <v>15</v>
      </c>
      <c r="E1109" s="36">
        <v>15</v>
      </c>
      <c r="F1109" s="36">
        <v>15</v>
      </c>
      <c r="G1109" s="36">
        <v>15</v>
      </c>
      <c r="H1109" s="36">
        <v>15</v>
      </c>
      <c r="I1109" s="36">
        <v>15</v>
      </c>
      <c r="J1109" s="36">
        <v>15</v>
      </c>
      <c r="K1109" s="36">
        <v>15</v>
      </c>
      <c r="L1109" s="36">
        <v>15</v>
      </c>
      <c r="M1109" s="36">
        <v>15</v>
      </c>
      <c r="N1109" s="36">
        <v>15</v>
      </c>
      <c r="O1109" s="36">
        <v>15</v>
      </c>
      <c r="P1109" s="36" t="s">
        <v>15532</v>
      </c>
    </row>
    <row r="1110" spans="1:16">
      <c r="A1110" s="132">
        <v>1109</v>
      </c>
      <c r="B1110" s="36" t="s">
        <v>15533</v>
      </c>
      <c r="C1110" s="36">
        <v>16</v>
      </c>
      <c r="D1110" s="36">
        <v>16</v>
      </c>
      <c r="E1110" s="36">
        <v>16</v>
      </c>
      <c r="F1110" s="36">
        <v>16</v>
      </c>
      <c r="G1110" s="36">
        <v>16</v>
      </c>
      <c r="H1110" s="36">
        <v>16</v>
      </c>
      <c r="I1110" s="36">
        <v>16</v>
      </c>
      <c r="J1110" s="36">
        <v>16</v>
      </c>
      <c r="K1110" s="36">
        <v>16</v>
      </c>
      <c r="L1110" s="36">
        <v>16</v>
      </c>
      <c r="M1110" s="36">
        <v>16</v>
      </c>
      <c r="N1110" s="36">
        <v>16</v>
      </c>
      <c r="O1110" s="36">
        <v>16</v>
      </c>
      <c r="P1110" s="36" t="s">
        <v>15533</v>
      </c>
    </row>
    <row r="1111" spans="1:16">
      <c r="A1111" s="132">
        <v>1110</v>
      </c>
      <c r="B1111" s="36" t="s">
        <v>15534</v>
      </c>
      <c r="C1111" s="36">
        <v>17</v>
      </c>
      <c r="D1111" s="36">
        <v>17</v>
      </c>
      <c r="E1111" s="36">
        <v>17</v>
      </c>
      <c r="F1111" s="36">
        <v>17</v>
      </c>
      <c r="G1111" s="36">
        <v>17</v>
      </c>
      <c r="H1111" s="36">
        <v>17</v>
      </c>
      <c r="I1111" s="36">
        <v>17</v>
      </c>
      <c r="J1111" s="36">
        <v>17</v>
      </c>
      <c r="K1111" s="36">
        <v>17</v>
      </c>
      <c r="L1111" s="36">
        <v>17</v>
      </c>
      <c r="M1111" s="36">
        <v>17</v>
      </c>
      <c r="N1111" s="36">
        <v>17</v>
      </c>
      <c r="O1111" s="36">
        <v>17</v>
      </c>
      <c r="P1111" s="36" t="s">
        <v>15534</v>
      </c>
    </row>
    <row r="1112" spans="1:16">
      <c r="A1112" s="132">
        <v>1111</v>
      </c>
      <c r="B1112" s="36" t="s">
        <v>15535</v>
      </c>
      <c r="C1112" s="36">
        <v>18</v>
      </c>
      <c r="D1112" s="36">
        <v>18</v>
      </c>
      <c r="E1112" s="36">
        <v>18</v>
      </c>
      <c r="F1112" s="36">
        <v>18</v>
      </c>
      <c r="G1112" s="36">
        <v>18</v>
      </c>
      <c r="H1112" s="36">
        <v>18</v>
      </c>
      <c r="I1112" s="36">
        <v>18</v>
      </c>
      <c r="J1112" s="36">
        <v>18</v>
      </c>
      <c r="K1112" s="36">
        <v>18</v>
      </c>
      <c r="L1112" s="36">
        <v>18</v>
      </c>
      <c r="M1112" s="36">
        <v>18</v>
      </c>
      <c r="N1112" s="36">
        <v>18</v>
      </c>
      <c r="O1112" s="36">
        <v>18</v>
      </c>
      <c r="P1112" s="36" t="s">
        <v>15535</v>
      </c>
    </row>
    <row r="1113" spans="1:16">
      <c r="A1113" s="132">
        <v>1112</v>
      </c>
      <c r="B1113" s="36" t="s">
        <v>15536</v>
      </c>
      <c r="C1113" s="36">
        <v>19</v>
      </c>
      <c r="D1113" s="36">
        <v>19</v>
      </c>
      <c r="E1113" s="36">
        <v>19</v>
      </c>
      <c r="F1113" s="36">
        <v>19</v>
      </c>
      <c r="G1113" s="36">
        <v>19</v>
      </c>
      <c r="H1113" s="36">
        <v>19</v>
      </c>
      <c r="I1113" s="36">
        <v>19</v>
      </c>
      <c r="J1113" s="36">
        <v>19</v>
      </c>
      <c r="K1113" s="36">
        <v>19</v>
      </c>
      <c r="L1113" s="36">
        <v>19</v>
      </c>
      <c r="M1113" s="36">
        <v>19</v>
      </c>
      <c r="N1113" s="36">
        <v>19</v>
      </c>
      <c r="O1113" s="36">
        <v>19</v>
      </c>
      <c r="P1113" s="36" t="s">
        <v>15536</v>
      </c>
    </row>
    <row r="1114" spans="1:16">
      <c r="A1114" s="132">
        <v>1113</v>
      </c>
      <c r="B1114" s="36" t="s">
        <v>15537</v>
      </c>
      <c r="C1114" s="36">
        <v>20</v>
      </c>
      <c r="D1114" s="36">
        <v>20</v>
      </c>
      <c r="E1114" s="36">
        <v>20</v>
      </c>
      <c r="F1114" s="36">
        <v>20</v>
      </c>
      <c r="G1114" s="36">
        <v>20</v>
      </c>
      <c r="H1114" s="36">
        <v>20</v>
      </c>
      <c r="I1114" s="36">
        <v>20</v>
      </c>
      <c r="J1114" s="36">
        <v>20</v>
      </c>
      <c r="K1114" s="36">
        <v>20</v>
      </c>
      <c r="L1114" s="36">
        <v>20</v>
      </c>
      <c r="M1114" s="36">
        <v>20</v>
      </c>
      <c r="N1114" s="36">
        <v>20</v>
      </c>
      <c r="O1114" s="36">
        <v>20</v>
      </c>
      <c r="P1114" s="36" t="s">
        <v>15537</v>
      </c>
    </row>
    <row r="1115" spans="1:16">
      <c r="A1115" s="132">
        <v>1114</v>
      </c>
      <c r="B1115" s="36" t="s">
        <v>15538</v>
      </c>
      <c r="C1115" s="36">
        <v>21</v>
      </c>
      <c r="D1115" s="36">
        <v>21</v>
      </c>
      <c r="E1115" s="36">
        <v>21</v>
      </c>
      <c r="F1115" s="36">
        <v>21</v>
      </c>
      <c r="G1115" s="36">
        <v>21</v>
      </c>
      <c r="H1115" s="36">
        <v>21</v>
      </c>
      <c r="I1115" s="36">
        <v>21</v>
      </c>
      <c r="J1115" s="36">
        <v>21</v>
      </c>
      <c r="K1115" s="36">
        <v>21</v>
      </c>
      <c r="L1115" s="36">
        <v>21</v>
      </c>
      <c r="M1115" s="36">
        <v>21</v>
      </c>
      <c r="N1115" s="36">
        <v>21</v>
      </c>
      <c r="O1115" s="36">
        <v>21</v>
      </c>
      <c r="P1115" s="36" t="s">
        <v>15538</v>
      </c>
    </row>
    <row r="1116" spans="1:16">
      <c r="A1116" s="132">
        <v>1115</v>
      </c>
      <c r="B1116" s="36" t="s">
        <v>15539</v>
      </c>
      <c r="C1116" s="36">
        <v>22</v>
      </c>
      <c r="D1116" s="36">
        <v>22</v>
      </c>
      <c r="E1116" s="36">
        <v>22</v>
      </c>
      <c r="F1116" s="36">
        <v>22</v>
      </c>
      <c r="G1116" s="36">
        <v>22</v>
      </c>
      <c r="H1116" s="36">
        <v>22</v>
      </c>
      <c r="I1116" s="36">
        <v>22</v>
      </c>
      <c r="J1116" s="36">
        <v>22</v>
      </c>
      <c r="K1116" s="36">
        <v>22</v>
      </c>
      <c r="L1116" s="36">
        <v>22</v>
      </c>
      <c r="M1116" s="36">
        <v>22</v>
      </c>
      <c r="N1116" s="36">
        <v>22</v>
      </c>
      <c r="O1116" s="36">
        <v>22</v>
      </c>
      <c r="P1116" s="36" t="s">
        <v>15539</v>
      </c>
    </row>
    <row r="1117" spans="1:16">
      <c r="A1117" s="132">
        <v>1116</v>
      </c>
      <c r="B1117" s="36" t="s">
        <v>15540</v>
      </c>
      <c r="C1117" s="36">
        <v>23</v>
      </c>
      <c r="D1117" s="36">
        <v>23</v>
      </c>
      <c r="E1117" s="36">
        <v>23</v>
      </c>
      <c r="F1117" s="36">
        <v>23</v>
      </c>
      <c r="G1117" s="36">
        <v>23</v>
      </c>
      <c r="H1117" s="36">
        <v>23</v>
      </c>
      <c r="I1117" s="36">
        <v>23</v>
      </c>
      <c r="J1117" s="36">
        <v>23</v>
      </c>
      <c r="K1117" s="36">
        <v>23</v>
      </c>
      <c r="L1117" s="36">
        <v>23</v>
      </c>
      <c r="M1117" s="36">
        <v>23</v>
      </c>
      <c r="N1117" s="36">
        <v>23</v>
      </c>
      <c r="O1117" s="36">
        <v>23</v>
      </c>
      <c r="P1117" s="36" t="s">
        <v>15540</v>
      </c>
    </row>
    <row r="1118" spans="1:16">
      <c r="A1118" s="132">
        <v>1117</v>
      </c>
      <c r="B1118" s="36" t="s">
        <v>15541</v>
      </c>
      <c r="C1118" s="36">
        <v>24</v>
      </c>
      <c r="D1118" s="36">
        <v>24</v>
      </c>
      <c r="E1118" s="36">
        <v>24</v>
      </c>
      <c r="F1118" s="36">
        <v>24</v>
      </c>
      <c r="G1118" s="36">
        <v>24</v>
      </c>
      <c r="H1118" s="36">
        <v>24</v>
      </c>
      <c r="I1118" s="36">
        <v>24</v>
      </c>
      <c r="J1118" s="36">
        <v>24</v>
      </c>
      <c r="K1118" s="36">
        <v>24</v>
      </c>
      <c r="L1118" s="36">
        <v>24</v>
      </c>
      <c r="M1118" s="36">
        <v>24</v>
      </c>
      <c r="N1118" s="36">
        <v>24</v>
      </c>
      <c r="O1118" s="36">
        <v>24</v>
      </c>
      <c r="P1118" s="36" t="s">
        <v>15541</v>
      </c>
    </row>
    <row r="1119" spans="1:16">
      <c r="A1119" s="132">
        <v>1118</v>
      </c>
      <c r="B1119" s="36" t="s">
        <v>15542</v>
      </c>
      <c r="C1119" s="36">
        <v>25</v>
      </c>
      <c r="D1119" s="36">
        <v>25</v>
      </c>
      <c r="E1119" s="36">
        <v>25</v>
      </c>
      <c r="F1119" s="36">
        <v>25</v>
      </c>
      <c r="G1119" s="36">
        <v>25</v>
      </c>
      <c r="H1119" s="36">
        <v>25</v>
      </c>
      <c r="I1119" s="36">
        <v>25</v>
      </c>
      <c r="J1119" s="36">
        <v>25</v>
      </c>
      <c r="K1119" s="36">
        <v>25</v>
      </c>
      <c r="L1119" s="36">
        <v>25</v>
      </c>
      <c r="M1119" s="36">
        <v>25</v>
      </c>
      <c r="N1119" s="36">
        <v>25</v>
      </c>
      <c r="O1119" s="36">
        <v>25</v>
      </c>
      <c r="P1119" s="36" t="s">
        <v>15542</v>
      </c>
    </row>
    <row r="1120" spans="1:16">
      <c r="A1120" s="132">
        <v>1119</v>
      </c>
      <c r="B1120" s="36" t="s">
        <v>15543</v>
      </c>
      <c r="C1120" s="36">
        <v>26</v>
      </c>
      <c r="D1120" s="36">
        <v>26</v>
      </c>
      <c r="E1120" s="36">
        <v>26</v>
      </c>
      <c r="F1120" s="36">
        <v>26</v>
      </c>
      <c r="G1120" s="36">
        <v>26</v>
      </c>
      <c r="H1120" s="36">
        <v>26</v>
      </c>
      <c r="I1120" s="36">
        <v>26</v>
      </c>
      <c r="J1120" s="36">
        <v>26</v>
      </c>
      <c r="K1120" s="36">
        <v>26</v>
      </c>
      <c r="L1120" s="36">
        <v>26</v>
      </c>
      <c r="M1120" s="36">
        <v>26</v>
      </c>
      <c r="N1120" s="36">
        <v>26</v>
      </c>
      <c r="O1120" s="36">
        <v>26</v>
      </c>
      <c r="P1120" s="36" t="s">
        <v>15543</v>
      </c>
    </row>
    <row r="1121" spans="1:16">
      <c r="A1121" s="132">
        <v>1120</v>
      </c>
      <c r="B1121" s="36" t="s">
        <v>15544</v>
      </c>
      <c r="C1121" s="36">
        <v>27</v>
      </c>
      <c r="D1121" s="36">
        <v>27</v>
      </c>
      <c r="E1121" s="36">
        <v>27</v>
      </c>
      <c r="F1121" s="36">
        <v>27</v>
      </c>
      <c r="G1121" s="36">
        <v>27</v>
      </c>
      <c r="H1121" s="36">
        <v>27</v>
      </c>
      <c r="I1121" s="36">
        <v>27</v>
      </c>
      <c r="J1121" s="36">
        <v>27</v>
      </c>
      <c r="K1121" s="36">
        <v>27</v>
      </c>
      <c r="L1121" s="36">
        <v>27</v>
      </c>
      <c r="M1121" s="36">
        <v>27</v>
      </c>
      <c r="N1121" s="36">
        <v>27</v>
      </c>
      <c r="O1121" s="36">
        <v>27</v>
      </c>
      <c r="P1121" s="36" t="s">
        <v>15544</v>
      </c>
    </row>
    <row r="1122" spans="1:16">
      <c r="A1122" s="132">
        <v>1121</v>
      </c>
      <c r="B1122" s="36" t="s">
        <v>15545</v>
      </c>
      <c r="C1122" s="36">
        <v>28</v>
      </c>
      <c r="D1122" s="36">
        <v>28</v>
      </c>
      <c r="E1122" s="36">
        <v>28</v>
      </c>
      <c r="F1122" s="36">
        <v>28</v>
      </c>
      <c r="G1122" s="36">
        <v>28</v>
      </c>
      <c r="H1122" s="36">
        <v>28</v>
      </c>
      <c r="I1122" s="36">
        <v>28</v>
      </c>
      <c r="J1122" s="36">
        <v>28</v>
      </c>
      <c r="K1122" s="36">
        <v>28</v>
      </c>
      <c r="L1122" s="36">
        <v>28</v>
      </c>
      <c r="M1122" s="36">
        <v>28</v>
      </c>
      <c r="N1122" s="36">
        <v>28</v>
      </c>
      <c r="O1122" s="36">
        <v>28</v>
      </c>
      <c r="P1122" s="36" t="s">
        <v>15545</v>
      </c>
    </row>
    <row r="1123" spans="1:16">
      <c r="A1123" s="132">
        <v>1122</v>
      </c>
      <c r="B1123" s="36" t="s">
        <v>15546</v>
      </c>
      <c r="C1123" s="36">
        <v>29</v>
      </c>
      <c r="D1123" s="36">
        <v>29</v>
      </c>
      <c r="E1123" s="36">
        <v>29</v>
      </c>
      <c r="F1123" s="36">
        <v>29</v>
      </c>
      <c r="G1123" s="36">
        <v>29</v>
      </c>
      <c r="H1123" s="36">
        <v>29</v>
      </c>
      <c r="I1123" s="36">
        <v>29</v>
      </c>
      <c r="J1123" s="36">
        <v>29</v>
      </c>
      <c r="K1123" s="36">
        <v>29</v>
      </c>
      <c r="L1123" s="36">
        <v>29</v>
      </c>
      <c r="M1123" s="36">
        <v>29</v>
      </c>
      <c r="N1123" s="36">
        <v>29</v>
      </c>
      <c r="O1123" s="36">
        <v>29</v>
      </c>
      <c r="P1123" s="36" t="s">
        <v>15546</v>
      </c>
    </row>
    <row r="1124" spans="1:16">
      <c r="A1124" s="132">
        <v>1123</v>
      </c>
      <c r="B1124" s="36" t="s">
        <v>15547</v>
      </c>
      <c r="C1124" s="36">
        <v>30</v>
      </c>
      <c r="D1124" s="36">
        <v>30</v>
      </c>
      <c r="E1124" s="36">
        <v>30</v>
      </c>
      <c r="F1124" s="36">
        <v>30</v>
      </c>
      <c r="G1124" s="36">
        <v>30</v>
      </c>
      <c r="H1124" s="36">
        <v>30</v>
      </c>
      <c r="I1124" s="36">
        <v>30</v>
      </c>
      <c r="J1124" s="36">
        <v>30</v>
      </c>
      <c r="K1124" s="36">
        <v>30</v>
      </c>
      <c r="L1124" s="36">
        <v>30</v>
      </c>
      <c r="M1124" s="36">
        <v>30</v>
      </c>
      <c r="N1124" s="36">
        <v>30</v>
      </c>
      <c r="O1124" s="36">
        <v>30</v>
      </c>
      <c r="P1124" s="36" t="s">
        <v>15547</v>
      </c>
    </row>
    <row r="1125" spans="1:16">
      <c r="A1125" s="132">
        <v>1124</v>
      </c>
      <c r="B1125" s="36" t="s">
        <v>15548</v>
      </c>
      <c r="C1125" s="36">
        <v>31</v>
      </c>
      <c r="D1125" s="36">
        <v>31</v>
      </c>
      <c r="E1125" s="36">
        <v>31</v>
      </c>
      <c r="F1125" s="36">
        <v>31</v>
      </c>
      <c r="G1125" s="36">
        <v>31</v>
      </c>
      <c r="H1125" s="36">
        <v>31</v>
      </c>
      <c r="I1125" s="36">
        <v>31</v>
      </c>
      <c r="J1125" s="36">
        <v>31</v>
      </c>
      <c r="K1125" s="36">
        <v>31</v>
      </c>
      <c r="L1125" s="36">
        <v>31</v>
      </c>
      <c r="M1125" s="36">
        <v>31</v>
      </c>
      <c r="N1125" s="36">
        <v>31</v>
      </c>
      <c r="O1125" s="36">
        <v>31</v>
      </c>
      <c r="P1125" s="36" t="s">
        <v>15548</v>
      </c>
    </row>
    <row r="1126" spans="1:16">
      <c r="A1126" s="132">
        <v>1125</v>
      </c>
      <c r="B1126" s="36" t="s">
        <v>15549</v>
      </c>
      <c r="C1126" s="36">
        <v>32</v>
      </c>
      <c r="D1126" s="36">
        <v>32</v>
      </c>
      <c r="E1126" s="36">
        <v>32</v>
      </c>
      <c r="F1126" s="36">
        <v>32</v>
      </c>
      <c r="G1126" s="36">
        <v>32</v>
      </c>
      <c r="H1126" s="36">
        <v>32</v>
      </c>
      <c r="I1126" s="36">
        <v>32</v>
      </c>
      <c r="J1126" s="36">
        <v>32</v>
      </c>
      <c r="K1126" s="36">
        <v>32</v>
      </c>
      <c r="L1126" s="36">
        <v>32</v>
      </c>
      <c r="M1126" s="36">
        <v>32</v>
      </c>
      <c r="N1126" s="36">
        <v>32</v>
      </c>
      <c r="O1126" s="36">
        <v>32</v>
      </c>
      <c r="P1126" s="36" t="s">
        <v>15549</v>
      </c>
    </row>
    <row r="1127" spans="1:16">
      <c r="A1127" s="132">
        <v>1126</v>
      </c>
      <c r="B1127" s="36" t="s">
        <v>15550</v>
      </c>
      <c r="C1127" s="36">
        <v>33</v>
      </c>
      <c r="D1127" s="36">
        <v>33</v>
      </c>
      <c r="E1127" s="36">
        <v>33</v>
      </c>
      <c r="F1127" s="36">
        <v>33</v>
      </c>
      <c r="G1127" s="36">
        <v>33</v>
      </c>
      <c r="H1127" s="36">
        <v>33</v>
      </c>
      <c r="I1127" s="36">
        <v>33</v>
      </c>
      <c r="J1127" s="36">
        <v>33</v>
      </c>
      <c r="K1127" s="36">
        <v>33</v>
      </c>
      <c r="L1127" s="36">
        <v>33</v>
      </c>
      <c r="M1127" s="36">
        <v>33</v>
      </c>
      <c r="N1127" s="36">
        <v>33</v>
      </c>
      <c r="O1127" s="36">
        <v>33</v>
      </c>
      <c r="P1127" s="36" t="s">
        <v>15550</v>
      </c>
    </row>
    <row r="1128" spans="1:16">
      <c r="A1128" s="132">
        <v>1127</v>
      </c>
      <c r="B1128" s="36" t="s">
        <v>15551</v>
      </c>
      <c r="C1128" s="36">
        <v>34</v>
      </c>
      <c r="D1128" s="36">
        <v>34</v>
      </c>
      <c r="E1128" s="36">
        <v>34</v>
      </c>
      <c r="F1128" s="36">
        <v>34</v>
      </c>
      <c r="G1128" s="36">
        <v>34</v>
      </c>
      <c r="H1128" s="36">
        <v>34</v>
      </c>
      <c r="I1128" s="36">
        <v>34</v>
      </c>
      <c r="J1128" s="36">
        <v>34</v>
      </c>
      <c r="K1128" s="36">
        <v>34</v>
      </c>
      <c r="L1128" s="36">
        <v>34</v>
      </c>
      <c r="M1128" s="36">
        <v>34</v>
      </c>
      <c r="N1128" s="36">
        <v>34</v>
      </c>
      <c r="O1128" s="36">
        <v>34</v>
      </c>
      <c r="P1128" s="36" t="s">
        <v>15551</v>
      </c>
    </row>
    <row r="1129" spans="1:16">
      <c r="A1129" s="132">
        <v>1128</v>
      </c>
      <c r="B1129" s="36" t="s">
        <v>15552</v>
      </c>
      <c r="C1129" s="36">
        <v>35</v>
      </c>
      <c r="D1129" s="36">
        <v>35</v>
      </c>
      <c r="E1129" s="36">
        <v>35</v>
      </c>
      <c r="F1129" s="36">
        <v>35</v>
      </c>
      <c r="G1129" s="36">
        <v>35</v>
      </c>
      <c r="H1129" s="36">
        <v>35</v>
      </c>
      <c r="I1129" s="36">
        <v>35</v>
      </c>
      <c r="J1129" s="36">
        <v>35</v>
      </c>
      <c r="K1129" s="36">
        <v>35</v>
      </c>
      <c r="L1129" s="36">
        <v>35</v>
      </c>
      <c r="M1129" s="36">
        <v>35</v>
      </c>
      <c r="N1129" s="36">
        <v>35</v>
      </c>
      <c r="O1129" s="36">
        <v>35</v>
      </c>
      <c r="P1129" s="36" t="s">
        <v>15552</v>
      </c>
    </row>
    <row r="1130" spans="1:16">
      <c r="A1130" s="132">
        <v>1129</v>
      </c>
      <c r="B1130" s="36" t="s">
        <v>15553</v>
      </c>
      <c r="C1130" s="36">
        <v>36</v>
      </c>
      <c r="D1130" s="36">
        <v>36</v>
      </c>
      <c r="E1130" s="36">
        <v>36</v>
      </c>
      <c r="F1130" s="36">
        <v>36</v>
      </c>
      <c r="G1130" s="36">
        <v>36</v>
      </c>
      <c r="H1130" s="36">
        <v>36</v>
      </c>
      <c r="I1130" s="36">
        <v>36</v>
      </c>
      <c r="J1130" s="36">
        <v>36</v>
      </c>
      <c r="K1130" s="36">
        <v>36</v>
      </c>
      <c r="L1130" s="36">
        <v>36</v>
      </c>
      <c r="M1130" s="36">
        <v>36</v>
      </c>
      <c r="N1130" s="36">
        <v>36</v>
      </c>
      <c r="O1130" s="36">
        <v>36</v>
      </c>
      <c r="P1130" s="36" t="s">
        <v>15553</v>
      </c>
    </row>
    <row r="1131" spans="1:16">
      <c r="A1131" s="132">
        <v>1130</v>
      </c>
      <c r="B1131" s="36" t="s">
        <v>15554</v>
      </c>
      <c r="C1131" s="36">
        <v>37</v>
      </c>
      <c r="D1131" s="36">
        <v>37</v>
      </c>
      <c r="E1131" s="36">
        <v>37</v>
      </c>
      <c r="F1131" s="36">
        <v>37</v>
      </c>
      <c r="G1131" s="36">
        <v>37</v>
      </c>
      <c r="H1131" s="36">
        <v>37</v>
      </c>
      <c r="I1131" s="36">
        <v>37</v>
      </c>
      <c r="J1131" s="36">
        <v>37</v>
      </c>
      <c r="K1131" s="36">
        <v>37</v>
      </c>
      <c r="L1131" s="36">
        <v>37</v>
      </c>
      <c r="M1131" s="36">
        <v>37</v>
      </c>
      <c r="N1131" s="36">
        <v>37</v>
      </c>
      <c r="O1131" s="36">
        <v>37</v>
      </c>
      <c r="P1131" s="36" t="s">
        <v>15554</v>
      </c>
    </row>
    <row r="1132" spans="1:16">
      <c r="A1132" s="132">
        <v>1131</v>
      </c>
      <c r="B1132" s="36" t="s">
        <v>15555</v>
      </c>
      <c r="C1132" s="36">
        <v>38</v>
      </c>
      <c r="D1132" s="36">
        <v>38</v>
      </c>
      <c r="E1132" s="36">
        <v>38</v>
      </c>
      <c r="F1132" s="36">
        <v>38</v>
      </c>
      <c r="G1132" s="36">
        <v>38</v>
      </c>
      <c r="H1132" s="36">
        <v>38</v>
      </c>
      <c r="I1132" s="36">
        <v>38</v>
      </c>
      <c r="J1132" s="36">
        <v>38</v>
      </c>
      <c r="K1132" s="36">
        <v>38</v>
      </c>
      <c r="L1132" s="36">
        <v>38</v>
      </c>
      <c r="M1132" s="36">
        <v>38</v>
      </c>
      <c r="N1132" s="36">
        <v>38</v>
      </c>
      <c r="O1132" s="36">
        <v>38</v>
      </c>
      <c r="P1132" s="36" t="s">
        <v>15555</v>
      </c>
    </row>
    <row r="1133" spans="1:16">
      <c r="A1133" s="132">
        <v>1132</v>
      </c>
      <c r="B1133" s="36" t="s">
        <v>15556</v>
      </c>
      <c r="C1133" s="36">
        <v>39</v>
      </c>
      <c r="D1133" s="36">
        <v>39</v>
      </c>
      <c r="E1133" s="36">
        <v>39</v>
      </c>
      <c r="F1133" s="36">
        <v>39</v>
      </c>
      <c r="G1133" s="36">
        <v>39</v>
      </c>
      <c r="H1133" s="36">
        <v>39</v>
      </c>
      <c r="I1133" s="36">
        <v>39</v>
      </c>
      <c r="J1133" s="36">
        <v>39</v>
      </c>
      <c r="K1133" s="36">
        <v>39</v>
      </c>
      <c r="L1133" s="36">
        <v>39</v>
      </c>
      <c r="M1133" s="36">
        <v>39</v>
      </c>
      <c r="N1133" s="36">
        <v>39</v>
      </c>
      <c r="O1133" s="36">
        <v>39</v>
      </c>
      <c r="P1133" s="36" t="s">
        <v>15556</v>
      </c>
    </row>
    <row r="1134" spans="1:16">
      <c r="A1134" s="132">
        <v>1133</v>
      </c>
      <c r="B1134" s="36" t="s">
        <v>15557</v>
      </c>
      <c r="C1134" s="36">
        <v>40</v>
      </c>
      <c r="D1134" s="36">
        <v>40</v>
      </c>
      <c r="E1134" s="36">
        <v>40</v>
      </c>
      <c r="F1134" s="36">
        <v>40</v>
      </c>
      <c r="G1134" s="36">
        <v>40</v>
      </c>
      <c r="H1134" s="36">
        <v>40</v>
      </c>
      <c r="I1134" s="36">
        <v>40</v>
      </c>
      <c r="J1134" s="36">
        <v>40</v>
      </c>
      <c r="K1134" s="36">
        <v>40</v>
      </c>
      <c r="L1134" s="36">
        <v>40</v>
      </c>
      <c r="M1134" s="36">
        <v>40</v>
      </c>
      <c r="N1134" s="36">
        <v>40</v>
      </c>
      <c r="O1134" s="36">
        <v>40</v>
      </c>
      <c r="P1134" s="36" t="s">
        <v>15557</v>
      </c>
    </row>
    <row r="1135" spans="1:16">
      <c r="A1135" s="132">
        <v>1134</v>
      </c>
      <c r="B1135" s="36" t="s">
        <v>15558</v>
      </c>
      <c r="C1135" s="36" t="s">
        <v>15558</v>
      </c>
      <c r="D1135" s="36" t="s">
        <v>15558</v>
      </c>
      <c r="E1135" s="36" t="s">
        <v>15558</v>
      </c>
      <c r="F1135" s="36" t="s">
        <v>15558</v>
      </c>
      <c r="G1135" s="36" t="s">
        <v>15558</v>
      </c>
      <c r="H1135" s="36" t="s">
        <v>15558</v>
      </c>
      <c r="I1135" s="36" t="s">
        <v>15558</v>
      </c>
      <c r="J1135" s="36" t="s">
        <v>15558</v>
      </c>
      <c r="K1135" s="36" t="s">
        <v>15558</v>
      </c>
      <c r="L1135" s="36" t="s">
        <v>15558</v>
      </c>
      <c r="M1135" s="36" t="s">
        <v>15558</v>
      </c>
      <c r="N1135" s="36" t="s">
        <v>15558</v>
      </c>
      <c r="O1135" s="36" t="s">
        <v>15558</v>
      </c>
      <c r="P1135" s="36" t="s">
        <v>15558</v>
      </c>
    </row>
    <row r="1136" spans="1:16">
      <c r="A1136" s="132">
        <v>1135</v>
      </c>
      <c r="B1136" s="36" t="s">
        <v>15559</v>
      </c>
      <c r="C1136" s="36" t="s">
        <v>15559</v>
      </c>
      <c r="D1136" s="36" t="s">
        <v>15559</v>
      </c>
      <c r="E1136" s="36" t="s">
        <v>15559</v>
      </c>
      <c r="F1136" s="36" t="s">
        <v>15559</v>
      </c>
      <c r="G1136" s="36" t="s">
        <v>15559</v>
      </c>
      <c r="H1136" s="36" t="s">
        <v>15559</v>
      </c>
      <c r="I1136" s="36" t="s">
        <v>15559</v>
      </c>
      <c r="J1136" s="36" t="s">
        <v>15559</v>
      </c>
      <c r="K1136" s="36" t="s">
        <v>15559</v>
      </c>
      <c r="L1136" s="36" t="s">
        <v>15559</v>
      </c>
      <c r="M1136" s="36" t="s">
        <v>15559</v>
      </c>
      <c r="N1136" s="36" t="s">
        <v>15559</v>
      </c>
      <c r="O1136" s="36" t="s">
        <v>15559</v>
      </c>
      <c r="P1136" s="36" t="s">
        <v>15559</v>
      </c>
    </row>
    <row r="1137" spans="1:16">
      <c r="A1137" s="132">
        <v>1136</v>
      </c>
      <c r="B1137" s="36" t="s">
        <v>15560</v>
      </c>
      <c r="C1137" s="36" t="s">
        <v>15560</v>
      </c>
      <c r="D1137" s="36" t="s">
        <v>15560</v>
      </c>
      <c r="E1137" s="36" t="s">
        <v>15560</v>
      </c>
      <c r="F1137" s="36" t="s">
        <v>15560</v>
      </c>
      <c r="G1137" s="36" t="s">
        <v>15560</v>
      </c>
      <c r="H1137" s="36" t="s">
        <v>15560</v>
      </c>
      <c r="I1137" s="36" t="s">
        <v>15560</v>
      </c>
      <c r="J1137" s="36" t="s">
        <v>15560</v>
      </c>
      <c r="K1137" s="36" t="s">
        <v>15560</v>
      </c>
      <c r="L1137" s="36" t="s">
        <v>15560</v>
      </c>
      <c r="M1137" s="36" t="s">
        <v>15560</v>
      </c>
      <c r="N1137" s="36" t="s">
        <v>15560</v>
      </c>
      <c r="O1137" s="36" t="s">
        <v>15560</v>
      </c>
      <c r="P1137" s="36" t="s">
        <v>15560</v>
      </c>
    </row>
    <row r="1138" spans="1:16">
      <c r="A1138" s="132">
        <v>1137</v>
      </c>
      <c r="B1138" s="36" t="s">
        <v>15561</v>
      </c>
      <c r="C1138" s="36" t="s">
        <v>15561</v>
      </c>
      <c r="D1138" s="36" t="s">
        <v>15561</v>
      </c>
      <c r="E1138" s="36" t="s">
        <v>15561</v>
      </c>
      <c r="F1138" s="36" t="s">
        <v>15561</v>
      </c>
      <c r="G1138" s="36" t="s">
        <v>15561</v>
      </c>
      <c r="H1138" s="36" t="s">
        <v>15561</v>
      </c>
      <c r="I1138" s="36" t="s">
        <v>15561</v>
      </c>
      <c r="J1138" s="36" t="s">
        <v>15561</v>
      </c>
      <c r="K1138" s="36" t="s">
        <v>15561</v>
      </c>
      <c r="L1138" s="36" t="s">
        <v>15561</v>
      </c>
      <c r="M1138" s="36" t="s">
        <v>15561</v>
      </c>
      <c r="N1138" s="36" t="s">
        <v>15561</v>
      </c>
      <c r="O1138" s="36" t="s">
        <v>15561</v>
      </c>
      <c r="P1138" s="36" t="s">
        <v>15561</v>
      </c>
    </row>
    <row r="1139" spans="1:16">
      <c r="A1139" s="132">
        <v>1138</v>
      </c>
      <c r="B1139" s="36" t="s">
        <v>15562</v>
      </c>
      <c r="C1139" s="36" t="s">
        <v>15562</v>
      </c>
      <c r="D1139" s="36" t="s">
        <v>15562</v>
      </c>
      <c r="E1139" s="36" t="s">
        <v>15562</v>
      </c>
      <c r="F1139" s="36" t="s">
        <v>15562</v>
      </c>
      <c r="G1139" s="36" t="s">
        <v>15562</v>
      </c>
      <c r="H1139" s="36" t="s">
        <v>15562</v>
      </c>
      <c r="I1139" s="36" t="s">
        <v>15562</v>
      </c>
      <c r="J1139" s="36" t="s">
        <v>15562</v>
      </c>
      <c r="K1139" s="36" t="s">
        <v>15562</v>
      </c>
      <c r="L1139" s="36" t="s">
        <v>15562</v>
      </c>
      <c r="M1139" s="36" t="s">
        <v>15562</v>
      </c>
      <c r="N1139" s="36" t="s">
        <v>15562</v>
      </c>
      <c r="O1139" s="36" t="s">
        <v>15562</v>
      </c>
      <c r="P1139" s="36" t="s">
        <v>15562</v>
      </c>
    </row>
    <row r="1140" spans="1:16">
      <c r="A1140" s="132">
        <v>1139</v>
      </c>
      <c r="B1140" s="36" t="s">
        <v>15563</v>
      </c>
      <c r="C1140" s="36" t="s">
        <v>15564</v>
      </c>
      <c r="D1140" s="36" t="s">
        <v>15565</v>
      </c>
      <c r="E1140" s="36" t="s">
        <v>15566</v>
      </c>
      <c r="F1140" s="36" t="s">
        <v>15567</v>
      </c>
      <c r="G1140" s="36" t="s">
        <v>15568</v>
      </c>
      <c r="H1140" s="36" t="s">
        <v>15569</v>
      </c>
      <c r="I1140" s="36" t="s">
        <v>15570</v>
      </c>
      <c r="J1140" s="36" t="s">
        <v>15571</v>
      </c>
      <c r="K1140" s="36" t="s">
        <v>15572</v>
      </c>
      <c r="L1140" s="36" t="s">
        <v>15573</v>
      </c>
      <c r="M1140" s="36" t="s">
        <v>15574</v>
      </c>
      <c r="N1140" s="36" t="s">
        <v>15575</v>
      </c>
      <c r="O1140" s="36" t="s">
        <v>15576</v>
      </c>
      <c r="P1140" s="36" t="s">
        <v>15563</v>
      </c>
    </row>
    <row r="1141" spans="1:16">
      <c r="A1141" s="132">
        <v>1140</v>
      </c>
      <c r="B1141" s="36" t="s">
        <v>15577</v>
      </c>
      <c r="C1141" s="36" t="s">
        <v>15578</v>
      </c>
      <c r="D1141" s="36" t="s">
        <v>15579</v>
      </c>
      <c r="E1141" s="36" t="s">
        <v>15577</v>
      </c>
      <c r="F1141" s="36" t="s">
        <v>15580</v>
      </c>
      <c r="G1141" s="36" t="s">
        <v>15581</v>
      </c>
      <c r="H1141" s="36" t="s">
        <v>15582</v>
      </c>
      <c r="I1141" s="36" t="s">
        <v>15583</v>
      </c>
      <c r="J1141" s="36" t="s">
        <v>15580</v>
      </c>
      <c r="K1141" s="36" t="s">
        <v>15580</v>
      </c>
      <c r="L1141" s="36" t="s">
        <v>15584</v>
      </c>
      <c r="M1141" s="36" t="s">
        <v>15580</v>
      </c>
      <c r="N1141" s="36" t="s">
        <v>15580</v>
      </c>
      <c r="O1141" s="36" t="s">
        <v>15585</v>
      </c>
      <c r="P1141" s="36" t="s">
        <v>15577</v>
      </c>
    </row>
    <row r="1142" spans="1:16">
      <c r="A1142" s="132">
        <v>1141</v>
      </c>
      <c r="B1142" s="36" t="s">
        <v>4637</v>
      </c>
      <c r="C1142" s="36" t="s">
        <v>15586</v>
      </c>
      <c r="D1142" s="36" t="s">
        <v>4639</v>
      </c>
      <c r="E1142" s="36" t="s">
        <v>4640</v>
      </c>
      <c r="F1142" s="36" t="s">
        <v>4641</v>
      </c>
      <c r="G1142" s="36" t="s">
        <v>15587</v>
      </c>
      <c r="H1142" s="36" t="s">
        <v>4643</v>
      </c>
      <c r="I1142" s="36" t="s">
        <v>4644</v>
      </c>
      <c r="J1142" s="36" t="s">
        <v>4645</v>
      </c>
      <c r="K1142" s="36" t="s">
        <v>4646</v>
      </c>
      <c r="L1142" s="36" t="s">
        <v>4647</v>
      </c>
      <c r="M1142" s="36" t="s">
        <v>4648</v>
      </c>
      <c r="N1142" s="36" t="s">
        <v>4649</v>
      </c>
      <c r="O1142" s="36" t="s">
        <v>4650</v>
      </c>
      <c r="P1142" s="36" t="s">
        <v>4637</v>
      </c>
    </row>
    <row r="1143" spans="1:16">
      <c r="A1143" s="132">
        <v>1142</v>
      </c>
      <c r="B1143" s="36" t="s">
        <v>4651</v>
      </c>
      <c r="C1143" s="36" t="s">
        <v>15588</v>
      </c>
      <c r="D1143" s="36" t="s">
        <v>4653</v>
      </c>
      <c r="E1143" s="36" t="s">
        <v>4654</v>
      </c>
      <c r="F1143" s="36" t="s">
        <v>4655</v>
      </c>
      <c r="G1143" s="36" t="s">
        <v>15589</v>
      </c>
      <c r="H1143" s="36" t="s">
        <v>4657</v>
      </c>
      <c r="I1143" s="36" t="s">
        <v>4658</v>
      </c>
      <c r="J1143" s="36" t="s">
        <v>4659</v>
      </c>
      <c r="K1143" s="36" t="s">
        <v>4660</v>
      </c>
      <c r="L1143" s="36" t="s">
        <v>4661</v>
      </c>
      <c r="M1143" s="36" t="s">
        <v>4662</v>
      </c>
      <c r="N1143" s="36" t="s">
        <v>4663</v>
      </c>
      <c r="O1143" s="36" t="s">
        <v>4664</v>
      </c>
      <c r="P1143" s="36" t="s">
        <v>4651</v>
      </c>
    </row>
    <row r="1144" spans="1:16">
      <c r="A1144" s="132">
        <v>1143</v>
      </c>
      <c r="B1144" s="36" t="s">
        <v>4665</v>
      </c>
      <c r="C1144" s="36" t="s">
        <v>15590</v>
      </c>
      <c r="D1144" s="36" t="s">
        <v>4667</v>
      </c>
      <c r="E1144" s="36" t="s">
        <v>4668</v>
      </c>
      <c r="F1144" s="36" t="s">
        <v>4669</v>
      </c>
      <c r="G1144" s="36" t="s">
        <v>15591</v>
      </c>
      <c r="H1144" s="36" t="s">
        <v>4671</v>
      </c>
      <c r="I1144" s="36" t="s">
        <v>4672</v>
      </c>
      <c r="J1144" s="36" t="s">
        <v>4673</v>
      </c>
      <c r="K1144" s="36" t="s">
        <v>4674</v>
      </c>
      <c r="L1144" s="36" t="s">
        <v>4675</v>
      </c>
      <c r="M1144" s="36" t="s">
        <v>4676</v>
      </c>
      <c r="N1144" s="36" t="s">
        <v>4677</v>
      </c>
      <c r="O1144" s="36" t="s">
        <v>4678</v>
      </c>
      <c r="P1144" s="36" t="s">
        <v>4665</v>
      </c>
    </row>
    <row r="1145" spans="1:16">
      <c r="A1145" s="132">
        <v>1144</v>
      </c>
      <c r="B1145" s="36" t="s">
        <v>4679</v>
      </c>
      <c r="C1145" s="36" t="s">
        <v>15592</v>
      </c>
      <c r="D1145" s="36" t="s">
        <v>4681</v>
      </c>
      <c r="E1145" s="36" t="s">
        <v>4682</v>
      </c>
      <c r="F1145" s="36" t="s">
        <v>4683</v>
      </c>
      <c r="G1145" s="36" t="s">
        <v>15593</v>
      </c>
      <c r="H1145" s="36" t="s">
        <v>4685</v>
      </c>
      <c r="I1145" s="36" t="s">
        <v>4686</v>
      </c>
      <c r="J1145" s="36" t="s">
        <v>4687</v>
      </c>
      <c r="K1145" s="36" t="s">
        <v>4688</v>
      </c>
      <c r="L1145" s="36" t="s">
        <v>4689</v>
      </c>
      <c r="M1145" s="36" t="s">
        <v>4690</v>
      </c>
      <c r="N1145" s="36" t="s">
        <v>4691</v>
      </c>
      <c r="O1145" s="36" t="s">
        <v>4692</v>
      </c>
      <c r="P1145" s="36" t="s">
        <v>4679</v>
      </c>
    </row>
    <row r="1146" spans="1:16">
      <c r="A1146" s="132">
        <v>1145</v>
      </c>
      <c r="B1146" s="36" t="s">
        <v>4707</v>
      </c>
      <c r="C1146" s="36" t="s">
        <v>15594</v>
      </c>
      <c r="D1146" s="36" t="s">
        <v>4709</v>
      </c>
      <c r="E1146" s="36" t="s">
        <v>4710</v>
      </c>
      <c r="F1146" s="36" t="s">
        <v>4711</v>
      </c>
      <c r="G1146" s="36" t="s">
        <v>15595</v>
      </c>
      <c r="H1146" s="36" t="s">
        <v>4713</v>
      </c>
      <c r="I1146" s="36" t="s">
        <v>4714</v>
      </c>
      <c r="J1146" s="36" t="s">
        <v>4715</v>
      </c>
      <c r="K1146" s="36" t="s">
        <v>4716</v>
      </c>
      <c r="L1146" s="36" t="s">
        <v>4717</v>
      </c>
      <c r="M1146" s="36" t="s">
        <v>4718</v>
      </c>
      <c r="N1146" s="36" t="s">
        <v>4719</v>
      </c>
      <c r="O1146" s="36" t="s">
        <v>4720</v>
      </c>
      <c r="P1146" s="36" t="s">
        <v>4707</v>
      </c>
    </row>
    <row r="1147" spans="1:16">
      <c r="A1147" s="132">
        <v>1146</v>
      </c>
      <c r="B1147" s="36" t="s">
        <v>4735</v>
      </c>
      <c r="C1147" s="36" t="s">
        <v>15596</v>
      </c>
      <c r="D1147" s="36" t="s">
        <v>4737</v>
      </c>
      <c r="E1147" s="36" t="s">
        <v>4738</v>
      </c>
      <c r="F1147" s="36" t="s">
        <v>4739</v>
      </c>
      <c r="G1147" s="36" t="s">
        <v>15597</v>
      </c>
      <c r="H1147" s="36" t="s">
        <v>4741</v>
      </c>
      <c r="I1147" s="36" t="s">
        <v>4742</v>
      </c>
      <c r="J1147" s="36" t="s">
        <v>4743</v>
      </c>
      <c r="K1147" s="36" t="s">
        <v>4744</v>
      </c>
      <c r="L1147" s="36" t="s">
        <v>4745</v>
      </c>
      <c r="M1147" s="36" t="s">
        <v>4746</v>
      </c>
      <c r="N1147" s="36" t="s">
        <v>4747</v>
      </c>
      <c r="O1147" s="36" t="s">
        <v>4748</v>
      </c>
      <c r="P1147" s="36" t="s">
        <v>4735</v>
      </c>
    </row>
    <row r="1148" spans="1:16">
      <c r="A1148" s="132">
        <v>1147</v>
      </c>
      <c r="B1148" s="36" t="s">
        <v>4777</v>
      </c>
      <c r="C1148" s="36" t="s">
        <v>15598</v>
      </c>
      <c r="D1148" s="36" t="s">
        <v>4779</v>
      </c>
      <c r="E1148" s="36" t="s">
        <v>4780</v>
      </c>
      <c r="F1148" s="36" t="s">
        <v>4781</v>
      </c>
      <c r="G1148" s="36" t="s">
        <v>15599</v>
      </c>
      <c r="H1148" s="36" t="s">
        <v>4783</v>
      </c>
      <c r="I1148" s="36" t="s">
        <v>4784</v>
      </c>
      <c r="J1148" s="36" t="s">
        <v>4785</v>
      </c>
      <c r="K1148" s="36" t="s">
        <v>4786</v>
      </c>
      <c r="L1148" s="36" t="s">
        <v>4787</v>
      </c>
      <c r="M1148" s="36" t="s">
        <v>4788</v>
      </c>
      <c r="N1148" s="36" t="s">
        <v>4789</v>
      </c>
      <c r="O1148" s="36" t="s">
        <v>4790</v>
      </c>
      <c r="P1148" s="36" t="s">
        <v>4777</v>
      </c>
    </row>
    <row r="1149" spans="1:16">
      <c r="A1149" s="132">
        <v>1148</v>
      </c>
      <c r="B1149" s="36" t="s">
        <v>4791</v>
      </c>
      <c r="C1149" s="36" t="s">
        <v>15600</v>
      </c>
      <c r="D1149" s="36" t="s">
        <v>4793</v>
      </c>
      <c r="E1149" s="36" t="s">
        <v>4794</v>
      </c>
      <c r="F1149" s="36" t="s">
        <v>4795</v>
      </c>
      <c r="G1149" s="36" t="s">
        <v>15601</v>
      </c>
      <c r="H1149" s="36" t="s">
        <v>4797</v>
      </c>
      <c r="I1149" s="36" t="s">
        <v>4798</v>
      </c>
      <c r="J1149" s="36" t="s">
        <v>4799</v>
      </c>
      <c r="K1149" s="36" t="s">
        <v>4800</v>
      </c>
      <c r="L1149" s="36" t="s">
        <v>4801</v>
      </c>
      <c r="M1149" s="36" t="s">
        <v>4802</v>
      </c>
      <c r="N1149" s="36" t="s">
        <v>4803</v>
      </c>
      <c r="O1149" s="36" t="s">
        <v>4804</v>
      </c>
      <c r="P1149" s="36" t="s">
        <v>4791</v>
      </c>
    </row>
    <row r="1150" spans="1:16">
      <c r="A1150" s="132">
        <v>1149</v>
      </c>
      <c r="B1150" s="36" t="s">
        <v>4819</v>
      </c>
      <c r="C1150" s="36" t="s">
        <v>15602</v>
      </c>
      <c r="D1150" s="36" t="s">
        <v>4821</v>
      </c>
      <c r="E1150" s="36" t="s">
        <v>4822</v>
      </c>
      <c r="F1150" s="36" t="s">
        <v>4823</v>
      </c>
      <c r="G1150" s="36" t="s">
        <v>15603</v>
      </c>
      <c r="H1150" s="36" t="s">
        <v>4825</v>
      </c>
      <c r="I1150" s="36" t="s">
        <v>4826</v>
      </c>
      <c r="J1150" s="36" t="s">
        <v>4827</v>
      </c>
      <c r="K1150" s="36" t="s">
        <v>4828</v>
      </c>
      <c r="L1150" s="36" t="s">
        <v>4829</v>
      </c>
      <c r="M1150" s="36" t="s">
        <v>4830</v>
      </c>
      <c r="N1150" s="36" t="s">
        <v>4831</v>
      </c>
      <c r="O1150" s="36" t="s">
        <v>4832</v>
      </c>
      <c r="P1150" s="36" t="s">
        <v>4819</v>
      </c>
    </row>
    <row r="1151" spans="1:16">
      <c r="A1151" s="132">
        <v>1150</v>
      </c>
      <c r="B1151" s="36" t="s">
        <v>4847</v>
      </c>
      <c r="C1151" s="36" t="s">
        <v>15604</v>
      </c>
      <c r="D1151" s="36" t="s">
        <v>4849</v>
      </c>
      <c r="E1151" s="36" t="s">
        <v>4850</v>
      </c>
      <c r="F1151" s="36" t="s">
        <v>4851</v>
      </c>
      <c r="G1151" s="36" t="s">
        <v>4852</v>
      </c>
      <c r="H1151" s="36" t="s">
        <v>4853</v>
      </c>
      <c r="I1151" s="36" t="s">
        <v>4854</v>
      </c>
      <c r="J1151" s="36" t="s">
        <v>4855</v>
      </c>
      <c r="K1151" s="36" t="s">
        <v>4856</v>
      </c>
      <c r="L1151" s="36" t="s">
        <v>4857</v>
      </c>
      <c r="M1151" s="36" t="s">
        <v>4858</v>
      </c>
      <c r="N1151" s="36" t="s">
        <v>4859</v>
      </c>
      <c r="O1151" s="36" t="s">
        <v>4860</v>
      </c>
      <c r="P1151" s="36" t="s">
        <v>4847</v>
      </c>
    </row>
    <row r="1152" spans="1:16">
      <c r="A1152" s="132">
        <v>1151</v>
      </c>
      <c r="B1152" s="36" t="s">
        <v>4889</v>
      </c>
      <c r="C1152" s="36" t="s">
        <v>15605</v>
      </c>
      <c r="D1152" s="36" t="s">
        <v>4891</v>
      </c>
      <c r="E1152" s="36" t="s">
        <v>4892</v>
      </c>
      <c r="F1152" s="36" t="s">
        <v>4893</v>
      </c>
      <c r="G1152" s="36" t="s">
        <v>4894</v>
      </c>
      <c r="H1152" s="36" t="s">
        <v>4895</v>
      </c>
      <c r="I1152" s="36" t="s">
        <v>4896</v>
      </c>
      <c r="J1152" s="36" t="s">
        <v>4897</v>
      </c>
      <c r="K1152" s="36" t="s">
        <v>4898</v>
      </c>
      <c r="L1152" s="36" t="s">
        <v>4899</v>
      </c>
      <c r="M1152" s="36" t="s">
        <v>4900</v>
      </c>
      <c r="N1152" s="36" t="s">
        <v>4901</v>
      </c>
      <c r="O1152" s="36" t="s">
        <v>4902</v>
      </c>
      <c r="P1152" s="36" t="s">
        <v>4889</v>
      </c>
    </row>
    <row r="1153" spans="1:16">
      <c r="A1153" s="132">
        <v>1152</v>
      </c>
      <c r="B1153" s="36" t="s">
        <v>15606</v>
      </c>
      <c r="C1153" s="36" t="s">
        <v>15607</v>
      </c>
      <c r="D1153" s="36" t="s">
        <v>15608</v>
      </c>
      <c r="E1153" s="36" t="s">
        <v>15609</v>
      </c>
      <c r="F1153" s="36" t="s">
        <v>15610</v>
      </c>
      <c r="G1153" s="36" t="s">
        <v>15611</v>
      </c>
      <c r="H1153" s="36" t="s">
        <v>15612</v>
      </c>
      <c r="I1153" s="36" t="s">
        <v>15613</v>
      </c>
      <c r="J1153" s="36" t="s">
        <v>15614</v>
      </c>
      <c r="K1153" s="36" t="s">
        <v>15615</v>
      </c>
      <c r="L1153" s="36" t="s">
        <v>15616</v>
      </c>
      <c r="M1153" s="36" t="s">
        <v>15617</v>
      </c>
      <c r="N1153" s="36" t="s">
        <v>15618</v>
      </c>
      <c r="O1153" s="36" t="s">
        <v>15619</v>
      </c>
      <c r="P1153" s="36" t="s">
        <v>15606</v>
      </c>
    </row>
    <row r="1154" spans="1:16">
      <c r="A1154" s="132">
        <v>1153</v>
      </c>
      <c r="B1154" s="36" t="s">
        <v>15620</v>
      </c>
      <c r="C1154" s="36" t="s">
        <v>15621</v>
      </c>
      <c r="D1154" s="36" t="s">
        <v>15622</v>
      </c>
      <c r="E1154" s="36" t="s">
        <v>15623</v>
      </c>
      <c r="F1154" s="36" t="s">
        <v>15624</v>
      </c>
      <c r="G1154" s="36" t="s">
        <v>15625</v>
      </c>
      <c r="H1154" s="36" t="s">
        <v>15626</v>
      </c>
      <c r="I1154" s="36" t="s">
        <v>15627</v>
      </c>
      <c r="J1154" s="36" t="s">
        <v>15628</v>
      </c>
      <c r="K1154" s="36" t="s">
        <v>15629</v>
      </c>
      <c r="L1154" s="36" t="s">
        <v>15630</v>
      </c>
      <c r="M1154" s="36" t="s">
        <v>15631</v>
      </c>
      <c r="N1154" s="36" t="s">
        <v>15632</v>
      </c>
      <c r="O1154" s="36" t="s">
        <v>15633</v>
      </c>
      <c r="P1154" s="36" t="s">
        <v>15620</v>
      </c>
    </row>
    <row r="1155" spans="1:16">
      <c r="A1155" s="132">
        <v>1154</v>
      </c>
      <c r="B1155" s="36" t="s">
        <v>15634</v>
      </c>
      <c r="C1155" s="36" t="s">
        <v>15635</v>
      </c>
      <c r="D1155" s="36" t="s">
        <v>15636</v>
      </c>
      <c r="E1155" s="36" t="s">
        <v>15637</v>
      </c>
      <c r="F1155" s="36" t="s">
        <v>15638</v>
      </c>
      <c r="G1155" s="36" t="s">
        <v>15639</v>
      </c>
      <c r="H1155" s="36" t="s">
        <v>15640</v>
      </c>
      <c r="I1155" s="36" t="s">
        <v>15641</v>
      </c>
      <c r="J1155" s="36" t="s">
        <v>15642</v>
      </c>
      <c r="K1155" s="36" t="s">
        <v>15643</v>
      </c>
      <c r="L1155" s="36" t="s">
        <v>15644</v>
      </c>
      <c r="M1155" s="36" t="s">
        <v>15645</v>
      </c>
      <c r="N1155" s="36" t="s">
        <v>15646</v>
      </c>
      <c r="O1155" s="36" t="s">
        <v>15647</v>
      </c>
      <c r="P1155" s="36" t="s">
        <v>15634</v>
      </c>
    </row>
    <row r="1156" spans="1:16">
      <c r="A1156" s="132">
        <v>1155</v>
      </c>
      <c r="B1156" s="36" t="s">
        <v>15648</v>
      </c>
      <c r="C1156" s="36" t="s">
        <v>15649</v>
      </c>
      <c r="D1156" s="36" t="s">
        <v>15650</v>
      </c>
      <c r="E1156" s="36" t="s">
        <v>5166</v>
      </c>
      <c r="F1156" s="36" t="s">
        <v>15651</v>
      </c>
      <c r="G1156" s="36" t="s">
        <v>15652</v>
      </c>
      <c r="H1156" s="36" t="s">
        <v>15653</v>
      </c>
      <c r="I1156" s="36" t="s">
        <v>15654</v>
      </c>
      <c r="J1156" s="36" t="s">
        <v>15655</v>
      </c>
      <c r="K1156" s="36" t="s">
        <v>5172</v>
      </c>
      <c r="L1156" s="36" t="s">
        <v>5173</v>
      </c>
      <c r="M1156" s="36" t="s">
        <v>5174</v>
      </c>
      <c r="N1156" s="36" t="s">
        <v>5175</v>
      </c>
      <c r="O1156" s="36" t="s">
        <v>15656</v>
      </c>
      <c r="P1156" s="36" t="s">
        <v>15648</v>
      </c>
    </row>
    <row r="1157" spans="1:16">
      <c r="A1157" s="132">
        <v>1156</v>
      </c>
      <c r="B1157" s="36" t="s">
        <v>15657</v>
      </c>
      <c r="C1157" s="36" t="s">
        <v>15658</v>
      </c>
      <c r="D1157" s="36" t="s">
        <v>15659</v>
      </c>
      <c r="E1157" s="36" t="s">
        <v>15660</v>
      </c>
      <c r="F1157" s="36" t="s">
        <v>15661</v>
      </c>
      <c r="G1157" s="36" t="s">
        <v>15662</v>
      </c>
      <c r="H1157" s="36" t="s">
        <v>15663</v>
      </c>
      <c r="I1157" s="36" t="s">
        <v>15664</v>
      </c>
      <c r="J1157" s="36" t="s">
        <v>15665</v>
      </c>
      <c r="K1157" s="36" t="s">
        <v>15666</v>
      </c>
      <c r="L1157" s="36" t="s">
        <v>15667</v>
      </c>
      <c r="M1157" s="36" t="s">
        <v>15668</v>
      </c>
      <c r="N1157" s="36" t="s">
        <v>15669</v>
      </c>
      <c r="O1157" s="36" t="s">
        <v>15670</v>
      </c>
      <c r="P1157" s="36" t="s">
        <v>15657</v>
      </c>
    </row>
    <row r="1158" spans="1:16">
      <c r="A1158" s="132">
        <v>1157</v>
      </c>
      <c r="B1158" s="36" t="s">
        <v>15671</v>
      </c>
      <c r="C1158" s="36" t="s">
        <v>15672</v>
      </c>
      <c r="D1158" s="36" t="s">
        <v>15673</v>
      </c>
      <c r="E1158" s="36" t="s">
        <v>15674</v>
      </c>
      <c r="F1158" s="36" t="s">
        <v>15675</v>
      </c>
      <c r="G1158" s="36" t="s">
        <v>15676</v>
      </c>
      <c r="H1158" s="36" t="s">
        <v>15677</v>
      </c>
      <c r="I1158" s="36" t="s">
        <v>15678</v>
      </c>
      <c r="J1158" s="36" t="s">
        <v>15679</v>
      </c>
      <c r="K1158" s="36" t="s">
        <v>15680</v>
      </c>
      <c r="L1158" s="36" t="s">
        <v>15681</v>
      </c>
      <c r="M1158" s="36" t="s">
        <v>15682</v>
      </c>
      <c r="N1158" s="36" t="s">
        <v>15683</v>
      </c>
      <c r="O1158" s="36" t="s">
        <v>15684</v>
      </c>
      <c r="P1158" s="36" t="s">
        <v>15671</v>
      </c>
    </row>
    <row r="1159" spans="1:16">
      <c r="A1159" s="132">
        <v>1158</v>
      </c>
      <c r="B1159" s="36" t="s">
        <v>15685</v>
      </c>
      <c r="C1159" s="36" t="s">
        <v>15686</v>
      </c>
      <c r="D1159" s="36" t="s">
        <v>15687</v>
      </c>
      <c r="E1159" s="36" t="s">
        <v>15688</v>
      </c>
      <c r="F1159" s="36" t="s">
        <v>15689</v>
      </c>
      <c r="G1159" s="36" t="s">
        <v>15690</v>
      </c>
      <c r="H1159" s="36" t="s">
        <v>15691</v>
      </c>
      <c r="I1159" s="36" t="s">
        <v>15692</v>
      </c>
      <c r="J1159" s="36" t="s">
        <v>15693</v>
      </c>
      <c r="K1159" s="36" t="s">
        <v>15694</v>
      </c>
      <c r="L1159" s="36" t="s">
        <v>15695</v>
      </c>
      <c r="M1159" s="36" t="s">
        <v>15696</v>
      </c>
      <c r="N1159" s="36" t="s">
        <v>15697</v>
      </c>
      <c r="O1159" s="36" t="s">
        <v>15698</v>
      </c>
      <c r="P1159" s="36" t="s">
        <v>15685</v>
      </c>
    </row>
    <row r="1160" spans="1:16">
      <c r="A1160" s="132">
        <v>1159</v>
      </c>
      <c r="B1160" s="36" t="s">
        <v>15699</v>
      </c>
      <c r="C1160" s="36" t="s">
        <v>15700</v>
      </c>
      <c r="D1160" s="36" t="s">
        <v>15701</v>
      </c>
      <c r="E1160" s="36" t="s">
        <v>15702</v>
      </c>
      <c r="F1160" s="36" t="s">
        <v>15703</v>
      </c>
      <c r="G1160" s="36" t="s">
        <v>15704</v>
      </c>
      <c r="H1160" s="36" t="s">
        <v>15705</v>
      </c>
      <c r="I1160" s="36" t="s">
        <v>15706</v>
      </c>
      <c r="J1160" s="36" t="s">
        <v>15707</v>
      </c>
      <c r="K1160" s="36" t="s">
        <v>15706</v>
      </c>
      <c r="L1160" s="36" t="s">
        <v>15708</v>
      </c>
      <c r="M1160" s="36" t="s">
        <v>15709</v>
      </c>
      <c r="N1160" s="36" t="s">
        <v>15710</v>
      </c>
      <c r="O1160" s="36" t="s">
        <v>15711</v>
      </c>
      <c r="P1160" s="36" t="s">
        <v>15699</v>
      </c>
    </row>
    <row r="1161" spans="1:16">
      <c r="A1161" s="132">
        <v>1160</v>
      </c>
      <c r="B1161" s="36" t="s">
        <v>15712</v>
      </c>
      <c r="C1161" s="36" t="s">
        <v>15713</v>
      </c>
      <c r="D1161" s="36" t="s">
        <v>15714</v>
      </c>
      <c r="E1161" s="36" t="s">
        <v>15715</v>
      </c>
      <c r="F1161" s="36" t="s">
        <v>15716</v>
      </c>
      <c r="G1161" s="36" t="s">
        <v>15717</v>
      </c>
      <c r="H1161" s="36" t="s">
        <v>15718</v>
      </c>
      <c r="I1161" s="36" t="s">
        <v>15719</v>
      </c>
      <c r="J1161" s="36" t="s">
        <v>15720</v>
      </c>
      <c r="K1161" s="36" t="s">
        <v>15721</v>
      </c>
      <c r="L1161" s="36" t="s">
        <v>15722</v>
      </c>
      <c r="M1161" s="36" t="s">
        <v>15723</v>
      </c>
      <c r="N1161" s="36" t="s">
        <v>15724</v>
      </c>
      <c r="O1161" s="36" t="s">
        <v>15725</v>
      </c>
      <c r="P1161" s="36" t="s">
        <v>15712</v>
      </c>
    </row>
    <row r="1162" spans="1:16">
      <c r="A1162" s="132">
        <v>1161</v>
      </c>
      <c r="B1162" s="36" t="s">
        <v>4861</v>
      </c>
      <c r="C1162" s="36" t="s">
        <v>15726</v>
      </c>
      <c r="D1162" s="36" t="s">
        <v>4863</v>
      </c>
      <c r="E1162" s="36" t="s">
        <v>4864</v>
      </c>
      <c r="F1162" s="36" t="s">
        <v>15727</v>
      </c>
      <c r="G1162" s="36" t="s">
        <v>4866</v>
      </c>
      <c r="H1162" s="36" t="s">
        <v>4867</v>
      </c>
      <c r="I1162" s="36" t="s">
        <v>4868</v>
      </c>
      <c r="J1162" s="36" t="s">
        <v>4869</v>
      </c>
      <c r="K1162" s="36" t="s">
        <v>4870</v>
      </c>
      <c r="L1162" s="36" t="s">
        <v>4871</v>
      </c>
      <c r="M1162" s="36" t="s">
        <v>4872</v>
      </c>
      <c r="N1162" s="36" t="s">
        <v>4873</v>
      </c>
      <c r="O1162" s="36" t="s">
        <v>4874</v>
      </c>
      <c r="P1162" s="36" t="s">
        <v>4861</v>
      </c>
    </row>
    <row r="1163" spans="1:16">
      <c r="A1163" s="132">
        <v>1162</v>
      </c>
      <c r="B1163" s="36" t="s">
        <v>15728</v>
      </c>
      <c r="C1163" s="36" t="s">
        <v>15729</v>
      </c>
      <c r="D1163" s="36" t="s">
        <v>15730</v>
      </c>
      <c r="E1163" s="36" t="s">
        <v>15731</v>
      </c>
      <c r="F1163" s="36" t="s">
        <v>15732</v>
      </c>
      <c r="G1163" s="36" t="s">
        <v>15733</v>
      </c>
      <c r="H1163" s="36" t="s">
        <v>15734</v>
      </c>
      <c r="I1163" s="36" t="s">
        <v>15735</v>
      </c>
      <c r="J1163" s="36" t="s">
        <v>15736</v>
      </c>
      <c r="K1163" s="36" t="s">
        <v>15737</v>
      </c>
      <c r="L1163" s="36" t="s">
        <v>15738</v>
      </c>
      <c r="M1163" s="36" t="s">
        <v>15739</v>
      </c>
      <c r="N1163" s="36" t="s">
        <v>15740</v>
      </c>
      <c r="O1163" s="36" t="s">
        <v>15741</v>
      </c>
      <c r="P1163" s="36" t="s">
        <v>15728</v>
      </c>
    </row>
    <row r="1164" spans="1:16">
      <c r="A1164" s="132">
        <v>1163</v>
      </c>
      <c r="B1164" s="36" t="s">
        <v>15742</v>
      </c>
      <c r="C1164" s="36" t="s">
        <v>15743</v>
      </c>
      <c r="D1164" s="36" t="s">
        <v>15744</v>
      </c>
      <c r="E1164" s="36" t="s">
        <v>15745</v>
      </c>
      <c r="F1164" s="36" t="s">
        <v>15746</v>
      </c>
      <c r="G1164" s="36" t="s">
        <v>15747</v>
      </c>
      <c r="H1164" s="36" t="s">
        <v>15748</v>
      </c>
      <c r="I1164" s="36" t="s">
        <v>15749</v>
      </c>
      <c r="J1164" s="36" t="s">
        <v>15750</v>
      </c>
      <c r="K1164" s="36" t="s">
        <v>15751</v>
      </c>
      <c r="L1164" s="36" t="s">
        <v>15752</v>
      </c>
      <c r="M1164" s="36" t="s">
        <v>15753</v>
      </c>
      <c r="N1164" s="36" t="s">
        <v>15754</v>
      </c>
      <c r="O1164" s="36" t="s">
        <v>15755</v>
      </c>
      <c r="P1164" s="36" t="s">
        <v>15742</v>
      </c>
    </row>
    <row r="1165" spans="1:16">
      <c r="A1165" s="132">
        <v>1164</v>
      </c>
      <c r="B1165" s="36" t="s">
        <v>4875</v>
      </c>
      <c r="C1165" s="36" t="s">
        <v>15756</v>
      </c>
      <c r="D1165" s="36" t="s">
        <v>4877</v>
      </c>
      <c r="E1165" s="36" t="s">
        <v>4878</v>
      </c>
      <c r="F1165" s="36" t="s">
        <v>15757</v>
      </c>
      <c r="G1165" s="36" t="s">
        <v>4880</v>
      </c>
      <c r="H1165" s="36" t="s">
        <v>4881</v>
      </c>
      <c r="I1165" s="36" t="s">
        <v>4882</v>
      </c>
      <c r="J1165" s="36" t="s">
        <v>4883</v>
      </c>
      <c r="K1165" s="36" t="s">
        <v>4884</v>
      </c>
      <c r="L1165" s="36" t="s">
        <v>4885</v>
      </c>
      <c r="M1165" s="36" t="s">
        <v>4886</v>
      </c>
      <c r="N1165" s="36" t="s">
        <v>4887</v>
      </c>
      <c r="O1165" s="36" t="s">
        <v>4888</v>
      </c>
      <c r="P1165" s="36" t="s">
        <v>4875</v>
      </c>
    </row>
    <row r="1166" spans="1:16">
      <c r="A1166" s="132">
        <v>1165</v>
      </c>
      <c r="B1166" s="36" t="s">
        <v>15758</v>
      </c>
      <c r="C1166" s="36" t="s">
        <v>15759</v>
      </c>
      <c r="D1166" s="36" t="s">
        <v>15760</v>
      </c>
      <c r="E1166" s="36" t="s">
        <v>15758</v>
      </c>
      <c r="F1166" s="36" t="s">
        <v>15758</v>
      </c>
      <c r="G1166" s="36" t="s">
        <v>15761</v>
      </c>
      <c r="H1166" s="36" t="s">
        <v>15762</v>
      </c>
      <c r="I1166" s="36" t="s">
        <v>15763</v>
      </c>
      <c r="J1166" s="36" t="s">
        <v>15758</v>
      </c>
      <c r="K1166" s="36" t="s">
        <v>15758</v>
      </c>
      <c r="L1166" s="36" t="s">
        <v>15764</v>
      </c>
      <c r="M1166" s="36" t="s">
        <v>15758</v>
      </c>
      <c r="N1166" s="36" t="s">
        <v>15758</v>
      </c>
      <c r="O1166" s="36" t="s">
        <v>15765</v>
      </c>
      <c r="P1166" s="36" t="s">
        <v>15758</v>
      </c>
    </row>
    <row r="1167" spans="1:16">
      <c r="A1167" s="132">
        <v>1166</v>
      </c>
      <c r="B1167" s="36" t="s">
        <v>15766</v>
      </c>
      <c r="C1167" s="36" t="s">
        <v>15767</v>
      </c>
      <c r="D1167" s="36" t="s">
        <v>15768</v>
      </c>
      <c r="E1167" s="36" t="s">
        <v>15766</v>
      </c>
      <c r="F1167" s="36" t="s">
        <v>15766</v>
      </c>
      <c r="G1167" s="36" t="s">
        <v>15769</v>
      </c>
      <c r="H1167" s="36" t="s">
        <v>15770</v>
      </c>
      <c r="I1167" s="36" t="s">
        <v>15771</v>
      </c>
      <c r="J1167" s="36" t="s">
        <v>15766</v>
      </c>
      <c r="K1167" s="36" t="s">
        <v>15766</v>
      </c>
      <c r="L1167" s="36" t="s">
        <v>15772</v>
      </c>
      <c r="M1167" s="36" t="s">
        <v>15766</v>
      </c>
      <c r="N1167" s="36" t="s">
        <v>15766</v>
      </c>
      <c r="O1167" s="36" t="s">
        <v>15773</v>
      </c>
      <c r="P1167" s="36" t="s">
        <v>15766</v>
      </c>
    </row>
    <row r="1168" spans="1:16">
      <c r="A1168" s="132">
        <v>1167</v>
      </c>
      <c r="B1168" s="36" t="s">
        <v>15774</v>
      </c>
      <c r="C1168" s="36" t="s">
        <v>15775</v>
      </c>
      <c r="D1168" s="36" t="s">
        <v>15776</v>
      </c>
      <c r="E1168" s="36" t="s">
        <v>15774</v>
      </c>
      <c r="F1168" s="36" t="s">
        <v>15774</v>
      </c>
      <c r="G1168" s="36" t="s">
        <v>15777</v>
      </c>
      <c r="H1168" s="36" t="s">
        <v>15778</v>
      </c>
      <c r="I1168" s="36" t="s">
        <v>15779</v>
      </c>
      <c r="J1168" s="36" t="s">
        <v>15774</v>
      </c>
      <c r="K1168" s="36" t="s">
        <v>15774</v>
      </c>
      <c r="L1168" s="36" t="s">
        <v>15780</v>
      </c>
      <c r="M1168" s="36" t="s">
        <v>15774</v>
      </c>
      <c r="N1168" s="36" t="s">
        <v>15774</v>
      </c>
      <c r="O1168" s="36" t="s">
        <v>15781</v>
      </c>
      <c r="P1168" s="36" t="s">
        <v>15774</v>
      </c>
    </row>
    <row r="1169" spans="1:16">
      <c r="A1169" s="132">
        <v>1168</v>
      </c>
      <c r="B1169" s="36" t="s">
        <v>15782</v>
      </c>
      <c r="C1169" s="36" t="s">
        <v>15783</v>
      </c>
      <c r="D1169" s="36" t="s">
        <v>15784</v>
      </c>
      <c r="E1169" s="36" t="s">
        <v>15785</v>
      </c>
      <c r="F1169" s="36" t="s">
        <v>15786</v>
      </c>
      <c r="G1169" s="36" t="s">
        <v>15787</v>
      </c>
      <c r="H1169" s="36" t="s">
        <v>15788</v>
      </c>
      <c r="I1169" s="36" t="s">
        <v>15789</v>
      </c>
      <c r="J1169" s="36" t="s">
        <v>15790</v>
      </c>
      <c r="K1169" s="36" t="s">
        <v>15791</v>
      </c>
      <c r="L1169" s="36" t="s">
        <v>15792</v>
      </c>
      <c r="M1169" s="36" t="s">
        <v>15793</v>
      </c>
      <c r="N1169" s="36" t="s">
        <v>15794</v>
      </c>
      <c r="O1169" s="36" t="s">
        <v>15795</v>
      </c>
      <c r="P1169" s="36" t="s">
        <v>15796</v>
      </c>
    </row>
    <row r="1170" spans="1:16">
      <c r="A1170" s="132">
        <v>1169</v>
      </c>
      <c r="B1170" s="36" t="s">
        <v>15453</v>
      </c>
      <c r="C1170" s="36" t="s">
        <v>15454</v>
      </c>
      <c r="D1170" s="36" t="s">
        <v>15455</v>
      </c>
      <c r="E1170" s="36" t="s">
        <v>15456</v>
      </c>
      <c r="F1170" s="36" t="s">
        <v>15457</v>
      </c>
      <c r="G1170" s="36" t="s">
        <v>15458</v>
      </c>
      <c r="H1170" s="36" t="s">
        <v>15459</v>
      </c>
      <c r="I1170" s="36" t="s">
        <v>15460</v>
      </c>
      <c r="J1170" s="36" t="s">
        <v>15461</v>
      </c>
      <c r="K1170" s="36" t="s">
        <v>15462</v>
      </c>
      <c r="L1170" s="36" t="s">
        <v>15463</v>
      </c>
      <c r="M1170" s="36" t="s">
        <v>15464</v>
      </c>
      <c r="N1170" s="36" t="s">
        <v>15465</v>
      </c>
      <c r="O1170" s="36" t="s">
        <v>15466</v>
      </c>
      <c r="P1170" s="36" t="s">
        <v>15453</v>
      </c>
    </row>
    <row r="1171" spans="1:16">
      <c r="A1171" s="132">
        <v>1170</v>
      </c>
      <c r="B1171" s="36" t="s">
        <v>15797</v>
      </c>
      <c r="C1171" s="36" t="s">
        <v>15798</v>
      </c>
      <c r="D1171" s="36" t="s">
        <v>15799</v>
      </c>
      <c r="E1171" s="36" t="s">
        <v>15800</v>
      </c>
      <c r="F1171" s="36" t="s">
        <v>15801</v>
      </c>
      <c r="G1171" s="36" t="s">
        <v>15802</v>
      </c>
      <c r="H1171" s="36" t="s">
        <v>15803</v>
      </c>
      <c r="I1171" s="36" t="s">
        <v>15804</v>
      </c>
      <c r="J1171" s="36" t="s">
        <v>15805</v>
      </c>
      <c r="K1171" s="36" t="s">
        <v>15806</v>
      </c>
      <c r="L1171" s="36" t="s">
        <v>15807</v>
      </c>
      <c r="M1171" s="36" t="s">
        <v>15808</v>
      </c>
      <c r="N1171" s="36" t="s">
        <v>15809</v>
      </c>
      <c r="O1171" s="36" t="s">
        <v>15810</v>
      </c>
      <c r="P1171" s="36" t="s">
        <v>15797</v>
      </c>
    </row>
    <row r="1172" spans="1:16">
      <c r="A1172" s="132">
        <v>1171</v>
      </c>
      <c r="B1172" s="36" t="s">
        <v>15811</v>
      </c>
      <c r="C1172" s="36" t="s">
        <v>15812</v>
      </c>
      <c r="D1172" s="36" t="s">
        <v>15813</v>
      </c>
      <c r="E1172" s="36" t="s">
        <v>15814</v>
      </c>
      <c r="F1172" s="36" t="s">
        <v>15814</v>
      </c>
      <c r="G1172" s="36" t="s">
        <v>15814</v>
      </c>
      <c r="H1172" s="36" t="s">
        <v>15814</v>
      </c>
      <c r="I1172" s="36" t="s">
        <v>15814</v>
      </c>
      <c r="J1172" s="36" t="s">
        <v>15814</v>
      </c>
      <c r="K1172" s="36" t="s">
        <v>15814</v>
      </c>
      <c r="L1172" s="36" t="s">
        <v>15814</v>
      </c>
      <c r="M1172" s="36" t="s">
        <v>15814</v>
      </c>
      <c r="N1172" s="36" t="s">
        <v>15814</v>
      </c>
      <c r="O1172" s="36" t="s">
        <v>15814</v>
      </c>
      <c r="P1172" s="36" t="s">
        <v>15811</v>
      </c>
    </row>
    <row r="1173" spans="1:16">
      <c r="A1173" s="132">
        <v>1172</v>
      </c>
      <c r="B1173" s="36" t="s">
        <v>15815</v>
      </c>
      <c r="C1173" s="36" t="s">
        <v>15815</v>
      </c>
      <c r="D1173" s="36" t="s">
        <v>15816</v>
      </c>
      <c r="E1173" s="36" t="s">
        <v>15816</v>
      </c>
      <c r="F1173" s="36" t="s">
        <v>15816</v>
      </c>
      <c r="G1173" s="36" t="s">
        <v>15816</v>
      </c>
      <c r="H1173" s="36" t="s">
        <v>15816</v>
      </c>
      <c r="I1173" s="36" t="s">
        <v>15816</v>
      </c>
      <c r="J1173" s="36" t="s">
        <v>15816</v>
      </c>
      <c r="K1173" s="36" t="s">
        <v>15816</v>
      </c>
      <c r="L1173" s="36" t="s">
        <v>15816</v>
      </c>
      <c r="M1173" s="36" t="s">
        <v>15816</v>
      </c>
      <c r="N1173" s="36" t="s">
        <v>15816</v>
      </c>
      <c r="O1173" s="36" t="s">
        <v>15816</v>
      </c>
      <c r="P1173" s="36" t="s">
        <v>15815</v>
      </c>
    </row>
    <row r="1174" spans="1:16">
      <c r="A1174" s="132">
        <v>1173</v>
      </c>
      <c r="B1174" s="36" t="s">
        <v>15817</v>
      </c>
      <c r="C1174" s="36" t="s">
        <v>15817</v>
      </c>
      <c r="D1174" s="36" t="s">
        <v>15818</v>
      </c>
      <c r="E1174" s="36" t="s">
        <v>15818</v>
      </c>
      <c r="F1174" s="36" t="s">
        <v>15818</v>
      </c>
      <c r="G1174" s="36" t="s">
        <v>15818</v>
      </c>
      <c r="H1174" s="36" t="s">
        <v>15818</v>
      </c>
      <c r="I1174" s="36" t="s">
        <v>15818</v>
      </c>
      <c r="J1174" s="36" t="s">
        <v>15818</v>
      </c>
      <c r="K1174" s="36" t="s">
        <v>15818</v>
      </c>
      <c r="L1174" s="36" t="s">
        <v>15818</v>
      </c>
      <c r="M1174" s="36" t="s">
        <v>15818</v>
      </c>
      <c r="N1174" s="36" t="s">
        <v>15818</v>
      </c>
      <c r="O1174" s="36" t="s">
        <v>15818</v>
      </c>
      <c r="P1174" s="36" t="s">
        <v>15817</v>
      </c>
    </row>
    <row r="1175" spans="1:16">
      <c r="A1175" s="132">
        <v>1174</v>
      </c>
      <c r="B1175" s="36" t="s">
        <v>15819</v>
      </c>
      <c r="C1175" s="36" t="s">
        <v>15820</v>
      </c>
      <c r="D1175" s="36" t="s">
        <v>15821</v>
      </c>
      <c r="E1175" s="36" t="s">
        <v>15822</v>
      </c>
      <c r="F1175" s="36" t="s">
        <v>15823</v>
      </c>
      <c r="G1175" s="36" t="s">
        <v>15824</v>
      </c>
      <c r="H1175" s="36" t="s">
        <v>15825</v>
      </c>
      <c r="I1175" s="36" t="s">
        <v>15826</v>
      </c>
      <c r="J1175" s="36" t="s">
        <v>15827</v>
      </c>
      <c r="K1175" s="36" t="s">
        <v>15828</v>
      </c>
      <c r="L1175" s="36" t="s">
        <v>15829</v>
      </c>
      <c r="M1175" s="36" t="s">
        <v>15830</v>
      </c>
      <c r="N1175" s="36" t="s">
        <v>15830</v>
      </c>
      <c r="O1175" s="36" t="s">
        <v>15831</v>
      </c>
      <c r="P1175" s="36" t="s">
        <v>15819</v>
      </c>
    </row>
    <row r="1176" spans="1:16">
      <c r="A1176" s="132">
        <v>1175</v>
      </c>
      <c r="B1176" s="36" t="s">
        <v>15832</v>
      </c>
      <c r="C1176" s="36" t="s">
        <v>15833</v>
      </c>
      <c r="D1176" s="36" t="s">
        <v>9105</v>
      </c>
      <c r="E1176" s="36" t="s">
        <v>9106</v>
      </c>
      <c r="F1176" s="36" t="s">
        <v>15834</v>
      </c>
      <c r="G1176" s="36" t="s">
        <v>9108</v>
      </c>
      <c r="H1176" s="36" t="s">
        <v>15835</v>
      </c>
      <c r="I1176" s="36" t="s">
        <v>9110</v>
      </c>
      <c r="J1176" s="36" t="s">
        <v>9111</v>
      </c>
      <c r="K1176" s="36" t="s">
        <v>9112</v>
      </c>
      <c r="L1176" s="36" t="s">
        <v>9113</v>
      </c>
      <c r="M1176" s="36" t="s">
        <v>9114</v>
      </c>
      <c r="N1176" s="36" t="s">
        <v>9115</v>
      </c>
      <c r="O1176" s="36" t="s">
        <v>15836</v>
      </c>
      <c r="P1176" s="36" t="s">
        <v>15832</v>
      </c>
    </row>
    <row r="1177" spans="1:16">
      <c r="A1177" s="132">
        <v>1176</v>
      </c>
      <c r="B1177" s="36" t="s">
        <v>15837</v>
      </c>
      <c r="C1177" s="36" t="s">
        <v>15838</v>
      </c>
      <c r="D1177" s="36" t="s">
        <v>15839</v>
      </c>
      <c r="E1177" s="36" t="s">
        <v>15840</v>
      </c>
      <c r="F1177" s="36" t="s">
        <v>15841</v>
      </c>
      <c r="G1177" s="36" t="s">
        <v>15842</v>
      </c>
      <c r="H1177" s="36" t="s">
        <v>15843</v>
      </c>
      <c r="I1177" s="36" t="s">
        <v>15844</v>
      </c>
      <c r="J1177" s="36" t="s">
        <v>15845</v>
      </c>
      <c r="K1177" s="36" t="s">
        <v>15846</v>
      </c>
      <c r="L1177" s="36" t="s">
        <v>15847</v>
      </c>
      <c r="M1177" s="36" t="s">
        <v>15848</v>
      </c>
      <c r="N1177" s="36" t="s">
        <v>15849</v>
      </c>
      <c r="O1177" s="36" t="s">
        <v>15850</v>
      </c>
      <c r="P1177" s="36" t="s">
        <v>15837</v>
      </c>
    </row>
    <row r="1178" spans="1:16">
      <c r="A1178" s="132">
        <v>1177</v>
      </c>
      <c r="B1178" s="36" t="s">
        <v>15851</v>
      </c>
      <c r="C1178" s="36" t="s">
        <v>15851</v>
      </c>
      <c r="D1178" s="36" t="s">
        <v>15852</v>
      </c>
      <c r="E1178" s="36" t="s">
        <v>15853</v>
      </c>
      <c r="F1178" s="36" t="s">
        <v>15854</v>
      </c>
      <c r="G1178" s="36" t="s">
        <v>15855</v>
      </c>
      <c r="H1178" s="36" t="s">
        <v>15856</v>
      </c>
      <c r="I1178" s="36" t="s">
        <v>15857</v>
      </c>
      <c r="J1178" s="36" t="s">
        <v>15858</v>
      </c>
      <c r="K1178" s="36" t="s">
        <v>15859</v>
      </c>
      <c r="L1178" s="36" t="s">
        <v>15851</v>
      </c>
      <c r="M1178" s="36" t="s">
        <v>15851</v>
      </c>
      <c r="N1178" s="36" t="s">
        <v>15860</v>
      </c>
      <c r="O1178" s="36" t="s">
        <v>15859</v>
      </c>
      <c r="P1178" s="36" t="s">
        <v>15851</v>
      </c>
    </row>
    <row r="1179" spans="1:16">
      <c r="A1179" s="132">
        <v>1178</v>
      </c>
      <c r="B1179" s="36" t="s">
        <v>15861</v>
      </c>
      <c r="C1179" s="36" t="s">
        <v>15862</v>
      </c>
      <c r="D1179" s="36" t="s">
        <v>15863</v>
      </c>
      <c r="E1179" s="36" t="s">
        <v>15864</v>
      </c>
      <c r="F1179" s="36" t="s">
        <v>15865</v>
      </c>
      <c r="G1179" s="36" t="s">
        <v>15866</v>
      </c>
      <c r="H1179" s="36" t="s">
        <v>15867</v>
      </c>
      <c r="I1179" s="36" t="s">
        <v>15868</v>
      </c>
      <c r="J1179" s="36" t="s">
        <v>15869</v>
      </c>
      <c r="K1179" s="36" t="s">
        <v>15870</v>
      </c>
      <c r="L1179" s="36" t="s">
        <v>15871</v>
      </c>
      <c r="M1179" s="36" t="s">
        <v>15872</v>
      </c>
      <c r="N1179" s="36" t="s">
        <v>15873</v>
      </c>
      <c r="O1179" s="36" t="s">
        <v>15874</v>
      </c>
      <c r="P1179" s="36" t="s">
        <v>15861</v>
      </c>
    </row>
    <row r="1180" spans="1:16">
      <c r="A1180" s="132">
        <v>1179</v>
      </c>
      <c r="B1180" s="36" t="s">
        <v>15875</v>
      </c>
      <c r="C1180" s="36" t="s">
        <v>15876</v>
      </c>
      <c r="D1180" s="36" t="s">
        <v>15877</v>
      </c>
      <c r="E1180" s="36" t="s">
        <v>15878</v>
      </c>
      <c r="F1180" s="36" t="s">
        <v>15879</v>
      </c>
      <c r="G1180" s="36" t="s">
        <v>15880</v>
      </c>
      <c r="H1180" s="36" t="s">
        <v>15881</v>
      </c>
      <c r="I1180" s="36" t="s">
        <v>15882</v>
      </c>
      <c r="J1180" s="36" t="s">
        <v>15883</v>
      </c>
      <c r="K1180" s="36" t="s">
        <v>15884</v>
      </c>
      <c r="L1180" s="36" t="s">
        <v>15885</v>
      </c>
      <c r="M1180" s="36" t="s">
        <v>15886</v>
      </c>
      <c r="N1180" s="36" t="s">
        <v>15887</v>
      </c>
      <c r="O1180" s="36" t="s">
        <v>15888</v>
      </c>
      <c r="P1180" s="36" t="s">
        <v>15875</v>
      </c>
    </row>
    <row r="1181" spans="1:16">
      <c r="A1181" s="132">
        <v>1180</v>
      </c>
      <c r="B1181" s="36" t="s">
        <v>15889</v>
      </c>
      <c r="C1181" s="36" t="s">
        <v>15890</v>
      </c>
      <c r="D1181" s="36" t="s">
        <v>15891</v>
      </c>
      <c r="E1181" s="36" t="s">
        <v>15892</v>
      </c>
      <c r="F1181" s="36" t="s">
        <v>15893</v>
      </c>
      <c r="G1181" s="36" t="s">
        <v>15894</v>
      </c>
      <c r="H1181" s="36" t="s">
        <v>15895</v>
      </c>
      <c r="I1181" s="36" t="s">
        <v>15896</v>
      </c>
      <c r="J1181" s="36" t="s">
        <v>15897</v>
      </c>
      <c r="K1181" s="36" t="s">
        <v>15898</v>
      </c>
      <c r="L1181" s="36" t="s">
        <v>15899</v>
      </c>
      <c r="M1181" s="36" t="s">
        <v>15900</v>
      </c>
      <c r="N1181" s="36" t="s">
        <v>15901</v>
      </c>
      <c r="O1181" s="36" t="s">
        <v>15902</v>
      </c>
      <c r="P1181" s="36" t="s">
        <v>15889</v>
      </c>
    </row>
    <row r="1182" spans="1:16">
      <c r="A1182" s="132">
        <v>1181</v>
      </c>
      <c r="B1182" s="36" t="s">
        <v>15903</v>
      </c>
      <c r="C1182" s="36" t="s">
        <v>15904</v>
      </c>
      <c r="D1182" s="36" t="s">
        <v>15905</v>
      </c>
      <c r="E1182" s="36" t="s">
        <v>15906</v>
      </c>
      <c r="F1182" s="36" t="s">
        <v>15907</v>
      </c>
      <c r="G1182" s="36" t="s">
        <v>15908</v>
      </c>
      <c r="H1182" s="36" t="s">
        <v>15909</v>
      </c>
      <c r="I1182" s="36" t="s">
        <v>15910</v>
      </c>
      <c r="J1182" s="36" t="s">
        <v>15911</v>
      </c>
      <c r="K1182" s="36" t="s">
        <v>15912</v>
      </c>
      <c r="L1182" s="36" t="s">
        <v>15851</v>
      </c>
      <c r="M1182" s="36" t="s">
        <v>15913</v>
      </c>
      <c r="N1182" s="36" t="s">
        <v>15914</v>
      </c>
      <c r="O1182" s="36" t="s">
        <v>15915</v>
      </c>
      <c r="P1182" s="36" t="s">
        <v>15903</v>
      </c>
    </row>
    <row r="1183" spans="1:16" ht="16.2">
      <c r="A1183" s="132">
        <v>1182</v>
      </c>
      <c r="B1183" s="36" t="s">
        <v>15916</v>
      </c>
      <c r="C1183" s="36" t="s">
        <v>15917</v>
      </c>
      <c r="D1183" s="36" t="s">
        <v>15918</v>
      </c>
      <c r="E1183" s="36" t="s">
        <v>15919</v>
      </c>
      <c r="F1183" s="36" t="s">
        <v>15920</v>
      </c>
      <c r="G1183" s="36" t="s">
        <v>15921</v>
      </c>
      <c r="H1183" s="36" t="s">
        <v>15922</v>
      </c>
      <c r="I1183" s="36" t="s">
        <v>15923</v>
      </c>
      <c r="J1183" s="36" t="s">
        <v>15924</v>
      </c>
      <c r="K1183" s="36" t="s">
        <v>15925</v>
      </c>
      <c r="L1183" s="36" t="s">
        <v>15926</v>
      </c>
      <c r="M1183" s="36" t="s">
        <v>15927</v>
      </c>
      <c r="N1183" s="36" t="s">
        <v>15928</v>
      </c>
      <c r="O1183" s="36" t="s">
        <v>15929</v>
      </c>
      <c r="P1183" s="36" t="s">
        <v>15916</v>
      </c>
    </row>
    <row r="1184" spans="1:16" ht="16.2">
      <c r="A1184" s="132">
        <v>1183</v>
      </c>
      <c r="B1184" s="36" t="s">
        <v>15930</v>
      </c>
      <c r="C1184" s="36" t="s">
        <v>15931</v>
      </c>
      <c r="D1184" s="36" t="s">
        <v>15932</v>
      </c>
      <c r="E1184" s="36" t="s">
        <v>15933</v>
      </c>
      <c r="F1184" s="36" t="s">
        <v>15934</v>
      </c>
      <c r="G1184" s="36" t="s">
        <v>15935</v>
      </c>
      <c r="H1184" s="36" t="s">
        <v>15936</v>
      </c>
      <c r="I1184" s="36" t="s">
        <v>15937</v>
      </c>
      <c r="J1184" s="36" t="s">
        <v>15938</v>
      </c>
      <c r="K1184" s="36" t="s">
        <v>15939</v>
      </c>
      <c r="L1184" s="36" t="s">
        <v>15940</v>
      </c>
      <c r="M1184" s="36" t="s">
        <v>15941</v>
      </c>
      <c r="N1184" s="36" t="s">
        <v>15942</v>
      </c>
      <c r="O1184" s="36" t="s">
        <v>15943</v>
      </c>
      <c r="P1184" s="36" t="s">
        <v>15930</v>
      </c>
    </row>
    <row r="1185" spans="1:16">
      <c r="A1185" s="132">
        <v>1184</v>
      </c>
      <c r="B1185" s="36" t="s">
        <v>15944</v>
      </c>
      <c r="C1185" s="36" t="s">
        <v>15945</v>
      </c>
      <c r="D1185" s="36" t="s">
        <v>15946</v>
      </c>
      <c r="E1185" s="36" t="s">
        <v>15947</v>
      </c>
      <c r="F1185" s="36" t="s">
        <v>15945</v>
      </c>
      <c r="G1185" s="36" t="s">
        <v>15945</v>
      </c>
      <c r="H1185" s="36" t="s">
        <v>15945</v>
      </c>
      <c r="I1185" s="36" t="s">
        <v>15945</v>
      </c>
      <c r="J1185" s="36" t="s">
        <v>15945</v>
      </c>
      <c r="K1185" s="36" t="s">
        <v>15948</v>
      </c>
      <c r="L1185" s="36" t="s">
        <v>15949</v>
      </c>
      <c r="M1185" s="36" t="s">
        <v>15950</v>
      </c>
      <c r="N1185" s="36" t="s">
        <v>15945</v>
      </c>
      <c r="O1185" s="36" t="s">
        <v>15945</v>
      </c>
      <c r="P1185" s="36" t="s">
        <v>15944</v>
      </c>
    </row>
    <row r="1186" spans="1:16">
      <c r="A1186" s="132">
        <v>1185</v>
      </c>
      <c r="B1186" s="36" t="s">
        <v>15951</v>
      </c>
      <c r="C1186" s="36" t="s">
        <v>15952</v>
      </c>
      <c r="D1186" s="36" t="s">
        <v>15953</v>
      </c>
      <c r="E1186" s="36" t="s">
        <v>15954</v>
      </c>
      <c r="F1186" s="36" t="s">
        <v>15952</v>
      </c>
      <c r="G1186" s="36" t="s">
        <v>15952</v>
      </c>
      <c r="H1186" s="36" t="s">
        <v>15952</v>
      </c>
      <c r="I1186" s="36" t="s">
        <v>15952</v>
      </c>
      <c r="J1186" s="36" t="s">
        <v>15952</v>
      </c>
      <c r="K1186" s="36" t="s">
        <v>15955</v>
      </c>
      <c r="L1186" s="36" t="s">
        <v>15956</v>
      </c>
      <c r="M1186" s="36" t="s">
        <v>15957</v>
      </c>
      <c r="N1186" s="36" t="s">
        <v>15952</v>
      </c>
      <c r="O1186" s="36" t="s">
        <v>15952</v>
      </c>
      <c r="P1186" s="36" t="s">
        <v>15951</v>
      </c>
    </row>
    <row r="1187" spans="1:16">
      <c r="A1187" s="132">
        <v>1186</v>
      </c>
      <c r="B1187" s="36" t="s">
        <v>15958</v>
      </c>
      <c r="C1187" s="36" t="s">
        <v>6907</v>
      </c>
      <c r="D1187" s="36" t="s">
        <v>3765</v>
      </c>
      <c r="E1187" s="36" t="s">
        <v>15959</v>
      </c>
      <c r="F1187" s="36" t="s">
        <v>15960</v>
      </c>
      <c r="G1187" s="36" t="s">
        <v>15961</v>
      </c>
      <c r="H1187" s="36" t="s">
        <v>15962</v>
      </c>
      <c r="I1187" s="36" t="s">
        <v>15963</v>
      </c>
      <c r="J1187" s="36" t="s">
        <v>15964</v>
      </c>
      <c r="K1187" s="36" t="s">
        <v>15965</v>
      </c>
      <c r="L1187" s="36" t="s">
        <v>6915</v>
      </c>
      <c r="M1187" s="36" t="s">
        <v>15966</v>
      </c>
      <c r="N1187" s="36" t="s">
        <v>15967</v>
      </c>
      <c r="O1187" s="36" t="s">
        <v>6918</v>
      </c>
      <c r="P1187" s="36" t="s">
        <v>15958</v>
      </c>
    </row>
    <row r="1188" spans="1:16">
      <c r="A1188" s="132">
        <v>1187</v>
      </c>
      <c r="B1188" s="36" t="s">
        <v>15968</v>
      </c>
      <c r="C1188" s="36" t="s">
        <v>15969</v>
      </c>
      <c r="D1188" s="36" t="s">
        <v>15970</v>
      </c>
      <c r="E1188" s="36" t="s">
        <v>15971</v>
      </c>
      <c r="F1188" s="36" t="s">
        <v>15972</v>
      </c>
      <c r="G1188" s="36" t="s">
        <v>15973</v>
      </c>
      <c r="H1188" s="36" t="s">
        <v>15974</v>
      </c>
      <c r="I1188" s="36" t="s">
        <v>15975</v>
      </c>
      <c r="J1188" s="36" t="s">
        <v>15976</v>
      </c>
      <c r="K1188" s="36" t="s">
        <v>15977</v>
      </c>
      <c r="L1188" s="36" t="s">
        <v>15978</v>
      </c>
      <c r="M1188" s="36" t="s">
        <v>15979</v>
      </c>
      <c r="N1188" s="36" t="s">
        <v>15980</v>
      </c>
      <c r="O1188" s="36" t="s">
        <v>15981</v>
      </c>
      <c r="P1188" s="36" t="s">
        <v>15968</v>
      </c>
    </row>
    <row r="1189" spans="1:16">
      <c r="A1189" s="132">
        <v>1188</v>
      </c>
      <c r="B1189" s="36" t="s">
        <v>15982</v>
      </c>
      <c r="C1189" s="36" t="s">
        <v>15983</v>
      </c>
      <c r="D1189" s="36" t="s">
        <v>15984</v>
      </c>
      <c r="E1189" s="36" t="s">
        <v>15985</v>
      </c>
      <c r="F1189" s="36" t="s">
        <v>15986</v>
      </c>
      <c r="G1189" s="36" t="s">
        <v>15987</v>
      </c>
      <c r="H1189" s="36" t="s">
        <v>15988</v>
      </c>
      <c r="I1189" s="36" t="s">
        <v>15989</v>
      </c>
      <c r="J1189" s="36" t="s">
        <v>15990</v>
      </c>
      <c r="K1189" s="36" t="s">
        <v>15991</v>
      </c>
      <c r="L1189" s="36" t="s">
        <v>15992</v>
      </c>
      <c r="M1189" s="36" t="s">
        <v>15993</v>
      </c>
      <c r="N1189" s="36" t="s">
        <v>15994</v>
      </c>
      <c r="O1189" s="36" t="s">
        <v>15995</v>
      </c>
      <c r="P1189" s="36" t="s">
        <v>15982</v>
      </c>
    </row>
    <row r="1190" spans="1:16">
      <c r="A1190" s="132">
        <v>1189</v>
      </c>
      <c r="B1190" s="36" t="s">
        <v>15996</v>
      </c>
      <c r="C1190" s="36" t="s">
        <v>15997</v>
      </c>
      <c r="D1190" s="36" t="s">
        <v>15998</v>
      </c>
      <c r="E1190" s="36" t="s">
        <v>15999</v>
      </c>
      <c r="F1190" s="36" t="s">
        <v>16000</v>
      </c>
      <c r="G1190" s="36" t="s">
        <v>16001</v>
      </c>
      <c r="H1190" s="36" t="s">
        <v>16002</v>
      </c>
      <c r="I1190" s="36" t="s">
        <v>16003</v>
      </c>
      <c r="J1190" s="36" t="s">
        <v>16004</v>
      </c>
      <c r="K1190" s="36" t="s">
        <v>16005</v>
      </c>
      <c r="L1190" s="36" t="s">
        <v>16006</v>
      </c>
      <c r="M1190" s="36" t="s">
        <v>16007</v>
      </c>
      <c r="N1190" s="36" t="s">
        <v>16008</v>
      </c>
      <c r="O1190" s="36" t="s">
        <v>16009</v>
      </c>
      <c r="P1190" s="36" t="s">
        <v>15996</v>
      </c>
    </row>
    <row r="1191" spans="1:16">
      <c r="A1191" s="132">
        <v>1190</v>
      </c>
      <c r="B1191" s="36" t="s">
        <v>16010</v>
      </c>
      <c r="C1191" s="36" t="s">
        <v>16011</v>
      </c>
      <c r="D1191" s="36" t="s">
        <v>16012</v>
      </c>
      <c r="E1191" s="36" t="s">
        <v>16013</v>
      </c>
      <c r="F1191" s="36" t="s">
        <v>16014</v>
      </c>
      <c r="G1191" s="36" t="s">
        <v>16015</v>
      </c>
      <c r="H1191" s="36" t="s">
        <v>16016</v>
      </c>
      <c r="I1191" s="36" t="s">
        <v>16017</v>
      </c>
      <c r="J1191" s="36" t="s">
        <v>16018</v>
      </c>
      <c r="K1191" s="36" t="s">
        <v>16019</v>
      </c>
      <c r="L1191" s="36" t="s">
        <v>16020</v>
      </c>
      <c r="M1191" s="36" t="s">
        <v>16021</v>
      </c>
      <c r="N1191" s="36" t="s">
        <v>16022</v>
      </c>
      <c r="O1191" s="36" t="s">
        <v>16023</v>
      </c>
      <c r="P1191" s="36" t="s">
        <v>16010</v>
      </c>
    </row>
    <row r="1192" spans="1:16">
      <c r="A1192" s="132">
        <v>1191</v>
      </c>
      <c r="B1192" s="36" t="s">
        <v>16024</v>
      </c>
      <c r="C1192" s="36" t="s">
        <v>16025</v>
      </c>
      <c r="D1192" s="36" t="s">
        <v>16026</v>
      </c>
      <c r="E1192" s="36" t="s">
        <v>16027</v>
      </c>
      <c r="F1192" s="36" t="s">
        <v>16028</v>
      </c>
      <c r="G1192" s="36" t="s">
        <v>16029</v>
      </c>
      <c r="H1192" s="36" t="s">
        <v>16030</v>
      </c>
      <c r="I1192" s="36" t="s">
        <v>16031</v>
      </c>
      <c r="J1192" s="36" t="s">
        <v>16032</v>
      </c>
      <c r="K1192" s="36" t="s">
        <v>16033</v>
      </c>
      <c r="L1192" s="36" t="s">
        <v>16034</v>
      </c>
      <c r="M1192" s="36" t="s">
        <v>16035</v>
      </c>
      <c r="N1192" s="36" t="s">
        <v>16036</v>
      </c>
      <c r="O1192" s="36" t="s">
        <v>16037</v>
      </c>
      <c r="P1192" s="36" t="s">
        <v>16024</v>
      </c>
    </row>
    <row r="1193" spans="1:16">
      <c r="A1193" s="132">
        <v>1192</v>
      </c>
      <c r="B1193" s="36" t="s">
        <v>16038</v>
      </c>
      <c r="C1193" s="36">
        <v>41</v>
      </c>
      <c r="D1193" s="36">
        <v>41</v>
      </c>
      <c r="E1193" s="36">
        <v>41</v>
      </c>
      <c r="F1193" s="36">
        <v>41</v>
      </c>
      <c r="G1193" s="36">
        <v>41</v>
      </c>
      <c r="H1193" s="36">
        <v>41</v>
      </c>
      <c r="I1193" s="36">
        <v>41</v>
      </c>
      <c r="J1193" s="36">
        <v>41</v>
      </c>
      <c r="K1193" s="36">
        <v>41</v>
      </c>
      <c r="L1193" s="36">
        <v>41</v>
      </c>
      <c r="M1193" s="36">
        <v>41</v>
      </c>
      <c r="N1193" s="36">
        <v>41</v>
      </c>
      <c r="O1193" s="36">
        <v>41</v>
      </c>
      <c r="P1193" s="36" t="s">
        <v>16038</v>
      </c>
    </row>
    <row r="1194" spans="1:16">
      <c r="A1194" s="132">
        <v>1193</v>
      </c>
      <c r="B1194" s="36" t="s">
        <v>16039</v>
      </c>
      <c r="C1194" s="36">
        <v>150</v>
      </c>
      <c r="D1194" s="36">
        <v>150</v>
      </c>
      <c r="E1194" s="36">
        <v>150</v>
      </c>
      <c r="F1194" s="36">
        <v>150</v>
      </c>
      <c r="G1194" s="36">
        <v>150</v>
      </c>
      <c r="H1194" s="36">
        <v>150</v>
      </c>
      <c r="I1194" s="36">
        <v>150</v>
      </c>
      <c r="J1194" s="36">
        <v>150</v>
      </c>
      <c r="K1194" s="36">
        <v>150</v>
      </c>
      <c r="L1194" s="36">
        <v>150</v>
      </c>
      <c r="M1194" s="36">
        <v>150</v>
      </c>
      <c r="N1194" s="36">
        <v>150</v>
      </c>
      <c r="O1194" s="36">
        <v>150</v>
      </c>
      <c r="P1194" s="36" t="s">
        <v>16039</v>
      </c>
    </row>
    <row r="1195" spans="1:16">
      <c r="A1195" s="132">
        <v>1194</v>
      </c>
      <c r="B1195" s="36" t="s">
        <v>16040</v>
      </c>
      <c r="C1195" s="36" t="s">
        <v>16041</v>
      </c>
      <c r="D1195" s="36" t="s">
        <v>16041</v>
      </c>
      <c r="E1195" s="36" t="s">
        <v>16042</v>
      </c>
      <c r="F1195" s="36" t="s">
        <v>16043</v>
      </c>
      <c r="G1195" s="36" t="s">
        <v>16044</v>
      </c>
      <c r="H1195" s="36" t="s">
        <v>16045</v>
      </c>
      <c r="I1195" s="36" t="s">
        <v>16046</v>
      </c>
      <c r="J1195" s="36" t="s">
        <v>16047</v>
      </c>
      <c r="K1195" s="36" t="s">
        <v>16046</v>
      </c>
      <c r="L1195" s="36" t="s">
        <v>16048</v>
      </c>
      <c r="M1195" s="36" t="s">
        <v>16049</v>
      </c>
      <c r="N1195" s="36" t="s">
        <v>16050</v>
      </c>
      <c r="O1195" s="36" t="s">
        <v>16051</v>
      </c>
      <c r="P1195" s="36" t="s">
        <v>16040</v>
      </c>
    </row>
    <row r="1196" spans="1:16">
      <c r="A1196" s="132">
        <v>1195</v>
      </c>
      <c r="B1196" s="36" t="s">
        <v>16052</v>
      </c>
      <c r="C1196" s="36" t="s">
        <v>16053</v>
      </c>
      <c r="D1196" s="36" t="s">
        <v>16053</v>
      </c>
      <c r="E1196" s="36" t="s">
        <v>16054</v>
      </c>
      <c r="F1196" s="36" t="s">
        <v>16055</v>
      </c>
      <c r="G1196" s="36" t="s">
        <v>16056</v>
      </c>
      <c r="H1196" s="36" t="s">
        <v>16057</v>
      </c>
      <c r="I1196" s="36" t="s">
        <v>16058</v>
      </c>
      <c r="J1196" s="36" t="s">
        <v>16059</v>
      </c>
      <c r="K1196" s="36" t="s">
        <v>16058</v>
      </c>
      <c r="L1196" s="36" t="s">
        <v>16060</v>
      </c>
      <c r="M1196" s="36" t="s">
        <v>16061</v>
      </c>
      <c r="N1196" s="36" t="s">
        <v>16062</v>
      </c>
      <c r="O1196" s="36" t="s">
        <v>16063</v>
      </c>
      <c r="P1196" s="36" t="s">
        <v>16052</v>
      </c>
    </row>
    <row r="1197" spans="1:16">
      <c r="A1197" s="132">
        <v>1196</v>
      </c>
      <c r="B1197" s="36" t="s">
        <v>16064</v>
      </c>
      <c r="C1197" s="36" t="s">
        <v>16065</v>
      </c>
      <c r="D1197" s="36" t="s">
        <v>16065</v>
      </c>
      <c r="E1197" s="36" t="s">
        <v>16066</v>
      </c>
      <c r="F1197" s="36" t="s">
        <v>16067</v>
      </c>
      <c r="G1197" s="36" t="s">
        <v>16068</v>
      </c>
      <c r="H1197" s="36" t="s">
        <v>16069</v>
      </c>
      <c r="I1197" s="36" t="s">
        <v>16070</v>
      </c>
      <c r="J1197" s="36" t="s">
        <v>16071</v>
      </c>
      <c r="K1197" s="36" t="s">
        <v>16070</v>
      </c>
      <c r="L1197" s="36" t="s">
        <v>16072</v>
      </c>
      <c r="M1197" s="36" t="s">
        <v>16073</v>
      </c>
      <c r="N1197" s="36" t="s">
        <v>16074</v>
      </c>
      <c r="O1197" s="36" t="s">
        <v>16075</v>
      </c>
      <c r="P1197" s="36" t="s">
        <v>16064</v>
      </c>
    </row>
    <row r="1198" spans="1:16">
      <c r="A1198" s="132">
        <v>1197</v>
      </c>
      <c r="B1198" s="36" t="s">
        <v>16076</v>
      </c>
      <c r="C1198" s="36" t="s">
        <v>16077</v>
      </c>
      <c r="D1198" s="36" t="s">
        <v>16077</v>
      </c>
      <c r="E1198" s="36" t="s">
        <v>16078</v>
      </c>
      <c r="F1198" s="36" t="s">
        <v>16079</v>
      </c>
      <c r="G1198" s="36" t="s">
        <v>16080</v>
      </c>
      <c r="H1198" s="36" t="s">
        <v>16081</v>
      </c>
      <c r="I1198" s="36" t="s">
        <v>16082</v>
      </c>
      <c r="J1198" s="36" t="s">
        <v>16083</v>
      </c>
      <c r="K1198" s="36" t="s">
        <v>16082</v>
      </c>
      <c r="L1198" s="36" t="s">
        <v>16084</v>
      </c>
      <c r="M1198" s="36" t="s">
        <v>16085</v>
      </c>
      <c r="N1198" s="36" t="s">
        <v>16086</v>
      </c>
      <c r="O1198" s="36" t="s">
        <v>16087</v>
      </c>
      <c r="P1198" s="36" t="s">
        <v>16076</v>
      </c>
    </row>
    <row r="1199" spans="1:16">
      <c r="A1199" s="132">
        <v>1198</v>
      </c>
      <c r="B1199" s="36" t="s">
        <v>16088</v>
      </c>
      <c r="C1199" s="36" t="s">
        <v>16089</v>
      </c>
      <c r="D1199" s="36" t="s">
        <v>16089</v>
      </c>
      <c r="E1199" s="36" t="s">
        <v>16090</v>
      </c>
      <c r="F1199" s="36" t="s">
        <v>16091</v>
      </c>
      <c r="G1199" s="36" t="s">
        <v>16092</v>
      </c>
      <c r="H1199" s="36" t="s">
        <v>16093</v>
      </c>
      <c r="I1199" s="36" t="s">
        <v>16094</v>
      </c>
      <c r="J1199" s="36" t="s">
        <v>16095</v>
      </c>
      <c r="K1199" s="36" t="s">
        <v>16094</v>
      </c>
      <c r="L1199" s="36" t="s">
        <v>16096</v>
      </c>
      <c r="M1199" s="36" t="s">
        <v>16097</v>
      </c>
      <c r="N1199" s="36" t="s">
        <v>16098</v>
      </c>
      <c r="O1199" s="36" t="s">
        <v>16099</v>
      </c>
      <c r="P1199" s="36" t="s">
        <v>16088</v>
      </c>
    </row>
    <row r="1200" spans="1:16">
      <c r="A1200" s="132">
        <v>1199</v>
      </c>
      <c r="B1200" s="36" t="s">
        <v>16100</v>
      </c>
      <c r="C1200" s="36" t="s">
        <v>16101</v>
      </c>
      <c r="D1200" s="36" t="s">
        <v>16101</v>
      </c>
      <c r="E1200" s="36" t="s">
        <v>16102</v>
      </c>
      <c r="F1200" s="36" t="s">
        <v>16103</v>
      </c>
      <c r="G1200" s="36" t="s">
        <v>16104</v>
      </c>
      <c r="H1200" s="36" t="s">
        <v>16105</v>
      </c>
      <c r="I1200" s="36" t="s">
        <v>16106</v>
      </c>
      <c r="J1200" s="36" t="s">
        <v>16107</v>
      </c>
      <c r="K1200" s="36" t="s">
        <v>16106</v>
      </c>
      <c r="L1200" s="36" t="s">
        <v>16108</v>
      </c>
      <c r="M1200" s="36" t="s">
        <v>16109</v>
      </c>
      <c r="N1200" s="36" t="s">
        <v>16110</v>
      </c>
      <c r="O1200" s="36" t="s">
        <v>16111</v>
      </c>
      <c r="P1200" s="36" t="s">
        <v>16100</v>
      </c>
    </row>
    <row r="1201" spans="1:16">
      <c r="A1201" s="132">
        <v>1200</v>
      </c>
      <c r="B1201" s="36" t="s">
        <v>16112</v>
      </c>
      <c r="C1201" s="36" t="s">
        <v>16113</v>
      </c>
      <c r="D1201" s="36" t="s">
        <v>16113</v>
      </c>
      <c r="E1201" s="36" t="s">
        <v>16114</v>
      </c>
      <c r="F1201" s="36" t="s">
        <v>16115</v>
      </c>
      <c r="G1201" s="36" t="s">
        <v>16116</v>
      </c>
      <c r="H1201" s="36" t="s">
        <v>16117</v>
      </c>
      <c r="I1201" s="36" t="s">
        <v>16118</v>
      </c>
      <c r="J1201" s="36" t="s">
        <v>16119</v>
      </c>
      <c r="K1201" s="36" t="s">
        <v>16118</v>
      </c>
      <c r="L1201" s="36" t="s">
        <v>16120</v>
      </c>
      <c r="M1201" s="36" t="s">
        <v>16121</v>
      </c>
      <c r="N1201" s="36" t="s">
        <v>16122</v>
      </c>
      <c r="O1201" s="36" t="s">
        <v>16123</v>
      </c>
      <c r="P1201" s="36" t="s">
        <v>16112</v>
      </c>
    </row>
    <row r="1202" spans="1:16" ht="13.95" customHeight="1">
      <c r="A1202" s="132">
        <v>1201</v>
      </c>
      <c r="B1202" s="36" t="s">
        <v>16124</v>
      </c>
      <c r="C1202" s="36" t="s">
        <v>16125</v>
      </c>
      <c r="D1202" s="36" t="s">
        <v>16125</v>
      </c>
      <c r="E1202" s="36" t="s">
        <v>16126</v>
      </c>
      <c r="F1202" s="36" t="s">
        <v>16127</v>
      </c>
      <c r="G1202" s="36" t="s">
        <v>16128</v>
      </c>
      <c r="H1202" s="36" t="s">
        <v>16129</v>
      </c>
      <c r="I1202" s="36" t="s">
        <v>16130</v>
      </c>
      <c r="J1202" s="36" t="s">
        <v>16131</v>
      </c>
      <c r="K1202" s="36" t="s">
        <v>16130</v>
      </c>
      <c r="L1202" s="36" t="s">
        <v>16132</v>
      </c>
      <c r="M1202" s="36" t="s">
        <v>16133</v>
      </c>
      <c r="N1202" s="36" t="s">
        <v>16134</v>
      </c>
      <c r="O1202" s="36" t="s">
        <v>16135</v>
      </c>
      <c r="P1202" s="36" t="s">
        <v>16124</v>
      </c>
    </row>
    <row r="1203" spans="1:16" ht="13.95" customHeight="1">
      <c r="A1203" s="132">
        <v>1202</v>
      </c>
      <c r="B1203" s="36" t="s">
        <v>16136</v>
      </c>
      <c r="C1203" s="36" t="s">
        <v>16137</v>
      </c>
      <c r="D1203" s="36" t="s">
        <v>16137</v>
      </c>
      <c r="E1203" s="36" t="s">
        <v>16138</v>
      </c>
      <c r="F1203" s="36" t="s">
        <v>16139</v>
      </c>
      <c r="G1203" s="36" t="s">
        <v>16140</v>
      </c>
      <c r="H1203" s="36" t="s">
        <v>16141</v>
      </c>
      <c r="I1203" s="36" t="s">
        <v>16142</v>
      </c>
      <c r="J1203" s="36" t="s">
        <v>16143</v>
      </c>
      <c r="K1203" s="36" t="s">
        <v>16142</v>
      </c>
      <c r="L1203" s="36" t="s">
        <v>16144</v>
      </c>
      <c r="M1203" s="36" t="s">
        <v>16145</v>
      </c>
      <c r="N1203" s="36" t="s">
        <v>16146</v>
      </c>
      <c r="O1203" s="36" t="s">
        <v>16147</v>
      </c>
      <c r="P1203" s="36" t="s">
        <v>16136</v>
      </c>
    </row>
    <row r="1204" spans="1:16" ht="13.95" customHeight="1">
      <c r="A1204" s="132">
        <v>1203</v>
      </c>
      <c r="B1204" s="36" t="s">
        <v>16148</v>
      </c>
      <c r="C1204" s="36" t="s">
        <v>16149</v>
      </c>
      <c r="D1204" s="36" t="s">
        <v>16149</v>
      </c>
      <c r="E1204" s="36" t="s">
        <v>16150</v>
      </c>
      <c r="F1204" s="36" t="s">
        <v>16151</v>
      </c>
      <c r="G1204" s="36" t="s">
        <v>16152</v>
      </c>
      <c r="H1204" s="36" t="s">
        <v>16153</v>
      </c>
      <c r="I1204" s="36" t="s">
        <v>16154</v>
      </c>
      <c r="J1204" s="36" t="s">
        <v>16155</v>
      </c>
      <c r="K1204" s="36" t="s">
        <v>16154</v>
      </c>
      <c r="L1204" s="36" t="s">
        <v>16156</v>
      </c>
      <c r="M1204" s="36" t="s">
        <v>16157</v>
      </c>
      <c r="N1204" s="36" t="s">
        <v>16158</v>
      </c>
      <c r="O1204" s="36" t="s">
        <v>16159</v>
      </c>
      <c r="P1204" s="36" t="s">
        <v>16148</v>
      </c>
    </row>
    <row r="1205" spans="1:16">
      <c r="A1205" s="132">
        <v>1204</v>
      </c>
      <c r="B1205" s="36" t="s">
        <v>16160</v>
      </c>
      <c r="C1205" s="36" t="s">
        <v>16161</v>
      </c>
      <c r="D1205" s="36" t="s">
        <v>16161</v>
      </c>
      <c r="E1205" s="36" t="s">
        <v>16162</v>
      </c>
      <c r="F1205" s="36" t="s">
        <v>16163</v>
      </c>
      <c r="G1205" s="36" t="s">
        <v>16164</v>
      </c>
      <c r="H1205" s="36" t="s">
        <v>16165</v>
      </c>
      <c r="I1205" s="36" t="s">
        <v>16166</v>
      </c>
      <c r="J1205" s="36" t="s">
        <v>16167</v>
      </c>
      <c r="K1205" s="36" t="s">
        <v>16166</v>
      </c>
      <c r="L1205" s="36" t="s">
        <v>16168</v>
      </c>
      <c r="M1205" s="36" t="s">
        <v>16169</v>
      </c>
      <c r="N1205" s="36" t="s">
        <v>16170</v>
      </c>
      <c r="O1205" s="36" t="s">
        <v>16171</v>
      </c>
      <c r="P1205" s="36" t="s">
        <v>16160</v>
      </c>
    </row>
    <row r="1206" spans="1:16">
      <c r="A1206" s="132">
        <v>1205</v>
      </c>
      <c r="B1206" s="36" t="s">
        <v>16172</v>
      </c>
      <c r="C1206" s="36" t="s">
        <v>16173</v>
      </c>
      <c r="D1206" s="36" t="s">
        <v>16173</v>
      </c>
      <c r="E1206" s="36" t="s">
        <v>16174</v>
      </c>
      <c r="F1206" s="36" t="s">
        <v>16175</v>
      </c>
      <c r="G1206" s="36" t="s">
        <v>16176</v>
      </c>
      <c r="H1206" s="36" t="s">
        <v>16177</v>
      </c>
      <c r="I1206" s="36" t="s">
        <v>16178</v>
      </c>
      <c r="J1206" s="36" t="s">
        <v>16179</v>
      </c>
      <c r="K1206" s="36" t="s">
        <v>16178</v>
      </c>
      <c r="L1206" s="36" t="s">
        <v>16180</v>
      </c>
      <c r="M1206" s="36" t="s">
        <v>16181</v>
      </c>
      <c r="N1206" s="36" t="s">
        <v>16182</v>
      </c>
      <c r="O1206" s="36" t="s">
        <v>16183</v>
      </c>
      <c r="P1206" s="36" t="s">
        <v>16172</v>
      </c>
    </row>
    <row r="1207" spans="1:16">
      <c r="A1207" s="132">
        <v>1206</v>
      </c>
      <c r="B1207" s="36" t="s">
        <v>16184</v>
      </c>
      <c r="C1207" s="36" t="s">
        <v>16185</v>
      </c>
      <c r="D1207" s="36" t="s">
        <v>16185</v>
      </c>
      <c r="E1207" s="36" t="s">
        <v>16186</v>
      </c>
      <c r="F1207" s="36" t="s">
        <v>16187</v>
      </c>
      <c r="G1207" s="36" t="s">
        <v>16188</v>
      </c>
      <c r="H1207" s="36" t="s">
        <v>16189</v>
      </c>
      <c r="I1207" s="36" t="s">
        <v>16190</v>
      </c>
      <c r="J1207" s="36" t="s">
        <v>16191</v>
      </c>
      <c r="K1207" s="36" t="s">
        <v>16190</v>
      </c>
      <c r="L1207" s="36" t="s">
        <v>16192</v>
      </c>
      <c r="M1207" s="36" t="s">
        <v>16193</v>
      </c>
      <c r="N1207" s="36" t="s">
        <v>16194</v>
      </c>
      <c r="O1207" s="36" t="s">
        <v>16195</v>
      </c>
      <c r="P1207" s="36" t="s">
        <v>16184</v>
      </c>
    </row>
    <row r="1208" spans="1:16">
      <c r="A1208" s="132">
        <v>1207</v>
      </c>
      <c r="B1208" s="36" t="s">
        <v>16196</v>
      </c>
      <c r="C1208" s="36" t="s">
        <v>16197</v>
      </c>
      <c r="D1208" s="36" t="s">
        <v>16197</v>
      </c>
      <c r="E1208" s="36" t="s">
        <v>16198</v>
      </c>
      <c r="F1208" s="36" t="s">
        <v>16199</v>
      </c>
      <c r="G1208" s="36" t="s">
        <v>16200</v>
      </c>
      <c r="H1208" s="36" t="s">
        <v>16201</v>
      </c>
      <c r="I1208" s="36" t="s">
        <v>16202</v>
      </c>
      <c r="J1208" s="36" t="s">
        <v>16203</v>
      </c>
      <c r="K1208" s="36" t="s">
        <v>16202</v>
      </c>
      <c r="L1208" s="36" t="s">
        <v>16204</v>
      </c>
      <c r="M1208" s="36" t="s">
        <v>16205</v>
      </c>
      <c r="N1208" s="36" t="s">
        <v>16206</v>
      </c>
      <c r="O1208" s="36" t="s">
        <v>16207</v>
      </c>
      <c r="P1208" s="36" t="s">
        <v>16196</v>
      </c>
    </row>
    <row r="1209" spans="1:16">
      <c r="A1209" s="132">
        <v>1208</v>
      </c>
      <c r="B1209" s="36" t="s">
        <v>16208</v>
      </c>
      <c r="C1209" s="36" t="s">
        <v>16209</v>
      </c>
      <c r="D1209" s="36" t="s">
        <v>16209</v>
      </c>
      <c r="E1209" s="36" t="s">
        <v>16210</v>
      </c>
      <c r="F1209" s="36" t="s">
        <v>16211</v>
      </c>
      <c r="G1209" s="36" t="s">
        <v>16212</v>
      </c>
      <c r="H1209" s="36" t="s">
        <v>16213</v>
      </c>
      <c r="I1209" s="36" t="s">
        <v>16214</v>
      </c>
      <c r="J1209" s="36" t="s">
        <v>16215</v>
      </c>
      <c r="K1209" s="36" t="s">
        <v>16214</v>
      </c>
      <c r="L1209" s="36" t="s">
        <v>16216</v>
      </c>
      <c r="M1209" s="36" t="s">
        <v>16217</v>
      </c>
      <c r="N1209" s="36" t="s">
        <v>16218</v>
      </c>
      <c r="O1209" s="36" t="s">
        <v>16219</v>
      </c>
      <c r="P1209" s="36" t="s">
        <v>16208</v>
      </c>
    </row>
    <row r="1210" spans="1:16">
      <c r="A1210" s="132">
        <v>1209</v>
      </c>
      <c r="B1210" s="36" t="s">
        <v>16220</v>
      </c>
      <c r="C1210" s="36" t="s">
        <v>16221</v>
      </c>
      <c r="D1210" s="36" t="s">
        <v>16221</v>
      </c>
      <c r="E1210" s="36" t="s">
        <v>16222</v>
      </c>
      <c r="F1210" s="36" t="s">
        <v>16223</v>
      </c>
      <c r="G1210" s="36" t="s">
        <v>16224</v>
      </c>
      <c r="H1210" s="36" t="s">
        <v>16225</v>
      </c>
      <c r="I1210" s="36" t="s">
        <v>16226</v>
      </c>
      <c r="J1210" s="36" t="s">
        <v>16227</v>
      </c>
      <c r="K1210" s="36" t="s">
        <v>16226</v>
      </c>
      <c r="L1210" s="36" t="s">
        <v>16228</v>
      </c>
      <c r="M1210" s="36" t="s">
        <v>16229</v>
      </c>
      <c r="N1210" s="36" t="s">
        <v>16230</v>
      </c>
      <c r="O1210" s="36" t="s">
        <v>16231</v>
      </c>
      <c r="P1210" s="36" t="s">
        <v>16220</v>
      </c>
    </row>
    <row r="1211" spans="1:16">
      <c r="A1211" s="132">
        <v>1210</v>
      </c>
      <c r="B1211" s="36" t="s">
        <v>16232</v>
      </c>
      <c r="C1211" s="36" t="s">
        <v>16233</v>
      </c>
      <c r="D1211" s="36" t="s">
        <v>16233</v>
      </c>
      <c r="E1211" s="36" t="s">
        <v>16234</v>
      </c>
      <c r="F1211" s="36" t="s">
        <v>16235</v>
      </c>
      <c r="G1211" s="36" t="s">
        <v>16236</v>
      </c>
      <c r="H1211" s="36" t="s">
        <v>16237</v>
      </c>
      <c r="I1211" s="36" t="s">
        <v>16238</v>
      </c>
      <c r="J1211" s="36" t="s">
        <v>16239</v>
      </c>
      <c r="K1211" s="36" t="s">
        <v>16238</v>
      </c>
      <c r="L1211" s="36" t="s">
        <v>16240</v>
      </c>
      <c r="M1211" s="36" t="s">
        <v>16241</v>
      </c>
      <c r="N1211" s="36" t="s">
        <v>16242</v>
      </c>
      <c r="O1211" s="36" t="s">
        <v>16243</v>
      </c>
      <c r="P1211" s="36" t="s">
        <v>16232</v>
      </c>
    </row>
    <row r="1212" spans="1:16">
      <c r="A1212" s="132">
        <v>1211</v>
      </c>
      <c r="B1212" s="36" t="s">
        <v>16244</v>
      </c>
      <c r="C1212" s="36" t="s">
        <v>16245</v>
      </c>
      <c r="D1212" s="36" t="s">
        <v>16245</v>
      </c>
      <c r="E1212" s="36" t="s">
        <v>16246</v>
      </c>
      <c r="F1212" s="36" t="s">
        <v>16247</v>
      </c>
      <c r="G1212" s="36" t="s">
        <v>16248</v>
      </c>
      <c r="H1212" s="36" t="s">
        <v>16249</v>
      </c>
      <c r="I1212" s="36" t="s">
        <v>16250</v>
      </c>
      <c r="J1212" s="36" t="s">
        <v>16251</v>
      </c>
      <c r="K1212" s="36" t="s">
        <v>16250</v>
      </c>
      <c r="L1212" s="36" t="s">
        <v>16252</v>
      </c>
      <c r="M1212" s="36" t="s">
        <v>16253</v>
      </c>
      <c r="N1212" s="36" t="s">
        <v>16254</v>
      </c>
      <c r="O1212" s="36" t="s">
        <v>16255</v>
      </c>
      <c r="P1212" s="36" t="s">
        <v>16244</v>
      </c>
    </row>
    <row r="1213" spans="1:16">
      <c r="A1213" s="132">
        <v>1212</v>
      </c>
      <c r="B1213" s="36" t="s">
        <v>16256</v>
      </c>
      <c r="C1213" s="36" t="s">
        <v>16257</v>
      </c>
      <c r="D1213" s="36" t="s">
        <v>16257</v>
      </c>
      <c r="E1213" s="36" t="s">
        <v>16258</v>
      </c>
      <c r="F1213" s="36" t="s">
        <v>16259</v>
      </c>
      <c r="G1213" s="36" t="s">
        <v>16260</v>
      </c>
      <c r="H1213" s="36" t="s">
        <v>16261</v>
      </c>
      <c r="I1213" s="36" t="s">
        <v>16262</v>
      </c>
      <c r="J1213" s="36" t="s">
        <v>16263</v>
      </c>
      <c r="K1213" s="36" t="s">
        <v>16262</v>
      </c>
      <c r="L1213" s="36" t="s">
        <v>16264</v>
      </c>
      <c r="M1213" s="36" t="s">
        <v>16265</v>
      </c>
      <c r="N1213" s="36" t="s">
        <v>16266</v>
      </c>
      <c r="O1213" s="36" t="s">
        <v>16267</v>
      </c>
      <c r="P1213" s="36" t="s">
        <v>16256</v>
      </c>
    </row>
    <row r="1214" spans="1:16">
      <c r="A1214" s="132">
        <v>1213</v>
      </c>
      <c r="B1214" s="36" t="s">
        <v>16268</v>
      </c>
      <c r="C1214" s="36" t="s">
        <v>16269</v>
      </c>
      <c r="D1214" s="36" t="s">
        <v>16269</v>
      </c>
      <c r="E1214" s="36" t="s">
        <v>16270</v>
      </c>
      <c r="F1214" s="36" t="s">
        <v>16271</v>
      </c>
      <c r="G1214" s="36" t="s">
        <v>16272</v>
      </c>
      <c r="H1214" s="36" t="s">
        <v>16273</v>
      </c>
      <c r="I1214" s="36" t="s">
        <v>16274</v>
      </c>
      <c r="J1214" s="36" t="s">
        <v>16275</v>
      </c>
      <c r="K1214" s="36" t="s">
        <v>16274</v>
      </c>
      <c r="L1214" s="36" t="s">
        <v>16276</v>
      </c>
      <c r="M1214" s="36" t="s">
        <v>16277</v>
      </c>
      <c r="N1214" s="36" t="s">
        <v>16278</v>
      </c>
      <c r="O1214" s="36" t="s">
        <v>16279</v>
      </c>
      <c r="P1214" s="36" t="s">
        <v>16268</v>
      </c>
    </row>
    <row r="1215" spans="1:16">
      <c r="A1215" s="132">
        <v>1214</v>
      </c>
      <c r="B1215" s="36" t="s">
        <v>16280</v>
      </c>
      <c r="C1215" s="36" t="s">
        <v>16281</v>
      </c>
      <c r="D1215" s="36" t="s">
        <v>16281</v>
      </c>
      <c r="E1215" s="36" t="s">
        <v>16282</v>
      </c>
      <c r="F1215" s="36" t="s">
        <v>16283</v>
      </c>
      <c r="G1215" s="36" t="s">
        <v>16284</v>
      </c>
      <c r="H1215" s="36" t="s">
        <v>16285</v>
      </c>
      <c r="I1215" s="36" t="s">
        <v>16286</v>
      </c>
      <c r="J1215" s="36" t="s">
        <v>16287</v>
      </c>
      <c r="K1215" s="36" t="s">
        <v>16286</v>
      </c>
      <c r="L1215" s="36" t="s">
        <v>16288</v>
      </c>
      <c r="M1215" s="36" t="s">
        <v>16289</v>
      </c>
      <c r="N1215" s="36" t="s">
        <v>16290</v>
      </c>
      <c r="O1215" s="36" t="s">
        <v>16291</v>
      </c>
      <c r="P1215" s="36" t="s">
        <v>16280</v>
      </c>
    </row>
    <row r="1216" spans="1:16">
      <c r="A1216" s="132">
        <v>1215</v>
      </c>
      <c r="B1216" s="36" t="s">
        <v>16292</v>
      </c>
      <c r="C1216" s="36" t="s">
        <v>16293</v>
      </c>
      <c r="D1216" s="36" t="s">
        <v>16293</v>
      </c>
      <c r="E1216" s="36" t="s">
        <v>16294</v>
      </c>
      <c r="F1216" s="36" t="s">
        <v>16295</v>
      </c>
      <c r="G1216" s="36" t="s">
        <v>16296</v>
      </c>
      <c r="H1216" s="36" t="s">
        <v>16297</v>
      </c>
      <c r="I1216" s="36" t="s">
        <v>16298</v>
      </c>
      <c r="J1216" s="36" t="s">
        <v>16299</v>
      </c>
      <c r="K1216" s="36" t="s">
        <v>16298</v>
      </c>
      <c r="L1216" s="36" t="s">
        <v>16300</v>
      </c>
      <c r="M1216" s="36" t="s">
        <v>16301</v>
      </c>
      <c r="N1216" s="36" t="s">
        <v>16302</v>
      </c>
      <c r="O1216" s="36" t="s">
        <v>16303</v>
      </c>
      <c r="P1216" s="36" t="s">
        <v>16292</v>
      </c>
    </row>
    <row r="1217" spans="1:16">
      <c r="A1217" s="132">
        <v>1216</v>
      </c>
      <c r="B1217" s="36" t="s">
        <v>16304</v>
      </c>
      <c r="C1217" s="36" t="s">
        <v>16305</v>
      </c>
      <c r="D1217" s="36" t="s">
        <v>16305</v>
      </c>
      <c r="E1217" s="36" t="s">
        <v>16306</v>
      </c>
      <c r="F1217" s="36" t="s">
        <v>16307</v>
      </c>
      <c r="G1217" s="36" t="s">
        <v>16308</v>
      </c>
      <c r="H1217" s="36" t="s">
        <v>16309</v>
      </c>
      <c r="I1217" s="36" t="s">
        <v>16310</v>
      </c>
      <c r="J1217" s="36" t="s">
        <v>16311</v>
      </c>
      <c r="K1217" s="36" t="s">
        <v>16310</v>
      </c>
      <c r="L1217" s="36" t="s">
        <v>16312</v>
      </c>
      <c r="M1217" s="36" t="s">
        <v>16313</v>
      </c>
      <c r="N1217" s="36" t="s">
        <v>16314</v>
      </c>
      <c r="O1217" s="36" t="s">
        <v>16315</v>
      </c>
      <c r="P1217" s="36" t="s">
        <v>16304</v>
      </c>
    </row>
    <row r="1218" spans="1:16">
      <c r="A1218" s="132">
        <v>1217</v>
      </c>
      <c r="B1218" s="36" t="s">
        <v>16316</v>
      </c>
      <c r="C1218" s="36" t="s">
        <v>16317</v>
      </c>
      <c r="D1218" s="36" t="s">
        <v>16317</v>
      </c>
      <c r="E1218" s="36" t="s">
        <v>16318</v>
      </c>
      <c r="F1218" s="36" t="s">
        <v>16319</v>
      </c>
      <c r="G1218" s="36" t="s">
        <v>16320</v>
      </c>
      <c r="H1218" s="36" t="s">
        <v>16321</v>
      </c>
      <c r="I1218" s="36" t="s">
        <v>16322</v>
      </c>
      <c r="J1218" s="36" t="s">
        <v>16323</v>
      </c>
      <c r="K1218" s="36" t="s">
        <v>16322</v>
      </c>
      <c r="L1218" s="36" t="s">
        <v>16324</v>
      </c>
      <c r="M1218" s="36" t="s">
        <v>16325</v>
      </c>
      <c r="N1218" s="36" t="s">
        <v>16326</v>
      </c>
      <c r="O1218" s="36" t="s">
        <v>16327</v>
      </c>
      <c r="P1218" s="36" t="s">
        <v>16316</v>
      </c>
    </row>
    <row r="1219" spans="1:16">
      <c r="A1219" s="132">
        <v>1218</v>
      </c>
      <c r="B1219" s="36" t="s">
        <v>16328</v>
      </c>
      <c r="C1219" s="36" t="s">
        <v>16329</v>
      </c>
      <c r="D1219" s="36" t="s">
        <v>16329</v>
      </c>
      <c r="E1219" s="36" t="s">
        <v>16330</v>
      </c>
      <c r="F1219" s="36" t="s">
        <v>16331</v>
      </c>
      <c r="G1219" s="36" t="s">
        <v>16332</v>
      </c>
      <c r="H1219" s="36" t="s">
        <v>16333</v>
      </c>
      <c r="I1219" s="36" t="s">
        <v>16334</v>
      </c>
      <c r="J1219" s="36" t="s">
        <v>16335</v>
      </c>
      <c r="K1219" s="36" t="s">
        <v>16334</v>
      </c>
      <c r="L1219" s="36" t="s">
        <v>16336</v>
      </c>
      <c r="M1219" s="36" t="s">
        <v>16337</v>
      </c>
      <c r="N1219" s="36" t="s">
        <v>16338</v>
      </c>
      <c r="O1219" s="36" t="s">
        <v>16339</v>
      </c>
      <c r="P1219" s="36" t="s">
        <v>16328</v>
      </c>
    </row>
    <row r="1220" spans="1:16">
      <c r="A1220" s="132">
        <v>1219</v>
      </c>
      <c r="B1220" s="36" t="s">
        <v>16340</v>
      </c>
      <c r="C1220" s="36" t="s">
        <v>16341</v>
      </c>
      <c r="D1220" s="36" t="s">
        <v>16341</v>
      </c>
      <c r="E1220" s="36" t="s">
        <v>16342</v>
      </c>
      <c r="F1220" s="36" t="s">
        <v>16343</v>
      </c>
      <c r="G1220" s="36" t="s">
        <v>16344</v>
      </c>
      <c r="H1220" s="36" t="s">
        <v>16345</v>
      </c>
      <c r="I1220" s="36" t="s">
        <v>16346</v>
      </c>
      <c r="J1220" s="36" t="s">
        <v>16347</v>
      </c>
      <c r="K1220" s="36" t="s">
        <v>16346</v>
      </c>
      <c r="L1220" s="36" t="s">
        <v>16348</v>
      </c>
      <c r="M1220" s="36" t="s">
        <v>16349</v>
      </c>
      <c r="N1220" s="36" t="s">
        <v>16350</v>
      </c>
      <c r="O1220" s="36" t="s">
        <v>16351</v>
      </c>
      <c r="P1220" s="36" t="s">
        <v>16340</v>
      </c>
    </row>
    <row r="1221" spans="1:16">
      <c r="A1221" s="132">
        <v>1220</v>
      </c>
      <c r="B1221" s="36" t="s">
        <v>16352</v>
      </c>
      <c r="C1221" s="36" t="s">
        <v>16353</v>
      </c>
      <c r="D1221" s="36" t="s">
        <v>16353</v>
      </c>
      <c r="E1221" s="36" t="s">
        <v>16354</v>
      </c>
      <c r="F1221" s="36" t="s">
        <v>16355</v>
      </c>
      <c r="G1221" s="36" t="s">
        <v>16356</v>
      </c>
      <c r="H1221" s="36" t="s">
        <v>16357</v>
      </c>
      <c r="I1221" s="36" t="s">
        <v>16358</v>
      </c>
      <c r="J1221" s="36" t="s">
        <v>16359</v>
      </c>
      <c r="K1221" s="36" t="s">
        <v>16358</v>
      </c>
      <c r="L1221" s="36" t="s">
        <v>16360</v>
      </c>
      <c r="M1221" s="36" t="s">
        <v>16361</v>
      </c>
      <c r="N1221" s="36" t="s">
        <v>16362</v>
      </c>
      <c r="O1221" s="36" t="s">
        <v>16363</v>
      </c>
      <c r="P1221" s="36" t="s">
        <v>16352</v>
      </c>
    </row>
    <row r="1222" spans="1:16">
      <c r="A1222" s="132">
        <v>1221</v>
      </c>
      <c r="B1222" s="36" t="s">
        <v>16364</v>
      </c>
      <c r="C1222" s="36" t="s">
        <v>16365</v>
      </c>
      <c r="D1222" s="36" t="s">
        <v>16365</v>
      </c>
      <c r="E1222" s="36" t="s">
        <v>16366</v>
      </c>
      <c r="F1222" s="36" t="s">
        <v>16367</v>
      </c>
      <c r="G1222" s="36" t="s">
        <v>16368</v>
      </c>
      <c r="H1222" s="36" t="s">
        <v>16369</v>
      </c>
      <c r="I1222" s="36" t="s">
        <v>16370</v>
      </c>
      <c r="J1222" s="36" t="s">
        <v>16371</v>
      </c>
      <c r="K1222" s="36" t="s">
        <v>16370</v>
      </c>
      <c r="L1222" s="36" t="s">
        <v>16372</v>
      </c>
      <c r="M1222" s="36" t="s">
        <v>16373</v>
      </c>
      <c r="N1222" s="36" t="s">
        <v>16374</v>
      </c>
      <c r="O1222" s="36" t="s">
        <v>16375</v>
      </c>
      <c r="P1222" s="36" t="s">
        <v>16364</v>
      </c>
    </row>
    <row r="1223" spans="1:16">
      <c r="A1223" s="132">
        <v>1222</v>
      </c>
      <c r="B1223" s="36" t="s">
        <v>16376</v>
      </c>
      <c r="C1223" s="36" t="s">
        <v>16377</v>
      </c>
      <c r="D1223" s="36" t="s">
        <v>16377</v>
      </c>
      <c r="E1223" s="36" t="s">
        <v>16378</v>
      </c>
      <c r="F1223" s="36" t="s">
        <v>16379</v>
      </c>
      <c r="G1223" s="36" t="s">
        <v>16380</v>
      </c>
      <c r="H1223" s="36" t="s">
        <v>16381</v>
      </c>
      <c r="I1223" s="36" t="s">
        <v>16382</v>
      </c>
      <c r="J1223" s="36" t="s">
        <v>16383</v>
      </c>
      <c r="K1223" s="36" t="s">
        <v>16382</v>
      </c>
      <c r="L1223" s="36" t="s">
        <v>16384</v>
      </c>
      <c r="M1223" s="36" t="s">
        <v>16385</v>
      </c>
      <c r="N1223" s="36" t="s">
        <v>16386</v>
      </c>
      <c r="O1223" s="36" t="s">
        <v>16387</v>
      </c>
      <c r="P1223" s="36" t="s">
        <v>16376</v>
      </c>
    </row>
    <row r="1224" spans="1:16">
      <c r="A1224" s="132">
        <v>1223</v>
      </c>
      <c r="B1224" s="36" t="s">
        <v>16388</v>
      </c>
      <c r="C1224" s="36" t="s">
        <v>16389</v>
      </c>
      <c r="D1224" s="36" t="s">
        <v>16389</v>
      </c>
      <c r="E1224" s="36" t="s">
        <v>16390</v>
      </c>
      <c r="F1224" s="36" t="s">
        <v>16391</v>
      </c>
      <c r="G1224" s="36" t="s">
        <v>16392</v>
      </c>
      <c r="H1224" s="36" t="s">
        <v>16393</v>
      </c>
      <c r="I1224" s="36" t="s">
        <v>16394</v>
      </c>
      <c r="J1224" s="36" t="s">
        <v>16395</v>
      </c>
      <c r="K1224" s="36" t="s">
        <v>16394</v>
      </c>
      <c r="L1224" s="36" t="s">
        <v>16396</v>
      </c>
      <c r="M1224" s="36" t="s">
        <v>16397</v>
      </c>
      <c r="N1224" s="36" t="s">
        <v>16398</v>
      </c>
      <c r="O1224" s="36" t="s">
        <v>16399</v>
      </c>
      <c r="P1224" s="36" t="s">
        <v>16388</v>
      </c>
    </row>
    <row r="1225" spans="1:16">
      <c r="A1225" s="132">
        <v>1224</v>
      </c>
      <c r="B1225" s="36" t="s">
        <v>16400</v>
      </c>
      <c r="C1225" s="36" t="s">
        <v>16401</v>
      </c>
      <c r="D1225" s="36" t="s">
        <v>16401</v>
      </c>
      <c r="E1225" s="36" t="s">
        <v>16402</v>
      </c>
      <c r="F1225" s="36" t="s">
        <v>16403</v>
      </c>
      <c r="G1225" s="36" t="s">
        <v>16404</v>
      </c>
      <c r="H1225" s="36" t="s">
        <v>16405</v>
      </c>
      <c r="I1225" s="36" t="s">
        <v>16406</v>
      </c>
      <c r="J1225" s="36" t="s">
        <v>16407</v>
      </c>
      <c r="K1225" s="36" t="s">
        <v>16406</v>
      </c>
      <c r="L1225" s="36" t="s">
        <v>16408</v>
      </c>
      <c r="M1225" s="36" t="s">
        <v>16409</v>
      </c>
      <c r="N1225" s="36" t="s">
        <v>16410</v>
      </c>
      <c r="O1225" s="36" t="s">
        <v>16411</v>
      </c>
      <c r="P1225" s="36" t="s">
        <v>16400</v>
      </c>
    </row>
    <row r="1226" spans="1:16">
      <c r="A1226" s="132">
        <v>1225</v>
      </c>
      <c r="B1226" s="36" t="s">
        <v>16412</v>
      </c>
      <c r="C1226" s="36" t="s">
        <v>16413</v>
      </c>
      <c r="D1226" s="36" t="s">
        <v>16413</v>
      </c>
      <c r="E1226" s="36" t="s">
        <v>16414</v>
      </c>
      <c r="F1226" s="36" t="s">
        <v>16415</v>
      </c>
      <c r="G1226" s="36" t="s">
        <v>16416</v>
      </c>
      <c r="H1226" s="36" t="s">
        <v>16417</v>
      </c>
      <c r="I1226" s="36" t="s">
        <v>16418</v>
      </c>
      <c r="J1226" s="36" t="s">
        <v>16419</v>
      </c>
      <c r="K1226" s="36" t="s">
        <v>16418</v>
      </c>
      <c r="L1226" s="36" t="s">
        <v>16420</v>
      </c>
      <c r="M1226" s="36" t="s">
        <v>16421</v>
      </c>
      <c r="N1226" s="36" t="s">
        <v>16422</v>
      </c>
      <c r="O1226" s="36" t="s">
        <v>16423</v>
      </c>
      <c r="P1226" s="36" t="s">
        <v>16412</v>
      </c>
    </row>
    <row r="1227" spans="1:16">
      <c r="A1227" s="132">
        <v>1226</v>
      </c>
      <c r="B1227" s="36" t="s">
        <v>16424</v>
      </c>
      <c r="C1227" s="36" t="s">
        <v>16425</v>
      </c>
      <c r="D1227" s="36" t="s">
        <v>16425</v>
      </c>
      <c r="E1227" s="36" t="s">
        <v>16426</v>
      </c>
      <c r="F1227" s="36" t="s">
        <v>16427</v>
      </c>
      <c r="G1227" s="36" t="s">
        <v>16428</v>
      </c>
      <c r="H1227" s="36" t="s">
        <v>16429</v>
      </c>
      <c r="I1227" s="36" t="s">
        <v>16430</v>
      </c>
      <c r="J1227" s="36" t="s">
        <v>16431</v>
      </c>
      <c r="K1227" s="36" t="s">
        <v>16430</v>
      </c>
      <c r="L1227" s="36" t="s">
        <v>16432</v>
      </c>
      <c r="M1227" s="36" t="s">
        <v>16433</v>
      </c>
      <c r="N1227" s="36" t="s">
        <v>16434</v>
      </c>
      <c r="O1227" s="36" t="s">
        <v>16435</v>
      </c>
      <c r="P1227" s="36" t="s">
        <v>16424</v>
      </c>
    </row>
    <row r="1228" spans="1:16">
      <c r="A1228" s="132">
        <v>1227</v>
      </c>
      <c r="B1228" s="36" t="s">
        <v>16436</v>
      </c>
      <c r="C1228" s="36" t="s">
        <v>16437</v>
      </c>
      <c r="D1228" s="36" t="s">
        <v>16437</v>
      </c>
      <c r="E1228" s="36" t="s">
        <v>16438</v>
      </c>
      <c r="F1228" s="36" t="s">
        <v>16439</v>
      </c>
      <c r="G1228" s="36" t="s">
        <v>16440</v>
      </c>
      <c r="H1228" s="36" t="s">
        <v>16441</v>
      </c>
      <c r="I1228" s="36" t="s">
        <v>16442</v>
      </c>
      <c r="J1228" s="36" t="s">
        <v>16443</v>
      </c>
      <c r="K1228" s="36" t="s">
        <v>16442</v>
      </c>
      <c r="L1228" s="36" t="s">
        <v>16444</v>
      </c>
      <c r="M1228" s="36" t="s">
        <v>16445</v>
      </c>
      <c r="N1228" s="36" t="s">
        <v>16446</v>
      </c>
      <c r="O1228" s="36" t="s">
        <v>16447</v>
      </c>
      <c r="P1228" s="36" t="s">
        <v>16436</v>
      </c>
    </row>
    <row r="1229" spans="1:16">
      <c r="A1229" s="132">
        <v>1228</v>
      </c>
      <c r="B1229" s="36" t="s">
        <v>16448</v>
      </c>
      <c r="C1229" s="36" t="s">
        <v>16449</v>
      </c>
      <c r="D1229" s="36" t="s">
        <v>16449</v>
      </c>
      <c r="E1229" s="36" t="s">
        <v>16450</v>
      </c>
      <c r="F1229" s="36" t="s">
        <v>16451</v>
      </c>
      <c r="G1229" s="36" t="s">
        <v>16452</v>
      </c>
      <c r="H1229" s="36" t="s">
        <v>16453</v>
      </c>
      <c r="I1229" s="36" t="s">
        <v>16454</v>
      </c>
      <c r="J1229" s="36" t="s">
        <v>16455</v>
      </c>
      <c r="K1229" s="36" t="s">
        <v>16454</v>
      </c>
      <c r="L1229" s="36" t="s">
        <v>16456</v>
      </c>
      <c r="M1229" s="36" t="s">
        <v>16457</v>
      </c>
      <c r="N1229" s="36" t="s">
        <v>16458</v>
      </c>
      <c r="O1229" s="36" t="s">
        <v>16459</v>
      </c>
      <c r="P1229" s="36" t="s">
        <v>16448</v>
      </c>
    </row>
    <row r="1230" spans="1:16">
      <c r="A1230" s="132">
        <v>1229</v>
      </c>
      <c r="B1230" s="36" t="s">
        <v>16460</v>
      </c>
      <c r="C1230" s="36" t="s">
        <v>16461</v>
      </c>
      <c r="D1230" s="36" t="s">
        <v>16461</v>
      </c>
      <c r="E1230" s="36" t="s">
        <v>16462</v>
      </c>
      <c r="F1230" s="36" t="s">
        <v>16463</v>
      </c>
      <c r="G1230" s="36" t="s">
        <v>16464</v>
      </c>
      <c r="H1230" s="36" t="s">
        <v>16465</v>
      </c>
      <c r="I1230" s="36" t="s">
        <v>16466</v>
      </c>
      <c r="J1230" s="36" t="s">
        <v>16467</v>
      </c>
      <c r="K1230" s="36" t="s">
        <v>16466</v>
      </c>
      <c r="L1230" s="36" t="s">
        <v>16468</v>
      </c>
      <c r="M1230" s="36" t="s">
        <v>16469</v>
      </c>
      <c r="N1230" s="36" t="s">
        <v>16470</v>
      </c>
      <c r="O1230" s="36" t="s">
        <v>16471</v>
      </c>
      <c r="P1230" s="36" t="s">
        <v>16460</v>
      </c>
    </row>
    <row r="1231" spans="1:16">
      <c r="A1231" s="132">
        <v>1230</v>
      </c>
      <c r="B1231" s="36" t="s">
        <v>16472</v>
      </c>
      <c r="C1231" s="36" t="s">
        <v>16473</v>
      </c>
      <c r="D1231" s="36" t="s">
        <v>16473</v>
      </c>
      <c r="E1231" s="36" t="s">
        <v>16474</v>
      </c>
      <c r="F1231" s="36" t="s">
        <v>16475</v>
      </c>
      <c r="G1231" s="36" t="s">
        <v>16476</v>
      </c>
      <c r="H1231" s="36" t="s">
        <v>16477</v>
      </c>
      <c r="I1231" s="36" t="s">
        <v>16478</v>
      </c>
      <c r="J1231" s="36" t="s">
        <v>16479</v>
      </c>
      <c r="K1231" s="36" t="s">
        <v>16478</v>
      </c>
      <c r="L1231" s="36" t="s">
        <v>16480</v>
      </c>
      <c r="M1231" s="36" t="s">
        <v>16481</v>
      </c>
      <c r="N1231" s="36" t="s">
        <v>16482</v>
      </c>
      <c r="O1231" s="36" t="s">
        <v>16483</v>
      </c>
      <c r="P1231" s="36" t="s">
        <v>16472</v>
      </c>
    </row>
    <row r="1232" spans="1:16">
      <c r="A1232" s="132">
        <v>1231</v>
      </c>
      <c r="B1232" s="36" t="s">
        <v>16484</v>
      </c>
      <c r="C1232" s="36" t="s">
        <v>16485</v>
      </c>
      <c r="D1232" s="36" t="s">
        <v>16485</v>
      </c>
      <c r="E1232" s="36" t="s">
        <v>16486</v>
      </c>
      <c r="F1232" s="36" t="s">
        <v>16487</v>
      </c>
      <c r="G1232" s="36" t="s">
        <v>16488</v>
      </c>
      <c r="H1232" s="36" t="s">
        <v>16489</v>
      </c>
      <c r="I1232" s="36" t="s">
        <v>16490</v>
      </c>
      <c r="J1232" s="36" t="s">
        <v>16491</v>
      </c>
      <c r="K1232" s="36" t="s">
        <v>16490</v>
      </c>
      <c r="L1232" s="36" t="s">
        <v>16492</v>
      </c>
      <c r="M1232" s="36" t="s">
        <v>16493</v>
      </c>
      <c r="N1232" s="36" t="s">
        <v>16494</v>
      </c>
      <c r="O1232" s="36" t="s">
        <v>16495</v>
      </c>
      <c r="P1232" s="36" t="s">
        <v>16484</v>
      </c>
    </row>
    <row r="1233" spans="1:16">
      <c r="A1233" s="132">
        <v>1232</v>
      </c>
      <c r="B1233" s="36" t="s">
        <v>16496</v>
      </c>
      <c r="C1233" s="36" t="s">
        <v>16497</v>
      </c>
      <c r="D1233" s="36" t="s">
        <v>16497</v>
      </c>
      <c r="E1233" s="36" t="s">
        <v>16498</v>
      </c>
      <c r="F1233" s="36" t="s">
        <v>16499</v>
      </c>
      <c r="G1233" s="36" t="s">
        <v>16500</v>
      </c>
      <c r="H1233" s="36" t="s">
        <v>16501</v>
      </c>
      <c r="I1233" s="36" t="s">
        <v>16502</v>
      </c>
      <c r="J1233" s="36" t="s">
        <v>16503</v>
      </c>
      <c r="K1233" s="36" t="s">
        <v>16502</v>
      </c>
      <c r="L1233" s="36" t="s">
        <v>16504</v>
      </c>
      <c r="M1233" s="36" t="s">
        <v>16505</v>
      </c>
      <c r="N1233" s="36" t="s">
        <v>16506</v>
      </c>
      <c r="O1233" s="36" t="s">
        <v>16507</v>
      </c>
      <c r="P1233" s="36" t="s">
        <v>16496</v>
      </c>
    </row>
    <row r="1234" spans="1:16">
      <c r="A1234" s="132">
        <v>1233</v>
      </c>
      <c r="B1234" s="36" t="s">
        <v>16508</v>
      </c>
      <c r="C1234" s="36" t="s">
        <v>16509</v>
      </c>
      <c r="D1234" s="36" t="s">
        <v>16509</v>
      </c>
      <c r="E1234" s="36" t="s">
        <v>16510</v>
      </c>
      <c r="F1234" s="36" t="s">
        <v>16511</v>
      </c>
      <c r="G1234" s="36" t="s">
        <v>16512</v>
      </c>
      <c r="H1234" s="36" t="s">
        <v>16513</v>
      </c>
      <c r="I1234" s="36" t="s">
        <v>16514</v>
      </c>
      <c r="J1234" s="36" t="s">
        <v>16515</v>
      </c>
      <c r="K1234" s="36" t="s">
        <v>16514</v>
      </c>
      <c r="L1234" s="36" t="s">
        <v>16516</v>
      </c>
      <c r="M1234" s="36" t="s">
        <v>16517</v>
      </c>
      <c r="N1234" s="36" t="s">
        <v>16518</v>
      </c>
      <c r="O1234" s="36" t="s">
        <v>16519</v>
      </c>
      <c r="P1234" s="36" t="s">
        <v>16508</v>
      </c>
    </row>
    <row r="1235" spans="1:16">
      <c r="A1235" s="132">
        <v>1234</v>
      </c>
      <c r="B1235" s="36" t="s">
        <v>16520</v>
      </c>
      <c r="C1235" s="36" t="s">
        <v>16521</v>
      </c>
      <c r="D1235" s="36" t="s">
        <v>16521</v>
      </c>
      <c r="E1235" s="36" t="s">
        <v>16522</v>
      </c>
      <c r="F1235" s="36" t="s">
        <v>16523</v>
      </c>
      <c r="G1235" s="36" t="s">
        <v>16524</v>
      </c>
      <c r="H1235" s="36" t="s">
        <v>16525</v>
      </c>
      <c r="I1235" s="36" t="s">
        <v>16526</v>
      </c>
      <c r="J1235" s="36" t="s">
        <v>16527</v>
      </c>
      <c r="K1235" s="36" t="s">
        <v>16526</v>
      </c>
      <c r="L1235" s="36" t="s">
        <v>16528</v>
      </c>
      <c r="M1235" s="36" t="s">
        <v>16529</v>
      </c>
      <c r="N1235" s="36" t="s">
        <v>16530</v>
      </c>
      <c r="O1235" s="36" t="s">
        <v>16531</v>
      </c>
      <c r="P1235" s="36" t="s">
        <v>16520</v>
      </c>
    </row>
    <row r="1236" spans="1:16">
      <c r="A1236" s="132">
        <v>1235</v>
      </c>
      <c r="B1236" s="36" t="s">
        <v>16532</v>
      </c>
      <c r="C1236" s="36" t="s">
        <v>16533</v>
      </c>
      <c r="D1236" s="36" t="s">
        <v>16533</v>
      </c>
      <c r="E1236" s="36" t="s">
        <v>16534</v>
      </c>
      <c r="F1236" s="36" t="s">
        <v>16535</v>
      </c>
      <c r="G1236" s="36" t="s">
        <v>16536</v>
      </c>
      <c r="H1236" s="36" t="s">
        <v>16537</v>
      </c>
      <c r="I1236" s="36" t="s">
        <v>16538</v>
      </c>
      <c r="J1236" s="36" t="s">
        <v>16539</v>
      </c>
      <c r="K1236" s="36" t="s">
        <v>16538</v>
      </c>
      <c r="L1236" s="36" t="s">
        <v>16540</v>
      </c>
      <c r="M1236" s="36" t="s">
        <v>16541</v>
      </c>
      <c r="N1236" s="36" t="s">
        <v>16542</v>
      </c>
      <c r="O1236" s="36" t="s">
        <v>16543</v>
      </c>
      <c r="P1236" s="36" t="s">
        <v>16532</v>
      </c>
    </row>
    <row r="1237" spans="1:16">
      <c r="A1237" s="132">
        <v>1236</v>
      </c>
      <c r="B1237" s="36" t="s">
        <v>16544</v>
      </c>
      <c r="C1237" s="36" t="s">
        <v>16545</v>
      </c>
      <c r="D1237" s="36" t="s">
        <v>16545</v>
      </c>
      <c r="E1237" s="36" t="s">
        <v>16546</v>
      </c>
      <c r="F1237" s="36" t="s">
        <v>16547</v>
      </c>
      <c r="G1237" s="36" t="s">
        <v>16548</v>
      </c>
      <c r="H1237" s="36" t="s">
        <v>16549</v>
      </c>
      <c r="I1237" s="36" t="s">
        <v>16550</v>
      </c>
      <c r="J1237" s="36" t="s">
        <v>16551</v>
      </c>
      <c r="K1237" s="36" t="s">
        <v>16550</v>
      </c>
      <c r="L1237" s="36" t="s">
        <v>16552</v>
      </c>
      <c r="M1237" s="36" t="s">
        <v>16553</v>
      </c>
      <c r="N1237" s="36" t="s">
        <v>16554</v>
      </c>
      <c r="O1237" s="36" t="s">
        <v>16555</v>
      </c>
      <c r="P1237" s="36" t="s">
        <v>16544</v>
      </c>
    </row>
    <row r="1238" spans="1:16">
      <c r="A1238" s="132">
        <v>1237</v>
      </c>
      <c r="B1238" s="36" t="s">
        <v>16556</v>
      </c>
      <c r="C1238" s="36" t="s">
        <v>16557</v>
      </c>
      <c r="D1238" s="36" t="s">
        <v>16557</v>
      </c>
      <c r="E1238" s="36" t="s">
        <v>16558</v>
      </c>
      <c r="F1238" s="36" t="s">
        <v>16559</v>
      </c>
      <c r="G1238" s="36" t="s">
        <v>16560</v>
      </c>
      <c r="H1238" s="36" t="s">
        <v>16561</v>
      </c>
      <c r="I1238" s="36" t="s">
        <v>16562</v>
      </c>
      <c r="J1238" s="36" t="s">
        <v>16563</v>
      </c>
      <c r="K1238" s="36" t="s">
        <v>16562</v>
      </c>
      <c r="L1238" s="36" t="s">
        <v>16564</v>
      </c>
      <c r="M1238" s="36" t="s">
        <v>16565</v>
      </c>
      <c r="N1238" s="36" t="s">
        <v>16566</v>
      </c>
      <c r="O1238" s="36" t="s">
        <v>16567</v>
      </c>
      <c r="P1238" s="36" t="s">
        <v>16556</v>
      </c>
    </row>
    <row r="1239" spans="1:16">
      <c r="A1239" s="132">
        <v>1238</v>
      </c>
      <c r="B1239" s="36" t="s">
        <v>16568</v>
      </c>
      <c r="C1239" s="36" t="s">
        <v>16569</v>
      </c>
      <c r="D1239" s="36" t="s">
        <v>16569</v>
      </c>
      <c r="E1239" s="36" t="s">
        <v>16570</v>
      </c>
      <c r="F1239" s="36" t="s">
        <v>16571</v>
      </c>
      <c r="G1239" s="36" t="s">
        <v>16572</v>
      </c>
      <c r="H1239" s="36" t="s">
        <v>16573</v>
      </c>
      <c r="I1239" s="36" t="s">
        <v>16574</v>
      </c>
      <c r="J1239" s="36" t="s">
        <v>16575</v>
      </c>
      <c r="K1239" s="36" t="s">
        <v>16574</v>
      </c>
      <c r="L1239" s="36" t="s">
        <v>16576</v>
      </c>
      <c r="M1239" s="36" t="s">
        <v>16577</v>
      </c>
      <c r="N1239" s="36" t="s">
        <v>16578</v>
      </c>
      <c r="O1239" s="36" t="s">
        <v>16579</v>
      </c>
      <c r="P1239" s="36" t="s">
        <v>16568</v>
      </c>
    </row>
    <row r="1240" spans="1:16">
      <c r="A1240" s="132">
        <v>1239</v>
      </c>
      <c r="B1240" s="36" t="s">
        <v>16580</v>
      </c>
      <c r="C1240" s="36" t="s">
        <v>16581</v>
      </c>
      <c r="D1240" s="36" t="s">
        <v>16581</v>
      </c>
      <c r="E1240" s="36" t="s">
        <v>16582</v>
      </c>
      <c r="F1240" s="36" t="s">
        <v>16583</v>
      </c>
      <c r="G1240" s="36" t="s">
        <v>16584</v>
      </c>
      <c r="H1240" s="36" t="s">
        <v>16585</v>
      </c>
      <c r="I1240" s="36" t="s">
        <v>16586</v>
      </c>
      <c r="J1240" s="36" t="s">
        <v>16587</v>
      </c>
      <c r="K1240" s="36" t="s">
        <v>16586</v>
      </c>
      <c r="L1240" s="36" t="s">
        <v>16588</v>
      </c>
      <c r="M1240" s="36" t="s">
        <v>16589</v>
      </c>
      <c r="N1240" s="36" t="s">
        <v>16590</v>
      </c>
      <c r="O1240" s="36" t="s">
        <v>16591</v>
      </c>
      <c r="P1240" s="36" t="s">
        <v>16580</v>
      </c>
    </row>
    <row r="1241" spans="1:16">
      <c r="A1241" s="132">
        <v>1240</v>
      </c>
      <c r="B1241" s="36" t="s">
        <v>16592</v>
      </c>
      <c r="C1241" s="36" t="s">
        <v>16593</v>
      </c>
      <c r="D1241" s="36" t="s">
        <v>16593</v>
      </c>
      <c r="E1241" s="36" t="s">
        <v>16594</v>
      </c>
      <c r="F1241" s="36" t="s">
        <v>16595</v>
      </c>
      <c r="G1241" s="36" t="s">
        <v>16596</v>
      </c>
      <c r="H1241" s="36" t="s">
        <v>16597</v>
      </c>
      <c r="I1241" s="36" t="s">
        <v>16598</v>
      </c>
      <c r="J1241" s="36" t="s">
        <v>16599</v>
      </c>
      <c r="K1241" s="36" t="s">
        <v>16598</v>
      </c>
      <c r="L1241" s="36" t="s">
        <v>16600</v>
      </c>
      <c r="M1241" s="36" t="s">
        <v>16601</v>
      </c>
      <c r="N1241" s="36" t="s">
        <v>16602</v>
      </c>
      <c r="O1241" s="36" t="s">
        <v>16603</v>
      </c>
      <c r="P1241" s="36" t="s">
        <v>16592</v>
      </c>
    </row>
    <row r="1242" spans="1:16">
      <c r="A1242" s="132">
        <v>1241</v>
      </c>
      <c r="B1242" s="36" t="s">
        <v>16604</v>
      </c>
      <c r="C1242" s="36" t="s">
        <v>16605</v>
      </c>
      <c r="D1242" s="36" t="s">
        <v>16605</v>
      </c>
      <c r="E1242" s="36" t="s">
        <v>16606</v>
      </c>
      <c r="F1242" s="36" t="s">
        <v>16607</v>
      </c>
      <c r="G1242" s="36" t="s">
        <v>16608</v>
      </c>
      <c r="H1242" s="36" t="s">
        <v>16609</v>
      </c>
      <c r="I1242" s="36" t="s">
        <v>16610</v>
      </c>
      <c r="J1242" s="36" t="s">
        <v>16611</v>
      </c>
      <c r="K1242" s="36" t="s">
        <v>16610</v>
      </c>
      <c r="L1242" s="36" t="s">
        <v>16612</v>
      </c>
      <c r="M1242" s="36" t="s">
        <v>16613</v>
      </c>
      <c r="N1242" s="36" t="s">
        <v>16614</v>
      </c>
      <c r="O1242" s="36" t="s">
        <v>16615</v>
      </c>
      <c r="P1242" s="36" t="s">
        <v>16604</v>
      </c>
    </row>
    <row r="1243" spans="1:16">
      <c r="A1243" s="132">
        <v>1242</v>
      </c>
      <c r="B1243" s="36" t="s">
        <v>16616</v>
      </c>
      <c r="C1243" s="36" t="s">
        <v>16617</v>
      </c>
      <c r="D1243" s="36" t="s">
        <v>16617</v>
      </c>
      <c r="E1243" s="36" t="s">
        <v>16618</v>
      </c>
      <c r="F1243" s="36" t="s">
        <v>16619</v>
      </c>
      <c r="G1243" s="36" t="s">
        <v>16620</v>
      </c>
      <c r="H1243" s="36" t="s">
        <v>16621</v>
      </c>
      <c r="I1243" s="36" t="s">
        <v>16622</v>
      </c>
      <c r="J1243" s="36" t="s">
        <v>16623</v>
      </c>
      <c r="K1243" s="36" t="s">
        <v>16622</v>
      </c>
      <c r="L1243" s="36" t="s">
        <v>16624</v>
      </c>
      <c r="M1243" s="36" t="s">
        <v>16625</v>
      </c>
      <c r="N1243" s="36" t="s">
        <v>16626</v>
      </c>
      <c r="O1243" s="36" t="s">
        <v>16627</v>
      </c>
      <c r="P1243" s="36" t="s">
        <v>16616</v>
      </c>
    </row>
    <row r="1244" spans="1:16">
      <c r="A1244" s="132">
        <v>1243</v>
      </c>
      <c r="B1244" s="36" t="s">
        <v>16628</v>
      </c>
      <c r="C1244" s="36" t="s">
        <v>16629</v>
      </c>
      <c r="D1244" s="36" t="s">
        <v>16629</v>
      </c>
      <c r="E1244" s="36" t="s">
        <v>16630</v>
      </c>
      <c r="F1244" s="36" t="s">
        <v>16631</v>
      </c>
      <c r="G1244" s="36" t="s">
        <v>16632</v>
      </c>
      <c r="H1244" s="36" t="s">
        <v>16633</v>
      </c>
      <c r="I1244" s="36" t="s">
        <v>16634</v>
      </c>
      <c r="J1244" s="36" t="s">
        <v>16635</v>
      </c>
      <c r="K1244" s="36" t="s">
        <v>16634</v>
      </c>
      <c r="L1244" s="36" t="s">
        <v>16636</v>
      </c>
      <c r="M1244" s="36" t="s">
        <v>16637</v>
      </c>
      <c r="N1244" s="36" t="s">
        <v>16638</v>
      </c>
      <c r="O1244" s="36" t="s">
        <v>16639</v>
      </c>
      <c r="P1244" s="36" t="s">
        <v>16628</v>
      </c>
    </row>
    <row r="1245" spans="1:16">
      <c r="A1245" s="132">
        <v>1244</v>
      </c>
      <c r="B1245" s="36" t="s">
        <v>16640</v>
      </c>
      <c r="C1245" s="36" t="s">
        <v>16640</v>
      </c>
      <c r="D1245" s="36" t="s">
        <v>16640</v>
      </c>
      <c r="E1245" s="36" t="s">
        <v>16640</v>
      </c>
      <c r="F1245" s="36" t="s">
        <v>16640</v>
      </c>
      <c r="G1245" s="36" t="s">
        <v>16640</v>
      </c>
      <c r="H1245" s="36" t="s">
        <v>16640</v>
      </c>
      <c r="I1245" s="36" t="s">
        <v>16640</v>
      </c>
      <c r="J1245" s="36" t="s">
        <v>16640</v>
      </c>
      <c r="K1245" s="36" t="s">
        <v>16640</v>
      </c>
      <c r="L1245" s="36" t="s">
        <v>16640</v>
      </c>
      <c r="M1245" s="36" t="s">
        <v>16640</v>
      </c>
      <c r="N1245" s="36" t="s">
        <v>16640</v>
      </c>
      <c r="O1245" s="36" t="s">
        <v>16640</v>
      </c>
      <c r="P1245" s="36" t="s">
        <v>16640</v>
      </c>
    </row>
    <row r="1246" spans="1:16">
      <c r="A1246" s="132">
        <v>1245</v>
      </c>
      <c r="B1246" s="36" t="s">
        <v>16641</v>
      </c>
      <c r="C1246" s="36" t="s">
        <v>16641</v>
      </c>
      <c r="D1246" s="36" t="s">
        <v>16641</v>
      </c>
      <c r="E1246" s="36" t="s">
        <v>16641</v>
      </c>
      <c r="F1246" s="36" t="s">
        <v>16641</v>
      </c>
      <c r="G1246" s="36" t="s">
        <v>16641</v>
      </c>
      <c r="H1246" s="36" t="s">
        <v>16641</v>
      </c>
      <c r="I1246" s="36" t="s">
        <v>16641</v>
      </c>
      <c r="J1246" s="36" t="s">
        <v>16641</v>
      </c>
      <c r="K1246" s="36" t="s">
        <v>16641</v>
      </c>
      <c r="L1246" s="36" t="s">
        <v>16641</v>
      </c>
      <c r="M1246" s="36" t="s">
        <v>16641</v>
      </c>
      <c r="N1246" s="36" t="s">
        <v>16641</v>
      </c>
      <c r="O1246" s="36" t="s">
        <v>16641</v>
      </c>
      <c r="P1246" s="36" t="s">
        <v>16641</v>
      </c>
    </row>
    <row r="1247" spans="1:16">
      <c r="A1247" s="132">
        <v>1246</v>
      </c>
      <c r="B1247" s="36" t="s">
        <v>16642</v>
      </c>
      <c r="C1247" s="36" t="s">
        <v>16642</v>
      </c>
      <c r="D1247" s="36" t="s">
        <v>16642</v>
      </c>
      <c r="E1247" s="36" t="s">
        <v>16642</v>
      </c>
      <c r="F1247" s="36" t="s">
        <v>16642</v>
      </c>
      <c r="G1247" s="36" t="s">
        <v>16642</v>
      </c>
      <c r="H1247" s="36" t="s">
        <v>16642</v>
      </c>
      <c r="I1247" s="36" t="s">
        <v>16642</v>
      </c>
      <c r="J1247" s="36" t="s">
        <v>16642</v>
      </c>
      <c r="K1247" s="36" t="s">
        <v>16642</v>
      </c>
      <c r="L1247" s="36" t="s">
        <v>16642</v>
      </c>
      <c r="M1247" s="36" t="s">
        <v>16642</v>
      </c>
      <c r="N1247" s="36" t="s">
        <v>16642</v>
      </c>
      <c r="O1247" s="36" t="s">
        <v>16642</v>
      </c>
      <c r="P1247" s="36" t="s">
        <v>16642</v>
      </c>
    </row>
    <row r="1248" spans="1:16">
      <c r="A1248" s="132">
        <v>1247</v>
      </c>
      <c r="B1248" s="36" t="s">
        <v>16643</v>
      </c>
      <c r="C1248" s="36" t="s">
        <v>16643</v>
      </c>
      <c r="D1248" s="36" t="s">
        <v>16643</v>
      </c>
      <c r="E1248" s="36" t="s">
        <v>16643</v>
      </c>
      <c r="F1248" s="36" t="s">
        <v>16643</v>
      </c>
      <c r="G1248" s="36" t="s">
        <v>16643</v>
      </c>
      <c r="H1248" s="36" t="s">
        <v>16643</v>
      </c>
      <c r="I1248" s="36" t="s">
        <v>16643</v>
      </c>
      <c r="J1248" s="36" t="s">
        <v>16643</v>
      </c>
      <c r="K1248" s="36" t="s">
        <v>16643</v>
      </c>
      <c r="L1248" s="36" t="s">
        <v>16643</v>
      </c>
      <c r="M1248" s="36" t="s">
        <v>16643</v>
      </c>
      <c r="N1248" s="36" t="s">
        <v>16643</v>
      </c>
      <c r="O1248" s="36" t="s">
        <v>16643</v>
      </c>
      <c r="P1248" s="36" t="s">
        <v>16643</v>
      </c>
    </row>
    <row r="1249" spans="1:16">
      <c r="A1249" s="132">
        <v>1248</v>
      </c>
      <c r="B1249" s="36" t="s">
        <v>16644</v>
      </c>
      <c r="C1249" s="36">
        <v>44252</v>
      </c>
      <c r="D1249" s="36">
        <v>44252</v>
      </c>
      <c r="E1249" s="36" t="s">
        <v>16645</v>
      </c>
      <c r="F1249" s="36" t="s">
        <v>16645</v>
      </c>
      <c r="G1249" s="36" t="s">
        <v>16645</v>
      </c>
      <c r="H1249" s="36" t="s">
        <v>16645</v>
      </c>
      <c r="I1249" s="36" t="s">
        <v>16645</v>
      </c>
      <c r="J1249" s="36" t="s">
        <v>16645</v>
      </c>
      <c r="K1249" s="36" t="s">
        <v>16645</v>
      </c>
      <c r="L1249" s="36" t="s">
        <v>16645</v>
      </c>
      <c r="M1249" s="36" t="s">
        <v>16645</v>
      </c>
      <c r="N1249" s="36" t="s">
        <v>16645</v>
      </c>
      <c r="O1249" s="36" t="s">
        <v>16645</v>
      </c>
      <c r="P1249" s="36" t="s">
        <v>16644</v>
      </c>
    </row>
    <row r="1250" spans="1:16">
      <c r="A1250" s="132">
        <v>1249</v>
      </c>
      <c r="B1250" s="36" t="s">
        <v>16646</v>
      </c>
      <c r="C1250" s="36" t="s">
        <v>16647</v>
      </c>
      <c r="D1250" s="36" t="s">
        <v>16648</v>
      </c>
      <c r="E1250" s="36" t="s">
        <v>16649</v>
      </c>
      <c r="F1250" s="36" t="s">
        <v>16649</v>
      </c>
      <c r="G1250" s="36" t="s">
        <v>16649</v>
      </c>
      <c r="H1250" s="36" t="s">
        <v>16649</v>
      </c>
      <c r="I1250" s="36" t="s">
        <v>16649</v>
      </c>
      <c r="J1250" s="36" t="s">
        <v>16649</v>
      </c>
      <c r="K1250" s="36" t="s">
        <v>16649</v>
      </c>
      <c r="L1250" s="36" t="s">
        <v>16649</v>
      </c>
      <c r="M1250" s="36" t="s">
        <v>16649</v>
      </c>
      <c r="N1250" s="36" t="s">
        <v>16649</v>
      </c>
      <c r="O1250" s="36" t="s">
        <v>16649</v>
      </c>
      <c r="P1250" s="36" t="s">
        <v>16649</v>
      </c>
    </row>
    <row r="1251" spans="1:16">
      <c r="A1251" s="132">
        <v>1250</v>
      </c>
      <c r="B1251" s="36" t="s">
        <v>16038</v>
      </c>
      <c r="C1251" s="36">
        <v>41</v>
      </c>
      <c r="D1251" s="36">
        <v>41</v>
      </c>
      <c r="E1251" s="36">
        <v>41</v>
      </c>
      <c r="F1251" s="36">
        <v>41</v>
      </c>
      <c r="G1251" s="36">
        <v>41</v>
      </c>
      <c r="H1251" s="36">
        <v>41</v>
      </c>
      <c r="I1251" s="36">
        <v>41</v>
      </c>
      <c r="J1251" s="36">
        <v>41</v>
      </c>
      <c r="K1251" s="36">
        <v>41</v>
      </c>
      <c r="L1251" s="36">
        <v>41</v>
      </c>
      <c r="M1251" s="36">
        <v>41</v>
      </c>
      <c r="N1251" s="36">
        <v>41</v>
      </c>
      <c r="O1251" s="36">
        <v>41</v>
      </c>
      <c r="P1251" s="36" t="s">
        <v>16038</v>
      </c>
    </row>
    <row r="1252" spans="1:16">
      <c r="A1252" s="132">
        <v>1251</v>
      </c>
      <c r="B1252" s="36" t="s">
        <v>16650</v>
      </c>
      <c r="C1252" s="36" t="s">
        <v>16651</v>
      </c>
      <c r="D1252" s="36" t="s">
        <v>16652</v>
      </c>
      <c r="E1252" s="36" t="s">
        <v>16653</v>
      </c>
      <c r="F1252" s="36" t="s">
        <v>16654</v>
      </c>
      <c r="G1252" s="36" t="s">
        <v>16655</v>
      </c>
      <c r="H1252" s="36" t="s">
        <v>16656</v>
      </c>
      <c r="I1252" s="36" t="s">
        <v>16657</v>
      </c>
      <c r="J1252" s="36" t="s">
        <v>16658</v>
      </c>
      <c r="K1252" s="36" t="s">
        <v>16659</v>
      </c>
      <c r="L1252" s="36" t="s">
        <v>16660</v>
      </c>
      <c r="M1252" s="36" t="s">
        <v>16661</v>
      </c>
      <c r="N1252" s="36" t="s">
        <v>16662</v>
      </c>
      <c r="O1252" s="36" t="s">
        <v>16663</v>
      </c>
      <c r="P1252" s="36" t="s">
        <v>16650</v>
      </c>
    </row>
    <row r="1253" spans="1:16">
      <c r="A1253" s="132">
        <v>1252</v>
      </c>
      <c r="B1253" s="36" t="s">
        <v>16664</v>
      </c>
      <c r="C1253" s="36" t="s">
        <v>16665</v>
      </c>
      <c r="D1253" s="36" t="s">
        <v>16666</v>
      </c>
      <c r="E1253" s="36" t="s">
        <v>16667</v>
      </c>
      <c r="F1253" s="36" t="s">
        <v>16668</v>
      </c>
      <c r="G1253" s="36" t="s">
        <v>16667</v>
      </c>
      <c r="H1253" s="36" t="s">
        <v>16667</v>
      </c>
      <c r="I1253" s="36" t="s">
        <v>16667</v>
      </c>
      <c r="J1253" s="36" t="s">
        <v>16667</v>
      </c>
      <c r="K1253" s="36" t="s">
        <v>16667</v>
      </c>
      <c r="L1253" s="36" t="s">
        <v>16669</v>
      </c>
      <c r="M1253" s="36" t="s">
        <v>16667</v>
      </c>
      <c r="N1253" s="36" t="s">
        <v>16667</v>
      </c>
      <c r="O1253" s="36" t="s">
        <v>16670</v>
      </c>
      <c r="P1253" s="36" t="s">
        <v>16667</v>
      </c>
    </row>
    <row r="1254" spans="1:16">
      <c r="A1254" s="132">
        <v>1253</v>
      </c>
      <c r="B1254" s="36" t="s">
        <v>16671</v>
      </c>
      <c r="C1254" s="36" t="s">
        <v>16672</v>
      </c>
      <c r="D1254" s="36" t="s">
        <v>16673</v>
      </c>
      <c r="E1254" s="36" t="s">
        <v>16674</v>
      </c>
      <c r="F1254" s="36" t="s">
        <v>16675</v>
      </c>
      <c r="G1254" s="36" t="s">
        <v>16676</v>
      </c>
      <c r="H1254" s="36" t="s">
        <v>16677</v>
      </c>
      <c r="I1254" s="36" t="s">
        <v>16678</v>
      </c>
      <c r="J1254" s="36" t="s">
        <v>16679</v>
      </c>
      <c r="K1254" s="36" t="s">
        <v>16680</v>
      </c>
      <c r="L1254" s="36" t="s">
        <v>16681</v>
      </c>
      <c r="M1254" s="36" t="s">
        <v>16682</v>
      </c>
      <c r="N1254" s="36" t="s">
        <v>16683</v>
      </c>
      <c r="O1254" s="36" t="s">
        <v>16684</v>
      </c>
      <c r="P1254" s="36" t="s">
        <v>16671</v>
      </c>
    </row>
    <row r="1255" spans="1:16">
      <c r="A1255" s="132">
        <v>1254</v>
      </c>
      <c r="B1255" s="36" t="s">
        <v>16685</v>
      </c>
      <c r="C1255" s="36" t="s">
        <v>16686</v>
      </c>
      <c r="D1255" s="36" t="s">
        <v>16687</v>
      </c>
      <c r="E1255" s="36" t="s">
        <v>16688</v>
      </c>
      <c r="F1255" s="36" t="s">
        <v>16689</v>
      </c>
      <c r="G1255" s="36" t="s">
        <v>16690</v>
      </c>
      <c r="H1255" s="36" t="s">
        <v>16691</v>
      </c>
      <c r="I1255" s="36" t="s">
        <v>16692</v>
      </c>
      <c r="J1255" s="36" t="s">
        <v>16693</v>
      </c>
      <c r="K1255" s="36" t="s">
        <v>16694</v>
      </c>
      <c r="L1255" s="36" t="s">
        <v>16695</v>
      </c>
      <c r="M1255" s="36" t="s">
        <v>16696</v>
      </c>
      <c r="N1255" s="36" t="s">
        <v>16697</v>
      </c>
      <c r="O1255" s="36" t="s">
        <v>16698</v>
      </c>
      <c r="P1255" s="36" t="s">
        <v>16685</v>
      </c>
    </row>
    <row r="1256" spans="1:16">
      <c r="A1256" s="132">
        <v>1255</v>
      </c>
      <c r="B1256" s="36" t="s">
        <v>16699</v>
      </c>
      <c r="C1256" s="36" t="s">
        <v>16700</v>
      </c>
      <c r="D1256" s="36" t="s">
        <v>16701</v>
      </c>
      <c r="E1256" s="36" t="s">
        <v>16702</v>
      </c>
      <c r="F1256" s="36" t="s">
        <v>16703</v>
      </c>
      <c r="G1256" s="36" t="s">
        <v>16704</v>
      </c>
      <c r="H1256" s="36" t="s">
        <v>16705</v>
      </c>
      <c r="I1256" s="36" t="s">
        <v>16706</v>
      </c>
      <c r="J1256" s="36" t="s">
        <v>16707</v>
      </c>
      <c r="K1256" s="36" t="s">
        <v>16708</v>
      </c>
      <c r="L1256" s="36" t="s">
        <v>16709</v>
      </c>
      <c r="M1256" s="36" t="s">
        <v>16710</v>
      </c>
      <c r="N1256" s="36" t="s">
        <v>16711</v>
      </c>
      <c r="O1256" s="36" t="s">
        <v>16712</v>
      </c>
      <c r="P1256" s="36" t="s">
        <v>16699</v>
      </c>
    </row>
    <row r="1257" spans="1:16" ht="16.2">
      <c r="A1257" s="132">
        <v>1256</v>
      </c>
      <c r="B1257" s="36" t="s">
        <v>16713</v>
      </c>
      <c r="C1257" s="36" t="s">
        <v>16714</v>
      </c>
      <c r="D1257" s="36" t="s">
        <v>16715</v>
      </c>
      <c r="E1257" s="36" t="s">
        <v>16716</v>
      </c>
      <c r="F1257" s="36" t="s">
        <v>16717</v>
      </c>
      <c r="G1257" s="36" t="s">
        <v>16718</v>
      </c>
      <c r="H1257" s="36" t="s">
        <v>16719</v>
      </c>
      <c r="I1257" s="36" t="s">
        <v>16720</v>
      </c>
      <c r="J1257" s="36" t="s">
        <v>16721</v>
      </c>
      <c r="K1257" s="36" t="s">
        <v>16722</v>
      </c>
      <c r="L1257" s="36" t="s">
        <v>16723</v>
      </c>
      <c r="M1257" s="36" t="s">
        <v>16724</v>
      </c>
      <c r="N1257" s="36" t="s">
        <v>16725</v>
      </c>
      <c r="O1257" s="36" t="s">
        <v>16726</v>
      </c>
      <c r="P1257" s="36" t="s">
        <v>16713</v>
      </c>
    </row>
    <row r="1258" spans="1:16" ht="16.2">
      <c r="A1258" s="132">
        <v>1257</v>
      </c>
      <c r="B1258" s="36" t="s">
        <v>16727</v>
      </c>
      <c r="C1258" s="36" t="s">
        <v>16728</v>
      </c>
      <c r="D1258" s="36" t="s">
        <v>16729</v>
      </c>
      <c r="E1258" s="36" t="s">
        <v>16730</v>
      </c>
      <c r="F1258" s="36" t="s">
        <v>16731</v>
      </c>
      <c r="G1258" s="36" t="s">
        <v>16732</v>
      </c>
      <c r="H1258" s="36" t="s">
        <v>16733</v>
      </c>
      <c r="I1258" s="36" t="s">
        <v>16734</v>
      </c>
      <c r="J1258" s="36" t="s">
        <v>16735</v>
      </c>
      <c r="K1258" s="36" t="s">
        <v>16736</v>
      </c>
      <c r="L1258" s="36" t="s">
        <v>16737</v>
      </c>
      <c r="M1258" s="36" t="s">
        <v>16738</v>
      </c>
      <c r="N1258" s="36" t="s">
        <v>16739</v>
      </c>
      <c r="O1258" s="36" t="s">
        <v>16740</v>
      </c>
      <c r="P1258" s="36" t="s">
        <v>16727</v>
      </c>
    </row>
    <row r="1259" spans="1:16" ht="16.2">
      <c r="A1259" s="132">
        <v>1258</v>
      </c>
      <c r="B1259" s="36" t="s">
        <v>16741</v>
      </c>
      <c r="C1259" s="36" t="s">
        <v>16742</v>
      </c>
      <c r="D1259" s="36" t="s">
        <v>16743</v>
      </c>
      <c r="E1259" s="36" t="s">
        <v>16744</v>
      </c>
      <c r="F1259" s="36" t="s">
        <v>16745</v>
      </c>
      <c r="G1259" s="36" t="s">
        <v>16746</v>
      </c>
      <c r="H1259" s="36" t="s">
        <v>16747</v>
      </c>
      <c r="I1259" s="36" t="s">
        <v>16748</v>
      </c>
      <c r="J1259" s="36" t="s">
        <v>16749</v>
      </c>
      <c r="K1259" s="36" t="s">
        <v>16750</v>
      </c>
      <c r="L1259" s="36" t="s">
        <v>16751</v>
      </c>
      <c r="M1259" s="36" t="s">
        <v>16752</v>
      </c>
      <c r="N1259" s="36" t="s">
        <v>16753</v>
      </c>
      <c r="O1259" s="36" t="s">
        <v>16754</v>
      </c>
      <c r="P1259" s="36" t="s">
        <v>16741</v>
      </c>
    </row>
    <row r="1260" spans="1:16">
      <c r="A1260" s="132">
        <v>1259</v>
      </c>
      <c r="B1260" s="36" t="s">
        <v>16755</v>
      </c>
      <c r="C1260" s="36" t="s">
        <v>16756</v>
      </c>
      <c r="D1260" s="36" t="s">
        <v>16757</v>
      </c>
      <c r="E1260" s="36" t="s">
        <v>16758</v>
      </c>
      <c r="F1260" s="36" t="s">
        <v>16759</v>
      </c>
      <c r="G1260" s="36" t="s">
        <v>16760</v>
      </c>
      <c r="H1260" s="36" t="s">
        <v>16761</v>
      </c>
      <c r="I1260" s="36" t="s">
        <v>16762</v>
      </c>
      <c r="J1260" s="36" t="s">
        <v>16763</v>
      </c>
      <c r="K1260" s="36" t="s">
        <v>16764</v>
      </c>
      <c r="L1260" s="36" t="s">
        <v>16765</v>
      </c>
      <c r="M1260" s="36" t="s">
        <v>16766</v>
      </c>
      <c r="N1260" s="36" t="s">
        <v>16767</v>
      </c>
      <c r="O1260" s="36" t="s">
        <v>16768</v>
      </c>
      <c r="P1260" s="36" t="s">
        <v>16769</v>
      </c>
    </row>
    <row r="1261" spans="1:16">
      <c r="A1261" s="132">
        <v>1260</v>
      </c>
      <c r="B1261" s="36" t="s">
        <v>16770</v>
      </c>
      <c r="C1261" s="36" t="s">
        <v>16771</v>
      </c>
      <c r="D1261" s="36" t="s">
        <v>16772</v>
      </c>
      <c r="E1261" s="36" t="s">
        <v>16773</v>
      </c>
      <c r="F1261" s="36" t="s">
        <v>16774</v>
      </c>
      <c r="G1261" s="36" t="s">
        <v>16775</v>
      </c>
      <c r="H1261" s="36" t="s">
        <v>16776</v>
      </c>
      <c r="I1261" s="36" t="s">
        <v>16777</v>
      </c>
      <c r="J1261" s="36" t="s">
        <v>16778</v>
      </c>
      <c r="K1261" s="36" t="s">
        <v>16779</v>
      </c>
      <c r="L1261" s="36" t="s">
        <v>16780</v>
      </c>
      <c r="M1261" s="36" t="s">
        <v>16781</v>
      </c>
      <c r="N1261" s="36" t="s">
        <v>16782</v>
      </c>
      <c r="O1261" s="36" t="s">
        <v>16783</v>
      </c>
      <c r="P1261" s="36" t="s">
        <v>16770</v>
      </c>
    </row>
    <row r="1262" spans="1:16">
      <c r="A1262" s="132">
        <v>1261</v>
      </c>
      <c r="B1262" s="36" t="s">
        <v>16784</v>
      </c>
      <c r="C1262" s="36" t="s">
        <v>16785</v>
      </c>
      <c r="D1262" s="36" t="s">
        <v>16786</v>
      </c>
      <c r="E1262" s="36" t="s">
        <v>16787</v>
      </c>
      <c r="F1262" s="36" t="s">
        <v>16788</v>
      </c>
      <c r="G1262" s="36" t="s">
        <v>16789</v>
      </c>
      <c r="H1262" s="36" t="s">
        <v>16790</v>
      </c>
      <c r="I1262" s="36" t="s">
        <v>16791</v>
      </c>
      <c r="J1262" s="36" t="s">
        <v>16792</v>
      </c>
      <c r="K1262" s="36" t="s">
        <v>16793</v>
      </c>
      <c r="L1262" s="36" t="s">
        <v>16794</v>
      </c>
      <c r="M1262" s="36" t="s">
        <v>16795</v>
      </c>
      <c r="N1262" s="36" t="s">
        <v>16796</v>
      </c>
      <c r="O1262" s="36" t="s">
        <v>16797</v>
      </c>
      <c r="P1262" s="36" t="s">
        <v>16784</v>
      </c>
    </row>
    <row r="1263" spans="1:16">
      <c r="A1263" s="132">
        <v>1262</v>
      </c>
      <c r="B1263" s="36" t="s">
        <v>5653</v>
      </c>
      <c r="C1263" s="36" t="s">
        <v>5654</v>
      </c>
      <c r="D1263" s="36" t="s">
        <v>5655</v>
      </c>
      <c r="E1263" s="36" t="s">
        <v>5656</v>
      </c>
      <c r="F1263" s="36" t="s">
        <v>16798</v>
      </c>
      <c r="G1263" s="36" t="s">
        <v>5658</v>
      </c>
      <c r="H1263" s="36" t="s">
        <v>5659</v>
      </c>
      <c r="I1263" s="36" t="s">
        <v>5660</v>
      </c>
      <c r="J1263" s="36" t="s">
        <v>5661</v>
      </c>
      <c r="K1263" s="36" t="s">
        <v>5662</v>
      </c>
      <c r="L1263" s="36" t="s">
        <v>5663</v>
      </c>
      <c r="M1263" s="36" t="s">
        <v>5664</v>
      </c>
      <c r="N1263" s="36" t="s">
        <v>5665</v>
      </c>
      <c r="O1263" s="36" t="s">
        <v>5666</v>
      </c>
      <c r="P1263" s="36" t="s">
        <v>5653</v>
      </c>
    </row>
    <row r="1264" spans="1:16">
      <c r="A1264" s="132">
        <v>1263</v>
      </c>
      <c r="B1264" s="36" t="s">
        <v>12740</v>
      </c>
      <c r="C1264" s="36" t="s">
        <v>16799</v>
      </c>
      <c r="D1264" s="36" t="s">
        <v>12742</v>
      </c>
      <c r="E1264" s="36" t="s">
        <v>12743</v>
      </c>
      <c r="F1264" s="36" t="s">
        <v>16800</v>
      </c>
      <c r="G1264" s="36" t="s">
        <v>12745</v>
      </c>
      <c r="H1264" s="36" t="s">
        <v>12746</v>
      </c>
      <c r="I1264" s="36" t="s">
        <v>12747</v>
      </c>
      <c r="J1264" s="36" t="s">
        <v>12748</v>
      </c>
      <c r="K1264" s="36" t="s">
        <v>12749</v>
      </c>
      <c r="L1264" s="36" t="s">
        <v>12750</v>
      </c>
      <c r="M1264" s="36" t="s">
        <v>12751</v>
      </c>
      <c r="N1264" s="36" t="s">
        <v>12752</v>
      </c>
      <c r="O1264" s="36" t="s">
        <v>12753</v>
      </c>
      <c r="P1264" s="36" t="s">
        <v>12740</v>
      </c>
    </row>
    <row r="1265" spans="1:16">
      <c r="A1265" s="132">
        <v>1264</v>
      </c>
      <c r="B1265" s="36" t="s">
        <v>16801</v>
      </c>
      <c r="C1265" s="36" t="s">
        <v>16802</v>
      </c>
      <c r="D1265" s="36" t="s">
        <v>16803</v>
      </c>
      <c r="E1265" s="36" t="s">
        <v>16804</v>
      </c>
      <c r="F1265" s="36" t="s">
        <v>16805</v>
      </c>
      <c r="G1265" s="36" t="s">
        <v>16806</v>
      </c>
      <c r="H1265" s="36" t="s">
        <v>16807</v>
      </c>
      <c r="I1265" s="36" t="s">
        <v>16808</v>
      </c>
      <c r="J1265" s="36" t="s">
        <v>16809</v>
      </c>
      <c r="K1265" s="36" t="s">
        <v>16810</v>
      </c>
      <c r="L1265" s="36" t="s">
        <v>16811</v>
      </c>
      <c r="M1265" s="36" t="s">
        <v>16812</v>
      </c>
      <c r="N1265" s="36" t="s">
        <v>16813</v>
      </c>
      <c r="O1265" s="36" t="s">
        <v>16814</v>
      </c>
      <c r="P1265" s="36" t="s">
        <v>16801</v>
      </c>
    </row>
    <row r="1266" spans="1:16">
      <c r="A1266" s="132">
        <v>1265</v>
      </c>
      <c r="B1266" s="36" t="s">
        <v>16815</v>
      </c>
      <c r="C1266" s="36" t="s">
        <v>16816</v>
      </c>
      <c r="D1266" s="36" t="s">
        <v>16817</v>
      </c>
      <c r="E1266" s="36" t="s">
        <v>16818</v>
      </c>
      <c r="F1266" s="36" t="s">
        <v>16819</v>
      </c>
      <c r="G1266" s="36" t="s">
        <v>16820</v>
      </c>
      <c r="H1266" s="36" t="s">
        <v>16821</v>
      </c>
      <c r="I1266" s="36" t="s">
        <v>16822</v>
      </c>
      <c r="J1266" s="36" t="s">
        <v>16823</v>
      </c>
      <c r="K1266" s="36" t="s">
        <v>16824</v>
      </c>
      <c r="L1266" s="36" t="s">
        <v>16825</v>
      </c>
      <c r="M1266" s="36" t="s">
        <v>16826</v>
      </c>
      <c r="N1266" s="36" t="s">
        <v>16827</v>
      </c>
      <c r="O1266" s="36" t="s">
        <v>16828</v>
      </c>
      <c r="P1266" s="36" t="s">
        <v>16815</v>
      </c>
    </row>
    <row r="1267" spans="1:16">
      <c r="A1267" s="132">
        <v>1266</v>
      </c>
      <c r="B1267" s="36" t="s">
        <v>16829</v>
      </c>
      <c r="C1267" s="36" t="s">
        <v>16830</v>
      </c>
      <c r="D1267" s="36" t="s">
        <v>16831</v>
      </c>
      <c r="E1267" s="36" t="s">
        <v>16832</v>
      </c>
      <c r="F1267" s="36" t="s">
        <v>16833</v>
      </c>
      <c r="G1267" s="36" t="s">
        <v>16834</v>
      </c>
      <c r="H1267" s="36" t="s">
        <v>16835</v>
      </c>
      <c r="I1267" s="36" t="s">
        <v>16836</v>
      </c>
      <c r="J1267" s="36" t="s">
        <v>16837</v>
      </c>
      <c r="K1267" s="36" t="s">
        <v>16838</v>
      </c>
      <c r="L1267" s="36" t="s">
        <v>16839</v>
      </c>
      <c r="M1267" s="36" t="s">
        <v>16840</v>
      </c>
      <c r="N1267" s="36" t="s">
        <v>16841</v>
      </c>
      <c r="O1267" s="36" t="s">
        <v>16842</v>
      </c>
      <c r="P1267" s="36" t="s">
        <v>16829</v>
      </c>
    </row>
    <row r="1268" spans="1:16">
      <c r="A1268" s="132">
        <v>1267</v>
      </c>
      <c r="B1268" s="36" t="s">
        <v>16843</v>
      </c>
      <c r="C1268" s="36" t="s">
        <v>16844</v>
      </c>
      <c r="D1268" s="36" t="s">
        <v>16845</v>
      </c>
      <c r="E1268" s="36" t="s">
        <v>16846</v>
      </c>
      <c r="F1268" s="36" t="s">
        <v>16847</v>
      </c>
      <c r="G1268" s="36" t="s">
        <v>16848</v>
      </c>
      <c r="H1268" s="36" t="s">
        <v>16849</v>
      </c>
      <c r="I1268" s="36" t="s">
        <v>16850</v>
      </c>
      <c r="J1268" s="36" t="s">
        <v>16851</v>
      </c>
      <c r="K1268" s="36" t="s">
        <v>16852</v>
      </c>
      <c r="L1268" s="36" t="s">
        <v>16853</v>
      </c>
      <c r="M1268" s="36" t="s">
        <v>16854</v>
      </c>
      <c r="N1268" s="36" t="s">
        <v>16855</v>
      </c>
      <c r="O1268" s="36" t="s">
        <v>16856</v>
      </c>
      <c r="P1268" s="36" t="s">
        <v>16843</v>
      </c>
    </row>
    <row r="1269" spans="1:16">
      <c r="A1269" s="132">
        <v>1268</v>
      </c>
      <c r="B1269" s="36" t="s">
        <v>16857</v>
      </c>
      <c r="C1269" s="36" t="s">
        <v>16858</v>
      </c>
      <c r="D1269" s="36" t="s">
        <v>16859</v>
      </c>
      <c r="E1269" s="36" t="s">
        <v>16860</v>
      </c>
      <c r="F1269" s="36" t="s">
        <v>16861</v>
      </c>
      <c r="G1269" s="36" t="s">
        <v>4754</v>
      </c>
      <c r="H1269" s="36" t="s">
        <v>4755</v>
      </c>
      <c r="I1269" s="36" t="s">
        <v>16862</v>
      </c>
      <c r="J1269" s="36" t="s">
        <v>16863</v>
      </c>
      <c r="K1269" s="36" t="s">
        <v>16864</v>
      </c>
      <c r="L1269" s="36" t="s">
        <v>16865</v>
      </c>
      <c r="M1269" s="36" t="s">
        <v>16866</v>
      </c>
      <c r="N1269" s="36" t="s">
        <v>4761</v>
      </c>
      <c r="O1269" s="36" t="s">
        <v>16867</v>
      </c>
      <c r="P1269" s="36" t="s">
        <v>16857</v>
      </c>
    </row>
    <row r="1270" spans="1:16">
      <c r="A1270" s="132">
        <v>1269</v>
      </c>
      <c r="B1270" s="36" t="s">
        <v>16868</v>
      </c>
      <c r="C1270" s="36" t="s">
        <v>16869</v>
      </c>
      <c r="D1270" s="36" t="s">
        <v>16870</v>
      </c>
      <c r="E1270" s="36" t="s">
        <v>16871</v>
      </c>
      <c r="F1270" s="36" t="s">
        <v>16872</v>
      </c>
      <c r="G1270" s="36" t="s">
        <v>16873</v>
      </c>
      <c r="H1270" s="36" t="s">
        <v>16874</v>
      </c>
      <c r="I1270" s="36" t="s">
        <v>16875</v>
      </c>
      <c r="J1270" s="36" t="s">
        <v>16876</v>
      </c>
      <c r="K1270" s="36" t="s">
        <v>16877</v>
      </c>
      <c r="L1270" s="36" t="s">
        <v>16878</v>
      </c>
      <c r="M1270" s="36" t="s">
        <v>16879</v>
      </c>
      <c r="N1270" s="36" t="s">
        <v>16880</v>
      </c>
      <c r="O1270" s="36" t="s">
        <v>16881</v>
      </c>
      <c r="P1270" s="36" t="s">
        <v>16882</v>
      </c>
    </row>
    <row r="1271" spans="1:16">
      <c r="A1271" s="132">
        <v>1270</v>
      </c>
      <c r="B1271" s="36" t="s">
        <v>16883</v>
      </c>
      <c r="C1271" s="36" t="s">
        <v>13956</v>
      </c>
      <c r="D1271" s="36" t="s">
        <v>16884</v>
      </c>
      <c r="E1271" s="36" t="s">
        <v>16885</v>
      </c>
      <c r="F1271" s="36" t="s">
        <v>16886</v>
      </c>
      <c r="G1271" s="36" t="s">
        <v>16887</v>
      </c>
      <c r="H1271" s="36" t="s">
        <v>16888</v>
      </c>
      <c r="I1271" s="36" t="s">
        <v>16889</v>
      </c>
      <c r="J1271" s="36" t="s">
        <v>16890</v>
      </c>
      <c r="K1271" s="36" t="s">
        <v>16891</v>
      </c>
      <c r="L1271" s="36" t="s">
        <v>16892</v>
      </c>
      <c r="M1271" s="36" t="s">
        <v>16893</v>
      </c>
      <c r="N1271" s="36" t="s">
        <v>16894</v>
      </c>
      <c r="O1271" s="36" t="s">
        <v>16895</v>
      </c>
      <c r="P1271" s="36" t="s">
        <v>16883</v>
      </c>
    </row>
    <row r="1272" spans="1:16">
      <c r="A1272" s="132">
        <v>1271</v>
      </c>
      <c r="B1272" s="36" t="s">
        <v>15327</v>
      </c>
      <c r="C1272" s="36" t="s">
        <v>15328</v>
      </c>
      <c r="D1272" s="36" t="s">
        <v>15329</v>
      </c>
      <c r="E1272" s="36" t="s">
        <v>15330</v>
      </c>
      <c r="F1272" s="36" t="s">
        <v>16896</v>
      </c>
      <c r="G1272" s="36" t="s">
        <v>15332</v>
      </c>
      <c r="H1272" s="36" t="s">
        <v>15333</v>
      </c>
      <c r="I1272" s="36" t="s">
        <v>15334</v>
      </c>
      <c r="J1272" s="36" t="s">
        <v>15335</v>
      </c>
      <c r="K1272" s="36" t="s">
        <v>15336</v>
      </c>
      <c r="L1272" s="36" t="s">
        <v>15337</v>
      </c>
      <c r="M1272" s="36" t="s">
        <v>15338</v>
      </c>
      <c r="N1272" s="36" t="s">
        <v>15339</v>
      </c>
      <c r="O1272" s="36" t="s">
        <v>15340</v>
      </c>
      <c r="P1272" s="36" t="s">
        <v>15327</v>
      </c>
    </row>
    <row r="1273" spans="1:16">
      <c r="A1273" s="132">
        <v>1272</v>
      </c>
      <c r="B1273" s="36" t="s">
        <v>16897</v>
      </c>
      <c r="C1273" s="36" t="s">
        <v>16898</v>
      </c>
      <c r="D1273" s="36" t="s">
        <v>16899</v>
      </c>
      <c r="E1273" s="36" t="s">
        <v>16900</v>
      </c>
      <c r="F1273" s="36" t="s">
        <v>16901</v>
      </c>
      <c r="G1273" s="36" t="s">
        <v>16902</v>
      </c>
      <c r="H1273" s="36" t="s">
        <v>16903</v>
      </c>
      <c r="I1273" s="36" t="s">
        <v>16904</v>
      </c>
      <c r="J1273" s="36" t="s">
        <v>16905</v>
      </c>
      <c r="K1273" s="36" t="s">
        <v>16906</v>
      </c>
      <c r="L1273" s="36" t="s">
        <v>16907</v>
      </c>
      <c r="M1273" s="36" t="s">
        <v>14021</v>
      </c>
      <c r="N1273" s="36" t="s">
        <v>16908</v>
      </c>
      <c r="O1273" s="36" t="s">
        <v>16909</v>
      </c>
      <c r="P1273" s="36" t="s">
        <v>16897</v>
      </c>
    </row>
    <row r="1274" spans="1:16">
      <c r="A1274" s="132">
        <v>1273</v>
      </c>
      <c r="B1274" s="36" t="s">
        <v>16910</v>
      </c>
      <c r="C1274" s="36" t="s">
        <v>16911</v>
      </c>
      <c r="D1274" s="36" t="s">
        <v>16912</v>
      </c>
      <c r="E1274" s="36" t="s">
        <v>16913</v>
      </c>
      <c r="F1274" s="36" t="s">
        <v>16914</v>
      </c>
      <c r="G1274" s="36" t="s">
        <v>16915</v>
      </c>
      <c r="H1274" s="36" t="s">
        <v>16916</v>
      </c>
      <c r="I1274" s="36" t="s">
        <v>16917</v>
      </c>
      <c r="J1274" s="36" t="s">
        <v>16918</v>
      </c>
      <c r="K1274" s="36" t="s">
        <v>16919</v>
      </c>
      <c r="L1274" s="36" t="s">
        <v>16920</v>
      </c>
      <c r="M1274" s="36" t="s">
        <v>16921</v>
      </c>
      <c r="N1274" s="36" t="s">
        <v>16921</v>
      </c>
      <c r="O1274" s="36" t="s">
        <v>16922</v>
      </c>
      <c r="P1274" s="36" t="s">
        <v>16910</v>
      </c>
    </row>
    <row r="1275" spans="1:16">
      <c r="A1275" s="132">
        <v>1274</v>
      </c>
      <c r="B1275" s="36" t="s">
        <v>16923</v>
      </c>
      <c r="C1275" s="36" t="s">
        <v>16924</v>
      </c>
      <c r="D1275" s="36" t="s">
        <v>16925</v>
      </c>
      <c r="E1275" s="36" t="s">
        <v>16926</v>
      </c>
      <c r="F1275" s="36" t="s">
        <v>16927</v>
      </c>
      <c r="G1275" s="36" t="s">
        <v>16928</v>
      </c>
      <c r="H1275" s="36" t="s">
        <v>16929</v>
      </c>
      <c r="I1275" s="36" t="s">
        <v>16930</v>
      </c>
      <c r="J1275" s="36" t="s">
        <v>16931</v>
      </c>
      <c r="K1275" s="36" t="s">
        <v>16932</v>
      </c>
      <c r="L1275" s="36" t="s">
        <v>16933</v>
      </c>
      <c r="M1275" s="36" t="s">
        <v>16934</v>
      </c>
      <c r="N1275" s="36" t="s">
        <v>16934</v>
      </c>
      <c r="O1275" s="36" t="s">
        <v>16935</v>
      </c>
      <c r="P1275" s="36" t="s">
        <v>16923</v>
      </c>
    </row>
    <row r="1276" spans="1:16">
      <c r="A1276" s="132">
        <v>1275</v>
      </c>
      <c r="B1276" s="36" t="s">
        <v>16936</v>
      </c>
      <c r="C1276" s="36" t="s">
        <v>4624</v>
      </c>
      <c r="D1276" s="36" t="s">
        <v>16937</v>
      </c>
      <c r="E1276" s="36" t="s">
        <v>29581</v>
      </c>
      <c r="F1276" s="36" t="s">
        <v>4627</v>
      </c>
      <c r="G1276" s="36" t="s">
        <v>16938</v>
      </c>
      <c r="H1276" s="36" t="s">
        <v>16939</v>
      </c>
      <c r="I1276" s="36" t="s">
        <v>16940</v>
      </c>
      <c r="J1276" s="36" t="s">
        <v>16941</v>
      </c>
      <c r="K1276" s="36" t="s">
        <v>16942</v>
      </c>
      <c r="L1276" s="36" t="s">
        <v>16943</v>
      </c>
      <c r="M1276" s="36" t="s">
        <v>16944</v>
      </c>
      <c r="N1276" s="36" t="s">
        <v>16945</v>
      </c>
      <c r="O1276" s="36" t="s">
        <v>16946</v>
      </c>
      <c r="P1276" s="36" t="s">
        <v>16936</v>
      </c>
    </row>
    <row r="1277" spans="1:16">
      <c r="A1277" s="132">
        <v>1276</v>
      </c>
      <c r="B1277" s="36" t="s">
        <v>16947</v>
      </c>
      <c r="C1277" s="36" t="s">
        <v>4904</v>
      </c>
      <c r="D1277" s="36" t="s">
        <v>16948</v>
      </c>
      <c r="E1277" s="36" t="s">
        <v>16949</v>
      </c>
      <c r="F1277" s="36" t="s">
        <v>4907</v>
      </c>
      <c r="G1277" s="36" t="s">
        <v>16950</v>
      </c>
      <c r="H1277" s="36" t="s">
        <v>16951</v>
      </c>
      <c r="I1277" s="36" t="s">
        <v>16952</v>
      </c>
      <c r="J1277" s="36" t="s">
        <v>16953</v>
      </c>
      <c r="K1277" s="36" t="s">
        <v>16954</v>
      </c>
      <c r="L1277" s="36" t="s">
        <v>16955</v>
      </c>
      <c r="M1277" s="36" t="s">
        <v>16956</v>
      </c>
      <c r="N1277" s="36" t="s">
        <v>16957</v>
      </c>
      <c r="O1277" s="36" t="s">
        <v>16958</v>
      </c>
      <c r="P1277" s="36" t="s">
        <v>16947</v>
      </c>
    </row>
    <row r="1278" spans="1:16">
      <c r="A1278" s="132">
        <v>1277</v>
      </c>
      <c r="B1278" s="36" t="s">
        <v>16959</v>
      </c>
      <c r="C1278" s="36" t="s">
        <v>16960</v>
      </c>
      <c r="D1278" s="36" t="s">
        <v>16961</v>
      </c>
      <c r="E1278" s="36" t="s">
        <v>16962</v>
      </c>
      <c r="F1278" s="36" t="s">
        <v>16963</v>
      </c>
      <c r="G1278" s="36" t="s">
        <v>16964</v>
      </c>
      <c r="H1278" s="36" t="s">
        <v>16965</v>
      </c>
      <c r="I1278" s="36" t="s">
        <v>16966</v>
      </c>
      <c r="J1278" s="36" t="s">
        <v>16967</v>
      </c>
      <c r="K1278" s="36" t="s">
        <v>16968</v>
      </c>
      <c r="L1278" s="36" t="s">
        <v>16969</v>
      </c>
      <c r="M1278" s="36" t="s">
        <v>16970</v>
      </c>
      <c r="N1278" s="36" t="s">
        <v>16971</v>
      </c>
      <c r="O1278" s="36" t="s">
        <v>16972</v>
      </c>
      <c r="P1278" s="36" t="s">
        <v>16959</v>
      </c>
    </row>
    <row r="1279" spans="1:16">
      <c r="A1279" s="132">
        <v>1278</v>
      </c>
      <c r="B1279" s="36" t="s">
        <v>16973</v>
      </c>
      <c r="C1279" s="36" t="s">
        <v>16974</v>
      </c>
      <c r="D1279" s="36" t="s">
        <v>16975</v>
      </c>
      <c r="E1279" s="36" t="s">
        <v>16976</v>
      </c>
      <c r="F1279" s="36" t="s">
        <v>16977</v>
      </c>
      <c r="G1279" s="36" t="s">
        <v>16978</v>
      </c>
      <c r="H1279" s="36" t="s">
        <v>16979</v>
      </c>
      <c r="I1279" s="36" t="s">
        <v>16980</v>
      </c>
      <c r="J1279" s="36" t="s">
        <v>16981</v>
      </c>
      <c r="K1279" s="36" t="s">
        <v>16982</v>
      </c>
      <c r="L1279" s="36" t="s">
        <v>16983</v>
      </c>
      <c r="M1279" s="36" t="s">
        <v>16984</v>
      </c>
      <c r="N1279" s="36" t="s">
        <v>16985</v>
      </c>
      <c r="O1279" s="36" t="s">
        <v>16986</v>
      </c>
      <c r="P1279" s="36" t="s">
        <v>16973</v>
      </c>
    </row>
    <row r="1280" spans="1:16">
      <c r="A1280" s="132">
        <v>1279</v>
      </c>
      <c r="B1280" s="36" t="s">
        <v>16987</v>
      </c>
      <c r="C1280" s="36" t="s">
        <v>16988</v>
      </c>
      <c r="D1280" s="36" t="s">
        <v>16989</v>
      </c>
      <c r="E1280" s="36" t="s">
        <v>16990</v>
      </c>
      <c r="F1280" s="36" t="s">
        <v>16991</v>
      </c>
      <c r="G1280" s="36" t="s">
        <v>16992</v>
      </c>
      <c r="H1280" s="36" t="s">
        <v>16993</v>
      </c>
      <c r="I1280" s="36" t="s">
        <v>16994</v>
      </c>
      <c r="J1280" s="36" t="s">
        <v>16995</v>
      </c>
      <c r="K1280" s="36" t="s">
        <v>16996</v>
      </c>
      <c r="L1280" s="36" t="s">
        <v>16997</v>
      </c>
      <c r="M1280" s="36" t="s">
        <v>16998</v>
      </c>
      <c r="N1280" s="36" t="s">
        <v>16999</v>
      </c>
      <c r="O1280" s="36" t="s">
        <v>17000</v>
      </c>
      <c r="P1280" s="36" t="s">
        <v>16987</v>
      </c>
    </row>
    <row r="1281" spans="1:16">
      <c r="A1281" s="132">
        <v>1280</v>
      </c>
      <c r="B1281" s="36" t="s">
        <v>6380</v>
      </c>
      <c r="C1281" s="36" t="s">
        <v>17001</v>
      </c>
      <c r="D1281" s="36" t="s">
        <v>6382</v>
      </c>
      <c r="E1281" s="36" t="s">
        <v>6383</v>
      </c>
      <c r="F1281" s="36" t="s">
        <v>17002</v>
      </c>
      <c r="G1281" s="36" t="s">
        <v>6385</v>
      </c>
      <c r="H1281" s="36" t="s">
        <v>6386</v>
      </c>
      <c r="I1281" s="36" t="s">
        <v>6387</v>
      </c>
      <c r="J1281" s="36" t="s">
        <v>6388</v>
      </c>
      <c r="K1281" s="36" t="s">
        <v>6389</v>
      </c>
      <c r="L1281" s="36" t="s">
        <v>6390</v>
      </c>
      <c r="M1281" s="36" t="s">
        <v>6391</v>
      </c>
      <c r="N1281" s="36" t="s">
        <v>6392</v>
      </c>
      <c r="O1281" s="36" t="s">
        <v>6393</v>
      </c>
      <c r="P1281" s="36" t="s">
        <v>6380</v>
      </c>
    </row>
    <row r="1282" spans="1:16">
      <c r="A1282" s="132">
        <v>1281</v>
      </c>
      <c r="B1282" s="36" t="s">
        <v>15411</v>
      </c>
      <c r="C1282" s="36" t="s">
        <v>15412</v>
      </c>
      <c r="D1282" s="36" t="s">
        <v>15413</v>
      </c>
      <c r="E1282" s="36" t="s">
        <v>17003</v>
      </c>
      <c r="F1282" s="36" t="s">
        <v>17004</v>
      </c>
      <c r="G1282" s="36" t="s">
        <v>17005</v>
      </c>
      <c r="H1282" s="36" t="s">
        <v>15417</v>
      </c>
      <c r="I1282" s="36" t="s">
        <v>15418</v>
      </c>
      <c r="J1282" s="36" t="s">
        <v>15419</v>
      </c>
      <c r="K1282" s="36" t="s">
        <v>15420</v>
      </c>
      <c r="L1282" s="36" t="s">
        <v>15421</v>
      </c>
      <c r="M1282" s="36" t="s">
        <v>15422</v>
      </c>
      <c r="N1282" s="36" t="s">
        <v>15423</v>
      </c>
      <c r="O1282" s="36" t="s">
        <v>15424</v>
      </c>
      <c r="P1282" s="36" t="s">
        <v>15411</v>
      </c>
    </row>
    <row r="1283" spans="1:16">
      <c r="A1283" s="132">
        <v>1282</v>
      </c>
      <c r="B1283" s="36" t="s">
        <v>17006</v>
      </c>
      <c r="C1283" s="36" t="s">
        <v>17007</v>
      </c>
      <c r="D1283" s="36" t="s">
        <v>17008</v>
      </c>
      <c r="E1283" s="36" t="s">
        <v>17009</v>
      </c>
      <c r="F1283" s="36" t="s">
        <v>17010</v>
      </c>
      <c r="G1283" s="36" t="s">
        <v>17011</v>
      </c>
      <c r="H1283" s="36" t="s">
        <v>17012</v>
      </c>
      <c r="I1283" s="36" t="s">
        <v>17013</v>
      </c>
      <c r="J1283" s="36" t="s">
        <v>17014</v>
      </c>
      <c r="K1283" s="36" t="s">
        <v>17015</v>
      </c>
      <c r="L1283" s="36" t="s">
        <v>17016</v>
      </c>
      <c r="M1283" s="36" t="s">
        <v>17017</v>
      </c>
      <c r="N1283" s="36" t="s">
        <v>17018</v>
      </c>
      <c r="O1283" s="36" t="s">
        <v>17019</v>
      </c>
      <c r="P1283" s="36" t="s">
        <v>17006</v>
      </c>
    </row>
    <row r="1284" spans="1:16">
      <c r="A1284" s="132">
        <v>1283</v>
      </c>
      <c r="B1284" s="36" t="s">
        <v>17020</v>
      </c>
      <c r="C1284" s="36" t="s">
        <v>4248</v>
      </c>
      <c r="D1284" s="36" t="s">
        <v>17021</v>
      </c>
      <c r="E1284" s="36" t="s">
        <v>17022</v>
      </c>
      <c r="F1284" s="36" t="s">
        <v>17023</v>
      </c>
      <c r="G1284" s="36" t="s">
        <v>17024</v>
      </c>
      <c r="H1284" s="36" t="s">
        <v>17025</v>
      </c>
      <c r="I1284" s="36" t="s">
        <v>17026</v>
      </c>
      <c r="J1284" s="36" t="s">
        <v>17027</v>
      </c>
      <c r="K1284" s="36" t="s">
        <v>17028</v>
      </c>
      <c r="L1284" s="36" t="s">
        <v>17029</v>
      </c>
      <c r="M1284" s="36" t="s">
        <v>17030</v>
      </c>
      <c r="N1284" s="36" t="s">
        <v>17031</v>
      </c>
      <c r="O1284" s="36" t="s">
        <v>17032</v>
      </c>
      <c r="P1284" s="36" t="s">
        <v>17020</v>
      </c>
    </row>
    <row r="1285" spans="1:16">
      <c r="A1285" s="132">
        <v>1284</v>
      </c>
      <c r="B1285" s="36" t="s">
        <v>17033</v>
      </c>
      <c r="C1285" s="36" t="s">
        <v>17034</v>
      </c>
      <c r="D1285" s="36" t="s">
        <v>17035</v>
      </c>
      <c r="E1285" s="36" t="s">
        <v>17036</v>
      </c>
      <c r="F1285" s="36" t="s">
        <v>17037</v>
      </c>
      <c r="G1285" s="36" t="s">
        <v>17038</v>
      </c>
      <c r="H1285" s="36" t="s">
        <v>17039</v>
      </c>
      <c r="I1285" s="36" t="s">
        <v>17040</v>
      </c>
      <c r="J1285" s="36" t="s">
        <v>17041</v>
      </c>
      <c r="K1285" s="36" t="s">
        <v>17042</v>
      </c>
      <c r="L1285" s="36" t="s">
        <v>17043</v>
      </c>
      <c r="M1285" s="36" t="s">
        <v>17044</v>
      </c>
      <c r="N1285" s="36" t="s">
        <v>17045</v>
      </c>
      <c r="O1285" s="36" t="s">
        <v>17046</v>
      </c>
      <c r="P1285" s="36" t="s">
        <v>17033</v>
      </c>
    </row>
    <row r="1286" spans="1:16">
      <c r="A1286" s="132">
        <v>1285</v>
      </c>
      <c r="B1286" s="36" t="s">
        <v>17047</v>
      </c>
      <c r="C1286" s="36" t="s">
        <v>17048</v>
      </c>
      <c r="D1286" s="36" t="s">
        <v>17049</v>
      </c>
      <c r="E1286" s="36" t="s">
        <v>17050</v>
      </c>
      <c r="F1286" s="36" t="s">
        <v>17051</v>
      </c>
      <c r="G1286" s="36" t="s">
        <v>17052</v>
      </c>
      <c r="H1286" s="36" t="s">
        <v>17053</v>
      </c>
      <c r="I1286" s="36" t="s">
        <v>17054</v>
      </c>
      <c r="J1286" s="36" t="s">
        <v>17055</v>
      </c>
      <c r="K1286" s="36" t="s">
        <v>17056</v>
      </c>
      <c r="L1286" s="36" t="s">
        <v>17057</v>
      </c>
      <c r="M1286" s="36" t="s">
        <v>17058</v>
      </c>
      <c r="N1286" s="36" t="s">
        <v>17059</v>
      </c>
      <c r="O1286" s="36" t="s">
        <v>17060</v>
      </c>
      <c r="P1286" s="36" t="s">
        <v>17047</v>
      </c>
    </row>
    <row r="1287" spans="1:16">
      <c r="A1287" s="132">
        <v>1286</v>
      </c>
      <c r="B1287" s="36" t="s">
        <v>17061</v>
      </c>
      <c r="C1287" s="36" t="s">
        <v>13619</v>
      </c>
      <c r="D1287" s="36" t="s">
        <v>13620</v>
      </c>
      <c r="E1287" s="36" t="s">
        <v>17062</v>
      </c>
      <c r="F1287" s="36" t="s">
        <v>17063</v>
      </c>
      <c r="G1287" s="36" t="s">
        <v>17064</v>
      </c>
      <c r="H1287" s="36" t="s">
        <v>17065</v>
      </c>
      <c r="I1287" s="36" t="s">
        <v>17066</v>
      </c>
      <c r="J1287" s="36" t="s">
        <v>17067</v>
      </c>
      <c r="K1287" s="36" t="s">
        <v>17068</v>
      </c>
      <c r="L1287" s="36" t="s">
        <v>17069</v>
      </c>
      <c r="M1287" s="36" t="s">
        <v>13629</v>
      </c>
      <c r="N1287" s="36" t="s">
        <v>17070</v>
      </c>
      <c r="O1287" s="36" t="s">
        <v>17071</v>
      </c>
      <c r="P1287" s="36" t="s">
        <v>17061</v>
      </c>
    </row>
    <row r="1288" spans="1:16">
      <c r="A1288" s="132">
        <v>1287</v>
      </c>
      <c r="B1288" s="36" t="s">
        <v>17072</v>
      </c>
      <c r="C1288" s="36" t="s">
        <v>17073</v>
      </c>
      <c r="D1288" s="36" t="s">
        <v>17074</v>
      </c>
      <c r="E1288" s="36" t="s">
        <v>17075</v>
      </c>
      <c r="F1288" s="36" t="s">
        <v>17076</v>
      </c>
      <c r="G1288" s="36" t="s">
        <v>17077</v>
      </c>
      <c r="H1288" s="36" t="s">
        <v>17078</v>
      </c>
      <c r="I1288" s="36" t="s">
        <v>17079</v>
      </c>
      <c r="J1288" s="36" t="s">
        <v>17080</v>
      </c>
      <c r="K1288" s="36" t="s">
        <v>17081</v>
      </c>
      <c r="L1288" s="36" t="s">
        <v>17082</v>
      </c>
      <c r="M1288" s="36" t="s">
        <v>17083</v>
      </c>
      <c r="N1288" s="36" t="s">
        <v>17084</v>
      </c>
      <c r="O1288" s="36" t="s">
        <v>17085</v>
      </c>
      <c r="P1288" s="36" t="s">
        <v>17086</v>
      </c>
    </row>
    <row r="1289" spans="1:16">
      <c r="A1289" s="132">
        <v>1288</v>
      </c>
      <c r="B1289" s="36" t="s">
        <v>17087</v>
      </c>
      <c r="C1289" s="36" t="s">
        <v>5867</v>
      </c>
      <c r="D1289" s="36" t="s">
        <v>17088</v>
      </c>
      <c r="E1289" s="36" t="s">
        <v>17089</v>
      </c>
      <c r="F1289" s="36" t="s">
        <v>17090</v>
      </c>
      <c r="G1289" s="36" t="s">
        <v>5871</v>
      </c>
      <c r="H1289" s="36" t="s">
        <v>5872</v>
      </c>
      <c r="I1289" s="36" t="s">
        <v>5873</v>
      </c>
      <c r="J1289" s="36" t="s">
        <v>17091</v>
      </c>
      <c r="K1289" s="36" t="s">
        <v>17092</v>
      </c>
      <c r="L1289" s="36" t="s">
        <v>5876</v>
      </c>
      <c r="M1289" s="36" t="s">
        <v>17093</v>
      </c>
      <c r="N1289" s="36" t="s">
        <v>17094</v>
      </c>
      <c r="O1289" s="36" t="s">
        <v>5879</v>
      </c>
      <c r="P1289" s="36" t="s">
        <v>17087</v>
      </c>
    </row>
    <row r="1290" spans="1:16">
      <c r="A1290" s="132">
        <v>1289</v>
      </c>
      <c r="B1290" s="36" t="s">
        <v>17095</v>
      </c>
      <c r="C1290" s="36" t="s">
        <v>5853</v>
      </c>
      <c r="D1290" s="36" t="s">
        <v>17096</v>
      </c>
      <c r="E1290" s="36" t="s">
        <v>17097</v>
      </c>
      <c r="F1290" s="36" t="s">
        <v>17098</v>
      </c>
      <c r="G1290" s="36" t="s">
        <v>5857</v>
      </c>
      <c r="H1290" s="36" t="s">
        <v>17099</v>
      </c>
      <c r="I1290" s="36" t="s">
        <v>5859</v>
      </c>
      <c r="J1290" s="36" t="s">
        <v>17100</v>
      </c>
      <c r="K1290" s="36" t="s">
        <v>5861</v>
      </c>
      <c r="L1290" s="36" t="s">
        <v>5862</v>
      </c>
      <c r="M1290" s="36" t="s">
        <v>17101</v>
      </c>
      <c r="N1290" s="36" t="s">
        <v>17102</v>
      </c>
      <c r="O1290" s="36" t="s">
        <v>17103</v>
      </c>
      <c r="P1290" s="36" t="s">
        <v>17095</v>
      </c>
    </row>
    <row r="1291" spans="1:16">
      <c r="A1291" s="132">
        <v>1290</v>
      </c>
      <c r="B1291" s="36" t="s">
        <v>17104</v>
      </c>
      <c r="C1291" s="36" t="s">
        <v>17105</v>
      </c>
      <c r="D1291" s="36" t="s">
        <v>17106</v>
      </c>
      <c r="E1291" s="36" t="s">
        <v>17107</v>
      </c>
      <c r="F1291" s="36" t="s">
        <v>17108</v>
      </c>
      <c r="G1291" s="36" t="s">
        <v>17109</v>
      </c>
      <c r="H1291" s="36" t="s">
        <v>17110</v>
      </c>
      <c r="I1291" s="36" t="s">
        <v>17111</v>
      </c>
      <c r="J1291" s="36" t="s">
        <v>17112</v>
      </c>
      <c r="K1291" s="36" t="s">
        <v>17113</v>
      </c>
      <c r="L1291" s="36" t="s">
        <v>17114</v>
      </c>
      <c r="M1291" s="36" t="s">
        <v>17115</v>
      </c>
      <c r="N1291" s="36" t="s">
        <v>17116</v>
      </c>
      <c r="O1291" s="36" t="s">
        <v>17117</v>
      </c>
      <c r="P1291" s="36" t="s">
        <v>17104</v>
      </c>
    </row>
    <row r="1292" spans="1:16">
      <c r="A1292" s="132">
        <v>1291</v>
      </c>
      <c r="B1292" s="36" t="s">
        <v>17118</v>
      </c>
      <c r="C1292" s="36" t="s">
        <v>17119</v>
      </c>
      <c r="D1292" s="36" t="s">
        <v>17120</v>
      </c>
      <c r="E1292" s="36" t="s">
        <v>17121</v>
      </c>
      <c r="F1292" s="36" t="s">
        <v>17122</v>
      </c>
      <c r="G1292" s="36" t="s">
        <v>17123</v>
      </c>
      <c r="H1292" s="36" t="s">
        <v>17124</v>
      </c>
      <c r="I1292" s="36" t="s">
        <v>17125</v>
      </c>
      <c r="J1292" s="36" t="s">
        <v>17126</v>
      </c>
      <c r="K1292" s="36" t="s">
        <v>17127</v>
      </c>
      <c r="L1292" s="36" t="s">
        <v>17128</v>
      </c>
      <c r="M1292" s="36" t="s">
        <v>17129</v>
      </c>
      <c r="N1292" s="36" t="s">
        <v>17130</v>
      </c>
      <c r="O1292" s="36" t="s">
        <v>17131</v>
      </c>
      <c r="P1292" s="36" t="s">
        <v>17118</v>
      </c>
    </row>
    <row r="1293" spans="1:16">
      <c r="A1293" s="132">
        <v>1292</v>
      </c>
      <c r="B1293" s="36" t="s">
        <v>17132</v>
      </c>
      <c r="C1293" s="36" t="s">
        <v>17133</v>
      </c>
      <c r="D1293" s="36" t="s">
        <v>17134</v>
      </c>
      <c r="E1293" s="36" t="s">
        <v>17135</v>
      </c>
      <c r="F1293" s="36" t="s">
        <v>17136</v>
      </c>
      <c r="G1293" s="36" t="s">
        <v>17137</v>
      </c>
      <c r="H1293" s="36" t="s">
        <v>17138</v>
      </c>
      <c r="I1293" s="36" t="s">
        <v>17139</v>
      </c>
      <c r="J1293" s="36" t="s">
        <v>17140</v>
      </c>
      <c r="K1293" s="36" t="s">
        <v>17141</v>
      </c>
      <c r="L1293" s="36" t="s">
        <v>17142</v>
      </c>
      <c r="M1293" s="36" t="s">
        <v>17143</v>
      </c>
      <c r="N1293" s="36" t="s">
        <v>17144</v>
      </c>
      <c r="O1293" s="36" t="s">
        <v>17145</v>
      </c>
      <c r="P1293" s="36" t="s">
        <v>17132</v>
      </c>
    </row>
    <row r="1294" spans="1:16">
      <c r="A1294" s="132">
        <v>1293</v>
      </c>
      <c r="B1294" s="36" t="s">
        <v>17146</v>
      </c>
      <c r="C1294" s="36" t="s">
        <v>17147</v>
      </c>
      <c r="D1294" s="36" t="s">
        <v>17148</v>
      </c>
      <c r="E1294" s="36" t="s">
        <v>17149</v>
      </c>
      <c r="F1294" s="36" t="s">
        <v>17150</v>
      </c>
      <c r="G1294" s="36" t="s">
        <v>17151</v>
      </c>
      <c r="H1294" s="36" t="s">
        <v>17152</v>
      </c>
      <c r="I1294" s="36" t="s">
        <v>17153</v>
      </c>
      <c r="J1294" s="36" t="s">
        <v>17154</v>
      </c>
      <c r="K1294" s="36" t="s">
        <v>17155</v>
      </c>
      <c r="L1294" s="36" t="s">
        <v>17156</v>
      </c>
      <c r="M1294" s="36" t="s">
        <v>17157</v>
      </c>
      <c r="N1294" s="36" t="s">
        <v>17158</v>
      </c>
      <c r="O1294" s="36" t="s">
        <v>17159</v>
      </c>
      <c r="P1294" s="36" t="s">
        <v>17146</v>
      </c>
    </row>
    <row r="1295" spans="1:16">
      <c r="A1295" s="132">
        <v>1294</v>
      </c>
      <c r="B1295" s="36" t="s">
        <v>17160</v>
      </c>
      <c r="C1295" s="36" t="s">
        <v>17161</v>
      </c>
      <c r="D1295" s="36" t="s">
        <v>17162</v>
      </c>
      <c r="E1295" s="36" t="s">
        <v>17163</v>
      </c>
      <c r="F1295" s="36" t="s">
        <v>17164</v>
      </c>
      <c r="G1295" s="36" t="s">
        <v>17165</v>
      </c>
      <c r="H1295" s="36" t="s">
        <v>17166</v>
      </c>
      <c r="I1295" s="36" t="s">
        <v>17167</v>
      </c>
      <c r="J1295" s="36" t="s">
        <v>17168</v>
      </c>
      <c r="K1295" s="36" t="s">
        <v>17169</v>
      </c>
      <c r="L1295" s="36" t="s">
        <v>17170</v>
      </c>
      <c r="M1295" s="36" t="s">
        <v>17171</v>
      </c>
      <c r="N1295" s="36" t="s">
        <v>17172</v>
      </c>
      <c r="O1295" s="36" t="s">
        <v>17173</v>
      </c>
      <c r="P1295" s="36" t="s">
        <v>17160</v>
      </c>
    </row>
    <row r="1296" spans="1:16">
      <c r="A1296" s="132">
        <v>1295</v>
      </c>
      <c r="B1296" s="36" t="s">
        <v>8955</v>
      </c>
      <c r="C1296" s="36" t="s">
        <v>17174</v>
      </c>
      <c r="D1296" s="36" t="s">
        <v>17175</v>
      </c>
      <c r="E1296" s="36" t="s">
        <v>8958</v>
      </c>
      <c r="F1296" s="36" t="s">
        <v>17176</v>
      </c>
      <c r="G1296" s="36" t="s">
        <v>17177</v>
      </c>
      <c r="H1296" s="36" t="s">
        <v>17178</v>
      </c>
      <c r="I1296" s="36" t="s">
        <v>17179</v>
      </c>
      <c r="J1296" s="36" t="s">
        <v>17180</v>
      </c>
      <c r="K1296" s="36" t="s">
        <v>17181</v>
      </c>
      <c r="L1296" s="36" t="s">
        <v>17182</v>
      </c>
      <c r="M1296" s="36" t="s">
        <v>17183</v>
      </c>
      <c r="N1296" s="36" t="s">
        <v>17184</v>
      </c>
      <c r="O1296" s="36" t="s">
        <v>17181</v>
      </c>
      <c r="P1296" s="36" t="s">
        <v>8955</v>
      </c>
    </row>
    <row r="1297" spans="1:16">
      <c r="A1297" s="132">
        <v>1296</v>
      </c>
      <c r="B1297" s="36" t="s">
        <v>17185</v>
      </c>
      <c r="C1297" s="36" t="s">
        <v>17186</v>
      </c>
      <c r="D1297" s="36" t="s">
        <v>17187</v>
      </c>
      <c r="E1297" s="36" t="s">
        <v>17188</v>
      </c>
      <c r="F1297" s="36" t="s">
        <v>17189</v>
      </c>
      <c r="G1297" s="36" t="s">
        <v>17190</v>
      </c>
      <c r="H1297" s="36" t="s">
        <v>17191</v>
      </c>
      <c r="I1297" s="36" t="s">
        <v>17192</v>
      </c>
      <c r="J1297" s="36" t="s">
        <v>17193</v>
      </c>
      <c r="K1297" s="36" t="s">
        <v>17194</v>
      </c>
      <c r="L1297" s="36" t="s">
        <v>17195</v>
      </c>
      <c r="M1297" s="36" t="s">
        <v>17196</v>
      </c>
      <c r="N1297" s="36" t="s">
        <v>17197</v>
      </c>
      <c r="O1297" s="36" t="s">
        <v>17198</v>
      </c>
      <c r="P1297" s="36" t="s">
        <v>17185</v>
      </c>
    </row>
    <row r="1298" spans="1:16">
      <c r="A1298" s="132">
        <v>1297</v>
      </c>
      <c r="B1298" s="36" t="s">
        <v>17199</v>
      </c>
      <c r="C1298" s="36" t="s">
        <v>17200</v>
      </c>
      <c r="D1298" s="36" t="s">
        <v>17201</v>
      </c>
      <c r="E1298" s="36" t="s">
        <v>17202</v>
      </c>
      <c r="F1298" s="36" t="s">
        <v>17203</v>
      </c>
      <c r="G1298" s="36" t="s">
        <v>17204</v>
      </c>
      <c r="H1298" s="36" t="s">
        <v>17205</v>
      </c>
      <c r="I1298" s="36" t="s">
        <v>17206</v>
      </c>
      <c r="J1298" s="36" t="s">
        <v>17207</v>
      </c>
      <c r="K1298" s="36" t="s">
        <v>17208</v>
      </c>
      <c r="L1298" s="36" t="s">
        <v>17209</v>
      </c>
      <c r="M1298" s="36" t="s">
        <v>17210</v>
      </c>
      <c r="N1298" s="36" t="s">
        <v>17211</v>
      </c>
      <c r="O1298" s="36" t="s">
        <v>17212</v>
      </c>
      <c r="P1298" s="36" t="s">
        <v>17199</v>
      </c>
    </row>
    <row r="1299" spans="1:16">
      <c r="A1299" s="132">
        <v>1298</v>
      </c>
      <c r="B1299" s="36" t="s">
        <v>17213</v>
      </c>
      <c r="C1299" s="36" t="s">
        <v>17214</v>
      </c>
      <c r="D1299" s="36" t="s">
        <v>17215</v>
      </c>
      <c r="E1299" s="36" t="s">
        <v>17216</v>
      </c>
      <c r="F1299" s="36" t="s">
        <v>17217</v>
      </c>
      <c r="G1299" s="36" t="s">
        <v>17218</v>
      </c>
      <c r="H1299" s="36" t="s">
        <v>17219</v>
      </c>
      <c r="I1299" s="36" t="s">
        <v>17220</v>
      </c>
      <c r="J1299" s="36" t="s">
        <v>17221</v>
      </c>
      <c r="K1299" s="36" t="s">
        <v>17222</v>
      </c>
      <c r="L1299" s="36" t="s">
        <v>17223</v>
      </c>
      <c r="M1299" s="36" t="s">
        <v>17224</v>
      </c>
      <c r="N1299" s="36" t="s">
        <v>17225</v>
      </c>
      <c r="O1299" s="36" t="s">
        <v>17222</v>
      </c>
      <c r="P1299" s="36" t="s">
        <v>17213</v>
      </c>
    </row>
    <row r="1300" spans="1:16">
      <c r="A1300" s="132">
        <v>1299</v>
      </c>
      <c r="B1300" s="36" t="s">
        <v>17226</v>
      </c>
      <c r="C1300" s="36" t="s">
        <v>17227</v>
      </c>
      <c r="D1300" s="36" t="s">
        <v>17228</v>
      </c>
      <c r="E1300" s="36" t="s">
        <v>29582</v>
      </c>
      <c r="F1300" s="36" t="s">
        <v>17229</v>
      </c>
      <c r="G1300" s="36" t="s">
        <v>17230</v>
      </c>
      <c r="H1300" s="36" t="s">
        <v>17231</v>
      </c>
      <c r="I1300" s="36" t="s">
        <v>17232</v>
      </c>
      <c r="J1300" s="36" t="s">
        <v>17233</v>
      </c>
      <c r="K1300" s="36" t="s">
        <v>17234</v>
      </c>
      <c r="L1300" s="36" t="s">
        <v>17235</v>
      </c>
      <c r="M1300" s="36" t="s">
        <v>17236</v>
      </c>
      <c r="N1300" s="36" t="s">
        <v>17237</v>
      </c>
      <c r="O1300" s="36" t="s">
        <v>17238</v>
      </c>
      <c r="P1300" s="36" t="s">
        <v>17226</v>
      </c>
    </row>
    <row r="1301" spans="1:16" ht="13.95" customHeight="1">
      <c r="A1301" s="132">
        <v>1300</v>
      </c>
      <c r="B1301" s="36" t="s">
        <v>17239</v>
      </c>
      <c r="C1301" s="36" t="s">
        <v>17240</v>
      </c>
      <c r="D1301" s="36" t="s">
        <v>17241</v>
      </c>
      <c r="E1301" s="36" t="s">
        <v>17242</v>
      </c>
      <c r="F1301" s="36" t="s">
        <v>17243</v>
      </c>
      <c r="G1301" s="36" t="s">
        <v>17244</v>
      </c>
      <c r="H1301" s="36" t="s">
        <v>17245</v>
      </c>
      <c r="I1301" s="36" t="s">
        <v>17246</v>
      </c>
      <c r="J1301" s="36" t="s">
        <v>17247</v>
      </c>
      <c r="K1301" s="36" t="s">
        <v>17248</v>
      </c>
      <c r="L1301" s="36" t="s">
        <v>17249</v>
      </c>
      <c r="M1301" s="36" t="s">
        <v>17250</v>
      </c>
      <c r="N1301" s="36" t="s">
        <v>17251</v>
      </c>
      <c r="O1301" s="36" t="s">
        <v>17252</v>
      </c>
      <c r="P1301" s="36" t="s">
        <v>17239</v>
      </c>
    </row>
    <row r="1302" spans="1:16">
      <c r="A1302" s="132">
        <v>1301</v>
      </c>
      <c r="B1302" s="36" t="s">
        <v>17253</v>
      </c>
      <c r="C1302" s="36" t="s">
        <v>17254</v>
      </c>
      <c r="D1302" s="36" t="s">
        <v>17255</v>
      </c>
      <c r="E1302" s="36" t="s">
        <v>17256</v>
      </c>
      <c r="F1302" s="36" t="s">
        <v>17256</v>
      </c>
      <c r="G1302" s="36" t="s">
        <v>17256</v>
      </c>
      <c r="H1302" s="36" t="s">
        <v>17256</v>
      </c>
      <c r="I1302" s="36" t="s">
        <v>17256</v>
      </c>
      <c r="J1302" s="36" t="s">
        <v>17256</v>
      </c>
      <c r="K1302" s="36" t="s">
        <v>17256</v>
      </c>
      <c r="L1302" s="36" t="s">
        <v>17256</v>
      </c>
      <c r="M1302" s="36" t="s">
        <v>17256</v>
      </c>
      <c r="N1302" s="36" t="s">
        <v>17256</v>
      </c>
      <c r="O1302" s="36" t="s">
        <v>17256</v>
      </c>
      <c r="P1302" s="36" t="s">
        <v>17256</v>
      </c>
    </row>
    <row r="1303" spans="1:16">
      <c r="A1303" s="132">
        <v>1302</v>
      </c>
      <c r="B1303" s="36" t="s">
        <v>17257</v>
      </c>
      <c r="C1303" s="36" t="s">
        <v>17258</v>
      </c>
      <c r="D1303" s="36" t="s">
        <v>17259</v>
      </c>
      <c r="E1303" s="36" t="s">
        <v>17260</v>
      </c>
      <c r="F1303" s="36" t="s">
        <v>17261</v>
      </c>
      <c r="G1303" s="36" t="s">
        <v>17262</v>
      </c>
      <c r="H1303" s="36" t="s">
        <v>17263</v>
      </c>
      <c r="I1303" s="36" t="s">
        <v>17264</v>
      </c>
      <c r="J1303" s="36" t="s">
        <v>17265</v>
      </c>
      <c r="K1303" s="36" t="s">
        <v>17266</v>
      </c>
      <c r="L1303" s="36" t="s">
        <v>17267</v>
      </c>
      <c r="M1303" s="36" t="s">
        <v>17268</v>
      </c>
      <c r="N1303" s="36" t="s">
        <v>17269</v>
      </c>
      <c r="O1303" s="36" t="s">
        <v>17270</v>
      </c>
      <c r="P1303" s="36" t="s">
        <v>17257</v>
      </c>
    </row>
    <row r="1304" spans="1:16">
      <c r="A1304" s="132">
        <v>1303</v>
      </c>
      <c r="B1304" s="36" t="s">
        <v>17271</v>
      </c>
      <c r="C1304" s="36" t="s">
        <v>17272</v>
      </c>
      <c r="D1304" s="36" t="s">
        <v>17273</v>
      </c>
      <c r="E1304" s="36" t="s">
        <v>17274</v>
      </c>
      <c r="F1304" s="36" t="s">
        <v>17275</v>
      </c>
      <c r="G1304" s="36" t="s">
        <v>17276</v>
      </c>
      <c r="H1304" s="36" t="s">
        <v>17277</v>
      </c>
      <c r="I1304" s="36" t="s">
        <v>17278</v>
      </c>
      <c r="J1304" s="36" t="s">
        <v>17279</v>
      </c>
      <c r="K1304" s="36" t="s">
        <v>17280</v>
      </c>
      <c r="L1304" s="36" t="s">
        <v>17281</v>
      </c>
      <c r="M1304" s="36" t="s">
        <v>17282</v>
      </c>
      <c r="N1304" s="36" t="s">
        <v>17283</v>
      </c>
      <c r="O1304" s="36" t="s">
        <v>17284</v>
      </c>
      <c r="P1304" s="36" t="s">
        <v>17271</v>
      </c>
    </row>
    <row r="1305" spans="1:16">
      <c r="A1305" s="132">
        <v>1304</v>
      </c>
      <c r="B1305" s="36" t="s">
        <v>17285</v>
      </c>
      <c r="C1305" s="36" t="s">
        <v>17286</v>
      </c>
      <c r="D1305" s="36" t="s">
        <v>17287</v>
      </c>
      <c r="E1305" s="36" t="s">
        <v>17288</v>
      </c>
      <c r="F1305" s="36" t="s">
        <v>17289</v>
      </c>
      <c r="G1305" s="36" t="s">
        <v>17290</v>
      </c>
      <c r="H1305" s="36" t="s">
        <v>17291</v>
      </c>
      <c r="I1305" s="36" t="s">
        <v>17292</v>
      </c>
      <c r="J1305" s="36" t="s">
        <v>17293</v>
      </c>
      <c r="K1305" s="36" t="s">
        <v>17294</v>
      </c>
      <c r="L1305" s="36" t="s">
        <v>17295</v>
      </c>
      <c r="M1305" s="36" t="s">
        <v>17296</v>
      </c>
      <c r="N1305" s="36" t="s">
        <v>17297</v>
      </c>
      <c r="O1305" s="36" t="s">
        <v>17298</v>
      </c>
      <c r="P1305" s="36" t="s">
        <v>17285</v>
      </c>
    </row>
    <row r="1306" spans="1:16" ht="16.2">
      <c r="A1306" s="132">
        <v>1305</v>
      </c>
      <c r="B1306" s="36" t="s">
        <v>17299</v>
      </c>
      <c r="C1306" s="36" t="s">
        <v>17300</v>
      </c>
      <c r="D1306" s="36" t="s">
        <v>17301</v>
      </c>
      <c r="E1306" s="36" t="s">
        <v>17302</v>
      </c>
      <c r="F1306" s="36" t="s">
        <v>17303</v>
      </c>
      <c r="G1306" s="36" t="s">
        <v>17304</v>
      </c>
      <c r="H1306" s="36" t="s">
        <v>17305</v>
      </c>
      <c r="I1306" s="36" t="s">
        <v>17306</v>
      </c>
      <c r="J1306" s="36" t="s">
        <v>17307</v>
      </c>
      <c r="K1306" s="36" t="s">
        <v>17308</v>
      </c>
      <c r="L1306" s="36" t="s">
        <v>17309</v>
      </c>
      <c r="M1306" s="36" t="s">
        <v>17310</v>
      </c>
      <c r="N1306" s="36" t="s">
        <v>17311</v>
      </c>
      <c r="O1306" s="36" t="s">
        <v>17312</v>
      </c>
      <c r="P1306" s="36" t="s">
        <v>17299</v>
      </c>
    </row>
    <row r="1307" spans="1:16" ht="16.2">
      <c r="A1307" s="132">
        <v>1306</v>
      </c>
      <c r="B1307" s="36" t="s">
        <v>17313</v>
      </c>
      <c r="C1307" s="36" t="s">
        <v>17314</v>
      </c>
      <c r="D1307" s="36" t="s">
        <v>17315</v>
      </c>
      <c r="E1307" s="36" t="s">
        <v>17316</v>
      </c>
      <c r="F1307" s="36" t="s">
        <v>17317</v>
      </c>
      <c r="G1307" s="36" t="s">
        <v>17318</v>
      </c>
      <c r="H1307" s="36" t="s">
        <v>17319</v>
      </c>
      <c r="I1307" s="36" t="s">
        <v>17320</v>
      </c>
      <c r="J1307" s="36" t="s">
        <v>17321</v>
      </c>
      <c r="K1307" s="36" t="s">
        <v>17322</v>
      </c>
      <c r="L1307" s="36" t="s">
        <v>17323</v>
      </c>
      <c r="M1307" s="36" t="s">
        <v>17324</v>
      </c>
      <c r="N1307" s="36" t="s">
        <v>17325</v>
      </c>
      <c r="O1307" s="36" t="s">
        <v>17326</v>
      </c>
      <c r="P1307" s="36" t="s">
        <v>17313</v>
      </c>
    </row>
    <row r="1308" spans="1:16" ht="16.2">
      <c r="A1308" s="132">
        <v>1307</v>
      </c>
      <c r="B1308" s="36" t="s">
        <v>17327</v>
      </c>
      <c r="C1308" s="36" t="s">
        <v>17328</v>
      </c>
      <c r="D1308" s="36" t="s">
        <v>17329</v>
      </c>
      <c r="E1308" s="36" t="s">
        <v>17330</v>
      </c>
      <c r="F1308" s="36" t="s">
        <v>17331</v>
      </c>
      <c r="G1308" s="36" t="s">
        <v>17332</v>
      </c>
      <c r="H1308" s="36" t="s">
        <v>17333</v>
      </c>
      <c r="I1308" s="36" t="s">
        <v>17334</v>
      </c>
      <c r="J1308" s="36" t="s">
        <v>17335</v>
      </c>
      <c r="K1308" s="36" t="s">
        <v>17336</v>
      </c>
      <c r="L1308" s="36" t="s">
        <v>17337</v>
      </c>
      <c r="M1308" s="36" t="s">
        <v>17338</v>
      </c>
      <c r="N1308" s="36" t="s">
        <v>17339</v>
      </c>
      <c r="O1308" s="36" t="s">
        <v>17340</v>
      </c>
      <c r="P1308" s="36" t="s">
        <v>17327</v>
      </c>
    </row>
    <row r="1309" spans="1:16">
      <c r="A1309" s="132">
        <v>1308</v>
      </c>
      <c r="B1309" s="36" t="s">
        <v>17341</v>
      </c>
      <c r="C1309" s="36" t="s">
        <v>17342</v>
      </c>
      <c r="D1309" s="36" t="s">
        <v>17343</v>
      </c>
      <c r="E1309" s="36" t="s">
        <v>17344</v>
      </c>
      <c r="F1309" s="36" t="s">
        <v>17344</v>
      </c>
      <c r="G1309" s="36" t="s">
        <v>17344</v>
      </c>
      <c r="H1309" s="36" t="s">
        <v>17344</v>
      </c>
      <c r="I1309" s="36" t="s">
        <v>17344</v>
      </c>
      <c r="J1309" s="36" t="s">
        <v>17344</v>
      </c>
      <c r="K1309" s="36" t="s">
        <v>17344</v>
      </c>
      <c r="L1309" s="36" t="s">
        <v>17344</v>
      </c>
      <c r="M1309" s="36" t="s">
        <v>17344</v>
      </c>
      <c r="N1309" s="36" t="s">
        <v>17344</v>
      </c>
      <c r="O1309" s="36" t="s">
        <v>17344</v>
      </c>
      <c r="P1309" s="36" t="s">
        <v>17345</v>
      </c>
    </row>
    <row r="1310" spans="1:16">
      <c r="A1310" s="132">
        <v>1309</v>
      </c>
      <c r="B1310" s="36" t="s">
        <v>17346</v>
      </c>
      <c r="C1310" s="36" t="s">
        <v>17347</v>
      </c>
      <c r="D1310" s="36" t="s">
        <v>17348</v>
      </c>
      <c r="E1310" s="36" t="s">
        <v>17349</v>
      </c>
      <c r="F1310" s="36" t="s">
        <v>17350</v>
      </c>
      <c r="G1310" s="36" t="s">
        <v>17351</v>
      </c>
      <c r="H1310" s="36" t="s">
        <v>17352</v>
      </c>
      <c r="I1310" s="36" t="s">
        <v>17353</v>
      </c>
      <c r="J1310" s="36" t="s">
        <v>17354</v>
      </c>
      <c r="K1310" s="36" t="s">
        <v>17355</v>
      </c>
      <c r="L1310" s="36" t="s">
        <v>17356</v>
      </c>
      <c r="M1310" s="36" t="s">
        <v>17357</v>
      </c>
      <c r="N1310" s="36" t="s">
        <v>17358</v>
      </c>
      <c r="O1310" s="36" t="s">
        <v>17359</v>
      </c>
      <c r="P1310" s="36" t="s">
        <v>17346</v>
      </c>
    </row>
    <row r="1311" spans="1:16">
      <c r="A1311" s="132">
        <v>1310</v>
      </c>
      <c r="B1311" s="36" t="s">
        <v>17360</v>
      </c>
      <c r="C1311" s="36" t="s">
        <v>17361</v>
      </c>
      <c r="D1311" s="36" t="s">
        <v>17362</v>
      </c>
      <c r="E1311" s="36" t="s">
        <v>17363</v>
      </c>
      <c r="F1311" s="36" t="s">
        <v>17364</v>
      </c>
      <c r="G1311" s="36" t="s">
        <v>17365</v>
      </c>
      <c r="H1311" s="36" t="s">
        <v>17366</v>
      </c>
      <c r="I1311" s="36" t="s">
        <v>17367</v>
      </c>
      <c r="J1311" s="36" t="s">
        <v>17368</v>
      </c>
      <c r="K1311" s="36" t="s">
        <v>17369</v>
      </c>
      <c r="L1311" s="36" t="s">
        <v>17370</v>
      </c>
      <c r="M1311" s="36" t="s">
        <v>17371</v>
      </c>
      <c r="N1311" s="36" t="s">
        <v>17372</v>
      </c>
      <c r="O1311" s="36" t="s">
        <v>17373</v>
      </c>
      <c r="P1311" s="36" t="s">
        <v>17360</v>
      </c>
    </row>
    <row r="1312" spans="1:16">
      <c r="A1312" s="132">
        <v>1311</v>
      </c>
      <c r="B1312" s="36" t="s">
        <v>17374</v>
      </c>
      <c r="C1312" s="36" t="s">
        <v>17375</v>
      </c>
      <c r="D1312" s="36" t="s">
        <v>17376</v>
      </c>
      <c r="E1312" s="36" t="s">
        <v>17377</v>
      </c>
      <c r="F1312" s="36" t="s">
        <v>17378</v>
      </c>
      <c r="G1312" s="36" t="s">
        <v>17379</v>
      </c>
      <c r="H1312" s="36" t="s">
        <v>17380</v>
      </c>
      <c r="I1312" s="36" t="s">
        <v>17381</v>
      </c>
      <c r="J1312" s="36" t="s">
        <v>17382</v>
      </c>
      <c r="K1312" s="36" t="s">
        <v>17383</v>
      </c>
      <c r="L1312" s="36" t="s">
        <v>17384</v>
      </c>
      <c r="M1312" s="36" t="s">
        <v>17385</v>
      </c>
      <c r="N1312" s="36" t="s">
        <v>17386</v>
      </c>
      <c r="O1312" s="36" t="s">
        <v>17387</v>
      </c>
      <c r="P1312" s="36" t="s">
        <v>17374</v>
      </c>
    </row>
    <row r="1313" spans="1:16">
      <c r="A1313" s="132">
        <v>1312</v>
      </c>
      <c r="B1313" s="36" t="s">
        <v>17388</v>
      </c>
      <c r="C1313" s="36" t="s">
        <v>17389</v>
      </c>
      <c r="D1313" s="36" t="s">
        <v>17390</v>
      </c>
      <c r="E1313" s="36" t="s">
        <v>17391</v>
      </c>
      <c r="F1313" s="36" t="s">
        <v>17392</v>
      </c>
      <c r="G1313" s="36" t="s">
        <v>17393</v>
      </c>
      <c r="H1313" s="36" t="s">
        <v>17394</v>
      </c>
      <c r="I1313" s="36" t="s">
        <v>17395</v>
      </c>
      <c r="J1313" s="36" t="s">
        <v>17396</v>
      </c>
      <c r="K1313" s="36" t="s">
        <v>17397</v>
      </c>
      <c r="L1313" s="36" t="s">
        <v>17398</v>
      </c>
      <c r="M1313" s="36" t="s">
        <v>17399</v>
      </c>
      <c r="N1313" s="36" t="s">
        <v>17400</v>
      </c>
      <c r="O1313" s="36" t="s">
        <v>17401</v>
      </c>
      <c r="P1313" s="36" t="s">
        <v>17388</v>
      </c>
    </row>
    <row r="1314" spans="1:16">
      <c r="A1314" s="132">
        <v>1313</v>
      </c>
      <c r="B1314" s="36" t="s">
        <v>17402</v>
      </c>
      <c r="C1314" s="36" t="s">
        <v>17403</v>
      </c>
      <c r="D1314" s="36" t="s">
        <v>17404</v>
      </c>
      <c r="E1314" s="36" t="s">
        <v>17405</v>
      </c>
      <c r="F1314" s="36" t="s">
        <v>17406</v>
      </c>
      <c r="G1314" s="36" t="s">
        <v>17407</v>
      </c>
      <c r="H1314" s="36" t="s">
        <v>17408</v>
      </c>
      <c r="I1314" s="36" t="s">
        <v>17409</v>
      </c>
      <c r="J1314" s="36" t="s">
        <v>17410</v>
      </c>
      <c r="K1314" s="36" t="s">
        <v>17411</v>
      </c>
      <c r="L1314" s="36" t="s">
        <v>17412</v>
      </c>
      <c r="M1314" s="36" t="s">
        <v>17413</v>
      </c>
      <c r="N1314" s="36" t="s">
        <v>17414</v>
      </c>
      <c r="O1314" s="36" t="s">
        <v>17415</v>
      </c>
      <c r="P1314" s="36" t="s">
        <v>17402</v>
      </c>
    </row>
    <row r="1315" spans="1:16">
      <c r="A1315" s="132">
        <v>1314</v>
      </c>
      <c r="B1315" s="36" t="s">
        <v>17416</v>
      </c>
      <c r="C1315" s="36" t="s">
        <v>17417</v>
      </c>
      <c r="D1315" s="36" t="s">
        <v>17418</v>
      </c>
      <c r="E1315" s="36" t="s">
        <v>17419</v>
      </c>
      <c r="F1315" s="36" t="s">
        <v>17420</v>
      </c>
      <c r="G1315" s="36" t="s">
        <v>17421</v>
      </c>
      <c r="H1315" s="36" t="s">
        <v>17422</v>
      </c>
      <c r="I1315" s="36" t="s">
        <v>17423</v>
      </c>
      <c r="J1315" s="36" t="s">
        <v>17424</v>
      </c>
      <c r="K1315" s="36" t="s">
        <v>17425</v>
      </c>
      <c r="L1315" s="36" t="s">
        <v>17426</v>
      </c>
      <c r="M1315" s="36" t="s">
        <v>17427</v>
      </c>
      <c r="N1315" s="36" t="s">
        <v>17428</v>
      </c>
      <c r="O1315" s="36" t="s">
        <v>17429</v>
      </c>
      <c r="P1315" s="36" t="s">
        <v>17416</v>
      </c>
    </row>
    <row r="1316" spans="1:16">
      <c r="A1316" s="132">
        <v>1315</v>
      </c>
      <c r="B1316" s="36" t="s">
        <v>17430</v>
      </c>
      <c r="C1316" s="36" t="s">
        <v>17431</v>
      </c>
      <c r="D1316" s="36" t="s">
        <v>17432</v>
      </c>
      <c r="E1316" s="36" t="s">
        <v>17433</v>
      </c>
      <c r="F1316" s="36" t="s">
        <v>17434</v>
      </c>
      <c r="G1316" s="36" t="s">
        <v>17435</v>
      </c>
      <c r="H1316" s="36" t="s">
        <v>17436</v>
      </c>
      <c r="I1316" s="36" t="s">
        <v>17437</v>
      </c>
      <c r="J1316" s="36" t="s">
        <v>17438</v>
      </c>
      <c r="K1316" s="36" t="s">
        <v>17439</v>
      </c>
      <c r="L1316" s="36" t="s">
        <v>17440</v>
      </c>
      <c r="M1316" s="36" t="s">
        <v>17441</v>
      </c>
      <c r="N1316" s="36" t="s">
        <v>17442</v>
      </c>
      <c r="O1316" s="36" t="s">
        <v>17443</v>
      </c>
      <c r="P1316" s="36" t="s">
        <v>17430</v>
      </c>
    </row>
    <row r="1317" spans="1:16">
      <c r="A1317" s="132">
        <v>1316</v>
      </c>
      <c r="B1317" s="36" t="s">
        <v>17444</v>
      </c>
      <c r="C1317" s="36" t="s">
        <v>17445</v>
      </c>
      <c r="D1317" s="36" t="s">
        <v>17446</v>
      </c>
      <c r="E1317" s="36" t="s">
        <v>17447</v>
      </c>
      <c r="F1317" s="36" t="s">
        <v>17448</v>
      </c>
      <c r="G1317" s="36" t="s">
        <v>17449</v>
      </c>
      <c r="H1317" s="36" t="s">
        <v>17450</v>
      </c>
      <c r="I1317" s="36" t="s">
        <v>17451</v>
      </c>
      <c r="J1317" s="36" t="s">
        <v>17452</v>
      </c>
      <c r="K1317" s="36" t="s">
        <v>17453</v>
      </c>
      <c r="L1317" s="36" t="s">
        <v>17454</v>
      </c>
      <c r="M1317" s="36" t="s">
        <v>17455</v>
      </c>
      <c r="N1317" s="36" t="s">
        <v>17456</v>
      </c>
      <c r="O1317" s="36" t="s">
        <v>17457</v>
      </c>
      <c r="P1317" s="36" t="s">
        <v>17444</v>
      </c>
    </row>
    <row r="1318" spans="1:16">
      <c r="A1318" s="132">
        <v>1317</v>
      </c>
      <c r="B1318" s="36" t="s">
        <v>17458</v>
      </c>
      <c r="C1318" s="36" t="s">
        <v>17459</v>
      </c>
      <c r="D1318" s="36" t="s">
        <v>17459</v>
      </c>
      <c r="E1318" s="36" t="s">
        <v>17459</v>
      </c>
      <c r="F1318" s="36" t="s">
        <v>17459</v>
      </c>
      <c r="G1318" s="36" t="s">
        <v>17459</v>
      </c>
      <c r="H1318" s="36" t="s">
        <v>17459</v>
      </c>
      <c r="I1318" s="36" t="s">
        <v>17459</v>
      </c>
      <c r="J1318" s="36" t="s">
        <v>17459</v>
      </c>
      <c r="K1318" s="36" t="s">
        <v>17459</v>
      </c>
      <c r="L1318" s="36" t="s">
        <v>17459</v>
      </c>
      <c r="M1318" s="36" t="s">
        <v>17459</v>
      </c>
      <c r="N1318" s="36" t="s">
        <v>17459</v>
      </c>
      <c r="O1318" s="36" t="s">
        <v>17459</v>
      </c>
      <c r="P1318" s="36" t="s">
        <v>17459</v>
      </c>
    </row>
    <row r="1319" spans="1:16">
      <c r="A1319" s="132">
        <v>1318</v>
      </c>
      <c r="B1319" s="36" t="s">
        <v>17460</v>
      </c>
      <c r="C1319" s="36" t="s">
        <v>17461</v>
      </c>
      <c r="D1319" s="36" t="s">
        <v>17462</v>
      </c>
      <c r="E1319" s="36" t="s">
        <v>17463</v>
      </c>
      <c r="F1319" s="36" t="s">
        <v>17464</v>
      </c>
      <c r="G1319" s="36" t="s">
        <v>17465</v>
      </c>
      <c r="H1319" s="36" t="s">
        <v>17466</v>
      </c>
      <c r="I1319" s="36" t="s">
        <v>17467</v>
      </c>
      <c r="J1319" s="36" t="s">
        <v>17468</v>
      </c>
      <c r="K1319" s="36" t="s">
        <v>17469</v>
      </c>
      <c r="L1319" s="36" t="s">
        <v>17470</v>
      </c>
      <c r="M1319" s="36" t="s">
        <v>17471</v>
      </c>
      <c r="N1319" s="36" t="s">
        <v>17472</v>
      </c>
      <c r="O1319" s="36" t="s">
        <v>17473</v>
      </c>
      <c r="P1319" s="36" t="s">
        <v>17460</v>
      </c>
    </row>
    <row r="1320" spans="1:16">
      <c r="A1320" s="132">
        <v>1319</v>
      </c>
      <c r="B1320" s="36" t="s">
        <v>17474</v>
      </c>
      <c r="C1320" s="36" t="s">
        <v>17475</v>
      </c>
      <c r="D1320" s="36" t="s">
        <v>17476</v>
      </c>
      <c r="E1320" s="36" t="s">
        <v>17477</v>
      </c>
      <c r="F1320" s="36" t="s">
        <v>17478</v>
      </c>
      <c r="G1320" s="36" t="s">
        <v>17479</v>
      </c>
      <c r="H1320" s="36" t="s">
        <v>17480</v>
      </c>
      <c r="I1320" s="36" t="s">
        <v>17481</v>
      </c>
      <c r="J1320" s="36" t="s">
        <v>17482</v>
      </c>
      <c r="K1320" s="36" t="s">
        <v>17483</v>
      </c>
      <c r="L1320" s="36" t="s">
        <v>17484</v>
      </c>
      <c r="M1320" s="36" t="s">
        <v>17485</v>
      </c>
      <c r="N1320" s="36" t="s">
        <v>17486</v>
      </c>
      <c r="O1320" s="36" t="s">
        <v>17487</v>
      </c>
      <c r="P1320" s="36" t="s">
        <v>17474</v>
      </c>
    </row>
    <row r="1321" spans="1:16">
      <c r="A1321" s="132">
        <v>1320</v>
      </c>
      <c r="B1321" s="36" t="s">
        <v>17488</v>
      </c>
      <c r="C1321" s="36" t="s">
        <v>17489</v>
      </c>
      <c r="D1321" s="36" t="s">
        <v>17490</v>
      </c>
      <c r="E1321" s="36" t="s">
        <v>17491</v>
      </c>
      <c r="F1321" s="36" t="s">
        <v>17492</v>
      </c>
      <c r="G1321" s="36" t="s">
        <v>17493</v>
      </c>
      <c r="H1321" s="36" t="s">
        <v>17494</v>
      </c>
      <c r="I1321" s="36" t="s">
        <v>17495</v>
      </c>
      <c r="J1321" s="36" t="s">
        <v>17496</v>
      </c>
      <c r="K1321" s="36" t="s">
        <v>17497</v>
      </c>
      <c r="L1321" s="36" t="s">
        <v>17498</v>
      </c>
      <c r="M1321" s="36" t="s">
        <v>17499</v>
      </c>
      <c r="N1321" s="36" t="s">
        <v>17500</v>
      </c>
      <c r="O1321" s="36" t="s">
        <v>17501</v>
      </c>
      <c r="P1321" s="36" t="s">
        <v>17488</v>
      </c>
    </row>
    <row r="1322" spans="1:16">
      <c r="A1322" s="132">
        <v>1321</v>
      </c>
      <c r="B1322" s="36" t="s">
        <v>17502</v>
      </c>
      <c r="C1322" s="36" t="s">
        <v>17503</v>
      </c>
      <c r="D1322" s="36" t="s">
        <v>17504</v>
      </c>
      <c r="E1322" s="36" t="s">
        <v>17505</v>
      </c>
      <c r="F1322" s="36" t="s">
        <v>17506</v>
      </c>
      <c r="G1322" s="36" t="s">
        <v>17507</v>
      </c>
      <c r="H1322" s="36" t="s">
        <v>17508</v>
      </c>
      <c r="I1322" s="36" t="s">
        <v>17509</v>
      </c>
      <c r="J1322" s="36" t="s">
        <v>17510</v>
      </c>
      <c r="K1322" s="36" t="s">
        <v>17511</v>
      </c>
      <c r="L1322" s="36" t="s">
        <v>17512</v>
      </c>
      <c r="M1322" s="36" t="s">
        <v>17513</v>
      </c>
      <c r="N1322" s="36" t="s">
        <v>17514</v>
      </c>
      <c r="O1322" s="36" t="s">
        <v>17515</v>
      </c>
      <c r="P1322" s="36" t="s">
        <v>17502</v>
      </c>
    </row>
    <row r="1323" spans="1:16">
      <c r="A1323" s="132">
        <v>1322</v>
      </c>
      <c r="B1323" s="36" t="s">
        <v>17516</v>
      </c>
      <c r="C1323" s="36" t="s">
        <v>17517</v>
      </c>
      <c r="D1323" s="36" t="s">
        <v>17518</v>
      </c>
      <c r="E1323" s="36" t="s">
        <v>17519</v>
      </c>
      <c r="F1323" s="36" t="s">
        <v>17520</v>
      </c>
      <c r="G1323" s="36" t="s">
        <v>17521</v>
      </c>
      <c r="H1323" s="36" t="s">
        <v>17522</v>
      </c>
      <c r="I1323" s="36" t="s">
        <v>17523</v>
      </c>
      <c r="J1323" s="36" t="s">
        <v>17524</v>
      </c>
      <c r="K1323" s="36" t="s">
        <v>17525</v>
      </c>
      <c r="L1323" s="36" t="s">
        <v>17526</v>
      </c>
      <c r="M1323" s="36" t="s">
        <v>17527</v>
      </c>
      <c r="N1323" s="36" t="s">
        <v>17528</v>
      </c>
      <c r="O1323" s="36" t="s">
        <v>17529</v>
      </c>
      <c r="P1323" s="36" t="s">
        <v>17516</v>
      </c>
    </row>
    <row r="1324" spans="1:16">
      <c r="A1324" s="132">
        <v>1323</v>
      </c>
      <c r="B1324" s="36" t="s">
        <v>17530</v>
      </c>
      <c r="C1324" s="36" t="s">
        <v>17531</v>
      </c>
      <c r="D1324" s="36" t="s">
        <v>17532</v>
      </c>
      <c r="E1324" s="36" t="s">
        <v>17533</v>
      </c>
      <c r="F1324" s="36" t="s">
        <v>17534</v>
      </c>
      <c r="G1324" s="36" t="s">
        <v>17535</v>
      </c>
      <c r="H1324" s="36" t="s">
        <v>17536</v>
      </c>
      <c r="I1324" s="36" t="s">
        <v>17537</v>
      </c>
      <c r="J1324" s="36" t="s">
        <v>17538</v>
      </c>
      <c r="K1324" s="36" t="s">
        <v>17539</v>
      </c>
      <c r="L1324" s="36" t="s">
        <v>17540</v>
      </c>
      <c r="M1324" s="36" t="s">
        <v>17541</v>
      </c>
      <c r="N1324" s="36" t="s">
        <v>17542</v>
      </c>
      <c r="O1324" s="36" t="s">
        <v>17543</v>
      </c>
      <c r="P1324" s="36" t="s">
        <v>17530</v>
      </c>
    </row>
    <row r="1325" spans="1:16">
      <c r="A1325" s="132">
        <v>1324</v>
      </c>
      <c r="B1325" s="36" t="s">
        <v>17544</v>
      </c>
      <c r="C1325" s="36" t="s">
        <v>17545</v>
      </c>
      <c r="D1325" s="36" t="s">
        <v>17545</v>
      </c>
      <c r="E1325" s="36" t="s">
        <v>17545</v>
      </c>
      <c r="F1325" s="36" t="s">
        <v>17545</v>
      </c>
      <c r="G1325" s="36" t="s">
        <v>17545</v>
      </c>
      <c r="H1325" s="36" t="s">
        <v>17545</v>
      </c>
      <c r="I1325" s="36" t="s">
        <v>17545</v>
      </c>
      <c r="J1325" s="36" t="s">
        <v>17545</v>
      </c>
      <c r="K1325" s="36" t="s">
        <v>17545</v>
      </c>
      <c r="L1325" s="36" t="s">
        <v>17545</v>
      </c>
      <c r="M1325" s="36" t="s">
        <v>17545</v>
      </c>
      <c r="N1325" s="36" t="s">
        <v>17545</v>
      </c>
      <c r="O1325" s="36" t="s">
        <v>17545</v>
      </c>
      <c r="P1325" s="36" t="s">
        <v>17545</v>
      </c>
    </row>
    <row r="1326" spans="1:16">
      <c r="A1326" s="132">
        <v>1325</v>
      </c>
      <c r="B1326" s="36" t="s">
        <v>17546</v>
      </c>
      <c r="C1326" s="36" t="s">
        <v>17547</v>
      </c>
      <c r="D1326" s="36" t="s">
        <v>17548</v>
      </c>
      <c r="E1326" s="36" t="s">
        <v>17549</v>
      </c>
      <c r="F1326" s="36" t="s">
        <v>17550</v>
      </c>
      <c r="G1326" s="36" t="s">
        <v>17551</v>
      </c>
      <c r="H1326" s="36" t="s">
        <v>17552</v>
      </c>
      <c r="I1326" s="36" t="s">
        <v>17553</v>
      </c>
      <c r="J1326" s="36" t="s">
        <v>17554</v>
      </c>
      <c r="K1326" s="36" t="s">
        <v>17555</v>
      </c>
      <c r="L1326" s="36" t="s">
        <v>17556</v>
      </c>
      <c r="M1326" s="36" t="s">
        <v>17557</v>
      </c>
      <c r="N1326" s="36" t="s">
        <v>17558</v>
      </c>
      <c r="O1326" s="36" t="s">
        <v>17559</v>
      </c>
      <c r="P1326" s="36" t="s">
        <v>17546</v>
      </c>
    </row>
    <row r="1327" spans="1:16">
      <c r="A1327" s="132">
        <v>1326</v>
      </c>
      <c r="B1327" s="36" t="s">
        <v>17560</v>
      </c>
      <c r="C1327" s="36" t="s">
        <v>17561</v>
      </c>
      <c r="D1327" s="36" t="s">
        <v>17562</v>
      </c>
      <c r="E1327" s="36" t="s">
        <v>17563</v>
      </c>
      <c r="F1327" s="36" t="s">
        <v>17564</v>
      </c>
      <c r="G1327" s="36" t="s">
        <v>17565</v>
      </c>
      <c r="H1327" s="36" t="s">
        <v>17566</v>
      </c>
      <c r="I1327" s="36" t="s">
        <v>17567</v>
      </c>
      <c r="J1327" s="36" t="s">
        <v>17568</v>
      </c>
      <c r="K1327" s="36" t="s">
        <v>17569</v>
      </c>
      <c r="L1327" s="36" t="s">
        <v>17570</v>
      </c>
      <c r="M1327" s="36" t="s">
        <v>17571</v>
      </c>
      <c r="N1327" s="36" t="s">
        <v>17572</v>
      </c>
      <c r="O1327" s="36" t="s">
        <v>17573</v>
      </c>
      <c r="P1327" s="36" t="s">
        <v>17560</v>
      </c>
    </row>
    <row r="1328" spans="1:16">
      <c r="A1328" s="132">
        <v>1327</v>
      </c>
      <c r="B1328" s="36" t="s">
        <v>17574</v>
      </c>
      <c r="C1328" s="36" t="s">
        <v>17575</v>
      </c>
      <c r="D1328" s="36" t="s">
        <v>17576</v>
      </c>
      <c r="E1328" s="36" t="s">
        <v>17577</v>
      </c>
      <c r="F1328" s="36" t="s">
        <v>17578</v>
      </c>
      <c r="G1328" s="36" t="s">
        <v>17579</v>
      </c>
      <c r="H1328" s="36" t="s">
        <v>17580</v>
      </c>
      <c r="I1328" s="36" t="s">
        <v>17581</v>
      </c>
      <c r="J1328" s="36" t="s">
        <v>17582</v>
      </c>
      <c r="K1328" s="36" t="s">
        <v>17583</v>
      </c>
      <c r="L1328" s="36" t="s">
        <v>17584</v>
      </c>
      <c r="M1328" s="36" t="s">
        <v>17585</v>
      </c>
      <c r="N1328" s="36" t="s">
        <v>17586</v>
      </c>
      <c r="O1328" s="36" t="s">
        <v>17587</v>
      </c>
      <c r="P1328" s="36" t="s">
        <v>17574</v>
      </c>
    </row>
    <row r="1329" spans="1:16">
      <c r="A1329" s="132">
        <v>1328</v>
      </c>
      <c r="B1329" s="36" t="s">
        <v>17588</v>
      </c>
      <c r="C1329" s="36" t="s">
        <v>17589</v>
      </c>
      <c r="D1329" s="36" t="s">
        <v>17590</v>
      </c>
      <c r="E1329" s="36" t="s">
        <v>17591</v>
      </c>
      <c r="F1329" s="36" t="s">
        <v>17592</v>
      </c>
      <c r="G1329" s="36" t="s">
        <v>17593</v>
      </c>
      <c r="H1329" s="36" t="s">
        <v>17594</v>
      </c>
      <c r="I1329" s="36" t="s">
        <v>17595</v>
      </c>
      <c r="J1329" s="36" t="s">
        <v>17596</v>
      </c>
      <c r="K1329" s="36" t="s">
        <v>17597</v>
      </c>
      <c r="L1329" s="36" t="s">
        <v>17598</v>
      </c>
      <c r="M1329" s="36" t="s">
        <v>17599</v>
      </c>
      <c r="N1329" s="36" t="s">
        <v>17600</v>
      </c>
      <c r="O1329" s="36" t="s">
        <v>17601</v>
      </c>
      <c r="P1329" s="36" t="s">
        <v>17588</v>
      </c>
    </row>
    <row r="1330" spans="1:16">
      <c r="A1330" s="132">
        <v>1329</v>
      </c>
      <c r="B1330" s="36" t="s">
        <v>17602</v>
      </c>
      <c r="C1330" s="36" t="s">
        <v>17603</v>
      </c>
      <c r="D1330" s="36" t="s">
        <v>17604</v>
      </c>
      <c r="E1330" s="36" t="s">
        <v>17605</v>
      </c>
      <c r="F1330" s="36" t="s">
        <v>17606</v>
      </c>
      <c r="G1330" s="36" t="s">
        <v>17607</v>
      </c>
      <c r="H1330" s="36" t="s">
        <v>17608</v>
      </c>
      <c r="I1330" s="36" t="s">
        <v>17609</v>
      </c>
      <c r="J1330" s="36" t="s">
        <v>17610</v>
      </c>
      <c r="K1330" s="36" t="s">
        <v>17611</v>
      </c>
      <c r="L1330" s="36" t="s">
        <v>17612</v>
      </c>
      <c r="M1330" s="36" t="s">
        <v>17613</v>
      </c>
      <c r="N1330" s="36" t="s">
        <v>17614</v>
      </c>
      <c r="O1330" s="36" t="s">
        <v>17615</v>
      </c>
      <c r="P1330" s="36" t="s">
        <v>17602</v>
      </c>
    </row>
    <row r="1331" spans="1:16">
      <c r="A1331" s="132">
        <v>1330</v>
      </c>
      <c r="B1331" s="36" t="s">
        <v>17616</v>
      </c>
      <c r="C1331" s="36" t="s">
        <v>17617</v>
      </c>
      <c r="D1331" s="36" t="s">
        <v>17618</v>
      </c>
      <c r="E1331" s="36" t="s">
        <v>17619</v>
      </c>
      <c r="F1331" s="36" t="s">
        <v>17620</v>
      </c>
      <c r="G1331" s="36" t="s">
        <v>17621</v>
      </c>
      <c r="H1331" s="36" t="s">
        <v>17622</v>
      </c>
      <c r="I1331" s="36" t="s">
        <v>17623</v>
      </c>
      <c r="J1331" s="36" t="s">
        <v>17624</v>
      </c>
      <c r="K1331" s="36" t="s">
        <v>17625</v>
      </c>
      <c r="L1331" s="36" t="s">
        <v>17626</v>
      </c>
      <c r="M1331" s="36" t="s">
        <v>17627</v>
      </c>
      <c r="N1331" s="36" t="s">
        <v>17628</v>
      </c>
      <c r="O1331" s="36" t="s">
        <v>17629</v>
      </c>
      <c r="P1331" s="36" t="s">
        <v>17616</v>
      </c>
    </row>
    <row r="1332" spans="1:16">
      <c r="A1332" s="132">
        <v>1331</v>
      </c>
      <c r="B1332" s="36" t="s">
        <v>17630</v>
      </c>
      <c r="C1332" s="36" t="s">
        <v>17631</v>
      </c>
      <c r="D1332" s="36" t="s">
        <v>17631</v>
      </c>
      <c r="E1332" s="36" t="s">
        <v>17631</v>
      </c>
      <c r="F1332" s="36" t="s">
        <v>17631</v>
      </c>
      <c r="G1332" s="36" t="s">
        <v>17631</v>
      </c>
      <c r="H1332" s="36" t="s">
        <v>17631</v>
      </c>
      <c r="I1332" s="36" t="s">
        <v>17631</v>
      </c>
      <c r="J1332" s="36" t="s">
        <v>17631</v>
      </c>
      <c r="K1332" s="36" t="s">
        <v>17631</v>
      </c>
      <c r="L1332" s="36" t="s">
        <v>17631</v>
      </c>
      <c r="M1332" s="36" t="s">
        <v>17631</v>
      </c>
      <c r="N1332" s="36" t="s">
        <v>17631</v>
      </c>
      <c r="O1332" s="36" t="s">
        <v>17631</v>
      </c>
      <c r="P1332" s="36" t="s">
        <v>17630</v>
      </c>
    </row>
    <row r="1333" spans="1:16">
      <c r="A1333" s="132">
        <v>1332</v>
      </c>
      <c r="B1333" s="36" t="s">
        <v>17632</v>
      </c>
      <c r="C1333" s="36" t="s">
        <v>17633</v>
      </c>
      <c r="D1333" s="36" t="s">
        <v>17634</v>
      </c>
      <c r="E1333" s="36" t="s">
        <v>17635</v>
      </c>
      <c r="F1333" s="36" t="s">
        <v>17636</v>
      </c>
      <c r="G1333" s="36" t="s">
        <v>17637</v>
      </c>
      <c r="H1333" s="36" t="s">
        <v>17638</v>
      </c>
      <c r="I1333" s="36" t="s">
        <v>17639</v>
      </c>
      <c r="J1333" s="36" t="s">
        <v>17640</v>
      </c>
      <c r="K1333" s="36" t="s">
        <v>17641</v>
      </c>
      <c r="L1333" s="36" t="s">
        <v>17642</v>
      </c>
      <c r="M1333" s="36" t="s">
        <v>17643</v>
      </c>
      <c r="N1333" s="36" t="s">
        <v>17644</v>
      </c>
      <c r="O1333" s="36" t="s">
        <v>17645</v>
      </c>
      <c r="P1333" s="36" t="s">
        <v>17632</v>
      </c>
    </row>
    <row r="1334" spans="1:16">
      <c r="A1334" s="132">
        <v>1333</v>
      </c>
      <c r="B1334" s="36" t="s">
        <v>17646</v>
      </c>
      <c r="C1334" s="36" t="s">
        <v>17647</v>
      </c>
      <c r="D1334" s="36" t="s">
        <v>17648</v>
      </c>
      <c r="E1334" s="36" t="s">
        <v>17649</v>
      </c>
      <c r="F1334" s="36" t="s">
        <v>17650</v>
      </c>
      <c r="G1334" s="36" t="s">
        <v>17651</v>
      </c>
      <c r="H1334" s="36" t="s">
        <v>17652</v>
      </c>
      <c r="I1334" s="36" t="s">
        <v>17653</v>
      </c>
      <c r="J1334" s="36" t="s">
        <v>17654</v>
      </c>
      <c r="K1334" s="36" t="s">
        <v>17655</v>
      </c>
      <c r="L1334" s="36" t="s">
        <v>17656</v>
      </c>
      <c r="M1334" s="36" t="s">
        <v>17657</v>
      </c>
      <c r="N1334" s="36" t="s">
        <v>17658</v>
      </c>
      <c r="O1334" s="36" t="s">
        <v>17659</v>
      </c>
      <c r="P1334" s="36" t="s">
        <v>17646</v>
      </c>
    </row>
    <row r="1335" spans="1:16">
      <c r="A1335" s="132">
        <v>1334</v>
      </c>
      <c r="B1335" s="36" t="s">
        <v>17660</v>
      </c>
      <c r="C1335" s="36" t="s">
        <v>17661</v>
      </c>
      <c r="D1335" s="36" t="s">
        <v>17662</v>
      </c>
      <c r="E1335" s="36" t="s">
        <v>17663</v>
      </c>
      <c r="F1335" s="36" t="s">
        <v>17664</v>
      </c>
      <c r="G1335" s="36" t="s">
        <v>17665</v>
      </c>
      <c r="H1335" s="36" t="s">
        <v>17666</v>
      </c>
      <c r="I1335" s="36" t="s">
        <v>17667</v>
      </c>
      <c r="J1335" s="36" t="s">
        <v>17668</v>
      </c>
      <c r="K1335" s="36" t="s">
        <v>17669</v>
      </c>
      <c r="L1335" s="36" t="s">
        <v>17670</v>
      </c>
      <c r="M1335" s="36" t="s">
        <v>17671</v>
      </c>
      <c r="N1335" s="36" t="s">
        <v>17672</v>
      </c>
      <c r="O1335" s="36" t="s">
        <v>17673</v>
      </c>
      <c r="P1335" s="36" t="s">
        <v>17660</v>
      </c>
    </row>
    <row r="1336" spans="1:16">
      <c r="A1336" s="132">
        <v>1335</v>
      </c>
      <c r="B1336" s="36" t="s">
        <v>17674</v>
      </c>
      <c r="C1336" s="36" t="s">
        <v>17675</v>
      </c>
      <c r="D1336" s="36" t="s">
        <v>17676</v>
      </c>
      <c r="E1336" s="36" t="s">
        <v>17677</v>
      </c>
      <c r="F1336" s="36" t="s">
        <v>17678</v>
      </c>
      <c r="G1336" s="36" t="s">
        <v>17679</v>
      </c>
      <c r="H1336" s="36" t="s">
        <v>17680</v>
      </c>
      <c r="I1336" s="36" t="s">
        <v>17681</v>
      </c>
      <c r="J1336" s="36" t="s">
        <v>17682</v>
      </c>
      <c r="K1336" s="36" t="s">
        <v>17683</v>
      </c>
      <c r="L1336" s="36" t="s">
        <v>17684</v>
      </c>
      <c r="M1336" s="36" t="s">
        <v>17685</v>
      </c>
      <c r="N1336" s="36" t="s">
        <v>17686</v>
      </c>
      <c r="O1336" s="36" t="s">
        <v>17687</v>
      </c>
      <c r="P1336" s="36" t="s">
        <v>17674</v>
      </c>
    </row>
    <row r="1337" spans="1:16">
      <c r="A1337" s="132">
        <v>1336</v>
      </c>
      <c r="B1337" s="36" t="s">
        <v>17688</v>
      </c>
      <c r="C1337" s="36" t="s">
        <v>17689</v>
      </c>
      <c r="D1337" s="36" t="s">
        <v>17690</v>
      </c>
      <c r="E1337" s="36" t="s">
        <v>17691</v>
      </c>
      <c r="F1337" s="36" t="s">
        <v>17692</v>
      </c>
      <c r="G1337" s="36" t="s">
        <v>17693</v>
      </c>
      <c r="H1337" s="36" t="s">
        <v>17694</v>
      </c>
      <c r="I1337" s="36" t="s">
        <v>17695</v>
      </c>
      <c r="J1337" s="36" t="s">
        <v>17696</v>
      </c>
      <c r="K1337" s="36" t="s">
        <v>17697</v>
      </c>
      <c r="L1337" s="36" t="s">
        <v>17698</v>
      </c>
      <c r="M1337" s="36" t="s">
        <v>17699</v>
      </c>
      <c r="N1337" s="36" t="s">
        <v>17700</v>
      </c>
      <c r="O1337" s="36" t="s">
        <v>17701</v>
      </c>
      <c r="P1337" s="36" t="s">
        <v>17688</v>
      </c>
    </row>
    <row r="1338" spans="1:16">
      <c r="A1338" s="132">
        <v>1337</v>
      </c>
      <c r="B1338" s="36" t="s">
        <v>17702</v>
      </c>
      <c r="C1338" s="36" t="s">
        <v>17703</v>
      </c>
      <c r="D1338" s="36" t="s">
        <v>17704</v>
      </c>
      <c r="E1338" s="36" t="s">
        <v>17705</v>
      </c>
      <c r="F1338" s="36" t="s">
        <v>17706</v>
      </c>
      <c r="G1338" s="36" t="s">
        <v>17707</v>
      </c>
      <c r="H1338" s="36" t="s">
        <v>17708</v>
      </c>
      <c r="I1338" s="36" t="s">
        <v>17709</v>
      </c>
      <c r="J1338" s="36" t="s">
        <v>17710</v>
      </c>
      <c r="K1338" s="36" t="s">
        <v>17711</v>
      </c>
      <c r="L1338" s="36" t="s">
        <v>17712</v>
      </c>
      <c r="M1338" s="36" t="s">
        <v>17713</v>
      </c>
      <c r="N1338" s="36" t="s">
        <v>17714</v>
      </c>
      <c r="O1338" s="36" t="s">
        <v>17715</v>
      </c>
      <c r="P1338" s="36" t="s">
        <v>17702</v>
      </c>
    </row>
    <row r="1339" spans="1:16">
      <c r="A1339" s="132">
        <v>1338</v>
      </c>
      <c r="B1339" s="36" t="s">
        <v>17716</v>
      </c>
      <c r="C1339" s="36" t="s">
        <v>17717</v>
      </c>
      <c r="D1339" s="36" t="s">
        <v>17718</v>
      </c>
      <c r="E1339" s="36" t="s">
        <v>17719</v>
      </c>
      <c r="F1339" s="36" t="s">
        <v>17720</v>
      </c>
      <c r="G1339" s="36" t="s">
        <v>17721</v>
      </c>
      <c r="H1339" s="36" t="s">
        <v>17722</v>
      </c>
      <c r="I1339" s="36" t="s">
        <v>17723</v>
      </c>
      <c r="J1339" s="36" t="s">
        <v>17724</v>
      </c>
      <c r="K1339" s="36" t="s">
        <v>17725</v>
      </c>
      <c r="L1339" s="36" t="s">
        <v>17726</v>
      </c>
      <c r="M1339" s="36" t="s">
        <v>17727</v>
      </c>
      <c r="N1339" s="36" t="s">
        <v>17728</v>
      </c>
      <c r="O1339" s="36" t="s">
        <v>17729</v>
      </c>
      <c r="P1339" s="36" t="s">
        <v>17716</v>
      </c>
    </row>
    <row r="1340" spans="1:16">
      <c r="A1340" s="132">
        <v>1339</v>
      </c>
      <c r="B1340" s="36" t="s">
        <v>17730</v>
      </c>
      <c r="C1340" s="36" t="s">
        <v>17731</v>
      </c>
      <c r="D1340" s="36" t="s">
        <v>17732</v>
      </c>
      <c r="E1340" s="36" t="s">
        <v>17733</v>
      </c>
      <c r="F1340" s="36" t="s">
        <v>17734</v>
      </c>
      <c r="G1340" s="36" t="s">
        <v>3656</v>
      </c>
      <c r="H1340" s="36" t="s">
        <v>17735</v>
      </c>
      <c r="I1340" s="36" t="s">
        <v>17736</v>
      </c>
      <c r="J1340" s="36" t="s">
        <v>3662</v>
      </c>
      <c r="K1340" s="36" t="s">
        <v>17737</v>
      </c>
      <c r="L1340" s="36" t="s">
        <v>17738</v>
      </c>
      <c r="M1340" s="36" t="s">
        <v>14797</v>
      </c>
      <c r="N1340" s="36" t="s">
        <v>3662</v>
      </c>
      <c r="O1340" s="36" t="s">
        <v>17739</v>
      </c>
      <c r="P1340" s="36" t="s">
        <v>17730</v>
      </c>
    </row>
    <row r="1341" spans="1:16">
      <c r="A1341" s="132">
        <v>1340</v>
      </c>
      <c r="B1341" s="36" t="s">
        <v>17740</v>
      </c>
      <c r="C1341" s="36" t="s">
        <v>17741</v>
      </c>
      <c r="D1341" s="36" t="s">
        <v>17742</v>
      </c>
      <c r="E1341" s="36" t="s">
        <v>17743</v>
      </c>
      <c r="F1341" s="36" t="s">
        <v>17744</v>
      </c>
      <c r="G1341" s="36" t="s">
        <v>17745</v>
      </c>
      <c r="H1341" s="36" t="s">
        <v>17746</v>
      </c>
      <c r="I1341" s="36" t="s">
        <v>17747</v>
      </c>
      <c r="J1341" s="36" t="s">
        <v>17748</v>
      </c>
      <c r="K1341" s="36" t="s">
        <v>17749</v>
      </c>
      <c r="L1341" s="36" t="s">
        <v>17750</v>
      </c>
      <c r="M1341" s="36" t="s">
        <v>17751</v>
      </c>
      <c r="N1341" s="36" t="s">
        <v>17752</v>
      </c>
      <c r="O1341" s="36" t="s">
        <v>17753</v>
      </c>
      <c r="P1341" s="36" t="s">
        <v>17740</v>
      </c>
    </row>
    <row r="1342" spans="1:16" ht="14.4">
      <c r="A1342" s="132">
        <v>1341</v>
      </c>
      <c r="B1342" s="36" t="s">
        <v>17754</v>
      </c>
      <c r="C1342" s="36" t="s">
        <v>17755</v>
      </c>
      <c r="D1342" s="36" t="s">
        <v>17756</v>
      </c>
      <c r="E1342" s="36" t="s">
        <v>17757</v>
      </c>
      <c r="F1342" s="486" t="s">
        <v>29583</v>
      </c>
      <c r="G1342" s="36" t="s">
        <v>17758</v>
      </c>
      <c r="H1342" s="36" t="s">
        <v>17759</v>
      </c>
      <c r="I1342" s="36" t="s">
        <v>17760</v>
      </c>
      <c r="J1342" s="36" t="s">
        <v>17761</v>
      </c>
      <c r="K1342" s="36" t="s">
        <v>17762</v>
      </c>
      <c r="L1342" s="36" t="s">
        <v>17763</v>
      </c>
      <c r="M1342" s="36" t="s">
        <v>17764</v>
      </c>
      <c r="N1342" s="36" t="s">
        <v>17764</v>
      </c>
      <c r="O1342" s="36" t="s">
        <v>17765</v>
      </c>
      <c r="P1342" s="36" t="s">
        <v>17754</v>
      </c>
    </row>
    <row r="1343" spans="1:16">
      <c r="A1343" s="132">
        <v>1342</v>
      </c>
      <c r="B1343" s="36" t="s">
        <v>17766</v>
      </c>
      <c r="C1343" s="36" t="s">
        <v>17767</v>
      </c>
      <c r="D1343" s="36" t="s">
        <v>17768</v>
      </c>
      <c r="E1343" s="36" t="s">
        <v>17769</v>
      </c>
      <c r="F1343" s="36" t="s">
        <v>17770</v>
      </c>
      <c r="G1343" s="36" t="s">
        <v>17771</v>
      </c>
      <c r="H1343" s="36" t="s">
        <v>17772</v>
      </c>
      <c r="I1343" s="36" t="s">
        <v>17773</v>
      </c>
      <c r="J1343" s="36" t="s">
        <v>17774</v>
      </c>
      <c r="K1343" s="36" t="s">
        <v>17775</v>
      </c>
      <c r="L1343" s="36" t="s">
        <v>17776</v>
      </c>
      <c r="M1343" s="36" t="s">
        <v>17777</v>
      </c>
      <c r="N1343" s="36" t="s">
        <v>17778</v>
      </c>
      <c r="O1343" s="36" t="s">
        <v>17779</v>
      </c>
      <c r="P1343" s="36" t="s">
        <v>17766</v>
      </c>
    </row>
    <row r="1344" spans="1:16">
      <c r="A1344" s="132">
        <v>1343</v>
      </c>
      <c r="B1344" s="36" t="s">
        <v>17780</v>
      </c>
      <c r="C1344" s="36" t="s">
        <v>17781</v>
      </c>
      <c r="D1344" s="36" t="s">
        <v>17782</v>
      </c>
      <c r="E1344" s="36" t="s">
        <v>17783</v>
      </c>
      <c r="F1344" s="36" t="s">
        <v>17784</v>
      </c>
      <c r="G1344" s="36" t="s">
        <v>17785</v>
      </c>
      <c r="H1344" s="36" t="s">
        <v>17786</v>
      </c>
      <c r="I1344" s="36" t="s">
        <v>17787</v>
      </c>
      <c r="J1344" s="36" t="s">
        <v>17788</v>
      </c>
      <c r="K1344" s="36" t="s">
        <v>17789</v>
      </c>
      <c r="L1344" s="36" t="s">
        <v>17790</v>
      </c>
      <c r="M1344" s="36" t="s">
        <v>17791</v>
      </c>
      <c r="N1344" s="36" t="s">
        <v>17792</v>
      </c>
      <c r="O1344" s="36" t="s">
        <v>17793</v>
      </c>
      <c r="P1344" s="36" t="s">
        <v>17780</v>
      </c>
    </row>
    <row r="1345" spans="1:16">
      <c r="A1345" s="132">
        <v>1344</v>
      </c>
      <c r="B1345" s="36" t="s">
        <v>17794</v>
      </c>
      <c r="C1345" s="36" t="s">
        <v>17795</v>
      </c>
      <c r="D1345" s="36" t="s">
        <v>17796</v>
      </c>
      <c r="E1345" s="36" t="s">
        <v>17797</v>
      </c>
      <c r="F1345" s="36" t="s">
        <v>17798</v>
      </c>
      <c r="G1345" s="36" t="s">
        <v>17799</v>
      </c>
      <c r="H1345" s="36" t="s">
        <v>17794</v>
      </c>
      <c r="I1345" s="36" t="s">
        <v>17800</v>
      </c>
      <c r="J1345" s="36" t="s">
        <v>17794</v>
      </c>
      <c r="K1345" s="36" t="s">
        <v>17801</v>
      </c>
      <c r="L1345" s="36" t="s">
        <v>17802</v>
      </c>
      <c r="M1345" s="36" t="s">
        <v>17794</v>
      </c>
      <c r="N1345" s="36" t="s">
        <v>17803</v>
      </c>
      <c r="O1345" s="36" t="s">
        <v>17804</v>
      </c>
      <c r="P1345" s="36" t="s">
        <v>17794</v>
      </c>
    </row>
    <row r="1346" spans="1:16">
      <c r="A1346" s="132">
        <v>1345</v>
      </c>
      <c r="B1346" s="36" t="s">
        <v>17805</v>
      </c>
      <c r="C1346" s="36" t="s">
        <v>17806</v>
      </c>
      <c r="D1346" s="36" t="s">
        <v>17807</v>
      </c>
      <c r="E1346" s="36" t="s">
        <v>17808</v>
      </c>
      <c r="F1346" s="36" t="s">
        <v>17809</v>
      </c>
      <c r="G1346" s="36" t="s">
        <v>17810</v>
      </c>
      <c r="H1346" s="36" t="s">
        <v>17805</v>
      </c>
      <c r="I1346" s="36" t="s">
        <v>17811</v>
      </c>
      <c r="J1346" s="36" t="s">
        <v>17805</v>
      </c>
      <c r="K1346" s="36" t="s">
        <v>17812</v>
      </c>
      <c r="L1346" s="36" t="s">
        <v>17813</v>
      </c>
      <c r="M1346" s="36" t="s">
        <v>17805</v>
      </c>
      <c r="N1346" s="36" t="s">
        <v>17814</v>
      </c>
      <c r="O1346" s="36" t="s">
        <v>17815</v>
      </c>
      <c r="P1346" s="36" t="s">
        <v>17805</v>
      </c>
    </row>
    <row r="1347" spans="1:16">
      <c r="A1347" s="132">
        <v>1346</v>
      </c>
      <c r="B1347" s="36" t="s">
        <v>17816</v>
      </c>
      <c r="C1347" s="36" t="s">
        <v>17817</v>
      </c>
      <c r="D1347" s="36" t="s">
        <v>17818</v>
      </c>
      <c r="E1347" s="36" t="s">
        <v>17819</v>
      </c>
      <c r="F1347" s="36" t="s">
        <v>17820</v>
      </c>
      <c r="G1347" s="36" t="s">
        <v>17821</v>
      </c>
      <c r="H1347" s="36" t="s">
        <v>17822</v>
      </c>
      <c r="I1347" s="36" t="s">
        <v>17823</v>
      </c>
      <c r="J1347" s="36" t="s">
        <v>17824</v>
      </c>
      <c r="K1347" s="36" t="s">
        <v>17825</v>
      </c>
      <c r="L1347" s="36" t="s">
        <v>17826</v>
      </c>
      <c r="M1347" s="36" t="s">
        <v>17827</v>
      </c>
      <c r="N1347" s="36" t="s">
        <v>17828</v>
      </c>
      <c r="O1347" s="36" t="s">
        <v>17829</v>
      </c>
      <c r="P1347" s="36" t="s">
        <v>17816</v>
      </c>
    </row>
    <row r="1348" spans="1:16">
      <c r="A1348" s="132">
        <v>1347</v>
      </c>
      <c r="B1348" s="36" t="s">
        <v>17830</v>
      </c>
      <c r="C1348" s="36" t="s">
        <v>4302</v>
      </c>
      <c r="D1348" s="36" t="s">
        <v>4303</v>
      </c>
      <c r="E1348" s="36" t="s">
        <v>17831</v>
      </c>
      <c r="F1348" s="36" t="s">
        <v>4305</v>
      </c>
      <c r="G1348" s="36" t="s">
        <v>17832</v>
      </c>
      <c r="H1348" s="36" t="s">
        <v>17833</v>
      </c>
      <c r="I1348" s="36" t="s">
        <v>17834</v>
      </c>
      <c r="J1348" s="36" t="s">
        <v>17835</v>
      </c>
      <c r="K1348" s="36" t="s">
        <v>17836</v>
      </c>
      <c r="L1348" s="36" t="s">
        <v>17837</v>
      </c>
      <c r="M1348" s="36" t="s">
        <v>17838</v>
      </c>
      <c r="N1348" s="36" t="s">
        <v>17839</v>
      </c>
      <c r="O1348" s="36" t="s">
        <v>4314</v>
      </c>
      <c r="P1348" s="36" t="s">
        <v>17830</v>
      </c>
    </row>
    <row r="1349" spans="1:16">
      <c r="A1349" s="132">
        <v>1348</v>
      </c>
      <c r="B1349" s="36" t="s">
        <v>17840</v>
      </c>
      <c r="C1349" s="36" t="s">
        <v>17841</v>
      </c>
      <c r="D1349" s="36" t="s">
        <v>17842</v>
      </c>
      <c r="E1349" s="36" t="s">
        <v>17843</v>
      </c>
      <c r="F1349" s="36" t="s">
        <v>17844</v>
      </c>
      <c r="G1349" s="36" t="s">
        <v>17845</v>
      </c>
      <c r="H1349" s="36" t="s">
        <v>17846</v>
      </c>
      <c r="I1349" s="36" t="s">
        <v>17847</v>
      </c>
      <c r="J1349" s="36" t="s">
        <v>17848</v>
      </c>
      <c r="K1349" s="36" t="s">
        <v>17849</v>
      </c>
      <c r="L1349" s="36" t="s">
        <v>17850</v>
      </c>
      <c r="M1349" s="36" t="s">
        <v>5479</v>
      </c>
      <c r="N1349" s="36" t="s">
        <v>17851</v>
      </c>
      <c r="O1349" s="36" t="s">
        <v>17852</v>
      </c>
      <c r="P1349" s="36" t="s">
        <v>17840</v>
      </c>
    </row>
    <row r="1350" spans="1:16">
      <c r="A1350" s="132">
        <v>1349</v>
      </c>
      <c r="B1350" s="36" t="s">
        <v>17853</v>
      </c>
      <c r="C1350" s="36" t="s">
        <v>17854</v>
      </c>
      <c r="D1350" s="36" t="s">
        <v>17855</v>
      </c>
      <c r="E1350" s="36" t="s">
        <v>17856</v>
      </c>
      <c r="F1350" s="36" t="s">
        <v>17857</v>
      </c>
      <c r="G1350" s="36" t="s">
        <v>17858</v>
      </c>
      <c r="H1350" s="36" t="s">
        <v>17859</v>
      </c>
      <c r="I1350" s="36" t="s">
        <v>17860</v>
      </c>
      <c r="J1350" s="36" t="s">
        <v>17861</v>
      </c>
      <c r="K1350" s="36" t="s">
        <v>17862</v>
      </c>
      <c r="L1350" s="36" t="s">
        <v>17863</v>
      </c>
      <c r="M1350" s="36" t="s">
        <v>17864</v>
      </c>
      <c r="N1350" s="36" t="s">
        <v>17865</v>
      </c>
      <c r="O1350" s="36" t="s">
        <v>17866</v>
      </c>
      <c r="P1350" s="36" t="s">
        <v>17853</v>
      </c>
    </row>
    <row r="1351" spans="1:16">
      <c r="A1351" s="132">
        <v>1350</v>
      </c>
      <c r="B1351" s="36" t="s">
        <v>17867</v>
      </c>
      <c r="C1351" s="36" t="s">
        <v>17868</v>
      </c>
      <c r="D1351" s="36" t="s">
        <v>17869</v>
      </c>
      <c r="E1351" s="36" t="s">
        <v>17870</v>
      </c>
      <c r="F1351" s="36" t="s">
        <v>17871</v>
      </c>
      <c r="G1351" s="36" t="s">
        <v>17872</v>
      </c>
      <c r="H1351" s="36" t="s">
        <v>17873</v>
      </c>
      <c r="I1351" s="36" t="s">
        <v>17874</v>
      </c>
      <c r="J1351" s="36" t="s">
        <v>17875</v>
      </c>
      <c r="K1351" s="36" t="s">
        <v>17876</v>
      </c>
      <c r="L1351" s="36" t="s">
        <v>17877</v>
      </c>
      <c r="M1351" s="36" t="s">
        <v>17878</v>
      </c>
      <c r="N1351" s="36" t="s">
        <v>17879</v>
      </c>
      <c r="O1351" s="36" t="s">
        <v>17880</v>
      </c>
      <c r="P1351" s="36" t="s">
        <v>17867</v>
      </c>
    </row>
    <row r="1352" spans="1:16">
      <c r="A1352" s="132">
        <v>1351</v>
      </c>
      <c r="B1352" s="36" t="s">
        <v>17881</v>
      </c>
      <c r="C1352" s="36" t="s">
        <v>17882</v>
      </c>
      <c r="D1352" s="36" t="s">
        <v>17883</v>
      </c>
      <c r="E1352" s="36" t="s">
        <v>17884</v>
      </c>
      <c r="F1352" s="36" t="s">
        <v>17885</v>
      </c>
      <c r="G1352" s="36" t="s">
        <v>17886</v>
      </c>
      <c r="H1352" s="36" t="s">
        <v>17887</v>
      </c>
      <c r="I1352" s="36" t="s">
        <v>17888</v>
      </c>
      <c r="J1352" s="36" t="s">
        <v>17889</v>
      </c>
      <c r="K1352" s="36" t="s">
        <v>17890</v>
      </c>
      <c r="L1352" s="36" t="s">
        <v>17891</v>
      </c>
      <c r="M1352" s="36" t="s">
        <v>17892</v>
      </c>
      <c r="N1352" s="36" t="s">
        <v>17893</v>
      </c>
      <c r="O1352" s="36" t="s">
        <v>17894</v>
      </c>
      <c r="P1352" s="36" t="s">
        <v>17881</v>
      </c>
    </row>
    <row r="1353" spans="1:16">
      <c r="A1353" s="132">
        <v>1352</v>
      </c>
      <c r="B1353" s="36" t="s">
        <v>17895</v>
      </c>
      <c r="C1353" s="36" t="s">
        <v>17896</v>
      </c>
      <c r="D1353" s="36" t="s">
        <v>17897</v>
      </c>
      <c r="E1353" s="36" t="s">
        <v>17898</v>
      </c>
      <c r="F1353" s="36" t="s">
        <v>17899</v>
      </c>
      <c r="G1353" s="36" t="s">
        <v>17900</v>
      </c>
      <c r="H1353" s="36" t="s">
        <v>17901</v>
      </c>
      <c r="I1353" s="36" t="s">
        <v>17902</v>
      </c>
      <c r="J1353" s="36" t="s">
        <v>17903</v>
      </c>
      <c r="K1353" s="36" t="s">
        <v>17904</v>
      </c>
      <c r="L1353" s="36" t="s">
        <v>17905</v>
      </c>
      <c r="M1353" s="36" t="s">
        <v>17906</v>
      </c>
      <c r="N1353" s="36" t="s">
        <v>17907</v>
      </c>
      <c r="O1353" s="36" t="s">
        <v>17908</v>
      </c>
      <c r="P1353" s="36" t="s">
        <v>17895</v>
      </c>
    </row>
    <row r="1354" spans="1:16">
      <c r="A1354" s="132">
        <v>1353</v>
      </c>
      <c r="B1354" s="36" t="s">
        <v>17909</v>
      </c>
      <c r="C1354" s="36" t="s">
        <v>17910</v>
      </c>
      <c r="D1354" s="36" t="s">
        <v>17911</v>
      </c>
      <c r="E1354" s="36" t="s">
        <v>17912</v>
      </c>
      <c r="F1354" s="36" t="s">
        <v>17913</v>
      </c>
      <c r="G1354" s="36" t="s">
        <v>17914</v>
      </c>
      <c r="H1354" s="36" t="s">
        <v>17915</v>
      </c>
      <c r="I1354" s="36" t="s">
        <v>17916</v>
      </c>
      <c r="J1354" s="36" t="s">
        <v>17917</v>
      </c>
      <c r="K1354" s="36" t="s">
        <v>17918</v>
      </c>
      <c r="L1354" s="36" t="s">
        <v>17919</v>
      </c>
      <c r="M1354" s="36" t="s">
        <v>17920</v>
      </c>
      <c r="N1354" s="36" t="s">
        <v>17921</v>
      </c>
      <c r="O1354" s="36" t="s">
        <v>17922</v>
      </c>
      <c r="P1354" s="36" t="s">
        <v>17909</v>
      </c>
    </row>
    <row r="1355" spans="1:16">
      <c r="A1355" s="132">
        <v>1354</v>
      </c>
      <c r="B1355" s="36" t="s">
        <v>17923</v>
      </c>
      <c r="C1355" s="36" t="s">
        <v>17924</v>
      </c>
      <c r="D1355" s="36" t="s">
        <v>17925</v>
      </c>
      <c r="E1355" s="36" t="s">
        <v>17926</v>
      </c>
      <c r="F1355" s="36" t="s">
        <v>17927</v>
      </c>
      <c r="G1355" s="36" t="s">
        <v>17928</v>
      </c>
      <c r="H1355" s="36" t="s">
        <v>17929</v>
      </c>
      <c r="I1355" s="36" t="s">
        <v>17930</v>
      </c>
      <c r="J1355" s="36" t="s">
        <v>17931</v>
      </c>
      <c r="K1355" s="36" t="s">
        <v>17932</v>
      </c>
      <c r="L1355" s="36" t="s">
        <v>17933</v>
      </c>
      <c r="M1355" s="36" t="s">
        <v>17934</v>
      </c>
      <c r="N1355" s="36" t="s">
        <v>17935</v>
      </c>
      <c r="O1355" s="36" t="s">
        <v>17936</v>
      </c>
      <c r="P1355" s="36" t="s">
        <v>17923</v>
      </c>
    </row>
    <row r="1356" spans="1:16">
      <c r="A1356" s="132">
        <v>1355</v>
      </c>
      <c r="B1356" s="36" t="s">
        <v>17937</v>
      </c>
      <c r="C1356" s="36" t="s">
        <v>17938</v>
      </c>
      <c r="D1356" s="36" t="s">
        <v>17939</v>
      </c>
      <c r="E1356" s="36" t="s">
        <v>17940</v>
      </c>
      <c r="F1356" s="36" t="s">
        <v>17941</v>
      </c>
      <c r="G1356" s="36" t="s">
        <v>17942</v>
      </c>
      <c r="H1356" s="36" t="s">
        <v>17943</v>
      </c>
      <c r="I1356" s="36" t="s">
        <v>17944</v>
      </c>
      <c r="J1356" s="36" t="s">
        <v>17945</v>
      </c>
      <c r="K1356" s="36" t="s">
        <v>17946</v>
      </c>
      <c r="L1356" s="36" t="s">
        <v>17947</v>
      </c>
      <c r="M1356" s="36" t="s">
        <v>17948</v>
      </c>
      <c r="N1356" s="36" t="s">
        <v>17949</v>
      </c>
      <c r="O1356" s="36" t="s">
        <v>17950</v>
      </c>
      <c r="P1356" s="36" t="s">
        <v>17937</v>
      </c>
    </row>
    <row r="1357" spans="1:16">
      <c r="A1357" s="132">
        <v>1356</v>
      </c>
      <c r="B1357" s="36" t="s">
        <v>17951</v>
      </c>
      <c r="C1357" s="36" t="s">
        <v>17952</v>
      </c>
      <c r="D1357" s="36" t="s">
        <v>17953</v>
      </c>
      <c r="E1357" s="36" t="s">
        <v>17954</v>
      </c>
      <c r="F1357" s="36" t="s">
        <v>17955</v>
      </c>
      <c r="G1357" s="36" t="s">
        <v>17956</v>
      </c>
      <c r="H1357" s="36" t="s">
        <v>17957</v>
      </c>
      <c r="I1357" s="36" t="s">
        <v>17958</v>
      </c>
      <c r="J1357" s="36" t="s">
        <v>17959</v>
      </c>
      <c r="K1357" s="36" t="s">
        <v>17960</v>
      </c>
      <c r="L1357" s="36" t="s">
        <v>17961</v>
      </c>
      <c r="M1357" s="36" t="s">
        <v>17962</v>
      </c>
      <c r="N1357" s="36" t="s">
        <v>17963</v>
      </c>
      <c r="O1357" s="36" t="s">
        <v>17964</v>
      </c>
      <c r="P1357" s="36" t="s">
        <v>17951</v>
      </c>
    </row>
    <row r="1358" spans="1:16">
      <c r="A1358" s="132">
        <v>1357</v>
      </c>
      <c r="B1358" s="36" t="s">
        <v>17965</v>
      </c>
      <c r="C1358" s="36" t="s">
        <v>17966</v>
      </c>
      <c r="D1358" s="36" t="s">
        <v>17967</v>
      </c>
      <c r="E1358" s="36" t="s">
        <v>17968</v>
      </c>
      <c r="F1358" s="36" t="s">
        <v>17969</v>
      </c>
      <c r="G1358" s="36" t="s">
        <v>17970</v>
      </c>
      <c r="H1358" s="36" t="s">
        <v>17971</v>
      </c>
      <c r="I1358" s="36" t="s">
        <v>17972</v>
      </c>
      <c r="J1358" s="36" t="s">
        <v>17973</v>
      </c>
      <c r="K1358" s="36" t="s">
        <v>17974</v>
      </c>
      <c r="L1358" s="36" t="s">
        <v>17975</v>
      </c>
      <c r="M1358" s="36" t="s">
        <v>17976</v>
      </c>
      <c r="N1358" s="36" t="s">
        <v>17977</v>
      </c>
      <c r="O1358" s="36" t="s">
        <v>17978</v>
      </c>
      <c r="P1358" s="36" t="s">
        <v>17965</v>
      </c>
    </row>
    <row r="1359" spans="1:16">
      <c r="A1359" s="132">
        <v>1358</v>
      </c>
      <c r="B1359" s="36" t="s">
        <v>17979</v>
      </c>
      <c r="C1359" s="36" t="s">
        <v>17980</v>
      </c>
      <c r="D1359" s="36" t="s">
        <v>17981</v>
      </c>
      <c r="E1359" s="36" t="s">
        <v>17982</v>
      </c>
      <c r="F1359" s="36" t="s">
        <v>17983</v>
      </c>
      <c r="G1359" s="36" t="s">
        <v>17984</v>
      </c>
      <c r="H1359" s="36" t="s">
        <v>17985</v>
      </c>
      <c r="I1359" s="36" t="s">
        <v>17983</v>
      </c>
      <c r="J1359" s="36" t="s">
        <v>17986</v>
      </c>
      <c r="K1359" s="36" t="s">
        <v>17987</v>
      </c>
      <c r="L1359" s="36" t="s">
        <v>17988</v>
      </c>
      <c r="M1359" s="36" t="s">
        <v>17989</v>
      </c>
      <c r="N1359" s="36" t="s">
        <v>17990</v>
      </c>
      <c r="O1359" s="36" t="s">
        <v>17991</v>
      </c>
      <c r="P1359" s="36" t="s">
        <v>17979</v>
      </c>
    </row>
    <row r="1360" spans="1:16" ht="14.4">
      <c r="A1360" s="132">
        <v>1359</v>
      </c>
      <c r="B1360" s="487" t="s">
        <v>29584</v>
      </c>
      <c r="C1360" s="36" t="s">
        <v>29585</v>
      </c>
      <c r="D1360" s="36" t="s">
        <v>11152</v>
      </c>
      <c r="E1360" s="36" t="s">
        <v>17993</v>
      </c>
      <c r="F1360" s="485" t="s">
        <v>29586</v>
      </c>
      <c r="G1360" s="36" t="s">
        <v>17994</v>
      </c>
      <c r="H1360" s="36" t="s">
        <v>17995</v>
      </c>
      <c r="I1360" s="36" t="s">
        <v>17996</v>
      </c>
      <c r="J1360" s="36" t="s">
        <v>17997</v>
      </c>
      <c r="K1360" s="36" t="s">
        <v>17998</v>
      </c>
      <c r="L1360" s="36" t="s">
        <v>17999</v>
      </c>
      <c r="M1360" s="36" t="s">
        <v>18000</v>
      </c>
      <c r="N1360" s="36" t="s">
        <v>18001</v>
      </c>
      <c r="O1360" s="36" t="s">
        <v>18002</v>
      </c>
      <c r="P1360" s="36" t="s">
        <v>17992</v>
      </c>
    </row>
    <row r="1361" spans="1:16">
      <c r="A1361" s="132">
        <v>1360</v>
      </c>
      <c r="B1361" s="36" t="s">
        <v>18003</v>
      </c>
      <c r="C1361" s="36" t="s">
        <v>18004</v>
      </c>
      <c r="D1361" s="36" t="s">
        <v>18005</v>
      </c>
      <c r="E1361" s="36" t="s">
        <v>18006</v>
      </c>
      <c r="F1361" s="36" t="s">
        <v>18007</v>
      </c>
      <c r="G1361" s="36" t="s">
        <v>18008</v>
      </c>
      <c r="H1361" s="36" t="s">
        <v>18009</v>
      </c>
      <c r="I1361" s="36" t="s">
        <v>18010</v>
      </c>
      <c r="J1361" s="36" t="s">
        <v>18011</v>
      </c>
      <c r="K1361" s="36" t="s">
        <v>18012</v>
      </c>
      <c r="L1361" s="36" t="s">
        <v>18013</v>
      </c>
      <c r="M1361" s="36" t="s">
        <v>18014</v>
      </c>
      <c r="N1361" s="36" t="s">
        <v>18015</v>
      </c>
      <c r="O1361" s="36" t="s">
        <v>18016</v>
      </c>
      <c r="P1361" s="36" t="s">
        <v>18003</v>
      </c>
    </row>
    <row r="1362" spans="1:16">
      <c r="A1362" s="132">
        <v>1361</v>
      </c>
      <c r="B1362" s="36" t="s">
        <v>18017</v>
      </c>
      <c r="C1362" s="36" t="s">
        <v>18018</v>
      </c>
      <c r="D1362" s="36" t="s">
        <v>18019</v>
      </c>
      <c r="E1362" s="36" t="s">
        <v>18020</v>
      </c>
      <c r="F1362" s="36" t="s">
        <v>18021</v>
      </c>
      <c r="G1362" s="36" t="s">
        <v>18022</v>
      </c>
      <c r="H1362" s="36" t="s">
        <v>18023</v>
      </c>
      <c r="I1362" s="36" t="s">
        <v>18024</v>
      </c>
      <c r="J1362" s="36" t="s">
        <v>18025</v>
      </c>
      <c r="K1362" s="36" t="s">
        <v>18026</v>
      </c>
      <c r="L1362" s="36" t="s">
        <v>18027</v>
      </c>
      <c r="M1362" s="36" t="s">
        <v>18028</v>
      </c>
      <c r="N1362" s="36" t="s">
        <v>18029</v>
      </c>
      <c r="O1362" s="36" t="s">
        <v>18030</v>
      </c>
      <c r="P1362" s="36" t="s">
        <v>18017</v>
      </c>
    </row>
    <row r="1363" spans="1:16">
      <c r="A1363" s="132">
        <v>1362</v>
      </c>
      <c r="B1363" s="36" t="s">
        <v>18031</v>
      </c>
      <c r="C1363" s="36" t="s">
        <v>18032</v>
      </c>
      <c r="D1363" s="36" t="s">
        <v>18033</v>
      </c>
      <c r="E1363" s="36" t="s">
        <v>18034</v>
      </c>
      <c r="F1363" s="36" t="s">
        <v>18035</v>
      </c>
      <c r="G1363" s="36" t="s">
        <v>18036</v>
      </c>
      <c r="H1363" s="36" t="s">
        <v>18037</v>
      </c>
      <c r="I1363" s="36" t="s">
        <v>18038</v>
      </c>
      <c r="J1363" s="36" t="s">
        <v>18039</v>
      </c>
      <c r="K1363" s="36" t="s">
        <v>18040</v>
      </c>
      <c r="L1363" s="36" t="s">
        <v>18041</v>
      </c>
      <c r="M1363" s="36" t="s">
        <v>18042</v>
      </c>
      <c r="N1363" s="36" t="s">
        <v>18043</v>
      </c>
      <c r="O1363" s="36" t="s">
        <v>18044</v>
      </c>
      <c r="P1363" s="36" t="s">
        <v>18031</v>
      </c>
    </row>
    <row r="1364" spans="1:16">
      <c r="A1364" s="132">
        <v>1363</v>
      </c>
      <c r="B1364" s="36" t="s">
        <v>18045</v>
      </c>
      <c r="C1364" s="36" t="s">
        <v>18046</v>
      </c>
      <c r="D1364" s="36" t="s">
        <v>18047</v>
      </c>
      <c r="E1364" s="36" t="s">
        <v>18048</v>
      </c>
      <c r="F1364" s="36" t="s">
        <v>18049</v>
      </c>
      <c r="G1364" s="36" t="s">
        <v>18050</v>
      </c>
      <c r="H1364" s="36" t="s">
        <v>18051</v>
      </c>
      <c r="I1364" s="36" t="s">
        <v>18052</v>
      </c>
      <c r="J1364" s="36" t="s">
        <v>18053</v>
      </c>
      <c r="K1364" s="36" t="s">
        <v>18054</v>
      </c>
      <c r="L1364" s="36" t="s">
        <v>18055</v>
      </c>
      <c r="M1364" s="36" t="s">
        <v>18056</v>
      </c>
      <c r="N1364" s="36" t="s">
        <v>18057</v>
      </c>
      <c r="O1364" s="36" t="s">
        <v>18058</v>
      </c>
      <c r="P1364" s="36" t="s">
        <v>18045</v>
      </c>
    </row>
    <row r="1365" spans="1:16">
      <c r="A1365" s="132">
        <v>1364</v>
      </c>
      <c r="B1365" s="36" t="s">
        <v>18059</v>
      </c>
      <c r="C1365" s="36" t="s">
        <v>18060</v>
      </c>
      <c r="D1365" s="36" t="s">
        <v>18061</v>
      </c>
      <c r="E1365" s="36" t="s">
        <v>18062</v>
      </c>
      <c r="F1365" s="36" t="s">
        <v>18063</v>
      </c>
      <c r="G1365" s="36" t="s">
        <v>18064</v>
      </c>
      <c r="H1365" s="36" t="s">
        <v>18065</v>
      </c>
      <c r="I1365" s="36" t="s">
        <v>18066</v>
      </c>
      <c r="J1365" s="36" t="s">
        <v>18067</v>
      </c>
      <c r="K1365" s="36" t="s">
        <v>18068</v>
      </c>
      <c r="L1365" s="36" t="s">
        <v>18069</v>
      </c>
      <c r="M1365" s="36" t="s">
        <v>18070</v>
      </c>
      <c r="N1365" s="36" t="s">
        <v>18071</v>
      </c>
      <c r="O1365" s="36" t="s">
        <v>18072</v>
      </c>
      <c r="P1365" s="36" t="s">
        <v>18059</v>
      </c>
    </row>
    <row r="1366" spans="1:16">
      <c r="A1366" s="132">
        <v>1365</v>
      </c>
      <c r="B1366" s="36" t="s">
        <v>18073</v>
      </c>
      <c r="C1366" s="36" t="s">
        <v>18074</v>
      </c>
      <c r="D1366" s="36" t="s">
        <v>18075</v>
      </c>
      <c r="E1366" s="36" t="s">
        <v>18076</v>
      </c>
      <c r="F1366" s="36" t="s">
        <v>18077</v>
      </c>
      <c r="G1366" s="36" t="s">
        <v>18078</v>
      </c>
      <c r="H1366" s="36" t="s">
        <v>18079</v>
      </c>
      <c r="I1366" s="36" t="s">
        <v>18080</v>
      </c>
      <c r="J1366" s="36" t="s">
        <v>18081</v>
      </c>
      <c r="K1366" s="36" t="s">
        <v>18082</v>
      </c>
      <c r="L1366" s="36" t="s">
        <v>18083</v>
      </c>
      <c r="M1366" s="36" t="s">
        <v>18084</v>
      </c>
      <c r="N1366" s="36" t="s">
        <v>18085</v>
      </c>
      <c r="O1366" s="36" t="s">
        <v>18086</v>
      </c>
      <c r="P1366" s="36" t="s">
        <v>18073</v>
      </c>
    </row>
    <row r="1367" spans="1:16">
      <c r="A1367" s="132">
        <v>1366</v>
      </c>
      <c r="B1367" s="36" t="s">
        <v>18087</v>
      </c>
      <c r="C1367" s="36" t="s">
        <v>18088</v>
      </c>
      <c r="D1367" s="36" t="s">
        <v>18089</v>
      </c>
      <c r="E1367" s="36" t="s">
        <v>18090</v>
      </c>
      <c r="F1367" s="36" t="s">
        <v>18091</v>
      </c>
      <c r="G1367" s="36" t="s">
        <v>18092</v>
      </c>
      <c r="H1367" s="36" t="s">
        <v>18093</v>
      </c>
      <c r="I1367" s="36" t="s">
        <v>18094</v>
      </c>
      <c r="J1367" s="36" t="s">
        <v>18095</v>
      </c>
      <c r="K1367" s="36" t="s">
        <v>18096</v>
      </c>
      <c r="L1367" s="36" t="s">
        <v>18097</v>
      </c>
      <c r="M1367" s="36" t="s">
        <v>18098</v>
      </c>
      <c r="N1367" s="36" t="s">
        <v>18099</v>
      </c>
      <c r="O1367" s="36" t="s">
        <v>18100</v>
      </c>
      <c r="P1367" s="36" t="s">
        <v>18087</v>
      </c>
    </row>
    <row r="1368" spans="1:16">
      <c r="A1368" s="132">
        <v>1367</v>
      </c>
      <c r="B1368" s="36" t="s">
        <v>18101</v>
      </c>
      <c r="C1368" s="36" t="s">
        <v>18102</v>
      </c>
      <c r="D1368" s="36" t="s">
        <v>18103</v>
      </c>
      <c r="E1368" s="36" t="s">
        <v>18104</v>
      </c>
      <c r="F1368" s="36" t="s">
        <v>18105</v>
      </c>
      <c r="G1368" s="36" t="s">
        <v>18106</v>
      </c>
      <c r="H1368" s="36" t="s">
        <v>18107</v>
      </c>
      <c r="I1368" s="36" t="s">
        <v>18108</v>
      </c>
      <c r="J1368" s="36" t="s">
        <v>18109</v>
      </c>
      <c r="K1368" s="36" t="s">
        <v>18110</v>
      </c>
      <c r="L1368" s="36" t="s">
        <v>18111</v>
      </c>
      <c r="M1368" s="36" t="s">
        <v>18112</v>
      </c>
      <c r="N1368" s="36" t="s">
        <v>18113</v>
      </c>
      <c r="O1368" s="36" t="s">
        <v>18114</v>
      </c>
      <c r="P1368" s="36" t="s">
        <v>18101</v>
      </c>
    </row>
    <row r="1369" spans="1:16">
      <c r="A1369" s="132">
        <v>1368</v>
      </c>
      <c r="B1369" s="36" t="s">
        <v>18115</v>
      </c>
      <c r="C1369" s="36" t="s">
        <v>18116</v>
      </c>
      <c r="D1369" s="36" t="s">
        <v>18117</v>
      </c>
      <c r="E1369" s="36" t="s">
        <v>18118</v>
      </c>
      <c r="F1369" s="36" t="s">
        <v>18119</v>
      </c>
      <c r="G1369" s="36" t="s">
        <v>18120</v>
      </c>
      <c r="H1369" s="36" t="s">
        <v>18121</v>
      </c>
      <c r="I1369" s="36" t="s">
        <v>18122</v>
      </c>
      <c r="J1369" s="36" t="s">
        <v>18123</v>
      </c>
      <c r="K1369" s="36" t="s">
        <v>18124</v>
      </c>
      <c r="L1369" s="36" t="s">
        <v>18125</v>
      </c>
      <c r="M1369" s="36" t="s">
        <v>18126</v>
      </c>
      <c r="N1369" s="36" t="s">
        <v>18127</v>
      </c>
      <c r="O1369" s="36" t="s">
        <v>18128</v>
      </c>
      <c r="P1369" s="36" t="s">
        <v>18115</v>
      </c>
    </row>
    <row r="1370" spans="1:16">
      <c r="A1370" s="132">
        <v>1369</v>
      </c>
      <c r="B1370" s="36" t="s">
        <v>18129</v>
      </c>
      <c r="C1370" s="36" t="s">
        <v>18130</v>
      </c>
      <c r="D1370" s="36" t="s">
        <v>18131</v>
      </c>
      <c r="E1370" s="36" t="s">
        <v>18132</v>
      </c>
      <c r="F1370" s="36" t="s">
        <v>18133</v>
      </c>
      <c r="G1370" s="36" t="s">
        <v>18134</v>
      </c>
      <c r="H1370" s="36" t="s">
        <v>18135</v>
      </c>
      <c r="I1370" s="36" t="s">
        <v>18136</v>
      </c>
      <c r="J1370" s="36" t="s">
        <v>18137</v>
      </c>
      <c r="K1370" s="36" t="s">
        <v>18138</v>
      </c>
      <c r="L1370" s="36" t="s">
        <v>18139</v>
      </c>
      <c r="M1370" s="36" t="s">
        <v>18140</v>
      </c>
      <c r="N1370" s="36" t="s">
        <v>18141</v>
      </c>
      <c r="O1370" s="36" t="s">
        <v>18142</v>
      </c>
      <c r="P1370" s="36" t="s">
        <v>18129</v>
      </c>
    </row>
    <row r="1371" spans="1:16">
      <c r="A1371" s="132">
        <v>1370</v>
      </c>
      <c r="B1371" s="36" t="s">
        <v>18143</v>
      </c>
      <c r="C1371" s="36" t="s">
        <v>18144</v>
      </c>
      <c r="D1371" s="36" t="s">
        <v>18145</v>
      </c>
      <c r="E1371" s="36" t="s">
        <v>18146</v>
      </c>
      <c r="F1371" s="36" t="s">
        <v>18147</v>
      </c>
      <c r="G1371" s="36" t="s">
        <v>18148</v>
      </c>
      <c r="H1371" s="36" t="s">
        <v>18149</v>
      </c>
      <c r="I1371" s="36" t="s">
        <v>18150</v>
      </c>
      <c r="J1371" s="36" t="s">
        <v>18151</v>
      </c>
      <c r="K1371" s="36" t="s">
        <v>18152</v>
      </c>
      <c r="L1371" s="36" t="s">
        <v>18153</v>
      </c>
      <c r="M1371" s="36" t="s">
        <v>18154</v>
      </c>
      <c r="N1371" s="36" t="s">
        <v>18155</v>
      </c>
      <c r="O1371" s="36" t="s">
        <v>18156</v>
      </c>
      <c r="P1371" s="36" t="s">
        <v>18143</v>
      </c>
    </row>
    <row r="1372" spans="1:16">
      <c r="A1372" s="132">
        <v>1371</v>
      </c>
      <c r="B1372" s="36" t="s">
        <v>18157</v>
      </c>
      <c r="C1372" s="36" t="s">
        <v>18158</v>
      </c>
      <c r="D1372" s="36" t="s">
        <v>18159</v>
      </c>
      <c r="E1372" s="36" t="s">
        <v>18160</v>
      </c>
      <c r="F1372" s="36" t="s">
        <v>18161</v>
      </c>
      <c r="G1372" s="36" t="s">
        <v>18162</v>
      </c>
      <c r="H1372" s="36" t="s">
        <v>18163</v>
      </c>
      <c r="I1372" s="36" t="s">
        <v>18164</v>
      </c>
      <c r="J1372" s="36" t="s">
        <v>18165</v>
      </c>
      <c r="K1372" s="36" t="s">
        <v>18166</v>
      </c>
      <c r="L1372" s="36" t="s">
        <v>18167</v>
      </c>
      <c r="M1372" s="36" t="s">
        <v>18168</v>
      </c>
      <c r="N1372" s="36" t="s">
        <v>18169</v>
      </c>
      <c r="O1372" s="36" t="s">
        <v>18170</v>
      </c>
      <c r="P1372" s="36" t="s">
        <v>18157</v>
      </c>
    </row>
    <row r="1373" spans="1:16">
      <c r="A1373" s="132">
        <v>1372</v>
      </c>
      <c r="B1373" s="36" t="s">
        <v>18171</v>
      </c>
      <c r="C1373" s="36" t="s">
        <v>18172</v>
      </c>
      <c r="D1373" s="36" t="s">
        <v>18173</v>
      </c>
      <c r="E1373" s="36" t="s">
        <v>18174</v>
      </c>
      <c r="F1373" s="36" t="s">
        <v>18175</v>
      </c>
      <c r="G1373" s="36" t="s">
        <v>18176</v>
      </c>
      <c r="H1373" s="36" t="s">
        <v>18177</v>
      </c>
      <c r="I1373" s="36" t="s">
        <v>18178</v>
      </c>
      <c r="J1373" s="36" t="s">
        <v>18179</v>
      </c>
      <c r="K1373" s="36" t="s">
        <v>18180</v>
      </c>
      <c r="L1373" s="36" t="s">
        <v>18181</v>
      </c>
      <c r="M1373" s="36" t="s">
        <v>18182</v>
      </c>
      <c r="N1373" s="36" t="s">
        <v>18183</v>
      </c>
      <c r="O1373" s="36" t="s">
        <v>18184</v>
      </c>
      <c r="P1373" s="36" t="s">
        <v>18171</v>
      </c>
    </row>
    <row r="1374" spans="1:16">
      <c r="A1374" s="132">
        <v>1373</v>
      </c>
      <c r="B1374" s="36" t="s">
        <v>18185</v>
      </c>
      <c r="C1374" s="36" t="s">
        <v>18186</v>
      </c>
      <c r="D1374" s="36" t="s">
        <v>18187</v>
      </c>
      <c r="E1374" s="36" t="s">
        <v>18188</v>
      </c>
      <c r="F1374" s="36" t="s">
        <v>18189</v>
      </c>
      <c r="G1374" s="36" t="s">
        <v>18190</v>
      </c>
      <c r="H1374" s="36" t="s">
        <v>18191</v>
      </c>
      <c r="I1374" s="36" t="s">
        <v>18192</v>
      </c>
      <c r="J1374" s="36" t="s">
        <v>18193</v>
      </c>
      <c r="K1374" s="36" t="s">
        <v>18194</v>
      </c>
      <c r="L1374" s="36" t="s">
        <v>18195</v>
      </c>
      <c r="M1374" s="36" t="s">
        <v>18196</v>
      </c>
      <c r="N1374" s="36" t="s">
        <v>18197</v>
      </c>
      <c r="O1374" s="36" t="s">
        <v>18198</v>
      </c>
      <c r="P1374" s="36" t="s">
        <v>18185</v>
      </c>
    </row>
    <row r="1375" spans="1:16">
      <c r="A1375" s="132">
        <v>1374</v>
      </c>
      <c r="B1375" s="36" t="s">
        <v>18199</v>
      </c>
      <c r="C1375" s="36" t="s">
        <v>13322</v>
      </c>
      <c r="D1375" s="36" t="s">
        <v>7604</v>
      </c>
      <c r="E1375" s="36" t="s">
        <v>18200</v>
      </c>
      <c r="F1375" s="36" t="s">
        <v>18201</v>
      </c>
      <c r="G1375" s="36" t="s">
        <v>18202</v>
      </c>
      <c r="H1375" s="36" t="s">
        <v>18203</v>
      </c>
      <c r="I1375" s="36" t="s">
        <v>18204</v>
      </c>
      <c r="J1375" s="36" t="s">
        <v>18205</v>
      </c>
      <c r="K1375" s="36" t="s">
        <v>18206</v>
      </c>
      <c r="L1375" s="36" t="s">
        <v>18207</v>
      </c>
      <c r="M1375" s="36" t="s">
        <v>18208</v>
      </c>
      <c r="N1375" s="36" t="s">
        <v>18209</v>
      </c>
      <c r="O1375" s="36" t="s">
        <v>18210</v>
      </c>
      <c r="P1375" s="36" t="s">
        <v>18199</v>
      </c>
    </row>
    <row r="1376" spans="1:16">
      <c r="A1376" s="132">
        <v>1375</v>
      </c>
      <c r="B1376" s="36" t="s">
        <v>18211</v>
      </c>
      <c r="C1376" s="36" t="s">
        <v>18212</v>
      </c>
      <c r="D1376" s="36" t="s">
        <v>18213</v>
      </c>
      <c r="E1376" s="36" t="s">
        <v>18214</v>
      </c>
      <c r="F1376" s="36" t="s">
        <v>18215</v>
      </c>
      <c r="G1376" s="36" t="s">
        <v>18216</v>
      </c>
      <c r="H1376" s="36" t="s">
        <v>18217</v>
      </c>
      <c r="I1376" s="36" t="s">
        <v>18218</v>
      </c>
      <c r="J1376" s="36" t="s">
        <v>18219</v>
      </c>
      <c r="K1376" s="36" t="s">
        <v>18220</v>
      </c>
      <c r="L1376" s="36" t="s">
        <v>18221</v>
      </c>
      <c r="M1376" s="36" t="s">
        <v>6641</v>
      </c>
      <c r="N1376" s="36" t="s">
        <v>18222</v>
      </c>
      <c r="O1376" s="36" t="s">
        <v>18223</v>
      </c>
      <c r="P1376" s="36" t="s">
        <v>18211</v>
      </c>
    </row>
    <row r="1377" spans="1:16" ht="16.2">
      <c r="A1377" s="132">
        <v>1376</v>
      </c>
      <c r="B1377" s="36" t="s">
        <v>18224</v>
      </c>
      <c r="C1377" s="36" t="s">
        <v>18225</v>
      </c>
      <c r="D1377" s="36" t="s">
        <v>18226</v>
      </c>
      <c r="E1377" s="36" t="s">
        <v>18227</v>
      </c>
      <c r="F1377" s="36" t="s">
        <v>18228</v>
      </c>
      <c r="G1377" s="36" t="s">
        <v>18229</v>
      </c>
      <c r="H1377" s="36" t="s">
        <v>18230</v>
      </c>
      <c r="I1377" s="36" t="s">
        <v>18231</v>
      </c>
      <c r="J1377" s="36" t="s">
        <v>18232</v>
      </c>
      <c r="K1377" s="36" t="s">
        <v>18233</v>
      </c>
      <c r="L1377" s="36" t="s">
        <v>18234</v>
      </c>
      <c r="M1377" s="36" t="s">
        <v>18235</v>
      </c>
      <c r="N1377" s="36" t="s">
        <v>18236</v>
      </c>
      <c r="O1377" s="36" t="s">
        <v>18237</v>
      </c>
      <c r="P1377" s="36" t="s">
        <v>18224</v>
      </c>
    </row>
    <row r="1378" spans="1:16">
      <c r="A1378" s="132">
        <v>1377</v>
      </c>
      <c r="B1378" s="36" t="s">
        <v>18238</v>
      </c>
      <c r="C1378" s="36" t="s">
        <v>18239</v>
      </c>
      <c r="D1378" s="36" t="s">
        <v>18240</v>
      </c>
      <c r="E1378" s="36" t="s">
        <v>18241</v>
      </c>
      <c r="F1378" s="36" t="s">
        <v>18242</v>
      </c>
      <c r="G1378" s="36" t="s">
        <v>18243</v>
      </c>
      <c r="H1378" s="36" t="s">
        <v>18244</v>
      </c>
      <c r="I1378" s="36" t="s">
        <v>18245</v>
      </c>
      <c r="J1378" s="36" t="s">
        <v>18246</v>
      </c>
      <c r="K1378" s="36" t="s">
        <v>18247</v>
      </c>
      <c r="L1378" s="36" t="s">
        <v>18248</v>
      </c>
      <c r="M1378" s="36" t="s">
        <v>18249</v>
      </c>
      <c r="N1378" s="36" t="s">
        <v>18250</v>
      </c>
      <c r="O1378" s="36" t="s">
        <v>18251</v>
      </c>
      <c r="P1378" s="36" t="s">
        <v>18238</v>
      </c>
    </row>
    <row r="1379" spans="1:16">
      <c r="A1379" s="132">
        <v>1378</v>
      </c>
      <c r="B1379" s="36" t="s">
        <v>18252</v>
      </c>
      <c r="C1379" s="36" t="s">
        <v>18253</v>
      </c>
      <c r="D1379" s="36" t="s">
        <v>18254</v>
      </c>
      <c r="E1379" s="36" t="s">
        <v>18255</v>
      </c>
      <c r="F1379" s="36" t="s">
        <v>18256</v>
      </c>
      <c r="G1379" s="36" t="s">
        <v>18257</v>
      </c>
      <c r="H1379" s="36" t="s">
        <v>18258</v>
      </c>
      <c r="I1379" s="36" t="s">
        <v>18259</v>
      </c>
      <c r="J1379" s="36" t="s">
        <v>18260</v>
      </c>
      <c r="K1379" s="36" t="s">
        <v>18261</v>
      </c>
      <c r="L1379" s="36" t="s">
        <v>18262</v>
      </c>
      <c r="M1379" s="36" t="s">
        <v>18263</v>
      </c>
      <c r="N1379" s="36" t="s">
        <v>18264</v>
      </c>
      <c r="O1379" s="36" t="s">
        <v>18265</v>
      </c>
      <c r="P1379" s="36" t="s">
        <v>18252</v>
      </c>
    </row>
    <row r="1380" spans="1:16">
      <c r="A1380" s="132">
        <v>1379</v>
      </c>
      <c r="B1380" s="36" t="s">
        <v>18266</v>
      </c>
      <c r="C1380" s="36" t="s">
        <v>18267</v>
      </c>
      <c r="D1380" s="36" t="s">
        <v>15877</v>
      </c>
      <c r="E1380" s="36" t="s">
        <v>15878</v>
      </c>
      <c r="F1380" s="36" t="s">
        <v>18268</v>
      </c>
      <c r="G1380" s="36" t="s">
        <v>15880</v>
      </c>
      <c r="H1380" s="36" t="s">
        <v>15881</v>
      </c>
      <c r="I1380" s="36" t="s">
        <v>15882</v>
      </c>
      <c r="J1380" s="36" t="s">
        <v>15883</v>
      </c>
      <c r="K1380" s="36" t="s">
        <v>15884</v>
      </c>
      <c r="L1380" s="36" t="s">
        <v>15885</v>
      </c>
      <c r="M1380" s="36" t="s">
        <v>15886</v>
      </c>
      <c r="N1380" s="36" t="s">
        <v>15887</v>
      </c>
      <c r="O1380" s="36" t="s">
        <v>18269</v>
      </c>
      <c r="P1380" s="36" t="s">
        <v>18266</v>
      </c>
    </row>
    <row r="1381" spans="1:16">
      <c r="A1381" s="132">
        <v>1380</v>
      </c>
      <c r="B1381" s="36" t="s">
        <v>18270</v>
      </c>
      <c r="C1381" s="36" t="s">
        <v>15890</v>
      </c>
      <c r="D1381" s="36" t="s">
        <v>15891</v>
      </c>
      <c r="E1381" s="36" t="s">
        <v>15892</v>
      </c>
      <c r="F1381" s="36" t="s">
        <v>18271</v>
      </c>
      <c r="G1381" s="36" t="s">
        <v>18272</v>
      </c>
      <c r="H1381" s="36" t="s">
        <v>15895</v>
      </c>
      <c r="I1381" s="36" t="s">
        <v>15896</v>
      </c>
      <c r="J1381" s="36" t="s">
        <v>15897</v>
      </c>
      <c r="K1381" s="36" t="s">
        <v>15898</v>
      </c>
      <c r="L1381" s="36" t="s">
        <v>15899</v>
      </c>
      <c r="M1381" s="36" t="s">
        <v>15900</v>
      </c>
      <c r="N1381" s="36" t="s">
        <v>15901</v>
      </c>
      <c r="O1381" s="36" t="s">
        <v>18273</v>
      </c>
      <c r="P1381" s="36" t="s">
        <v>18270</v>
      </c>
    </row>
    <row r="1382" spans="1:16">
      <c r="A1382" s="132">
        <v>1381</v>
      </c>
      <c r="B1382" s="36" t="s">
        <v>18274</v>
      </c>
      <c r="C1382" s="36" t="s">
        <v>18275</v>
      </c>
      <c r="D1382" s="36" t="s">
        <v>18276</v>
      </c>
      <c r="E1382" s="36" t="s">
        <v>18277</v>
      </c>
      <c r="F1382" s="36" t="s">
        <v>18278</v>
      </c>
      <c r="G1382" s="36" t="s">
        <v>18279</v>
      </c>
      <c r="H1382" s="36" t="s">
        <v>18280</v>
      </c>
      <c r="I1382" s="36" t="s">
        <v>18281</v>
      </c>
      <c r="J1382" s="36" t="s">
        <v>18282</v>
      </c>
      <c r="K1382" s="36" t="s">
        <v>18283</v>
      </c>
      <c r="L1382" s="36" t="s">
        <v>18284</v>
      </c>
      <c r="M1382" s="36" t="s">
        <v>18285</v>
      </c>
      <c r="N1382" s="36" t="s">
        <v>18286</v>
      </c>
      <c r="O1382" s="36" t="s">
        <v>18287</v>
      </c>
      <c r="P1382" s="36" t="s">
        <v>18274</v>
      </c>
    </row>
    <row r="1383" spans="1:16">
      <c r="A1383" s="132">
        <v>1382</v>
      </c>
      <c r="B1383" s="36" t="s">
        <v>18288</v>
      </c>
      <c r="C1383" s="36" t="s">
        <v>18289</v>
      </c>
      <c r="D1383" s="36" t="s">
        <v>9212</v>
      </c>
      <c r="E1383" s="36" t="s">
        <v>9213</v>
      </c>
      <c r="F1383" s="36" t="s">
        <v>9214</v>
      </c>
      <c r="G1383" s="36" t="s">
        <v>9215</v>
      </c>
      <c r="H1383" s="36" t="s">
        <v>9216</v>
      </c>
      <c r="I1383" s="36" t="s">
        <v>18290</v>
      </c>
      <c r="J1383" s="36" t="s">
        <v>18291</v>
      </c>
      <c r="K1383" s="36" t="s">
        <v>18292</v>
      </c>
      <c r="L1383" s="36" t="s">
        <v>18293</v>
      </c>
      <c r="M1383" s="36" t="s">
        <v>18294</v>
      </c>
      <c r="N1383" s="36" t="s">
        <v>18295</v>
      </c>
      <c r="O1383" s="36" t="s">
        <v>18296</v>
      </c>
      <c r="P1383" s="36" t="s">
        <v>18288</v>
      </c>
    </row>
    <row r="1384" spans="1:16">
      <c r="A1384" s="132">
        <v>1383</v>
      </c>
      <c r="B1384" s="36" t="s">
        <v>18297</v>
      </c>
      <c r="C1384" s="36" t="s">
        <v>18298</v>
      </c>
      <c r="D1384" s="36" t="s">
        <v>18299</v>
      </c>
      <c r="E1384" s="36" t="s">
        <v>18300</v>
      </c>
      <c r="F1384" s="36" t="s">
        <v>18301</v>
      </c>
      <c r="G1384" s="36" t="s">
        <v>18302</v>
      </c>
      <c r="H1384" s="36" t="s">
        <v>18303</v>
      </c>
      <c r="I1384" s="36" t="s">
        <v>18304</v>
      </c>
      <c r="J1384" s="36" t="s">
        <v>18305</v>
      </c>
      <c r="K1384" s="36" t="s">
        <v>18306</v>
      </c>
      <c r="L1384" s="36" t="s">
        <v>18307</v>
      </c>
      <c r="M1384" s="36" t="s">
        <v>18308</v>
      </c>
      <c r="N1384" s="36" t="s">
        <v>18309</v>
      </c>
      <c r="O1384" s="36" t="s">
        <v>18310</v>
      </c>
      <c r="P1384" s="36" t="s">
        <v>18297</v>
      </c>
    </row>
    <row r="1385" spans="1:16">
      <c r="A1385" s="132">
        <v>1384</v>
      </c>
      <c r="B1385" s="36" t="s">
        <v>18311</v>
      </c>
      <c r="C1385" s="36" t="s">
        <v>18312</v>
      </c>
      <c r="D1385" s="36" t="s">
        <v>18313</v>
      </c>
      <c r="E1385" s="36" t="s">
        <v>18314</v>
      </c>
      <c r="F1385" s="36" t="s">
        <v>18315</v>
      </c>
      <c r="G1385" s="36" t="s">
        <v>18316</v>
      </c>
      <c r="H1385" s="36" t="s">
        <v>18317</v>
      </c>
      <c r="I1385" s="36" t="s">
        <v>18318</v>
      </c>
      <c r="J1385" s="36" t="s">
        <v>18319</v>
      </c>
      <c r="K1385" s="36" t="s">
        <v>18320</v>
      </c>
      <c r="L1385" s="36" t="s">
        <v>18321</v>
      </c>
      <c r="M1385" s="36" t="s">
        <v>18322</v>
      </c>
      <c r="N1385" s="36" t="s">
        <v>18323</v>
      </c>
      <c r="O1385" s="36" t="s">
        <v>18324</v>
      </c>
      <c r="P1385" s="36" t="s">
        <v>18311</v>
      </c>
    </row>
    <row r="1386" spans="1:16">
      <c r="A1386" s="132">
        <v>1385</v>
      </c>
      <c r="B1386" s="36" t="s">
        <v>18325</v>
      </c>
      <c r="C1386" s="36" t="s">
        <v>18326</v>
      </c>
      <c r="D1386" s="36" t="s">
        <v>18327</v>
      </c>
      <c r="E1386" s="36" t="s">
        <v>18328</v>
      </c>
      <c r="F1386" s="36" t="s">
        <v>18329</v>
      </c>
      <c r="G1386" s="36" t="s">
        <v>18330</v>
      </c>
      <c r="H1386" s="36" t="s">
        <v>18331</v>
      </c>
      <c r="I1386" s="36" t="s">
        <v>18332</v>
      </c>
      <c r="J1386" s="36" t="s">
        <v>18333</v>
      </c>
      <c r="K1386" s="36" t="s">
        <v>18334</v>
      </c>
      <c r="L1386" s="36" t="s">
        <v>18335</v>
      </c>
      <c r="M1386" s="36" t="s">
        <v>18336</v>
      </c>
      <c r="N1386" s="36" t="s">
        <v>18337</v>
      </c>
      <c r="O1386" s="36" t="s">
        <v>18338</v>
      </c>
      <c r="P1386" s="36" t="s">
        <v>18325</v>
      </c>
    </row>
    <row r="1387" spans="1:16">
      <c r="A1387" s="132">
        <v>1386</v>
      </c>
      <c r="B1387" s="36" t="s">
        <v>18339</v>
      </c>
      <c r="C1387" s="36" t="s">
        <v>18340</v>
      </c>
      <c r="D1387" s="36" t="s">
        <v>18341</v>
      </c>
      <c r="E1387" s="36" t="s">
        <v>18342</v>
      </c>
      <c r="F1387" s="36" t="s">
        <v>18343</v>
      </c>
      <c r="G1387" s="36" t="s">
        <v>18344</v>
      </c>
      <c r="H1387" s="36" t="s">
        <v>18345</v>
      </c>
      <c r="I1387" s="36" t="s">
        <v>18346</v>
      </c>
      <c r="J1387" s="36" t="s">
        <v>18347</v>
      </c>
      <c r="K1387" s="36" t="s">
        <v>18348</v>
      </c>
      <c r="L1387" s="36" t="s">
        <v>18349</v>
      </c>
      <c r="M1387" s="36" t="s">
        <v>18350</v>
      </c>
      <c r="N1387" s="36" t="s">
        <v>18351</v>
      </c>
      <c r="O1387" s="36" t="s">
        <v>18352</v>
      </c>
      <c r="P1387" s="36" t="s">
        <v>18339</v>
      </c>
    </row>
    <row r="1388" spans="1:16">
      <c r="A1388" s="132">
        <v>1387</v>
      </c>
      <c r="B1388" s="36" t="s">
        <v>18353</v>
      </c>
      <c r="C1388" s="36" t="s">
        <v>18354</v>
      </c>
      <c r="D1388" s="36" t="s">
        <v>18355</v>
      </c>
      <c r="E1388" s="36" t="s">
        <v>18356</v>
      </c>
      <c r="F1388" s="36" t="s">
        <v>18357</v>
      </c>
      <c r="G1388" s="36" t="s">
        <v>18358</v>
      </c>
      <c r="H1388" s="36" t="s">
        <v>18359</v>
      </c>
      <c r="I1388" s="36" t="s">
        <v>18360</v>
      </c>
      <c r="J1388" s="36" t="s">
        <v>18361</v>
      </c>
      <c r="K1388" s="36" t="s">
        <v>18360</v>
      </c>
      <c r="L1388" s="36" t="s">
        <v>18362</v>
      </c>
      <c r="M1388" s="36" t="s">
        <v>18363</v>
      </c>
      <c r="N1388" s="36" t="s">
        <v>18364</v>
      </c>
      <c r="O1388" s="36" t="s">
        <v>18365</v>
      </c>
      <c r="P1388" s="36" t="s">
        <v>18353</v>
      </c>
    </row>
    <row r="1389" spans="1:16">
      <c r="A1389" s="132">
        <v>1388</v>
      </c>
      <c r="B1389" s="36" t="s">
        <v>18366</v>
      </c>
      <c r="C1389" s="36" t="s">
        <v>18367</v>
      </c>
      <c r="D1389" s="36" t="s">
        <v>18368</v>
      </c>
      <c r="E1389" s="36" t="s">
        <v>18369</v>
      </c>
      <c r="F1389" s="36" t="s">
        <v>18370</v>
      </c>
      <c r="G1389" s="36" t="s">
        <v>18371</v>
      </c>
      <c r="H1389" s="36" t="s">
        <v>18372</v>
      </c>
      <c r="I1389" s="36" t="s">
        <v>18373</v>
      </c>
      <c r="J1389" s="36" t="s">
        <v>18374</v>
      </c>
      <c r="K1389" s="36" t="s">
        <v>18375</v>
      </c>
      <c r="L1389" s="36" t="s">
        <v>18376</v>
      </c>
      <c r="M1389" s="36" t="s">
        <v>18377</v>
      </c>
      <c r="N1389" s="36" t="s">
        <v>18378</v>
      </c>
      <c r="O1389" s="36" t="s">
        <v>18379</v>
      </c>
      <c r="P1389" s="36" t="s">
        <v>18366</v>
      </c>
    </row>
    <row r="1390" spans="1:16">
      <c r="A1390" s="132">
        <v>1389</v>
      </c>
      <c r="B1390" s="36" t="s">
        <v>18380</v>
      </c>
      <c r="C1390" s="36" t="s">
        <v>18381</v>
      </c>
      <c r="D1390" s="36" t="s">
        <v>18382</v>
      </c>
      <c r="E1390" s="36" t="s">
        <v>18383</v>
      </c>
      <c r="F1390" s="36" t="s">
        <v>18384</v>
      </c>
      <c r="G1390" s="36" t="s">
        <v>18385</v>
      </c>
      <c r="H1390" s="36" t="s">
        <v>18386</v>
      </c>
      <c r="I1390" s="36" t="s">
        <v>18387</v>
      </c>
      <c r="J1390" s="36" t="s">
        <v>18388</v>
      </c>
      <c r="K1390" s="36" t="s">
        <v>18389</v>
      </c>
      <c r="L1390" s="36" t="s">
        <v>18390</v>
      </c>
      <c r="M1390" s="36" t="s">
        <v>18391</v>
      </c>
      <c r="N1390" s="36" t="s">
        <v>18392</v>
      </c>
      <c r="O1390" s="36" t="s">
        <v>18393</v>
      </c>
      <c r="P1390" s="36" t="s">
        <v>18380</v>
      </c>
    </row>
    <row r="1391" spans="1:16">
      <c r="A1391" s="132">
        <v>1390</v>
      </c>
      <c r="B1391" s="36" t="s">
        <v>18394</v>
      </c>
      <c r="C1391" s="36" t="s">
        <v>18395</v>
      </c>
      <c r="D1391" s="36" t="s">
        <v>18396</v>
      </c>
      <c r="E1391" s="36" t="s">
        <v>18397</v>
      </c>
      <c r="F1391" s="36" t="s">
        <v>18398</v>
      </c>
      <c r="G1391" s="36" t="s">
        <v>18399</v>
      </c>
      <c r="H1391" s="36" t="s">
        <v>18400</v>
      </c>
      <c r="I1391" s="36" t="s">
        <v>18401</v>
      </c>
      <c r="J1391" s="36" t="s">
        <v>18402</v>
      </c>
      <c r="K1391" s="36" t="s">
        <v>18403</v>
      </c>
      <c r="L1391" s="36" t="s">
        <v>18404</v>
      </c>
      <c r="M1391" s="36" t="s">
        <v>18405</v>
      </c>
      <c r="N1391" s="36" t="s">
        <v>18406</v>
      </c>
      <c r="O1391" s="36" t="s">
        <v>18407</v>
      </c>
      <c r="P1391" s="36" t="s">
        <v>18394</v>
      </c>
    </row>
    <row r="1392" spans="1:16">
      <c r="A1392" s="132">
        <v>1391</v>
      </c>
      <c r="B1392" s="36" t="s">
        <v>18408</v>
      </c>
      <c r="C1392" s="36" t="s">
        <v>18409</v>
      </c>
      <c r="D1392" s="36" t="s">
        <v>18410</v>
      </c>
      <c r="E1392" s="36" t="s">
        <v>18408</v>
      </c>
      <c r="F1392" s="36" t="s">
        <v>18411</v>
      </c>
      <c r="G1392" s="36" t="s">
        <v>18412</v>
      </c>
      <c r="H1392" s="36" t="s">
        <v>18413</v>
      </c>
      <c r="I1392" s="36" t="s">
        <v>18414</v>
      </c>
      <c r="J1392" s="36" t="s">
        <v>18415</v>
      </c>
      <c r="K1392" s="36" t="s">
        <v>18416</v>
      </c>
      <c r="L1392" s="36" t="s">
        <v>18415</v>
      </c>
      <c r="M1392" s="36" t="s">
        <v>18415</v>
      </c>
      <c r="N1392" s="36" t="s">
        <v>18415</v>
      </c>
      <c r="O1392" s="36" t="s">
        <v>18417</v>
      </c>
      <c r="P1392" s="36" t="s">
        <v>18408</v>
      </c>
    </row>
    <row r="1393" spans="1:16">
      <c r="A1393" s="132">
        <v>1392</v>
      </c>
      <c r="B1393" s="36" t="s">
        <v>18418</v>
      </c>
      <c r="C1393" s="36" t="s">
        <v>18419</v>
      </c>
      <c r="D1393" s="36" t="s">
        <v>18420</v>
      </c>
      <c r="E1393" s="36" t="s">
        <v>18418</v>
      </c>
      <c r="F1393" s="36" t="s">
        <v>18421</v>
      </c>
      <c r="G1393" s="36" t="s">
        <v>18422</v>
      </c>
      <c r="H1393" s="36" t="s">
        <v>18423</v>
      </c>
      <c r="I1393" s="36" t="s">
        <v>18424</v>
      </c>
      <c r="J1393" s="36" t="s">
        <v>18425</v>
      </c>
      <c r="K1393" s="36" t="s">
        <v>18426</v>
      </c>
      <c r="L1393" s="36" t="s">
        <v>18425</v>
      </c>
      <c r="M1393" s="36" t="s">
        <v>18425</v>
      </c>
      <c r="N1393" s="36" t="s">
        <v>18425</v>
      </c>
      <c r="O1393" s="36" t="s">
        <v>18427</v>
      </c>
      <c r="P1393" s="36" t="s">
        <v>18418</v>
      </c>
    </row>
    <row r="1394" spans="1:16">
      <c r="A1394" s="132">
        <v>1393</v>
      </c>
      <c r="B1394" s="36" t="s">
        <v>18428</v>
      </c>
      <c r="C1394" s="36" t="s">
        <v>18429</v>
      </c>
      <c r="D1394" s="36" t="s">
        <v>18430</v>
      </c>
      <c r="E1394" s="36" t="s">
        <v>18428</v>
      </c>
      <c r="F1394" s="36" t="s">
        <v>18431</v>
      </c>
      <c r="G1394" s="36" t="s">
        <v>18432</v>
      </c>
      <c r="H1394" s="36" t="s">
        <v>18433</v>
      </c>
      <c r="I1394" s="36" t="s">
        <v>18434</v>
      </c>
      <c r="J1394" s="36" t="s">
        <v>18435</v>
      </c>
      <c r="K1394" s="36" t="s">
        <v>18436</v>
      </c>
      <c r="L1394" s="36" t="s">
        <v>18435</v>
      </c>
      <c r="M1394" s="36" t="s">
        <v>18435</v>
      </c>
      <c r="N1394" s="36" t="s">
        <v>18435</v>
      </c>
      <c r="O1394" s="36" t="s">
        <v>18437</v>
      </c>
      <c r="P1394" s="36" t="s">
        <v>18428</v>
      </c>
    </row>
    <row r="1395" spans="1:16">
      <c r="A1395" s="132">
        <v>1394</v>
      </c>
      <c r="B1395" s="36" t="s">
        <v>18438</v>
      </c>
      <c r="C1395" s="36" t="s">
        <v>18439</v>
      </c>
      <c r="D1395" s="36" t="s">
        <v>18440</v>
      </c>
      <c r="E1395" s="36" t="s">
        <v>18441</v>
      </c>
      <c r="F1395" s="36" t="s">
        <v>18442</v>
      </c>
      <c r="G1395" s="36" t="s">
        <v>18443</v>
      </c>
      <c r="H1395" s="36" t="s">
        <v>18444</v>
      </c>
      <c r="I1395" s="36" t="s">
        <v>18445</v>
      </c>
      <c r="J1395" s="36" t="s">
        <v>18446</v>
      </c>
      <c r="K1395" s="36" t="s">
        <v>18447</v>
      </c>
      <c r="L1395" s="36" t="s">
        <v>18448</v>
      </c>
      <c r="M1395" s="36" t="s">
        <v>18449</v>
      </c>
      <c r="N1395" s="36" t="s">
        <v>18450</v>
      </c>
      <c r="O1395" s="36" t="s">
        <v>18451</v>
      </c>
      <c r="P1395" s="36" t="s">
        <v>18438</v>
      </c>
    </row>
    <row r="1396" spans="1:16">
      <c r="A1396" s="132">
        <v>1395</v>
      </c>
      <c r="B1396" s="36" t="s">
        <v>14243</v>
      </c>
      <c r="C1396" s="36" t="s">
        <v>18452</v>
      </c>
      <c r="D1396" s="36" t="s">
        <v>14245</v>
      </c>
      <c r="E1396" s="36" t="s">
        <v>14246</v>
      </c>
      <c r="F1396" s="36" t="s">
        <v>18453</v>
      </c>
      <c r="G1396" s="36" t="s">
        <v>14248</v>
      </c>
      <c r="H1396" s="36" t="s">
        <v>14249</v>
      </c>
      <c r="I1396" s="36" t="s">
        <v>14250</v>
      </c>
      <c r="J1396" s="36" t="s">
        <v>14251</v>
      </c>
      <c r="K1396" s="36" t="s">
        <v>14252</v>
      </c>
      <c r="L1396" s="36" t="s">
        <v>14253</v>
      </c>
      <c r="M1396" s="36" t="s">
        <v>14254</v>
      </c>
      <c r="N1396" s="36" t="s">
        <v>14255</v>
      </c>
      <c r="O1396" s="36" t="s">
        <v>14256</v>
      </c>
      <c r="P1396" s="36" t="s">
        <v>14243</v>
      </c>
    </row>
    <row r="1397" spans="1:16">
      <c r="A1397" s="132">
        <v>1396</v>
      </c>
      <c r="B1397" s="36" t="s">
        <v>18454</v>
      </c>
      <c r="C1397" s="36" t="s">
        <v>18455</v>
      </c>
      <c r="D1397" s="36" t="s">
        <v>18456</v>
      </c>
      <c r="E1397" s="36" t="s">
        <v>18457</v>
      </c>
      <c r="F1397" s="36" t="s">
        <v>18458</v>
      </c>
      <c r="G1397" s="36" t="s">
        <v>18459</v>
      </c>
      <c r="H1397" s="36" t="s">
        <v>18460</v>
      </c>
      <c r="I1397" s="36" t="s">
        <v>18461</v>
      </c>
      <c r="J1397" s="36" t="s">
        <v>18462</v>
      </c>
      <c r="K1397" s="36" t="s">
        <v>18463</v>
      </c>
      <c r="L1397" s="36" t="s">
        <v>18464</v>
      </c>
      <c r="M1397" s="36" t="s">
        <v>18465</v>
      </c>
      <c r="N1397" s="36" t="s">
        <v>18466</v>
      </c>
      <c r="O1397" s="36" t="s">
        <v>18467</v>
      </c>
      <c r="P1397" s="36" t="s">
        <v>18454</v>
      </c>
    </row>
    <row r="1398" spans="1:16">
      <c r="A1398" s="132">
        <v>1397</v>
      </c>
      <c r="B1398" s="36" t="s">
        <v>18468</v>
      </c>
      <c r="C1398" s="36" t="s">
        <v>18469</v>
      </c>
      <c r="D1398" s="36" t="s">
        <v>18470</v>
      </c>
      <c r="E1398" s="36" t="s">
        <v>18471</v>
      </c>
      <c r="F1398" s="36" t="s">
        <v>18472</v>
      </c>
      <c r="G1398" s="36" t="s">
        <v>18473</v>
      </c>
      <c r="H1398" s="36" t="s">
        <v>18474</v>
      </c>
      <c r="I1398" s="36" t="s">
        <v>18475</v>
      </c>
      <c r="J1398" s="36" t="s">
        <v>18476</v>
      </c>
      <c r="K1398" s="36" t="s">
        <v>18477</v>
      </c>
      <c r="L1398" s="36" t="s">
        <v>18478</v>
      </c>
      <c r="M1398" s="36" t="s">
        <v>18479</v>
      </c>
      <c r="N1398" s="36" t="s">
        <v>18480</v>
      </c>
      <c r="O1398" s="36" t="s">
        <v>18481</v>
      </c>
      <c r="P1398" s="36" t="s">
        <v>18468</v>
      </c>
    </row>
    <row r="1399" spans="1:16">
      <c r="A1399" s="132">
        <v>1398</v>
      </c>
      <c r="B1399" s="36" t="s">
        <v>18482</v>
      </c>
      <c r="C1399" s="36" t="s">
        <v>18483</v>
      </c>
      <c r="D1399" s="36" t="s">
        <v>18484</v>
      </c>
      <c r="E1399" s="36" t="s">
        <v>18485</v>
      </c>
      <c r="F1399" s="36" t="s">
        <v>18486</v>
      </c>
      <c r="G1399" s="36" t="s">
        <v>18487</v>
      </c>
      <c r="H1399" s="36" t="s">
        <v>18488</v>
      </c>
      <c r="I1399" s="36" t="s">
        <v>18489</v>
      </c>
      <c r="J1399" s="36" t="s">
        <v>18490</v>
      </c>
      <c r="K1399" s="36" t="s">
        <v>18491</v>
      </c>
      <c r="L1399" s="36" t="s">
        <v>14309</v>
      </c>
      <c r="M1399" s="36" t="s">
        <v>18492</v>
      </c>
      <c r="N1399" s="36" t="s">
        <v>18493</v>
      </c>
      <c r="O1399" s="36" t="s">
        <v>18494</v>
      </c>
      <c r="P1399" s="36" t="s">
        <v>18482</v>
      </c>
    </row>
    <row r="1400" spans="1:16">
      <c r="A1400" s="132">
        <v>1399</v>
      </c>
      <c r="B1400" s="36" t="s">
        <v>18495</v>
      </c>
      <c r="C1400" s="36" t="s">
        <v>18496</v>
      </c>
      <c r="D1400" s="36" t="s">
        <v>18497</v>
      </c>
      <c r="E1400" s="36" t="s">
        <v>18498</v>
      </c>
      <c r="F1400" s="36" t="s">
        <v>18499</v>
      </c>
      <c r="G1400" s="36" t="s">
        <v>18500</v>
      </c>
      <c r="H1400" s="36" t="s">
        <v>18501</v>
      </c>
      <c r="I1400" s="36" t="s">
        <v>18499</v>
      </c>
      <c r="J1400" s="36" t="s">
        <v>18502</v>
      </c>
      <c r="K1400" s="36" t="s">
        <v>18503</v>
      </c>
      <c r="L1400" s="36" t="s">
        <v>18504</v>
      </c>
      <c r="M1400" s="36" t="s">
        <v>18505</v>
      </c>
      <c r="N1400" s="36" t="s">
        <v>18506</v>
      </c>
      <c r="O1400" s="36" t="s">
        <v>18507</v>
      </c>
      <c r="P1400" s="36" t="s">
        <v>18495</v>
      </c>
    </row>
    <row r="1401" spans="1:16">
      <c r="A1401" s="132">
        <v>1400</v>
      </c>
      <c r="B1401" s="36" t="s">
        <v>18508</v>
      </c>
      <c r="C1401" s="36" t="s">
        <v>18509</v>
      </c>
      <c r="D1401" s="36" t="s">
        <v>18510</v>
      </c>
      <c r="E1401" s="36" t="s">
        <v>18511</v>
      </c>
      <c r="F1401" s="36" t="s">
        <v>18512</v>
      </c>
      <c r="G1401" s="36" t="s">
        <v>18513</v>
      </c>
      <c r="H1401" s="36" t="s">
        <v>18514</v>
      </c>
      <c r="I1401" s="36" t="s">
        <v>18515</v>
      </c>
      <c r="J1401" s="36" t="s">
        <v>18516</v>
      </c>
      <c r="K1401" s="36" t="s">
        <v>18517</v>
      </c>
      <c r="L1401" s="36" t="s">
        <v>18518</v>
      </c>
      <c r="M1401" s="36" t="s">
        <v>18519</v>
      </c>
      <c r="N1401" s="36" t="s">
        <v>18520</v>
      </c>
      <c r="O1401" s="36" t="s">
        <v>18521</v>
      </c>
      <c r="P1401" s="36" t="s">
        <v>18508</v>
      </c>
    </row>
    <row r="1402" spans="1:16">
      <c r="A1402" s="132">
        <v>1401</v>
      </c>
      <c r="B1402" s="36" t="s">
        <v>18522</v>
      </c>
      <c r="C1402" s="36" t="s">
        <v>18523</v>
      </c>
      <c r="D1402" s="36" t="s">
        <v>18524</v>
      </c>
      <c r="E1402" s="36" t="s">
        <v>18525</v>
      </c>
      <c r="F1402" s="36" t="s">
        <v>18526</v>
      </c>
      <c r="G1402" s="36" t="s">
        <v>18527</v>
      </c>
      <c r="H1402" s="36" t="s">
        <v>18528</v>
      </c>
      <c r="I1402" s="36" t="s">
        <v>18529</v>
      </c>
      <c r="J1402" s="36" t="s">
        <v>18530</v>
      </c>
      <c r="K1402" s="36" t="s">
        <v>18531</v>
      </c>
      <c r="L1402" s="36" t="s">
        <v>18532</v>
      </c>
      <c r="M1402" s="36" t="s">
        <v>18533</v>
      </c>
      <c r="N1402" s="36" t="s">
        <v>18534</v>
      </c>
      <c r="O1402" s="36" t="s">
        <v>18535</v>
      </c>
      <c r="P1402" s="36" t="s">
        <v>18522</v>
      </c>
    </row>
    <row r="1403" spans="1:16">
      <c r="A1403" s="132">
        <v>1402</v>
      </c>
      <c r="B1403" s="36" t="s">
        <v>18536</v>
      </c>
      <c r="C1403" s="36" t="s">
        <v>18537</v>
      </c>
      <c r="D1403" s="36" t="s">
        <v>18538</v>
      </c>
      <c r="E1403" s="36" t="s">
        <v>18539</v>
      </c>
      <c r="F1403" s="36" t="s">
        <v>18540</v>
      </c>
      <c r="G1403" s="36" t="s">
        <v>18541</v>
      </c>
      <c r="H1403" s="36" t="s">
        <v>18542</v>
      </c>
      <c r="I1403" s="36" t="s">
        <v>18543</v>
      </c>
      <c r="J1403" s="36" t="s">
        <v>18544</v>
      </c>
      <c r="K1403" s="36" t="s">
        <v>18545</v>
      </c>
      <c r="L1403" s="36" t="s">
        <v>18546</v>
      </c>
      <c r="M1403" s="36" t="s">
        <v>18547</v>
      </c>
      <c r="N1403" s="36" t="s">
        <v>18548</v>
      </c>
      <c r="O1403" s="36" t="s">
        <v>18545</v>
      </c>
      <c r="P1403" s="36" t="s">
        <v>18536</v>
      </c>
    </row>
    <row r="1404" spans="1:16">
      <c r="A1404" s="132">
        <v>1403</v>
      </c>
      <c r="B1404" s="36" t="s">
        <v>18549</v>
      </c>
      <c r="C1404" s="36" t="s">
        <v>18550</v>
      </c>
      <c r="D1404" s="36" t="s">
        <v>18551</v>
      </c>
      <c r="E1404" s="36" t="s">
        <v>18552</v>
      </c>
      <c r="F1404" s="36" t="s">
        <v>18553</v>
      </c>
      <c r="G1404" s="36" t="s">
        <v>18554</v>
      </c>
      <c r="H1404" s="36" t="s">
        <v>18555</v>
      </c>
      <c r="I1404" s="36" t="s">
        <v>18556</v>
      </c>
      <c r="J1404" s="36" t="s">
        <v>18557</v>
      </c>
      <c r="K1404" s="36" t="s">
        <v>18558</v>
      </c>
      <c r="L1404" s="36" t="s">
        <v>18559</v>
      </c>
      <c r="M1404" s="36" t="s">
        <v>18560</v>
      </c>
      <c r="N1404" s="36" t="s">
        <v>18561</v>
      </c>
      <c r="O1404" s="36" t="s">
        <v>18562</v>
      </c>
      <c r="P1404" s="36" t="s">
        <v>18549</v>
      </c>
    </row>
    <row r="1405" spans="1:16">
      <c r="A1405" s="132">
        <v>1404</v>
      </c>
      <c r="B1405" s="36" t="s">
        <v>18563</v>
      </c>
      <c r="C1405" s="36" t="s">
        <v>18564</v>
      </c>
      <c r="D1405" s="36" t="s">
        <v>18565</v>
      </c>
      <c r="E1405" s="36" t="s">
        <v>18566</v>
      </c>
      <c r="F1405" s="36" t="s">
        <v>18567</v>
      </c>
      <c r="G1405" s="36" t="s">
        <v>18568</v>
      </c>
      <c r="H1405" s="36" t="s">
        <v>18569</v>
      </c>
      <c r="I1405" s="36" t="s">
        <v>18570</v>
      </c>
      <c r="J1405" s="36" t="s">
        <v>18571</v>
      </c>
      <c r="K1405" s="36" t="s">
        <v>18572</v>
      </c>
      <c r="L1405" s="36" t="s">
        <v>18573</v>
      </c>
      <c r="M1405" s="36" t="s">
        <v>18574</v>
      </c>
      <c r="N1405" s="36" t="s">
        <v>18575</v>
      </c>
      <c r="O1405" s="36" t="s">
        <v>18576</v>
      </c>
      <c r="P1405" s="36" t="s">
        <v>18563</v>
      </c>
    </row>
    <row r="1406" spans="1:16">
      <c r="A1406" s="132">
        <v>1405</v>
      </c>
      <c r="B1406" s="36" t="s">
        <v>18577</v>
      </c>
      <c r="C1406" s="36" t="s">
        <v>18578</v>
      </c>
      <c r="D1406" s="36" t="s">
        <v>18579</v>
      </c>
      <c r="E1406" s="36" t="s">
        <v>18580</v>
      </c>
      <c r="F1406" s="36" t="s">
        <v>18581</v>
      </c>
      <c r="G1406" s="36" t="s">
        <v>18582</v>
      </c>
      <c r="H1406" s="36" t="s">
        <v>18583</v>
      </c>
      <c r="I1406" s="36" t="s">
        <v>18581</v>
      </c>
      <c r="J1406" s="36" t="s">
        <v>18584</v>
      </c>
      <c r="K1406" s="36" t="s">
        <v>18585</v>
      </c>
      <c r="L1406" s="36" t="s">
        <v>18586</v>
      </c>
      <c r="M1406" s="36" t="s">
        <v>18587</v>
      </c>
      <c r="N1406" s="36" t="s">
        <v>18588</v>
      </c>
      <c r="O1406" s="36" t="s">
        <v>18589</v>
      </c>
      <c r="P1406" s="36" t="s">
        <v>18577</v>
      </c>
    </row>
    <row r="1407" spans="1:16">
      <c r="A1407" s="132">
        <v>1406</v>
      </c>
      <c r="B1407" s="36" t="s">
        <v>18590</v>
      </c>
      <c r="C1407" s="36" t="s">
        <v>18591</v>
      </c>
      <c r="D1407" s="36" t="s">
        <v>18592</v>
      </c>
      <c r="E1407" s="36" t="s">
        <v>18593</v>
      </c>
      <c r="F1407" s="36" t="s">
        <v>18594</v>
      </c>
      <c r="G1407" s="36" t="s">
        <v>18595</v>
      </c>
      <c r="H1407" s="36" t="s">
        <v>18596</v>
      </c>
      <c r="I1407" s="36" t="s">
        <v>18597</v>
      </c>
      <c r="J1407" s="36" t="s">
        <v>18598</v>
      </c>
      <c r="K1407" s="36" t="s">
        <v>18599</v>
      </c>
      <c r="L1407" s="36" t="s">
        <v>18600</v>
      </c>
      <c r="M1407" s="36" t="s">
        <v>18601</v>
      </c>
      <c r="N1407" s="36" t="s">
        <v>18602</v>
      </c>
      <c r="O1407" s="36" t="s">
        <v>18603</v>
      </c>
      <c r="P1407" s="36" t="s">
        <v>18590</v>
      </c>
    </row>
    <row r="1408" spans="1:16">
      <c r="A1408" s="132">
        <v>1407</v>
      </c>
      <c r="B1408" s="36" t="s">
        <v>18604</v>
      </c>
      <c r="C1408" s="36" t="s">
        <v>18605</v>
      </c>
      <c r="D1408" s="36" t="s">
        <v>18606</v>
      </c>
      <c r="E1408" s="36" t="s">
        <v>18607</v>
      </c>
      <c r="F1408" s="36" t="s">
        <v>18608</v>
      </c>
      <c r="G1408" s="36" t="s">
        <v>18609</v>
      </c>
      <c r="H1408" s="36" t="s">
        <v>18610</v>
      </c>
      <c r="I1408" s="36" t="s">
        <v>18611</v>
      </c>
      <c r="J1408" s="36" t="s">
        <v>18612</v>
      </c>
      <c r="K1408" s="36" t="s">
        <v>18613</v>
      </c>
      <c r="L1408" s="36" t="s">
        <v>18614</v>
      </c>
      <c r="M1408" s="36" t="s">
        <v>18615</v>
      </c>
      <c r="N1408" s="36" t="s">
        <v>18616</v>
      </c>
      <c r="O1408" s="36" t="s">
        <v>18617</v>
      </c>
      <c r="P1408" s="36" t="s">
        <v>18604</v>
      </c>
    </row>
    <row r="1409" spans="1:16">
      <c r="A1409" s="132">
        <v>1408</v>
      </c>
      <c r="B1409" s="36" t="s">
        <v>18618</v>
      </c>
      <c r="C1409" s="36" t="s">
        <v>18619</v>
      </c>
      <c r="D1409" s="36" t="s">
        <v>18620</v>
      </c>
      <c r="E1409" s="36" t="s">
        <v>18621</v>
      </c>
      <c r="F1409" s="36" t="s">
        <v>18622</v>
      </c>
      <c r="G1409" s="36" t="s">
        <v>18623</v>
      </c>
      <c r="H1409" s="36" t="s">
        <v>18624</v>
      </c>
      <c r="I1409" s="36" t="s">
        <v>18625</v>
      </c>
      <c r="J1409" s="36" t="s">
        <v>18626</v>
      </c>
      <c r="K1409" s="36" t="s">
        <v>18627</v>
      </c>
      <c r="L1409" s="36" t="s">
        <v>18628</v>
      </c>
      <c r="M1409" s="36" t="s">
        <v>18629</v>
      </c>
      <c r="N1409" s="36" t="s">
        <v>18630</v>
      </c>
      <c r="O1409" s="36" t="s">
        <v>18631</v>
      </c>
      <c r="P1409" s="36" t="s">
        <v>18618</v>
      </c>
    </row>
    <row r="1410" spans="1:16">
      <c r="A1410" s="132">
        <v>1409</v>
      </c>
      <c r="B1410" s="36" t="s">
        <v>18632</v>
      </c>
      <c r="C1410" s="36" t="s">
        <v>18633</v>
      </c>
      <c r="D1410" s="36" t="s">
        <v>18634</v>
      </c>
      <c r="E1410" s="36" t="s">
        <v>18635</v>
      </c>
      <c r="F1410" s="36" t="s">
        <v>18636</v>
      </c>
      <c r="G1410" s="36" t="s">
        <v>18637</v>
      </c>
      <c r="H1410" s="36" t="s">
        <v>18638</v>
      </c>
      <c r="I1410" s="36" t="s">
        <v>18639</v>
      </c>
      <c r="J1410" s="36" t="s">
        <v>18640</v>
      </c>
      <c r="K1410" s="36" t="s">
        <v>18641</v>
      </c>
      <c r="L1410" s="36" t="s">
        <v>18642</v>
      </c>
      <c r="M1410" s="36" t="s">
        <v>18643</v>
      </c>
      <c r="N1410" s="36" t="s">
        <v>18644</v>
      </c>
      <c r="O1410" s="36" t="s">
        <v>18645</v>
      </c>
      <c r="P1410" s="36" t="s">
        <v>18632</v>
      </c>
    </row>
    <row r="1411" spans="1:16">
      <c r="A1411" s="132">
        <v>1410</v>
      </c>
      <c r="B1411" s="36" t="s">
        <v>18646</v>
      </c>
      <c r="C1411" s="36" t="s">
        <v>18647</v>
      </c>
      <c r="D1411" s="36" t="s">
        <v>18648</v>
      </c>
      <c r="E1411" s="36" t="s">
        <v>18649</v>
      </c>
      <c r="F1411" s="36" t="s">
        <v>18650</v>
      </c>
      <c r="G1411" s="36" t="s">
        <v>18651</v>
      </c>
      <c r="H1411" s="36" t="s">
        <v>18652</v>
      </c>
      <c r="I1411" s="36" t="s">
        <v>18653</v>
      </c>
      <c r="J1411" s="36" t="s">
        <v>18654</v>
      </c>
      <c r="K1411" s="36" t="s">
        <v>18655</v>
      </c>
      <c r="L1411" s="36" t="s">
        <v>18656</v>
      </c>
      <c r="M1411" s="36" t="s">
        <v>18657</v>
      </c>
      <c r="N1411" s="36" t="s">
        <v>18658</v>
      </c>
      <c r="O1411" s="36" t="s">
        <v>18659</v>
      </c>
      <c r="P1411" s="36" t="s">
        <v>18646</v>
      </c>
    </row>
    <row r="1412" spans="1:16">
      <c r="A1412" s="132">
        <v>1411</v>
      </c>
      <c r="B1412" s="36" t="s">
        <v>18660</v>
      </c>
      <c r="C1412" s="36" t="s">
        <v>18661</v>
      </c>
      <c r="D1412" s="36" t="s">
        <v>18662</v>
      </c>
      <c r="E1412" s="36" t="s">
        <v>18663</v>
      </c>
      <c r="F1412" s="36" t="s">
        <v>18664</v>
      </c>
      <c r="G1412" s="36" t="s">
        <v>18665</v>
      </c>
      <c r="H1412" s="36" t="s">
        <v>18666</v>
      </c>
      <c r="I1412" s="36" t="s">
        <v>18667</v>
      </c>
      <c r="J1412" s="36" t="s">
        <v>18668</v>
      </c>
      <c r="K1412" s="36" t="s">
        <v>18669</v>
      </c>
      <c r="L1412" s="36" t="s">
        <v>18670</v>
      </c>
      <c r="M1412" s="36" t="s">
        <v>18671</v>
      </c>
      <c r="N1412" s="36" t="s">
        <v>18671</v>
      </c>
      <c r="O1412" s="36" t="s">
        <v>18672</v>
      </c>
      <c r="P1412" s="36" t="s">
        <v>18660</v>
      </c>
    </row>
    <row r="1413" spans="1:16">
      <c r="A1413" s="132">
        <v>1412</v>
      </c>
      <c r="B1413" s="36" t="s">
        <v>18673</v>
      </c>
      <c r="C1413" s="36" t="s">
        <v>18674</v>
      </c>
      <c r="D1413" s="36" t="s">
        <v>18675</v>
      </c>
      <c r="E1413" s="36" t="s">
        <v>18676</v>
      </c>
      <c r="F1413" s="36" t="s">
        <v>18677</v>
      </c>
      <c r="G1413" s="36" t="s">
        <v>18678</v>
      </c>
      <c r="H1413" s="36" t="s">
        <v>18679</v>
      </c>
      <c r="I1413" s="36" t="s">
        <v>18680</v>
      </c>
      <c r="J1413" s="36" t="s">
        <v>18681</v>
      </c>
      <c r="K1413" s="36" t="s">
        <v>18682</v>
      </c>
      <c r="L1413" s="36" t="s">
        <v>18683</v>
      </c>
      <c r="M1413" s="36" t="s">
        <v>18684</v>
      </c>
      <c r="N1413" s="36" t="s">
        <v>18685</v>
      </c>
      <c r="O1413" s="36" t="s">
        <v>18686</v>
      </c>
      <c r="P1413" s="36" t="s">
        <v>18673</v>
      </c>
    </row>
    <row r="1414" spans="1:16">
      <c r="A1414" s="132">
        <v>1413</v>
      </c>
      <c r="B1414" s="36" t="s">
        <v>18687</v>
      </c>
      <c r="C1414" s="36" t="s">
        <v>18688</v>
      </c>
      <c r="D1414" s="36" t="s">
        <v>18689</v>
      </c>
      <c r="E1414" s="36" t="s">
        <v>18690</v>
      </c>
      <c r="F1414" s="36" t="s">
        <v>18691</v>
      </c>
      <c r="G1414" s="36" t="s">
        <v>18692</v>
      </c>
      <c r="H1414" s="36" t="s">
        <v>18693</v>
      </c>
      <c r="I1414" s="36" t="s">
        <v>18694</v>
      </c>
      <c r="J1414" s="36" t="s">
        <v>18695</v>
      </c>
      <c r="K1414" s="36" t="s">
        <v>18696</v>
      </c>
      <c r="L1414" s="36" t="s">
        <v>18697</v>
      </c>
      <c r="M1414" s="36" t="s">
        <v>18698</v>
      </c>
      <c r="N1414" s="36" t="s">
        <v>18699</v>
      </c>
      <c r="O1414" s="36" t="s">
        <v>18700</v>
      </c>
      <c r="P1414" s="36" t="s">
        <v>18687</v>
      </c>
    </row>
    <row r="1415" spans="1:16">
      <c r="A1415" s="132">
        <v>1414</v>
      </c>
      <c r="B1415" s="36" t="s">
        <v>2133</v>
      </c>
      <c r="C1415" s="36" t="s">
        <v>15904</v>
      </c>
      <c r="D1415" s="36" t="s">
        <v>18701</v>
      </c>
      <c r="E1415" s="36" t="s">
        <v>15906</v>
      </c>
      <c r="F1415" s="36" t="s">
        <v>18702</v>
      </c>
      <c r="G1415" s="36" t="s">
        <v>18703</v>
      </c>
      <c r="H1415" s="36" t="s">
        <v>15909</v>
      </c>
      <c r="I1415" s="36" t="s">
        <v>18702</v>
      </c>
      <c r="J1415" s="36" t="s">
        <v>15911</v>
      </c>
      <c r="K1415" s="36" t="s">
        <v>18704</v>
      </c>
      <c r="L1415" s="36" t="s">
        <v>18705</v>
      </c>
      <c r="M1415" s="36" t="s">
        <v>15913</v>
      </c>
      <c r="N1415" s="36" t="s">
        <v>18706</v>
      </c>
      <c r="O1415" s="36" t="s">
        <v>18707</v>
      </c>
      <c r="P1415" s="36" t="s">
        <v>2133</v>
      </c>
    </row>
    <row r="1416" spans="1:16">
      <c r="A1416" s="132">
        <v>1415</v>
      </c>
      <c r="B1416" s="36" t="s">
        <v>18708</v>
      </c>
      <c r="C1416" s="36" t="s">
        <v>18709</v>
      </c>
      <c r="D1416" s="36" t="s">
        <v>18710</v>
      </c>
      <c r="E1416" s="36" t="s">
        <v>18711</v>
      </c>
      <c r="F1416" s="36" t="s">
        <v>18712</v>
      </c>
      <c r="G1416" s="36" t="s">
        <v>18713</v>
      </c>
      <c r="H1416" s="36" t="s">
        <v>18714</v>
      </c>
      <c r="I1416" s="36" t="s">
        <v>18715</v>
      </c>
      <c r="J1416" s="36" t="s">
        <v>18716</v>
      </c>
      <c r="K1416" s="36" t="s">
        <v>18717</v>
      </c>
      <c r="L1416" s="36" t="s">
        <v>18718</v>
      </c>
      <c r="M1416" s="36" t="s">
        <v>18719</v>
      </c>
      <c r="N1416" s="36" t="s">
        <v>18720</v>
      </c>
      <c r="O1416" s="36" t="s">
        <v>18721</v>
      </c>
      <c r="P1416" s="36" t="s">
        <v>18708</v>
      </c>
    </row>
    <row r="1417" spans="1:16">
      <c r="A1417" s="132">
        <v>1416</v>
      </c>
      <c r="B1417" s="36" t="s">
        <v>18722</v>
      </c>
      <c r="C1417" s="36" t="s">
        <v>18723</v>
      </c>
      <c r="D1417" s="36" t="s">
        <v>18724</v>
      </c>
      <c r="E1417" s="36" t="s">
        <v>18725</v>
      </c>
      <c r="F1417" s="36" t="s">
        <v>18726</v>
      </c>
      <c r="G1417" s="36" t="s">
        <v>18727</v>
      </c>
      <c r="H1417" s="36" t="s">
        <v>18728</v>
      </c>
      <c r="I1417" s="36" t="s">
        <v>18729</v>
      </c>
      <c r="J1417" s="36" t="s">
        <v>18730</v>
      </c>
      <c r="K1417" s="36" t="s">
        <v>18731</v>
      </c>
      <c r="L1417" s="36" t="s">
        <v>18732</v>
      </c>
      <c r="M1417" s="36" t="s">
        <v>18733</v>
      </c>
      <c r="N1417" s="36" t="s">
        <v>18734</v>
      </c>
      <c r="O1417" s="36" t="s">
        <v>18735</v>
      </c>
      <c r="P1417" s="36" t="s">
        <v>18722</v>
      </c>
    </row>
    <row r="1418" spans="1:16">
      <c r="A1418" s="132">
        <v>1417</v>
      </c>
      <c r="B1418" s="36" t="s">
        <v>18736</v>
      </c>
      <c r="C1418" s="36" t="s">
        <v>18737</v>
      </c>
      <c r="D1418" s="36" t="s">
        <v>18738</v>
      </c>
      <c r="E1418" s="36" t="s">
        <v>18739</v>
      </c>
      <c r="F1418" s="36" t="s">
        <v>18740</v>
      </c>
      <c r="G1418" s="36" t="s">
        <v>18741</v>
      </c>
      <c r="H1418" s="36" t="s">
        <v>18742</v>
      </c>
      <c r="I1418" s="36" t="s">
        <v>18743</v>
      </c>
      <c r="J1418" s="36" t="s">
        <v>18744</v>
      </c>
      <c r="K1418" s="36" t="s">
        <v>18745</v>
      </c>
      <c r="L1418" s="36" t="s">
        <v>18746</v>
      </c>
      <c r="M1418" s="36" t="s">
        <v>18747</v>
      </c>
      <c r="N1418" s="36" t="s">
        <v>18748</v>
      </c>
      <c r="O1418" s="36" t="s">
        <v>18749</v>
      </c>
      <c r="P1418" s="36" t="s">
        <v>18736</v>
      </c>
    </row>
    <row r="1419" spans="1:16">
      <c r="A1419" s="132">
        <v>1418</v>
      </c>
      <c r="B1419" s="36" t="s">
        <v>18750</v>
      </c>
      <c r="C1419" s="36" t="s">
        <v>18751</v>
      </c>
      <c r="D1419" s="36" t="s">
        <v>18752</v>
      </c>
      <c r="E1419" s="36" t="s">
        <v>18753</v>
      </c>
      <c r="F1419" s="36" t="s">
        <v>18754</v>
      </c>
      <c r="G1419" s="36" t="s">
        <v>18755</v>
      </c>
      <c r="H1419" s="36" t="s">
        <v>18756</v>
      </c>
      <c r="I1419" s="36" t="s">
        <v>18757</v>
      </c>
      <c r="J1419" s="36" t="s">
        <v>18758</v>
      </c>
      <c r="K1419" s="36" t="s">
        <v>18759</v>
      </c>
      <c r="L1419" s="36" t="s">
        <v>18760</v>
      </c>
      <c r="M1419" s="36" t="s">
        <v>18761</v>
      </c>
      <c r="N1419" s="36" t="s">
        <v>18762</v>
      </c>
      <c r="O1419" s="36" t="s">
        <v>18763</v>
      </c>
      <c r="P1419" s="36" t="s">
        <v>18750</v>
      </c>
    </row>
    <row r="1420" spans="1:16">
      <c r="A1420" s="132">
        <v>1419</v>
      </c>
      <c r="B1420" s="36" t="s">
        <v>18764</v>
      </c>
      <c r="C1420" s="36" t="s">
        <v>18765</v>
      </c>
      <c r="D1420" s="36" t="s">
        <v>18766</v>
      </c>
      <c r="E1420" s="36" t="s">
        <v>18767</v>
      </c>
      <c r="F1420" s="36" t="s">
        <v>18768</v>
      </c>
      <c r="G1420" s="36" t="s">
        <v>18769</v>
      </c>
      <c r="H1420" s="36" t="s">
        <v>18770</v>
      </c>
      <c r="I1420" s="36" t="s">
        <v>18771</v>
      </c>
      <c r="J1420" s="36" t="s">
        <v>18772</v>
      </c>
      <c r="K1420" s="36" t="s">
        <v>18773</v>
      </c>
      <c r="L1420" s="36" t="s">
        <v>18774</v>
      </c>
      <c r="M1420" s="36" t="s">
        <v>18775</v>
      </c>
      <c r="N1420" s="36" t="s">
        <v>18776</v>
      </c>
      <c r="O1420" s="36" t="s">
        <v>18777</v>
      </c>
      <c r="P1420" s="36" t="s">
        <v>18778</v>
      </c>
    </row>
    <row r="1421" spans="1:16">
      <c r="A1421" s="132">
        <v>1420</v>
      </c>
      <c r="B1421" s="36" t="s">
        <v>18779</v>
      </c>
      <c r="C1421" s="36" t="s">
        <v>18780</v>
      </c>
      <c r="D1421" s="36" t="s">
        <v>18781</v>
      </c>
      <c r="E1421" s="36" t="s">
        <v>18782</v>
      </c>
      <c r="F1421" s="36" t="s">
        <v>18783</v>
      </c>
      <c r="G1421" s="36" t="s">
        <v>18784</v>
      </c>
      <c r="H1421" s="36" t="s">
        <v>18785</v>
      </c>
      <c r="I1421" s="36" t="s">
        <v>18786</v>
      </c>
      <c r="J1421" s="36" t="s">
        <v>18787</v>
      </c>
      <c r="K1421" s="36" t="s">
        <v>18788</v>
      </c>
      <c r="L1421" s="36" t="s">
        <v>18789</v>
      </c>
      <c r="M1421" s="36" t="s">
        <v>18790</v>
      </c>
      <c r="N1421" s="36" t="s">
        <v>18791</v>
      </c>
      <c r="O1421" s="36" t="s">
        <v>18792</v>
      </c>
      <c r="P1421" s="36" t="s">
        <v>18779</v>
      </c>
    </row>
    <row r="1422" spans="1:16">
      <c r="A1422" s="132">
        <v>1421</v>
      </c>
      <c r="B1422" s="36" t="s">
        <v>18793</v>
      </c>
      <c r="C1422" s="36" t="s">
        <v>18794</v>
      </c>
      <c r="D1422" s="36" t="s">
        <v>18795</v>
      </c>
      <c r="E1422" s="36" t="s">
        <v>18796</v>
      </c>
      <c r="F1422" s="36" t="s">
        <v>18797</v>
      </c>
      <c r="G1422" s="36" t="s">
        <v>18798</v>
      </c>
      <c r="H1422" s="36" t="s">
        <v>18799</v>
      </c>
      <c r="I1422" s="36" t="s">
        <v>18800</v>
      </c>
      <c r="J1422" s="36" t="s">
        <v>18801</v>
      </c>
      <c r="K1422" s="36" t="s">
        <v>18802</v>
      </c>
      <c r="L1422" s="36" t="s">
        <v>18803</v>
      </c>
      <c r="M1422" s="36" t="s">
        <v>18804</v>
      </c>
      <c r="N1422" s="36" t="s">
        <v>18805</v>
      </c>
      <c r="O1422" s="36" t="s">
        <v>18806</v>
      </c>
      <c r="P1422" s="36" t="s">
        <v>18793</v>
      </c>
    </row>
    <row r="1423" spans="1:16">
      <c r="A1423" s="132">
        <v>1422</v>
      </c>
      <c r="B1423" s="36" t="s">
        <v>18807</v>
      </c>
      <c r="C1423" s="36" t="s">
        <v>18808</v>
      </c>
      <c r="D1423" s="36" t="s">
        <v>18809</v>
      </c>
      <c r="E1423" s="36" t="s">
        <v>18810</v>
      </c>
      <c r="F1423" s="36" t="s">
        <v>18811</v>
      </c>
      <c r="G1423" s="36" t="s">
        <v>18812</v>
      </c>
      <c r="H1423" s="36" t="s">
        <v>18813</v>
      </c>
      <c r="I1423" s="36" t="s">
        <v>18814</v>
      </c>
      <c r="J1423" s="36" t="s">
        <v>18815</v>
      </c>
      <c r="K1423" s="36" t="s">
        <v>18816</v>
      </c>
      <c r="L1423" s="36" t="s">
        <v>18817</v>
      </c>
      <c r="M1423" s="36" t="s">
        <v>18818</v>
      </c>
      <c r="N1423" s="36" t="s">
        <v>18819</v>
      </c>
      <c r="O1423" s="36" t="s">
        <v>18820</v>
      </c>
      <c r="P1423" s="36" t="s">
        <v>18807</v>
      </c>
    </row>
    <row r="1424" spans="1:16">
      <c r="A1424" s="132">
        <v>1423</v>
      </c>
      <c r="B1424" s="36" t="s">
        <v>18821</v>
      </c>
      <c r="C1424" s="36" t="s">
        <v>18822</v>
      </c>
      <c r="D1424" s="36" t="s">
        <v>18823</v>
      </c>
      <c r="E1424" s="36" t="s">
        <v>18824</v>
      </c>
      <c r="F1424" s="36" t="s">
        <v>18825</v>
      </c>
      <c r="G1424" s="36" t="s">
        <v>18826</v>
      </c>
      <c r="H1424" s="36" t="s">
        <v>18827</v>
      </c>
      <c r="I1424" s="36" t="s">
        <v>18828</v>
      </c>
      <c r="J1424" s="36" t="s">
        <v>18829</v>
      </c>
      <c r="K1424" s="36" t="s">
        <v>18830</v>
      </c>
      <c r="L1424" s="36" t="s">
        <v>18831</v>
      </c>
      <c r="M1424" s="36" t="s">
        <v>18832</v>
      </c>
      <c r="N1424" s="36" t="s">
        <v>18833</v>
      </c>
      <c r="O1424" s="36" t="s">
        <v>18834</v>
      </c>
      <c r="P1424" s="36" t="s">
        <v>18821</v>
      </c>
    </row>
    <row r="1425" spans="1:16">
      <c r="A1425" s="132">
        <v>1424</v>
      </c>
      <c r="B1425" s="36" t="s">
        <v>18835</v>
      </c>
      <c r="C1425" s="36" t="s">
        <v>18836</v>
      </c>
      <c r="D1425" s="36" t="s">
        <v>18837</v>
      </c>
      <c r="E1425" s="36" t="s">
        <v>18838</v>
      </c>
      <c r="F1425" s="36" t="s">
        <v>18839</v>
      </c>
      <c r="G1425" s="36" t="s">
        <v>18840</v>
      </c>
      <c r="H1425" s="36" t="s">
        <v>18841</v>
      </c>
      <c r="I1425" s="36" t="s">
        <v>18842</v>
      </c>
      <c r="J1425" s="36" t="s">
        <v>18843</v>
      </c>
      <c r="K1425" s="36" t="s">
        <v>18844</v>
      </c>
      <c r="L1425" s="36" t="s">
        <v>18845</v>
      </c>
      <c r="M1425" s="36" t="s">
        <v>18846</v>
      </c>
      <c r="N1425" s="36" t="s">
        <v>18847</v>
      </c>
      <c r="O1425" s="36" t="s">
        <v>18848</v>
      </c>
      <c r="P1425" s="36" t="s">
        <v>18849</v>
      </c>
    </row>
    <row r="1426" spans="1:16">
      <c r="A1426" s="132">
        <v>1425</v>
      </c>
      <c r="B1426" s="36" t="s">
        <v>18850</v>
      </c>
      <c r="C1426" s="36" t="s">
        <v>18851</v>
      </c>
      <c r="D1426" s="36" t="s">
        <v>18852</v>
      </c>
      <c r="E1426" s="36" t="s">
        <v>18853</v>
      </c>
      <c r="F1426" s="36" t="s">
        <v>18854</v>
      </c>
      <c r="G1426" s="36" t="s">
        <v>18855</v>
      </c>
      <c r="H1426" s="36" t="s">
        <v>18856</v>
      </c>
      <c r="I1426" s="36" t="s">
        <v>18857</v>
      </c>
      <c r="J1426" s="36" t="s">
        <v>18858</v>
      </c>
      <c r="K1426" s="36" t="s">
        <v>18859</v>
      </c>
      <c r="L1426" s="36" t="s">
        <v>18860</v>
      </c>
      <c r="M1426" s="36" t="s">
        <v>18861</v>
      </c>
      <c r="N1426" s="36" t="s">
        <v>18862</v>
      </c>
      <c r="O1426" s="36" t="s">
        <v>18863</v>
      </c>
      <c r="P1426" s="36" t="s">
        <v>18850</v>
      </c>
    </row>
    <row r="1427" spans="1:16">
      <c r="A1427" s="132">
        <v>1426</v>
      </c>
      <c r="B1427" s="36" t="s">
        <v>18864</v>
      </c>
      <c r="C1427" s="36" t="s">
        <v>18865</v>
      </c>
      <c r="D1427" s="36" t="s">
        <v>18866</v>
      </c>
      <c r="E1427" s="36" t="s">
        <v>18867</v>
      </c>
      <c r="F1427" s="36" t="s">
        <v>18868</v>
      </c>
      <c r="G1427" s="36" t="s">
        <v>18869</v>
      </c>
      <c r="H1427" s="36" t="s">
        <v>18870</v>
      </c>
      <c r="I1427" s="36" t="s">
        <v>18871</v>
      </c>
      <c r="J1427" s="36" t="s">
        <v>18872</v>
      </c>
      <c r="K1427" s="36" t="s">
        <v>18873</v>
      </c>
      <c r="L1427" s="36" t="s">
        <v>18874</v>
      </c>
      <c r="M1427" s="36" t="s">
        <v>18875</v>
      </c>
      <c r="N1427" s="36" t="s">
        <v>18876</v>
      </c>
      <c r="O1427" s="36" t="s">
        <v>18877</v>
      </c>
      <c r="P1427" s="36" t="s">
        <v>18864</v>
      </c>
    </row>
    <row r="1428" spans="1:16">
      <c r="A1428" s="132">
        <v>1427</v>
      </c>
      <c r="B1428" s="36" t="s">
        <v>18878</v>
      </c>
      <c r="C1428" s="36" t="s">
        <v>18879</v>
      </c>
      <c r="D1428" s="36" t="s">
        <v>18880</v>
      </c>
      <c r="E1428" s="36" t="s">
        <v>18881</v>
      </c>
      <c r="F1428" s="36" t="s">
        <v>18882</v>
      </c>
      <c r="G1428" s="36" t="s">
        <v>18883</v>
      </c>
      <c r="H1428" s="36" t="s">
        <v>18884</v>
      </c>
      <c r="I1428" s="36" t="s">
        <v>18885</v>
      </c>
      <c r="J1428" s="36" t="s">
        <v>18886</v>
      </c>
      <c r="K1428" s="36" t="s">
        <v>18887</v>
      </c>
      <c r="L1428" s="36" t="s">
        <v>18888</v>
      </c>
      <c r="M1428" s="36" t="s">
        <v>18889</v>
      </c>
      <c r="N1428" s="36" t="s">
        <v>18890</v>
      </c>
      <c r="O1428" s="36" t="s">
        <v>18891</v>
      </c>
      <c r="P1428" s="36" t="s">
        <v>18878</v>
      </c>
    </row>
    <row r="1429" spans="1:16">
      <c r="A1429" s="132">
        <v>1428</v>
      </c>
      <c r="B1429" s="36" t="s">
        <v>18892</v>
      </c>
      <c r="C1429" s="36" t="s">
        <v>18893</v>
      </c>
      <c r="D1429" s="36" t="s">
        <v>18894</v>
      </c>
      <c r="E1429" s="36" t="s">
        <v>18895</v>
      </c>
      <c r="F1429" s="36" t="s">
        <v>18896</v>
      </c>
      <c r="G1429" s="36" t="s">
        <v>18897</v>
      </c>
      <c r="H1429" s="36" t="s">
        <v>18898</v>
      </c>
      <c r="I1429" s="36" t="s">
        <v>18899</v>
      </c>
      <c r="J1429" s="36" t="s">
        <v>18900</v>
      </c>
      <c r="K1429" s="36" t="s">
        <v>18901</v>
      </c>
      <c r="L1429" s="36" t="s">
        <v>18902</v>
      </c>
      <c r="M1429" s="36" t="s">
        <v>18903</v>
      </c>
      <c r="N1429" s="36" t="s">
        <v>18904</v>
      </c>
      <c r="O1429" s="36" t="s">
        <v>18905</v>
      </c>
      <c r="P1429" s="36" t="s">
        <v>18906</v>
      </c>
    </row>
    <row r="1430" spans="1:16">
      <c r="A1430" s="132">
        <v>1429</v>
      </c>
      <c r="B1430" s="36" t="s">
        <v>18907</v>
      </c>
      <c r="C1430" s="36" t="s">
        <v>18908</v>
      </c>
      <c r="D1430" s="36" t="s">
        <v>18909</v>
      </c>
      <c r="E1430" s="36" t="s">
        <v>18910</v>
      </c>
      <c r="F1430" s="36" t="s">
        <v>18911</v>
      </c>
      <c r="G1430" s="36" t="s">
        <v>18912</v>
      </c>
      <c r="H1430" s="36" t="s">
        <v>18913</v>
      </c>
      <c r="I1430" s="36" t="s">
        <v>18914</v>
      </c>
      <c r="J1430" s="36" t="s">
        <v>18915</v>
      </c>
      <c r="K1430" s="36" t="s">
        <v>18912</v>
      </c>
      <c r="L1430" s="36" t="s">
        <v>18916</v>
      </c>
      <c r="M1430" s="36" t="s">
        <v>18917</v>
      </c>
      <c r="N1430" s="36" t="s">
        <v>18918</v>
      </c>
      <c r="O1430" s="36" t="s">
        <v>18919</v>
      </c>
      <c r="P1430" s="36" t="s">
        <v>18907</v>
      </c>
    </row>
    <row r="1431" spans="1:16">
      <c r="A1431" s="132">
        <v>1430</v>
      </c>
      <c r="B1431" s="36" t="s">
        <v>18920</v>
      </c>
      <c r="C1431" s="36" t="s">
        <v>18921</v>
      </c>
      <c r="D1431" s="36" t="s">
        <v>18922</v>
      </c>
      <c r="E1431" s="36" t="s">
        <v>18923</v>
      </c>
      <c r="F1431" s="36" t="s">
        <v>18924</v>
      </c>
      <c r="G1431" s="36" t="s">
        <v>4967</v>
      </c>
      <c r="H1431" s="36" t="s">
        <v>18925</v>
      </c>
      <c r="I1431" s="36" t="s">
        <v>18924</v>
      </c>
      <c r="J1431" s="36" t="s">
        <v>18926</v>
      </c>
      <c r="K1431" s="36" t="s">
        <v>4967</v>
      </c>
      <c r="L1431" s="36" t="s">
        <v>18927</v>
      </c>
      <c r="M1431" s="36" t="s">
        <v>18928</v>
      </c>
      <c r="N1431" s="36" t="s">
        <v>18928</v>
      </c>
      <c r="O1431" s="36" t="s">
        <v>4967</v>
      </c>
      <c r="P1431" s="36" t="s">
        <v>18920</v>
      </c>
    </row>
    <row r="1432" spans="1:16">
      <c r="A1432" s="132">
        <v>1431</v>
      </c>
      <c r="B1432" s="36" t="s">
        <v>18929</v>
      </c>
      <c r="C1432" s="36" t="s">
        <v>18930</v>
      </c>
      <c r="D1432" s="36" t="s">
        <v>18931</v>
      </c>
      <c r="E1432" s="36" t="s">
        <v>18932</v>
      </c>
      <c r="F1432" s="36" t="s">
        <v>18933</v>
      </c>
      <c r="G1432" s="36" t="s">
        <v>18934</v>
      </c>
      <c r="H1432" s="36" t="s">
        <v>18935</v>
      </c>
      <c r="I1432" s="36" t="s">
        <v>18936</v>
      </c>
      <c r="J1432" s="36" t="s">
        <v>18937</v>
      </c>
      <c r="K1432" s="36" t="s">
        <v>18938</v>
      </c>
      <c r="L1432" s="36" t="s">
        <v>18939</v>
      </c>
      <c r="M1432" s="36" t="s">
        <v>18940</v>
      </c>
      <c r="N1432" s="36" t="s">
        <v>18941</v>
      </c>
      <c r="O1432" s="36" t="s">
        <v>18942</v>
      </c>
      <c r="P1432" s="36" t="s">
        <v>18929</v>
      </c>
    </row>
    <row r="1433" spans="1:16">
      <c r="A1433" s="132">
        <v>1432</v>
      </c>
      <c r="B1433" s="36" t="s">
        <v>18943</v>
      </c>
      <c r="C1433" s="36" t="s">
        <v>18944</v>
      </c>
      <c r="D1433" s="36" t="s">
        <v>18945</v>
      </c>
      <c r="E1433" s="36" t="s">
        <v>18946</v>
      </c>
      <c r="F1433" s="36" t="s">
        <v>18947</v>
      </c>
      <c r="G1433" s="36" t="s">
        <v>18948</v>
      </c>
      <c r="H1433" s="36" t="s">
        <v>18949</v>
      </c>
      <c r="I1433" s="36" t="s">
        <v>18950</v>
      </c>
      <c r="J1433" s="36" t="s">
        <v>18951</v>
      </c>
      <c r="K1433" s="36" t="s">
        <v>18952</v>
      </c>
      <c r="L1433" s="36" t="s">
        <v>18953</v>
      </c>
      <c r="M1433" s="36" t="s">
        <v>18954</v>
      </c>
      <c r="N1433" s="36" t="s">
        <v>18955</v>
      </c>
      <c r="O1433" s="36" t="s">
        <v>18952</v>
      </c>
      <c r="P1433" s="36" t="s">
        <v>18943</v>
      </c>
    </row>
    <row r="1434" spans="1:16">
      <c r="A1434" s="132">
        <v>1433</v>
      </c>
      <c r="B1434" s="36" t="s">
        <v>18956</v>
      </c>
      <c r="C1434" s="36" t="s">
        <v>18957</v>
      </c>
      <c r="D1434" s="36" t="s">
        <v>18958</v>
      </c>
      <c r="E1434" s="36" t="s">
        <v>18959</v>
      </c>
      <c r="F1434" s="36" t="s">
        <v>18960</v>
      </c>
      <c r="G1434" s="36" t="s">
        <v>18961</v>
      </c>
      <c r="H1434" s="36" t="s">
        <v>18962</v>
      </c>
      <c r="I1434" s="36" t="s">
        <v>18960</v>
      </c>
      <c r="J1434" s="36" t="s">
        <v>18963</v>
      </c>
      <c r="K1434" s="36" t="s">
        <v>18964</v>
      </c>
      <c r="L1434" s="36" t="s">
        <v>18965</v>
      </c>
      <c r="M1434" s="36" t="s">
        <v>18965</v>
      </c>
      <c r="N1434" s="36" t="s">
        <v>18965</v>
      </c>
      <c r="O1434" s="36" t="s">
        <v>18966</v>
      </c>
      <c r="P1434" s="36" t="s">
        <v>18956</v>
      </c>
    </row>
    <row r="1435" spans="1:16">
      <c r="A1435" s="132">
        <v>1434</v>
      </c>
      <c r="B1435" s="36" t="s">
        <v>113</v>
      </c>
      <c r="C1435" s="36" t="s">
        <v>18967</v>
      </c>
      <c r="D1435" s="36" t="s">
        <v>18967</v>
      </c>
      <c r="E1435" s="36" t="s">
        <v>18967</v>
      </c>
      <c r="F1435" s="36" t="s">
        <v>18967</v>
      </c>
      <c r="G1435" s="36" t="s">
        <v>18967</v>
      </c>
      <c r="H1435" s="36" t="s">
        <v>18967</v>
      </c>
      <c r="I1435" s="36" t="s">
        <v>18967</v>
      </c>
      <c r="J1435" s="36" t="s">
        <v>18967</v>
      </c>
      <c r="K1435" s="36" t="s">
        <v>18967</v>
      </c>
      <c r="L1435" s="36" t="s">
        <v>18967</v>
      </c>
      <c r="M1435" s="36" t="s">
        <v>18967</v>
      </c>
      <c r="N1435" s="36" t="s">
        <v>18967</v>
      </c>
      <c r="O1435" s="36" t="s">
        <v>18967</v>
      </c>
      <c r="P1435" s="36" t="s">
        <v>113</v>
      </c>
    </row>
    <row r="1436" spans="1:16">
      <c r="A1436" s="132">
        <v>1435</v>
      </c>
      <c r="B1436" s="36" t="s">
        <v>112</v>
      </c>
      <c r="C1436" s="36" t="s">
        <v>18968</v>
      </c>
      <c r="D1436" s="36" t="s">
        <v>18968</v>
      </c>
      <c r="E1436" s="36" t="s">
        <v>18968</v>
      </c>
      <c r="F1436" s="36" t="s">
        <v>18968</v>
      </c>
      <c r="G1436" s="36" t="s">
        <v>18968</v>
      </c>
      <c r="H1436" s="36" t="s">
        <v>18968</v>
      </c>
      <c r="I1436" s="36" t="s">
        <v>18968</v>
      </c>
      <c r="J1436" s="36" t="s">
        <v>18968</v>
      </c>
      <c r="K1436" s="36" t="s">
        <v>18968</v>
      </c>
      <c r="L1436" s="36" t="s">
        <v>18968</v>
      </c>
      <c r="M1436" s="36" t="s">
        <v>18968</v>
      </c>
      <c r="N1436" s="36" t="s">
        <v>18968</v>
      </c>
      <c r="O1436" s="36" t="s">
        <v>18968</v>
      </c>
      <c r="P1436" s="36" t="s">
        <v>112</v>
      </c>
    </row>
    <row r="1437" spans="1:16">
      <c r="A1437" s="132">
        <v>1436</v>
      </c>
      <c r="B1437" s="36" t="s">
        <v>18969</v>
      </c>
      <c r="C1437" s="36" t="s">
        <v>18970</v>
      </c>
      <c r="D1437" s="36" t="s">
        <v>18970</v>
      </c>
      <c r="E1437" s="36" t="s">
        <v>12677</v>
      </c>
      <c r="F1437" s="36" t="s">
        <v>18971</v>
      </c>
      <c r="G1437" s="36" t="s">
        <v>18972</v>
      </c>
      <c r="H1437" s="36" t="s">
        <v>18973</v>
      </c>
      <c r="I1437" s="36" t="s">
        <v>18974</v>
      </c>
      <c r="J1437" s="36" t="s">
        <v>18975</v>
      </c>
      <c r="K1437" s="36" t="s">
        <v>18976</v>
      </c>
      <c r="L1437" s="36" t="s">
        <v>18977</v>
      </c>
      <c r="M1437" s="36" t="s">
        <v>18978</v>
      </c>
      <c r="N1437" s="36" t="s">
        <v>18979</v>
      </c>
      <c r="O1437" s="36" t="s">
        <v>18980</v>
      </c>
      <c r="P1437" s="36" t="s">
        <v>18969</v>
      </c>
    </row>
    <row r="1438" spans="1:16">
      <c r="A1438" s="132">
        <v>1437</v>
      </c>
      <c r="B1438" s="36" t="s">
        <v>18981</v>
      </c>
      <c r="C1438" s="36" t="s">
        <v>18982</v>
      </c>
      <c r="D1438" s="36" t="s">
        <v>18983</v>
      </c>
      <c r="E1438" s="36" t="s">
        <v>18984</v>
      </c>
      <c r="F1438" s="36" t="s">
        <v>18985</v>
      </c>
      <c r="G1438" s="36" t="s">
        <v>18986</v>
      </c>
      <c r="H1438" s="36" t="s">
        <v>18987</v>
      </c>
      <c r="I1438" s="36" t="s">
        <v>18988</v>
      </c>
      <c r="J1438" s="36" t="s">
        <v>18989</v>
      </c>
      <c r="K1438" s="36" t="s">
        <v>18990</v>
      </c>
      <c r="L1438" s="36" t="s">
        <v>18991</v>
      </c>
      <c r="M1438" s="36" t="s">
        <v>18992</v>
      </c>
      <c r="N1438" s="36" t="s">
        <v>18992</v>
      </c>
      <c r="O1438" s="36" t="s">
        <v>18993</v>
      </c>
      <c r="P1438" s="36" t="s">
        <v>18981</v>
      </c>
    </row>
    <row r="1439" spans="1:16">
      <c r="A1439" s="132">
        <v>1438</v>
      </c>
      <c r="B1439" s="36" t="s">
        <v>18994</v>
      </c>
      <c r="C1439" s="36" t="s">
        <v>18995</v>
      </c>
      <c r="D1439" s="36" t="s">
        <v>18996</v>
      </c>
      <c r="E1439" s="36" t="s">
        <v>18997</v>
      </c>
      <c r="F1439" s="36" t="s">
        <v>18998</v>
      </c>
      <c r="G1439" s="36" t="s">
        <v>18999</v>
      </c>
      <c r="H1439" s="36" t="s">
        <v>19000</v>
      </c>
      <c r="I1439" s="36" t="s">
        <v>19001</v>
      </c>
      <c r="J1439" s="36" t="s">
        <v>19002</v>
      </c>
      <c r="K1439" s="36" t="s">
        <v>19003</v>
      </c>
      <c r="L1439" s="36" t="s">
        <v>19004</v>
      </c>
      <c r="M1439" s="36" t="s">
        <v>19005</v>
      </c>
      <c r="N1439" s="36" t="s">
        <v>19006</v>
      </c>
      <c r="O1439" s="36" t="s">
        <v>19007</v>
      </c>
      <c r="P1439" s="36" t="s">
        <v>18994</v>
      </c>
    </row>
    <row r="1440" spans="1:16">
      <c r="A1440" s="132">
        <v>1439</v>
      </c>
      <c r="B1440" s="36" t="s">
        <v>2337</v>
      </c>
      <c r="C1440" s="36" t="s">
        <v>19008</v>
      </c>
      <c r="D1440" s="36" t="s">
        <v>19009</v>
      </c>
      <c r="E1440" s="36" t="s">
        <v>19010</v>
      </c>
      <c r="F1440" s="36" t="s">
        <v>19011</v>
      </c>
      <c r="G1440" s="36" t="s">
        <v>19012</v>
      </c>
      <c r="H1440" s="36" t="s">
        <v>19013</v>
      </c>
      <c r="I1440" s="36" t="s">
        <v>13142</v>
      </c>
      <c r="J1440" s="36" t="s">
        <v>19014</v>
      </c>
      <c r="K1440" s="36" t="s">
        <v>19015</v>
      </c>
      <c r="L1440" s="36" t="s">
        <v>19016</v>
      </c>
      <c r="M1440" s="36" t="s">
        <v>19017</v>
      </c>
      <c r="N1440" s="36" t="s">
        <v>19018</v>
      </c>
      <c r="O1440" s="36" t="s">
        <v>19019</v>
      </c>
      <c r="P1440" s="36" t="s">
        <v>2337</v>
      </c>
    </row>
    <row r="1441" spans="1:16">
      <c r="A1441" s="132">
        <v>1440</v>
      </c>
      <c r="B1441" s="36" t="s">
        <v>1393</v>
      </c>
      <c r="C1441" s="36" t="s">
        <v>1396</v>
      </c>
      <c r="D1441" s="36" t="s">
        <v>1396</v>
      </c>
      <c r="E1441" s="36" t="s">
        <v>1396</v>
      </c>
      <c r="F1441" s="36" t="s">
        <v>1396</v>
      </c>
      <c r="G1441" s="36" t="s">
        <v>1396</v>
      </c>
      <c r="H1441" s="36" t="s">
        <v>1396</v>
      </c>
      <c r="I1441" s="36" t="s">
        <v>1396</v>
      </c>
      <c r="J1441" s="36" t="s">
        <v>1396</v>
      </c>
      <c r="K1441" s="36" t="s">
        <v>1396</v>
      </c>
      <c r="L1441" s="36" t="s">
        <v>1396</v>
      </c>
      <c r="M1441" s="36" t="s">
        <v>1396</v>
      </c>
      <c r="N1441" s="36" t="s">
        <v>1396</v>
      </c>
      <c r="O1441" s="36" t="s">
        <v>1396</v>
      </c>
      <c r="P1441" s="36" t="s">
        <v>1393</v>
      </c>
    </row>
    <row r="1442" spans="1:16">
      <c r="A1442" s="132">
        <v>1441</v>
      </c>
      <c r="B1442" s="36" t="s">
        <v>19020</v>
      </c>
      <c r="C1442" s="36" t="s">
        <v>1397</v>
      </c>
      <c r="D1442" s="36" t="s">
        <v>1397</v>
      </c>
      <c r="E1442" s="36" t="s">
        <v>1397</v>
      </c>
      <c r="F1442" s="36" t="s">
        <v>1397</v>
      </c>
      <c r="G1442" s="36" t="s">
        <v>1397</v>
      </c>
      <c r="H1442" s="36" t="s">
        <v>1397</v>
      </c>
      <c r="I1442" s="36" t="s">
        <v>1397</v>
      </c>
      <c r="J1442" s="36" t="s">
        <v>1397</v>
      </c>
      <c r="K1442" s="36" t="s">
        <v>1397</v>
      </c>
      <c r="L1442" s="36" t="s">
        <v>1397</v>
      </c>
      <c r="M1442" s="36" t="s">
        <v>1397</v>
      </c>
      <c r="N1442" s="36" t="s">
        <v>1397</v>
      </c>
      <c r="O1442" s="36" t="s">
        <v>1397</v>
      </c>
      <c r="P1442" s="36" t="s">
        <v>19020</v>
      </c>
    </row>
    <row r="1443" spans="1:16">
      <c r="A1443" s="132">
        <v>1442</v>
      </c>
      <c r="B1443" s="36" t="s">
        <v>19021</v>
      </c>
      <c r="C1443" s="36" t="s">
        <v>19022</v>
      </c>
      <c r="D1443" s="36" t="s">
        <v>19023</v>
      </c>
      <c r="E1443" s="36" t="s">
        <v>19024</v>
      </c>
      <c r="F1443" s="36" t="s">
        <v>19025</v>
      </c>
      <c r="G1443" s="36" t="s">
        <v>19026</v>
      </c>
      <c r="H1443" s="36" t="s">
        <v>19027</v>
      </c>
      <c r="I1443" s="36" t="s">
        <v>19028</v>
      </c>
      <c r="J1443" s="36" t="s">
        <v>19029</v>
      </c>
      <c r="K1443" s="36" t="s">
        <v>19030</v>
      </c>
      <c r="L1443" s="36" t="s">
        <v>19031</v>
      </c>
      <c r="M1443" s="36" t="s">
        <v>19032</v>
      </c>
      <c r="N1443" s="36" t="s">
        <v>19033</v>
      </c>
      <c r="O1443" s="36" t="s">
        <v>19034</v>
      </c>
      <c r="P1443" s="36" t="s">
        <v>19021</v>
      </c>
    </row>
    <row r="1444" spans="1:16">
      <c r="A1444" s="132">
        <v>1443</v>
      </c>
      <c r="B1444" s="36" t="s">
        <v>19035</v>
      </c>
      <c r="C1444" s="36" t="s">
        <v>19035</v>
      </c>
      <c r="D1444" s="36" t="s">
        <v>19035</v>
      </c>
      <c r="E1444" s="36" t="s">
        <v>19035</v>
      </c>
      <c r="F1444" s="36" t="s">
        <v>19035</v>
      </c>
      <c r="G1444" s="36" t="s">
        <v>19035</v>
      </c>
      <c r="H1444" s="36" t="s">
        <v>19035</v>
      </c>
      <c r="I1444" s="36" t="s">
        <v>19035</v>
      </c>
      <c r="J1444" s="36" t="s">
        <v>19035</v>
      </c>
      <c r="K1444" s="36" t="s">
        <v>19035</v>
      </c>
      <c r="L1444" s="36" t="s">
        <v>19035</v>
      </c>
      <c r="M1444" s="36" t="s">
        <v>19035</v>
      </c>
      <c r="N1444" s="36" t="s">
        <v>19035</v>
      </c>
      <c r="O1444" s="36" t="s">
        <v>19035</v>
      </c>
      <c r="P1444" s="36" t="s">
        <v>19035</v>
      </c>
    </row>
    <row r="1445" spans="1:16">
      <c r="A1445" s="132">
        <v>1444</v>
      </c>
      <c r="B1445" s="36" t="s">
        <v>19036</v>
      </c>
      <c r="C1445" s="36" t="s">
        <v>19036</v>
      </c>
      <c r="D1445" s="36" t="s">
        <v>19036</v>
      </c>
      <c r="E1445" s="36" t="s">
        <v>19036</v>
      </c>
      <c r="F1445" s="36" t="s">
        <v>19036</v>
      </c>
      <c r="G1445" s="36" t="s">
        <v>19036</v>
      </c>
      <c r="H1445" s="36" t="s">
        <v>19036</v>
      </c>
      <c r="I1445" s="36" t="s">
        <v>19036</v>
      </c>
      <c r="J1445" s="36" t="s">
        <v>19036</v>
      </c>
      <c r="K1445" s="36" t="s">
        <v>19036</v>
      </c>
      <c r="L1445" s="36" t="s">
        <v>19036</v>
      </c>
      <c r="M1445" s="36" t="s">
        <v>19036</v>
      </c>
      <c r="N1445" s="36" t="s">
        <v>19036</v>
      </c>
      <c r="O1445" s="36" t="s">
        <v>19036</v>
      </c>
      <c r="P1445" s="36" t="s">
        <v>19036</v>
      </c>
    </row>
    <row r="1446" spans="1:16">
      <c r="A1446" s="132">
        <v>1445</v>
      </c>
      <c r="B1446" s="36" t="s">
        <v>19037</v>
      </c>
      <c r="C1446" s="36" t="s">
        <v>19038</v>
      </c>
      <c r="D1446" s="36" t="s">
        <v>19039</v>
      </c>
      <c r="E1446" s="36" t="s">
        <v>19040</v>
      </c>
      <c r="F1446" s="36" t="s">
        <v>19040</v>
      </c>
      <c r="G1446" s="36" t="s">
        <v>19040</v>
      </c>
      <c r="H1446" s="36" t="s">
        <v>19040</v>
      </c>
      <c r="I1446" s="36" t="s">
        <v>19040</v>
      </c>
      <c r="J1446" s="36" t="s">
        <v>19040</v>
      </c>
      <c r="K1446" s="36" t="s">
        <v>19040</v>
      </c>
      <c r="L1446" s="36" t="s">
        <v>19040</v>
      </c>
      <c r="M1446" s="36" t="s">
        <v>19040</v>
      </c>
      <c r="N1446" s="36" t="s">
        <v>19040</v>
      </c>
      <c r="O1446" s="36" t="s">
        <v>19040</v>
      </c>
      <c r="P1446" s="36" t="s">
        <v>19037</v>
      </c>
    </row>
    <row r="1447" spans="1:16">
      <c r="A1447" s="132">
        <v>1446</v>
      </c>
      <c r="B1447" s="36" t="s">
        <v>19041</v>
      </c>
      <c r="C1447" s="36" t="s">
        <v>19042</v>
      </c>
      <c r="D1447" s="36" t="s">
        <v>19043</v>
      </c>
      <c r="E1447" s="36" t="s">
        <v>19044</v>
      </c>
      <c r="F1447" s="36" t="s">
        <v>19044</v>
      </c>
      <c r="G1447" s="36" t="s">
        <v>19044</v>
      </c>
      <c r="H1447" s="36" t="s">
        <v>19044</v>
      </c>
      <c r="I1447" s="36" t="s">
        <v>19044</v>
      </c>
      <c r="J1447" s="36" t="s">
        <v>19044</v>
      </c>
      <c r="K1447" s="36" t="s">
        <v>19044</v>
      </c>
      <c r="L1447" s="36" t="s">
        <v>19044</v>
      </c>
      <c r="M1447" s="36" t="s">
        <v>19044</v>
      </c>
      <c r="N1447" s="36" t="s">
        <v>19044</v>
      </c>
      <c r="O1447" s="36" t="s">
        <v>19044</v>
      </c>
      <c r="P1447" s="36" t="s">
        <v>19041</v>
      </c>
    </row>
    <row r="1448" spans="1:16">
      <c r="A1448" s="132">
        <v>1447</v>
      </c>
      <c r="B1448" s="36" t="s">
        <v>19045</v>
      </c>
      <c r="C1448" s="36" t="s">
        <v>19046</v>
      </c>
      <c r="D1448" s="36" t="s">
        <v>19047</v>
      </c>
      <c r="E1448" s="36" t="s">
        <v>29587</v>
      </c>
      <c r="F1448" s="36" t="s">
        <v>19048</v>
      </c>
      <c r="G1448" s="36" t="s">
        <v>19049</v>
      </c>
      <c r="H1448" s="36" t="s">
        <v>19050</v>
      </c>
      <c r="I1448" s="36" t="s">
        <v>19051</v>
      </c>
      <c r="J1448" s="36" t="s">
        <v>19052</v>
      </c>
      <c r="K1448" s="36" t="s">
        <v>19053</v>
      </c>
      <c r="L1448" s="36" t="s">
        <v>19054</v>
      </c>
      <c r="M1448" s="36" t="s">
        <v>19055</v>
      </c>
      <c r="N1448" s="36" t="s">
        <v>19056</v>
      </c>
      <c r="O1448" s="36" t="s">
        <v>19057</v>
      </c>
      <c r="P1448" s="36" t="s">
        <v>19045</v>
      </c>
    </row>
    <row r="1449" spans="1:16">
      <c r="A1449" s="132">
        <v>1448</v>
      </c>
      <c r="B1449" s="36" t="s">
        <v>19058</v>
      </c>
      <c r="C1449" s="36" t="s">
        <v>19059</v>
      </c>
      <c r="D1449" s="36" t="s">
        <v>19060</v>
      </c>
      <c r="E1449" s="36" t="s">
        <v>19061</v>
      </c>
      <c r="F1449" s="36" t="s">
        <v>19062</v>
      </c>
      <c r="G1449" s="36" t="s">
        <v>19063</v>
      </c>
      <c r="H1449" s="36" t="s">
        <v>19064</v>
      </c>
      <c r="I1449" s="36" t="s">
        <v>19065</v>
      </c>
      <c r="J1449" s="36" t="s">
        <v>19066</v>
      </c>
      <c r="K1449" s="36" t="s">
        <v>19067</v>
      </c>
      <c r="L1449" s="36" t="s">
        <v>19068</v>
      </c>
      <c r="M1449" s="36" t="s">
        <v>19069</v>
      </c>
      <c r="N1449" s="36" t="s">
        <v>19069</v>
      </c>
      <c r="O1449" s="36" t="s">
        <v>19070</v>
      </c>
      <c r="P1449" s="36" t="s">
        <v>19058</v>
      </c>
    </row>
    <row r="1450" spans="1:16">
      <c r="A1450" s="132">
        <v>1449</v>
      </c>
      <c r="B1450" s="36" t="s">
        <v>19071</v>
      </c>
      <c r="C1450" s="36" t="s">
        <v>19072</v>
      </c>
      <c r="D1450" s="36" t="s">
        <v>19073</v>
      </c>
      <c r="E1450" s="36" t="s">
        <v>19074</v>
      </c>
      <c r="F1450" s="36" t="s">
        <v>19075</v>
      </c>
      <c r="G1450" s="36" t="s">
        <v>19076</v>
      </c>
      <c r="H1450" s="36" t="s">
        <v>19077</v>
      </c>
      <c r="I1450" s="36" t="s">
        <v>19075</v>
      </c>
      <c r="J1450" s="36" t="s">
        <v>19078</v>
      </c>
      <c r="K1450" s="36" t="s">
        <v>19079</v>
      </c>
      <c r="L1450" s="36" t="s">
        <v>19077</v>
      </c>
      <c r="M1450" s="36" t="s">
        <v>19080</v>
      </c>
      <c r="N1450" s="36" t="s">
        <v>19081</v>
      </c>
      <c r="O1450" s="36" t="s">
        <v>19079</v>
      </c>
      <c r="P1450" s="36" t="s">
        <v>19071</v>
      </c>
    </row>
    <row r="1451" spans="1:16">
      <c r="A1451" s="132">
        <v>1450</v>
      </c>
      <c r="B1451" s="36" t="s">
        <v>19082</v>
      </c>
      <c r="C1451" s="36" t="s">
        <v>19083</v>
      </c>
      <c r="D1451" s="36" t="s">
        <v>19084</v>
      </c>
      <c r="E1451" s="36" t="s">
        <v>19085</v>
      </c>
      <c r="F1451" s="36" t="s">
        <v>19086</v>
      </c>
      <c r="G1451" s="36" t="s">
        <v>19087</v>
      </c>
      <c r="H1451" s="36" t="s">
        <v>19088</v>
      </c>
      <c r="I1451" s="36" t="s">
        <v>19089</v>
      </c>
      <c r="J1451" s="36" t="s">
        <v>19090</v>
      </c>
      <c r="K1451" s="36" t="s">
        <v>19091</v>
      </c>
      <c r="L1451" s="36" t="s">
        <v>19092</v>
      </c>
      <c r="M1451" s="36" t="s">
        <v>19093</v>
      </c>
      <c r="N1451" s="36" t="s">
        <v>19094</v>
      </c>
      <c r="O1451" s="36" t="s">
        <v>19095</v>
      </c>
      <c r="P1451" s="36" t="s">
        <v>19082</v>
      </c>
    </row>
    <row r="1452" spans="1:16">
      <c r="A1452" s="132">
        <v>1451</v>
      </c>
      <c r="B1452" s="36" t="s">
        <v>19096</v>
      </c>
      <c r="C1452" s="36" t="s">
        <v>19097</v>
      </c>
      <c r="D1452" s="36" t="s">
        <v>19098</v>
      </c>
      <c r="E1452" s="36" t="s">
        <v>19099</v>
      </c>
      <c r="F1452" s="36" t="s">
        <v>19100</v>
      </c>
      <c r="G1452" s="36" t="s">
        <v>19101</v>
      </c>
      <c r="H1452" s="36" t="s">
        <v>19102</v>
      </c>
      <c r="I1452" s="36" t="s">
        <v>19103</v>
      </c>
      <c r="J1452" s="36" t="s">
        <v>19104</v>
      </c>
      <c r="K1452" s="36" t="s">
        <v>19105</v>
      </c>
      <c r="L1452" s="36" t="s">
        <v>19106</v>
      </c>
      <c r="M1452" s="36" t="s">
        <v>19107</v>
      </c>
      <c r="N1452" s="36" t="s">
        <v>19108</v>
      </c>
      <c r="O1452" s="36" t="s">
        <v>19109</v>
      </c>
      <c r="P1452" s="36" t="s">
        <v>19096</v>
      </c>
    </row>
    <row r="1453" spans="1:16">
      <c r="A1453" s="132">
        <v>1452</v>
      </c>
      <c r="B1453" s="36" t="s">
        <v>19110</v>
      </c>
      <c r="C1453" s="36" t="s">
        <v>19111</v>
      </c>
      <c r="D1453" s="36" t="s">
        <v>19112</v>
      </c>
      <c r="E1453" s="36" t="s">
        <v>19113</v>
      </c>
      <c r="F1453" s="36" t="s">
        <v>19114</v>
      </c>
      <c r="G1453" s="36" t="s">
        <v>19115</v>
      </c>
      <c r="H1453" s="36" t="s">
        <v>19116</v>
      </c>
      <c r="I1453" s="36" t="s">
        <v>19117</v>
      </c>
      <c r="J1453" s="36" t="s">
        <v>19118</v>
      </c>
      <c r="K1453" s="36" t="s">
        <v>19119</v>
      </c>
      <c r="L1453" s="36" t="s">
        <v>19120</v>
      </c>
      <c r="M1453" s="36" t="s">
        <v>19121</v>
      </c>
      <c r="N1453" s="36" t="s">
        <v>19122</v>
      </c>
      <c r="O1453" s="36" t="s">
        <v>19123</v>
      </c>
      <c r="P1453" s="36" t="s">
        <v>19110</v>
      </c>
    </row>
    <row r="1454" spans="1:16">
      <c r="A1454" s="132">
        <v>1453</v>
      </c>
      <c r="B1454" s="36" t="s">
        <v>19124</v>
      </c>
      <c r="C1454" s="36" t="s">
        <v>19125</v>
      </c>
      <c r="D1454" s="36" t="s">
        <v>19126</v>
      </c>
      <c r="E1454" s="36" t="s">
        <v>19127</v>
      </c>
      <c r="F1454" s="36" t="s">
        <v>19128</v>
      </c>
      <c r="G1454" s="36" t="s">
        <v>19129</v>
      </c>
      <c r="H1454" s="36" t="s">
        <v>19130</v>
      </c>
      <c r="I1454" s="36" t="s">
        <v>19131</v>
      </c>
      <c r="J1454" s="36" t="s">
        <v>19132</v>
      </c>
      <c r="K1454" s="36" t="s">
        <v>19133</v>
      </c>
      <c r="L1454" s="36" t="s">
        <v>19134</v>
      </c>
      <c r="M1454" s="36" t="s">
        <v>19135</v>
      </c>
      <c r="N1454" s="36" t="s">
        <v>19136</v>
      </c>
      <c r="O1454" s="36" t="s">
        <v>19137</v>
      </c>
      <c r="P1454" s="36" t="s">
        <v>19124</v>
      </c>
    </row>
    <row r="1455" spans="1:16">
      <c r="A1455" s="132">
        <v>1454</v>
      </c>
      <c r="B1455" s="36" t="s">
        <v>19138</v>
      </c>
      <c r="C1455" s="36" t="s">
        <v>19139</v>
      </c>
      <c r="D1455" s="36" t="s">
        <v>19140</v>
      </c>
      <c r="E1455" s="36" t="s">
        <v>7212</v>
      </c>
      <c r="F1455" s="36" t="s">
        <v>19141</v>
      </c>
      <c r="G1455" s="36" t="s">
        <v>19142</v>
      </c>
      <c r="H1455" s="36" t="s">
        <v>19143</v>
      </c>
      <c r="I1455" s="36" t="s">
        <v>19144</v>
      </c>
      <c r="J1455" s="36" t="s">
        <v>19145</v>
      </c>
      <c r="K1455" s="36" t="s">
        <v>19146</v>
      </c>
      <c r="L1455" s="36" t="s">
        <v>19147</v>
      </c>
      <c r="M1455" s="36" t="s">
        <v>19148</v>
      </c>
      <c r="N1455" s="36" t="s">
        <v>19149</v>
      </c>
      <c r="O1455" s="36" t="s">
        <v>19150</v>
      </c>
      <c r="P1455" s="36" t="s">
        <v>19138</v>
      </c>
    </row>
    <row r="1456" spans="1:16">
      <c r="A1456" s="132">
        <v>1455</v>
      </c>
      <c r="B1456" s="36" t="s">
        <v>19151</v>
      </c>
      <c r="C1456" s="36" t="s">
        <v>19152</v>
      </c>
      <c r="D1456" s="36" t="s">
        <v>19153</v>
      </c>
      <c r="E1456" s="36" t="s">
        <v>19154</v>
      </c>
      <c r="F1456" s="36" t="s">
        <v>19155</v>
      </c>
      <c r="G1456" s="36" t="s">
        <v>19156</v>
      </c>
      <c r="H1456" s="36" t="s">
        <v>19157</v>
      </c>
      <c r="I1456" s="36" t="s">
        <v>19158</v>
      </c>
      <c r="J1456" s="36" t="s">
        <v>19159</v>
      </c>
      <c r="K1456" s="36" t="s">
        <v>19160</v>
      </c>
      <c r="L1456" s="36" t="s">
        <v>19161</v>
      </c>
      <c r="M1456" s="36" t="s">
        <v>19162</v>
      </c>
      <c r="N1456" s="36" t="s">
        <v>19163</v>
      </c>
      <c r="O1456" s="36" t="s">
        <v>19164</v>
      </c>
      <c r="P1456" s="36" t="s">
        <v>19151</v>
      </c>
    </row>
    <row r="1457" spans="1:16">
      <c r="A1457" s="132">
        <v>1456</v>
      </c>
      <c r="B1457" s="36" t="s">
        <v>19165</v>
      </c>
      <c r="C1457" s="36" t="s">
        <v>19166</v>
      </c>
      <c r="D1457" s="36" t="s">
        <v>19167</v>
      </c>
      <c r="E1457" s="36" t="s">
        <v>19168</v>
      </c>
      <c r="F1457" s="36" t="s">
        <v>19169</v>
      </c>
      <c r="G1457" s="36" t="s">
        <v>19170</v>
      </c>
      <c r="H1457" s="36" t="s">
        <v>19171</v>
      </c>
      <c r="I1457" s="36" t="s">
        <v>19172</v>
      </c>
      <c r="J1457" s="36" t="s">
        <v>19173</v>
      </c>
      <c r="K1457" s="36" t="s">
        <v>19174</v>
      </c>
      <c r="L1457" s="36" t="s">
        <v>19175</v>
      </c>
      <c r="M1457" s="36" t="s">
        <v>19176</v>
      </c>
      <c r="N1457" s="36" t="s">
        <v>19177</v>
      </c>
      <c r="O1457" s="36" t="s">
        <v>19178</v>
      </c>
      <c r="P1457" s="36" t="s">
        <v>19165</v>
      </c>
    </row>
    <row r="1458" spans="1:16">
      <c r="A1458" s="132">
        <v>1457</v>
      </c>
      <c r="B1458" s="36" t="s">
        <v>19179</v>
      </c>
      <c r="C1458" s="36" t="s">
        <v>19180</v>
      </c>
      <c r="D1458" s="36" t="s">
        <v>19181</v>
      </c>
      <c r="E1458" s="36" t="s">
        <v>19182</v>
      </c>
      <c r="F1458" s="36" t="s">
        <v>19183</v>
      </c>
      <c r="G1458" s="36" t="s">
        <v>19184</v>
      </c>
      <c r="H1458" s="36" t="s">
        <v>19185</v>
      </c>
      <c r="I1458" s="36" t="s">
        <v>19186</v>
      </c>
      <c r="J1458" s="36" t="s">
        <v>19187</v>
      </c>
      <c r="K1458" s="36" t="s">
        <v>19188</v>
      </c>
      <c r="L1458" s="36" t="s">
        <v>19189</v>
      </c>
      <c r="M1458" s="36" t="s">
        <v>19190</v>
      </c>
      <c r="N1458" s="36" t="s">
        <v>19191</v>
      </c>
      <c r="O1458" s="36" t="s">
        <v>19192</v>
      </c>
      <c r="P1458" s="36" t="s">
        <v>19179</v>
      </c>
    </row>
    <row r="1459" spans="1:16">
      <c r="A1459" s="132">
        <v>1458</v>
      </c>
      <c r="B1459" s="36" t="s">
        <v>19193</v>
      </c>
      <c r="C1459" s="36" t="s">
        <v>19194</v>
      </c>
      <c r="D1459" s="36" t="s">
        <v>19195</v>
      </c>
      <c r="E1459" s="36" t="s">
        <v>19196</v>
      </c>
      <c r="F1459" s="36" t="s">
        <v>19197</v>
      </c>
      <c r="G1459" s="36" t="s">
        <v>19198</v>
      </c>
      <c r="H1459" s="36" t="s">
        <v>19199</v>
      </c>
      <c r="I1459" s="36" t="s">
        <v>19200</v>
      </c>
      <c r="J1459" s="36" t="s">
        <v>19201</v>
      </c>
      <c r="K1459" s="36" t="s">
        <v>19202</v>
      </c>
      <c r="L1459" s="36" t="s">
        <v>19203</v>
      </c>
      <c r="M1459" s="36" t="s">
        <v>19204</v>
      </c>
      <c r="N1459" s="36" t="s">
        <v>19205</v>
      </c>
      <c r="O1459" s="36" t="s">
        <v>19206</v>
      </c>
      <c r="P1459" s="36" t="s">
        <v>19193</v>
      </c>
    </row>
    <row r="1460" spans="1:16">
      <c r="A1460" s="132">
        <v>1459</v>
      </c>
      <c r="B1460" s="36" t="s">
        <v>19207</v>
      </c>
      <c r="C1460" s="36" t="s">
        <v>19208</v>
      </c>
      <c r="D1460" s="36" t="s">
        <v>19209</v>
      </c>
      <c r="E1460" s="36" t="s">
        <v>19210</v>
      </c>
      <c r="F1460" s="36" t="s">
        <v>19211</v>
      </c>
      <c r="G1460" s="36" t="s">
        <v>19212</v>
      </c>
      <c r="H1460" s="36" t="s">
        <v>19213</v>
      </c>
      <c r="I1460" s="36" t="s">
        <v>19214</v>
      </c>
      <c r="J1460" s="36" t="s">
        <v>19215</v>
      </c>
      <c r="K1460" s="36" t="s">
        <v>19216</v>
      </c>
      <c r="L1460" s="36" t="s">
        <v>19217</v>
      </c>
      <c r="M1460" s="36" t="s">
        <v>19218</v>
      </c>
      <c r="N1460" s="36" t="s">
        <v>19219</v>
      </c>
      <c r="O1460" s="36" t="s">
        <v>19220</v>
      </c>
      <c r="P1460" s="36" t="s">
        <v>19221</v>
      </c>
    </row>
    <row r="1461" spans="1:16">
      <c r="A1461" s="132">
        <v>1460</v>
      </c>
      <c r="B1461" s="36" t="s">
        <v>19222</v>
      </c>
      <c r="C1461" s="36" t="s">
        <v>19223</v>
      </c>
      <c r="D1461" s="36" t="s">
        <v>19224</v>
      </c>
      <c r="E1461" s="36" t="s">
        <v>19225</v>
      </c>
      <c r="F1461" s="36" t="s">
        <v>19226</v>
      </c>
      <c r="G1461" s="36" t="s">
        <v>19227</v>
      </c>
      <c r="H1461" s="36" t="s">
        <v>19228</v>
      </c>
      <c r="I1461" s="36" t="s">
        <v>19229</v>
      </c>
      <c r="J1461" s="36" t="s">
        <v>19230</v>
      </c>
      <c r="K1461" s="36" t="s">
        <v>19231</v>
      </c>
      <c r="L1461" s="36" t="s">
        <v>19232</v>
      </c>
      <c r="M1461" s="36" t="s">
        <v>19233</v>
      </c>
      <c r="N1461" s="36" t="s">
        <v>19234</v>
      </c>
      <c r="O1461" s="36" t="s">
        <v>19235</v>
      </c>
      <c r="P1461" s="36" t="s">
        <v>19222</v>
      </c>
    </row>
    <row r="1462" spans="1:16">
      <c r="A1462" s="132">
        <v>1461</v>
      </c>
      <c r="B1462" s="36" t="s">
        <v>19236</v>
      </c>
      <c r="C1462" s="36" t="s">
        <v>19237</v>
      </c>
      <c r="D1462" s="36" t="s">
        <v>19238</v>
      </c>
      <c r="E1462" s="36" t="s">
        <v>19239</v>
      </c>
      <c r="F1462" s="36" t="s">
        <v>19240</v>
      </c>
      <c r="G1462" s="36" t="s">
        <v>19241</v>
      </c>
      <c r="H1462" s="36" t="s">
        <v>19242</v>
      </c>
      <c r="I1462" s="36" t="s">
        <v>19243</v>
      </c>
      <c r="J1462" s="36" t="s">
        <v>19244</v>
      </c>
      <c r="K1462" s="36" t="s">
        <v>19245</v>
      </c>
      <c r="L1462" s="36" t="s">
        <v>19246</v>
      </c>
      <c r="M1462" s="36" t="s">
        <v>19247</v>
      </c>
      <c r="N1462" s="36" t="s">
        <v>19248</v>
      </c>
      <c r="O1462" s="36" t="s">
        <v>19249</v>
      </c>
      <c r="P1462" s="36" t="s">
        <v>19236</v>
      </c>
    </row>
    <row r="1463" spans="1:16">
      <c r="A1463" s="132">
        <v>1462</v>
      </c>
      <c r="B1463" s="36" t="s">
        <v>19250</v>
      </c>
      <c r="C1463" s="36" t="s">
        <v>19251</v>
      </c>
      <c r="D1463" s="36" t="s">
        <v>19252</v>
      </c>
      <c r="E1463" s="36" t="s">
        <v>19253</v>
      </c>
      <c r="F1463" s="36" t="s">
        <v>19254</v>
      </c>
      <c r="G1463" s="36" t="s">
        <v>19255</v>
      </c>
      <c r="H1463" s="36" t="s">
        <v>19256</v>
      </c>
      <c r="I1463" s="36" t="s">
        <v>19257</v>
      </c>
      <c r="J1463" s="36" t="s">
        <v>19258</v>
      </c>
      <c r="K1463" s="36" t="s">
        <v>19259</v>
      </c>
      <c r="L1463" s="36" t="s">
        <v>19260</v>
      </c>
      <c r="M1463" s="36" t="s">
        <v>19261</v>
      </c>
      <c r="N1463" s="36" t="s">
        <v>19262</v>
      </c>
      <c r="O1463" s="36" t="s">
        <v>19263</v>
      </c>
      <c r="P1463" s="36" t="s">
        <v>19250</v>
      </c>
    </row>
    <row r="1464" spans="1:16">
      <c r="A1464" s="132">
        <v>1463</v>
      </c>
      <c r="B1464" s="36" t="s">
        <v>19264</v>
      </c>
      <c r="C1464" s="36" t="s">
        <v>19265</v>
      </c>
      <c r="D1464" s="36" t="s">
        <v>19266</v>
      </c>
      <c r="E1464" s="36" t="s">
        <v>19267</v>
      </c>
      <c r="F1464" s="36" t="s">
        <v>19268</v>
      </c>
      <c r="G1464" s="36" t="s">
        <v>19269</v>
      </c>
      <c r="H1464" s="36" t="s">
        <v>19270</v>
      </c>
      <c r="I1464" s="36" t="s">
        <v>19271</v>
      </c>
      <c r="J1464" s="36" t="s">
        <v>19272</v>
      </c>
      <c r="K1464" s="36" t="s">
        <v>19273</v>
      </c>
      <c r="L1464" s="36" t="s">
        <v>19274</v>
      </c>
      <c r="M1464" s="36" t="s">
        <v>19275</v>
      </c>
      <c r="N1464" s="36" t="s">
        <v>19276</v>
      </c>
      <c r="O1464" s="36" t="s">
        <v>19277</v>
      </c>
      <c r="P1464" s="36" t="s">
        <v>19264</v>
      </c>
    </row>
    <row r="1465" spans="1:16">
      <c r="A1465" s="132">
        <v>1464</v>
      </c>
      <c r="B1465" s="36" t="s">
        <v>19278</v>
      </c>
      <c r="C1465" s="36" t="s">
        <v>19279</v>
      </c>
      <c r="D1465" s="36" t="s">
        <v>19280</v>
      </c>
      <c r="E1465" s="36" t="s">
        <v>19281</v>
      </c>
      <c r="F1465" s="36" t="s">
        <v>19282</v>
      </c>
      <c r="G1465" s="36" t="s">
        <v>19283</v>
      </c>
      <c r="H1465" s="36" t="s">
        <v>19284</v>
      </c>
      <c r="I1465" s="36" t="s">
        <v>19285</v>
      </c>
      <c r="J1465" s="36" t="s">
        <v>19286</v>
      </c>
      <c r="K1465" s="36" t="s">
        <v>19287</v>
      </c>
      <c r="L1465" s="36" t="s">
        <v>19288</v>
      </c>
      <c r="M1465" s="36" t="s">
        <v>19289</v>
      </c>
      <c r="N1465" s="36" t="s">
        <v>19290</v>
      </c>
      <c r="O1465" s="36" t="s">
        <v>19291</v>
      </c>
      <c r="P1465" s="36" t="s">
        <v>19278</v>
      </c>
    </row>
    <row r="1466" spans="1:16">
      <c r="A1466" s="132">
        <v>1465</v>
      </c>
      <c r="B1466" s="36" t="s">
        <v>19292</v>
      </c>
      <c r="C1466" s="36" t="s">
        <v>19293</v>
      </c>
      <c r="D1466" s="36" t="s">
        <v>19294</v>
      </c>
      <c r="E1466" s="36" t="s">
        <v>19295</v>
      </c>
      <c r="F1466" s="36" t="s">
        <v>19296</v>
      </c>
      <c r="G1466" s="36" t="s">
        <v>19297</v>
      </c>
      <c r="H1466" s="36" t="s">
        <v>19298</v>
      </c>
      <c r="I1466" s="36" t="s">
        <v>19299</v>
      </c>
      <c r="J1466" s="36" t="s">
        <v>19300</v>
      </c>
      <c r="K1466" s="36" t="s">
        <v>19301</v>
      </c>
      <c r="L1466" s="36" t="s">
        <v>19302</v>
      </c>
      <c r="M1466" s="36" t="s">
        <v>19303</v>
      </c>
      <c r="N1466" s="36" t="s">
        <v>19304</v>
      </c>
      <c r="O1466" s="36" t="s">
        <v>19305</v>
      </c>
      <c r="P1466" s="36" t="s">
        <v>19292</v>
      </c>
    </row>
    <row r="1467" spans="1:16">
      <c r="A1467" s="132">
        <v>1466</v>
      </c>
      <c r="B1467" s="36" t="s">
        <v>19306</v>
      </c>
      <c r="C1467" s="36" t="s">
        <v>19307</v>
      </c>
      <c r="D1467" s="36" t="s">
        <v>19308</v>
      </c>
      <c r="E1467" s="36" t="s">
        <v>19309</v>
      </c>
      <c r="F1467" s="36" t="s">
        <v>19310</v>
      </c>
      <c r="G1467" s="36" t="s">
        <v>19311</v>
      </c>
      <c r="H1467" s="36" t="s">
        <v>19312</v>
      </c>
      <c r="I1467" s="36" t="s">
        <v>19313</v>
      </c>
      <c r="J1467" s="36" t="s">
        <v>19314</v>
      </c>
      <c r="K1467" s="36" t="s">
        <v>19315</v>
      </c>
      <c r="L1467" s="36" t="s">
        <v>19316</v>
      </c>
      <c r="M1467" s="36" t="s">
        <v>19317</v>
      </c>
      <c r="N1467" s="36" t="s">
        <v>19318</v>
      </c>
      <c r="O1467" s="36" t="s">
        <v>19319</v>
      </c>
      <c r="P1467" s="36" t="s">
        <v>19306</v>
      </c>
    </row>
    <row r="1468" spans="1:16">
      <c r="A1468" s="132">
        <v>1467</v>
      </c>
      <c r="B1468" s="36" t="s">
        <v>19320</v>
      </c>
      <c r="C1468" s="36" t="s">
        <v>19321</v>
      </c>
      <c r="D1468" s="36" t="s">
        <v>19322</v>
      </c>
      <c r="E1468" s="36" t="s">
        <v>19323</v>
      </c>
      <c r="F1468" s="36" t="s">
        <v>19324</v>
      </c>
      <c r="G1468" s="36" t="s">
        <v>19325</v>
      </c>
      <c r="H1468" s="36" t="s">
        <v>19326</v>
      </c>
      <c r="I1468" s="36" t="s">
        <v>19327</v>
      </c>
      <c r="J1468" s="36" t="s">
        <v>19328</v>
      </c>
      <c r="K1468" s="36" t="s">
        <v>19329</v>
      </c>
      <c r="L1468" s="36" t="s">
        <v>19330</v>
      </c>
      <c r="M1468" s="36" t="s">
        <v>19331</v>
      </c>
      <c r="N1468" s="36" t="s">
        <v>19331</v>
      </c>
      <c r="O1468" s="36" t="s">
        <v>19329</v>
      </c>
      <c r="P1468" s="36" t="s">
        <v>19332</v>
      </c>
    </row>
    <row r="1469" spans="1:16">
      <c r="A1469" s="132">
        <v>1468</v>
      </c>
      <c r="B1469" s="36" t="s">
        <v>19333</v>
      </c>
      <c r="C1469" s="36" t="s">
        <v>19334</v>
      </c>
      <c r="D1469" s="36" t="s">
        <v>19335</v>
      </c>
      <c r="E1469" s="36" t="s">
        <v>19336</v>
      </c>
      <c r="F1469" s="36" t="s">
        <v>19337</v>
      </c>
      <c r="G1469" s="36" t="s">
        <v>19338</v>
      </c>
      <c r="H1469" s="36" t="s">
        <v>19339</v>
      </c>
      <c r="I1469" s="36" t="s">
        <v>19340</v>
      </c>
      <c r="J1469" s="36" t="s">
        <v>19341</v>
      </c>
      <c r="K1469" s="36" t="s">
        <v>19342</v>
      </c>
      <c r="L1469" s="36" t="s">
        <v>19343</v>
      </c>
      <c r="M1469" s="36" t="s">
        <v>19344</v>
      </c>
      <c r="N1469" s="36" t="s">
        <v>19344</v>
      </c>
      <c r="O1469" s="36" t="s">
        <v>19342</v>
      </c>
      <c r="P1469" s="36" t="s">
        <v>19345</v>
      </c>
    </row>
    <row r="1470" spans="1:16">
      <c r="A1470" s="132">
        <v>1469</v>
      </c>
      <c r="B1470" s="36" t="s">
        <v>19346</v>
      </c>
      <c r="C1470" s="36" t="s">
        <v>19347</v>
      </c>
      <c r="D1470" s="36" t="s">
        <v>19348</v>
      </c>
      <c r="E1470" s="36" t="s">
        <v>19349</v>
      </c>
      <c r="F1470" s="36" t="s">
        <v>19350</v>
      </c>
      <c r="G1470" s="36" t="s">
        <v>19351</v>
      </c>
      <c r="H1470" s="36" t="s">
        <v>19352</v>
      </c>
      <c r="I1470" s="36" t="s">
        <v>19353</v>
      </c>
      <c r="J1470" s="36" t="s">
        <v>19354</v>
      </c>
      <c r="K1470" s="36" t="s">
        <v>19355</v>
      </c>
      <c r="L1470" s="36" t="s">
        <v>19356</v>
      </c>
      <c r="M1470" s="36" t="s">
        <v>19357</v>
      </c>
      <c r="N1470" s="36" t="s">
        <v>19358</v>
      </c>
      <c r="O1470" s="36" t="s">
        <v>19359</v>
      </c>
      <c r="P1470" s="36" t="s">
        <v>19346</v>
      </c>
    </row>
    <row r="1471" spans="1:16">
      <c r="A1471" s="132">
        <v>1470</v>
      </c>
      <c r="B1471" s="36" t="s">
        <v>19360</v>
      </c>
      <c r="C1471" s="36" t="s">
        <v>19361</v>
      </c>
      <c r="D1471" s="36" t="s">
        <v>19362</v>
      </c>
      <c r="E1471" s="36" t="s">
        <v>19363</v>
      </c>
      <c r="F1471" s="36" t="s">
        <v>19364</v>
      </c>
      <c r="G1471" s="36" t="s">
        <v>19365</v>
      </c>
      <c r="H1471" s="36" t="s">
        <v>19366</v>
      </c>
      <c r="I1471" s="36" t="s">
        <v>19367</v>
      </c>
      <c r="J1471" s="36" t="s">
        <v>19368</v>
      </c>
      <c r="K1471" s="36" t="s">
        <v>19369</v>
      </c>
      <c r="L1471" s="36" t="s">
        <v>19370</v>
      </c>
      <c r="M1471" s="36" t="s">
        <v>19371</v>
      </c>
      <c r="N1471" s="36" t="s">
        <v>19372</v>
      </c>
      <c r="O1471" s="36" t="s">
        <v>19373</v>
      </c>
      <c r="P1471" s="36" t="s">
        <v>19360</v>
      </c>
    </row>
    <row r="1472" spans="1:16">
      <c r="A1472" s="132">
        <v>1471</v>
      </c>
      <c r="B1472" s="36" t="s">
        <v>19374</v>
      </c>
      <c r="C1472" s="36" t="s">
        <v>19375</v>
      </c>
      <c r="D1472" s="36" t="s">
        <v>19376</v>
      </c>
      <c r="E1472" s="36" t="s">
        <v>19377</v>
      </c>
      <c r="F1472" s="36" t="s">
        <v>19378</v>
      </c>
      <c r="G1472" s="36" t="s">
        <v>19379</v>
      </c>
      <c r="H1472" s="36" t="s">
        <v>19380</v>
      </c>
      <c r="I1472" s="36" t="s">
        <v>19381</v>
      </c>
      <c r="J1472" s="36" t="s">
        <v>19382</v>
      </c>
      <c r="K1472" s="36" t="s">
        <v>19383</v>
      </c>
      <c r="L1472" s="36" t="s">
        <v>19384</v>
      </c>
      <c r="M1472" s="36" t="s">
        <v>19385</v>
      </c>
      <c r="N1472" s="36" t="s">
        <v>19386</v>
      </c>
      <c r="O1472" s="36" t="s">
        <v>19387</v>
      </c>
      <c r="P1472" s="36" t="s">
        <v>19374</v>
      </c>
    </row>
    <row r="1473" spans="1:16">
      <c r="A1473" s="132">
        <v>1472</v>
      </c>
      <c r="B1473" s="36" t="s">
        <v>19388</v>
      </c>
      <c r="C1473" s="36" t="s">
        <v>19389</v>
      </c>
      <c r="D1473" s="36" t="s">
        <v>19390</v>
      </c>
      <c r="E1473" s="36" t="s">
        <v>19391</v>
      </c>
      <c r="F1473" s="36" t="s">
        <v>19392</v>
      </c>
      <c r="G1473" s="36" t="s">
        <v>19393</v>
      </c>
      <c r="H1473" s="36" t="s">
        <v>19394</v>
      </c>
      <c r="I1473" s="36" t="s">
        <v>19395</v>
      </c>
      <c r="J1473" s="36" t="s">
        <v>19396</v>
      </c>
      <c r="K1473" s="36" t="s">
        <v>19397</v>
      </c>
      <c r="L1473" s="36" t="s">
        <v>19398</v>
      </c>
      <c r="M1473" s="36" t="s">
        <v>19399</v>
      </c>
      <c r="N1473" s="36" t="s">
        <v>19400</v>
      </c>
      <c r="O1473" s="36" t="s">
        <v>19401</v>
      </c>
      <c r="P1473" s="36" t="s">
        <v>19388</v>
      </c>
    </row>
    <row r="1474" spans="1:16">
      <c r="A1474" s="132">
        <v>1473</v>
      </c>
      <c r="B1474" s="36" t="s">
        <v>19402</v>
      </c>
      <c r="C1474" s="36" t="s">
        <v>19403</v>
      </c>
      <c r="D1474" s="36" t="s">
        <v>19404</v>
      </c>
      <c r="E1474" s="36" t="s">
        <v>19405</v>
      </c>
      <c r="F1474" s="36" t="s">
        <v>19406</v>
      </c>
      <c r="G1474" s="36" t="s">
        <v>19407</v>
      </c>
      <c r="H1474" s="36" t="s">
        <v>19408</v>
      </c>
      <c r="I1474" s="36" t="s">
        <v>19409</v>
      </c>
      <c r="J1474" s="36" t="s">
        <v>19410</v>
      </c>
      <c r="K1474" s="36" t="s">
        <v>19411</v>
      </c>
      <c r="L1474" s="36" t="s">
        <v>19412</v>
      </c>
      <c r="M1474" s="36" t="s">
        <v>19413</v>
      </c>
      <c r="N1474" s="36" t="s">
        <v>19414</v>
      </c>
      <c r="O1474" s="36" t="s">
        <v>19415</v>
      </c>
      <c r="P1474" s="36" t="s">
        <v>19402</v>
      </c>
    </row>
    <row r="1475" spans="1:16">
      <c r="A1475" s="132">
        <v>1474</v>
      </c>
      <c r="B1475" s="36" t="s">
        <v>19416</v>
      </c>
      <c r="C1475" s="36" t="s">
        <v>19417</v>
      </c>
      <c r="D1475" s="36" t="s">
        <v>19418</v>
      </c>
      <c r="E1475" s="36" t="s">
        <v>19419</v>
      </c>
      <c r="F1475" s="36" t="s">
        <v>19420</v>
      </c>
      <c r="G1475" s="36" t="s">
        <v>19421</v>
      </c>
      <c r="H1475" s="36" t="s">
        <v>19422</v>
      </c>
      <c r="I1475" s="36" t="s">
        <v>19423</v>
      </c>
      <c r="J1475" s="36" t="s">
        <v>19424</v>
      </c>
      <c r="K1475" s="36" t="s">
        <v>19425</v>
      </c>
      <c r="L1475" s="36" t="s">
        <v>19426</v>
      </c>
      <c r="M1475" s="36" t="s">
        <v>19427</v>
      </c>
      <c r="N1475" s="36" t="s">
        <v>19428</v>
      </c>
      <c r="O1475" s="36" t="s">
        <v>19429</v>
      </c>
      <c r="P1475" s="36" t="s">
        <v>19416</v>
      </c>
    </row>
    <row r="1476" spans="1:16">
      <c r="A1476" s="132">
        <v>1475</v>
      </c>
      <c r="B1476" s="36" t="s">
        <v>19430</v>
      </c>
      <c r="C1476" s="36" t="s">
        <v>19431</v>
      </c>
      <c r="D1476" s="36" t="s">
        <v>19432</v>
      </c>
      <c r="E1476" s="36" t="s">
        <v>19433</v>
      </c>
      <c r="F1476" s="36" t="s">
        <v>19434</v>
      </c>
      <c r="G1476" s="36" t="s">
        <v>19435</v>
      </c>
      <c r="H1476" s="36" t="s">
        <v>19436</v>
      </c>
      <c r="I1476" s="36" t="s">
        <v>19437</v>
      </c>
      <c r="J1476" s="36" t="s">
        <v>19438</v>
      </c>
      <c r="K1476" s="36" t="s">
        <v>19439</v>
      </c>
      <c r="L1476" s="36" t="s">
        <v>19440</v>
      </c>
      <c r="M1476" s="36" t="s">
        <v>19441</v>
      </c>
      <c r="N1476" s="36" t="s">
        <v>19442</v>
      </c>
      <c r="O1476" s="36" t="s">
        <v>19443</v>
      </c>
      <c r="P1476" s="36" t="s">
        <v>19430</v>
      </c>
    </row>
    <row r="1477" spans="1:16">
      <c r="A1477" s="132">
        <v>1476</v>
      </c>
      <c r="B1477" s="36" t="s">
        <v>19444</v>
      </c>
      <c r="C1477" s="36" t="s">
        <v>19445</v>
      </c>
      <c r="D1477" s="36" t="s">
        <v>19446</v>
      </c>
      <c r="E1477" s="36" t="s">
        <v>19447</v>
      </c>
      <c r="F1477" s="36" t="s">
        <v>19448</v>
      </c>
      <c r="G1477" s="36" t="s">
        <v>19449</v>
      </c>
      <c r="H1477" s="36" t="s">
        <v>19450</v>
      </c>
      <c r="I1477" s="36" t="s">
        <v>19451</v>
      </c>
      <c r="J1477" s="36" t="s">
        <v>19452</v>
      </c>
      <c r="K1477" s="36" t="s">
        <v>19453</v>
      </c>
      <c r="L1477" s="36" t="s">
        <v>19454</v>
      </c>
      <c r="M1477" s="36" t="s">
        <v>19455</v>
      </c>
      <c r="N1477" s="36" t="s">
        <v>19456</v>
      </c>
      <c r="O1477" s="36" t="s">
        <v>19457</v>
      </c>
      <c r="P1477" s="36" t="s">
        <v>19458</v>
      </c>
    </row>
    <row r="1478" spans="1:16">
      <c r="A1478" s="132">
        <v>1477</v>
      </c>
      <c r="B1478" s="36" t="s">
        <v>19459</v>
      </c>
      <c r="C1478" s="36" t="s">
        <v>19460</v>
      </c>
      <c r="D1478" s="36" t="s">
        <v>19461</v>
      </c>
      <c r="E1478" s="36" t="s">
        <v>19462</v>
      </c>
      <c r="F1478" s="36" t="s">
        <v>19463</v>
      </c>
      <c r="G1478" s="36" t="s">
        <v>19464</v>
      </c>
      <c r="H1478" s="36" t="s">
        <v>19465</v>
      </c>
      <c r="I1478" s="36" t="s">
        <v>19466</v>
      </c>
      <c r="J1478" s="36" t="s">
        <v>19467</v>
      </c>
      <c r="K1478" s="36" t="s">
        <v>19468</v>
      </c>
      <c r="L1478" s="36" t="s">
        <v>19469</v>
      </c>
      <c r="M1478" s="36" t="s">
        <v>19470</v>
      </c>
      <c r="N1478" s="36" t="s">
        <v>19471</v>
      </c>
      <c r="O1478" s="36" t="s">
        <v>19472</v>
      </c>
      <c r="P1478" s="36" t="s">
        <v>19459</v>
      </c>
    </row>
    <row r="1479" spans="1:16" ht="13.95" customHeight="1">
      <c r="A1479" s="132">
        <v>1478</v>
      </c>
      <c r="B1479" s="36" t="s">
        <v>19473</v>
      </c>
      <c r="C1479" s="36" t="s">
        <v>19474</v>
      </c>
      <c r="D1479" s="36" t="s">
        <v>19475</v>
      </c>
      <c r="E1479" s="36" t="s">
        <v>19476</v>
      </c>
      <c r="F1479" s="36" t="s">
        <v>19477</v>
      </c>
      <c r="G1479" s="36" t="s">
        <v>19478</v>
      </c>
      <c r="H1479" s="36" t="s">
        <v>19479</v>
      </c>
      <c r="I1479" s="36" t="s">
        <v>19480</v>
      </c>
      <c r="J1479" s="36" t="s">
        <v>19481</v>
      </c>
      <c r="K1479" s="36" t="s">
        <v>19482</v>
      </c>
      <c r="L1479" s="36" t="s">
        <v>19483</v>
      </c>
      <c r="M1479" s="36" t="s">
        <v>19484</v>
      </c>
      <c r="N1479" s="36" t="s">
        <v>19485</v>
      </c>
      <c r="O1479" s="36" t="s">
        <v>19486</v>
      </c>
      <c r="P1479" s="36" t="s">
        <v>19473</v>
      </c>
    </row>
    <row r="1480" spans="1:16" ht="13.95" customHeight="1">
      <c r="A1480" s="132">
        <v>1479</v>
      </c>
      <c r="B1480" s="36" t="s">
        <v>19487</v>
      </c>
      <c r="C1480" s="36" t="s">
        <v>19488</v>
      </c>
      <c r="D1480" s="36" t="s">
        <v>19489</v>
      </c>
      <c r="E1480" s="36" t="s">
        <v>19490</v>
      </c>
      <c r="F1480" s="36" t="s">
        <v>19491</v>
      </c>
      <c r="G1480" s="36" t="s">
        <v>19492</v>
      </c>
      <c r="H1480" s="36" t="s">
        <v>19493</v>
      </c>
      <c r="I1480" s="36" t="s">
        <v>19494</v>
      </c>
      <c r="J1480" s="36" t="s">
        <v>19495</v>
      </c>
      <c r="K1480" s="36" t="s">
        <v>19496</v>
      </c>
      <c r="L1480" s="36" t="s">
        <v>19497</v>
      </c>
      <c r="M1480" s="36" t="s">
        <v>19498</v>
      </c>
      <c r="N1480" s="36" t="s">
        <v>19499</v>
      </c>
      <c r="O1480" s="36" t="s">
        <v>19500</v>
      </c>
      <c r="P1480" s="36" t="s">
        <v>19487</v>
      </c>
    </row>
    <row r="1481" spans="1:16" ht="13.95" customHeight="1">
      <c r="A1481" s="132">
        <v>1480</v>
      </c>
      <c r="B1481" s="36" t="s">
        <v>19501</v>
      </c>
      <c r="C1481" s="36" t="s">
        <v>19502</v>
      </c>
      <c r="D1481" s="36" t="s">
        <v>19503</v>
      </c>
      <c r="E1481" s="36" t="s">
        <v>19504</v>
      </c>
      <c r="F1481" s="36" t="s">
        <v>4143</v>
      </c>
      <c r="G1481" s="36" t="s">
        <v>19505</v>
      </c>
      <c r="H1481" s="36" t="s">
        <v>4145</v>
      </c>
      <c r="I1481" s="36" t="s">
        <v>19506</v>
      </c>
      <c r="J1481" s="36" t="s">
        <v>4146</v>
      </c>
      <c r="K1481" s="36" t="s">
        <v>19507</v>
      </c>
      <c r="L1481" s="36" t="s">
        <v>4148</v>
      </c>
      <c r="M1481" s="36" t="s">
        <v>4148</v>
      </c>
      <c r="N1481" s="36" t="s">
        <v>4148</v>
      </c>
      <c r="O1481" s="36" t="s">
        <v>4149</v>
      </c>
      <c r="P1481" s="36" t="s">
        <v>19501</v>
      </c>
    </row>
    <row r="1482" spans="1:16" ht="13.95" customHeight="1">
      <c r="A1482" s="132">
        <v>1481</v>
      </c>
      <c r="B1482" s="36" t="s">
        <v>19508</v>
      </c>
      <c r="C1482" s="36" t="s">
        <v>19509</v>
      </c>
      <c r="D1482" s="36" t="s">
        <v>19510</v>
      </c>
      <c r="E1482" s="36" t="s">
        <v>19511</v>
      </c>
      <c r="F1482" s="36" t="s">
        <v>19512</v>
      </c>
      <c r="G1482" s="36" t="s">
        <v>19513</v>
      </c>
      <c r="H1482" s="36" t="s">
        <v>19514</v>
      </c>
      <c r="I1482" s="36" t="s">
        <v>19515</v>
      </c>
      <c r="J1482" s="36" t="s">
        <v>19516</v>
      </c>
      <c r="K1482" s="36" t="s">
        <v>19517</v>
      </c>
      <c r="L1482" s="36" t="s">
        <v>19518</v>
      </c>
      <c r="M1482" s="36" t="s">
        <v>19519</v>
      </c>
      <c r="N1482" s="36" t="s">
        <v>19520</v>
      </c>
      <c r="O1482" s="36" t="s">
        <v>19521</v>
      </c>
      <c r="P1482" s="36" t="s">
        <v>19508</v>
      </c>
    </row>
    <row r="1483" spans="1:16" ht="13.95" customHeight="1">
      <c r="A1483" s="132">
        <v>1482</v>
      </c>
      <c r="B1483" s="36" t="s">
        <v>19522</v>
      </c>
      <c r="C1483" s="36" t="s">
        <v>19523</v>
      </c>
      <c r="D1483" s="36" t="s">
        <v>19524</v>
      </c>
      <c r="E1483" s="36" t="s">
        <v>19525</v>
      </c>
      <c r="F1483" s="36" t="s">
        <v>19526</v>
      </c>
      <c r="G1483" s="36" t="s">
        <v>19527</v>
      </c>
      <c r="H1483" s="36" t="s">
        <v>19528</v>
      </c>
      <c r="I1483" s="36" t="s">
        <v>19529</v>
      </c>
      <c r="J1483" s="36" t="s">
        <v>19530</v>
      </c>
      <c r="K1483" s="36" t="s">
        <v>19531</v>
      </c>
      <c r="L1483" s="36" t="s">
        <v>19532</v>
      </c>
      <c r="M1483" s="36" t="s">
        <v>19533</v>
      </c>
      <c r="N1483" s="36" t="s">
        <v>19534</v>
      </c>
      <c r="O1483" s="36" t="s">
        <v>19535</v>
      </c>
      <c r="P1483" s="36" t="s">
        <v>19522</v>
      </c>
    </row>
    <row r="1484" spans="1:16">
      <c r="A1484" s="132">
        <v>1483</v>
      </c>
      <c r="B1484" s="36" t="s">
        <v>19536</v>
      </c>
      <c r="C1484" s="36" t="s">
        <v>19537</v>
      </c>
      <c r="D1484" s="36" t="s">
        <v>19538</v>
      </c>
      <c r="E1484" s="36" t="s">
        <v>19539</v>
      </c>
      <c r="F1484" s="36" t="s">
        <v>19540</v>
      </c>
      <c r="G1484" s="36" t="s">
        <v>19541</v>
      </c>
      <c r="H1484" s="36" t="s">
        <v>19542</v>
      </c>
      <c r="I1484" s="36" t="s">
        <v>19543</v>
      </c>
      <c r="J1484" s="36" t="s">
        <v>19544</v>
      </c>
      <c r="K1484" s="36" t="s">
        <v>19545</v>
      </c>
      <c r="L1484" s="36" t="s">
        <v>19546</v>
      </c>
      <c r="M1484" s="36" t="s">
        <v>19547</v>
      </c>
      <c r="N1484" s="36" t="s">
        <v>19548</v>
      </c>
      <c r="O1484" s="36" t="s">
        <v>19549</v>
      </c>
      <c r="P1484" s="36" t="s">
        <v>19536</v>
      </c>
    </row>
    <row r="1485" spans="1:16">
      <c r="A1485" s="132">
        <v>1484</v>
      </c>
      <c r="B1485" s="36" t="s">
        <v>19550</v>
      </c>
      <c r="C1485" s="36" t="s">
        <v>19551</v>
      </c>
      <c r="D1485" s="36" t="s">
        <v>19552</v>
      </c>
      <c r="E1485" s="36" t="s">
        <v>19553</v>
      </c>
      <c r="F1485" s="36" t="s">
        <v>19554</v>
      </c>
      <c r="G1485" s="36" t="s">
        <v>19555</v>
      </c>
      <c r="H1485" s="36" t="s">
        <v>19556</v>
      </c>
      <c r="I1485" s="36" t="s">
        <v>19557</v>
      </c>
      <c r="J1485" s="36" t="s">
        <v>19558</v>
      </c>
      <c r="K1485" s="36" t="s">
        <v>19559</v>
      </c>
      <c r="L1485" s="36" t="s">
        <v>19560</v>
      </c>
      <c r="M1485" s="36" t="s">
        <v>19561</v>
      </c>
      <c r="N1485" s="36" t="s">
        <v>19562</v>
      </c>
      <c r="O1485" s="36" t="s">
        <v>19563</v>
      </c>
      <c r="P1485" s="36" t="s">
        <v>19550</v>
      </c>
    </row>
    <row r="1486" spans="1:16">
      <c r="A1486" s="132">
        <v>1485</v>
      </c>
      <c r="B1486" s="36" t="s">
        <v>19564</v>
      </c>
      <c r="C1486" s="36" t="s">
        <v>19565</v>
      </c>
      <c r="D1486" s="36" t="s">
        <v>19566</v>
      </c>
      <c r="E1486" s="36" t="s">
        <v>19567</v>
      </c>
      <c r="F1486" s="36" t="s">
        <v>19568</v>
      </c>
      <c r="G1486" s="36" t="s">
        <v>19569</v>
      </c>
      <c r="H1486" s="36" t="s">
        <v>19570</v>
      </c>
      <c r="I1486" s="36" t="s">
        <v>19571</v>
      </c>
      <c r="J1486" s="36" t="s">
        <v>19572</v>
      </c>
      <c r="K1486" s="36" t="s">
        <v>19573</v>
      </c>
      <c r="L1486" s="36" t="s">
        <v>19574</v>
      </c>
      <c r="M1486" s="36" t="s">
        <v>19575</v>
      </c>
      <c r="N1486" s="36" t="s">
        <v>19576</v>
      </c>
      <c r="O1486" s="36" t="s">
        <v>19577</v>
      </c>
      <c r="P1486" s="36" t="s">
        <v>19564</v>
      </c>
    </row>
    <row r="1487" spans="1:16">
      <c r="A1487" s="132">
        <v>1486</v>
      </c>
      <c r="B1487" s="36" t="s">
        <v>19578</v>
      </c>
      <c r="C1487" s="36" t="s">
        <v>19579</v>
      </c>
      <c r="D1487" s="36" t="s">
        <v>19580</v>
      </c>
      <c r="E1487" s="36" t="s">
        <v>19581</v>
      </c>
      <c r="F1487" s="36" t="s">
        <v>19582</v>
      </c>
      <c r="G1487" s="36" t="s">
        <v>19583</v>
      </c>
      <c r="H1487" s="36" t="s">
        <v>19584</v>
      </c>
      <c r="I1487" s="36" t="s">
        <v>19585</v>
      </c>
      <c r="J1487" s="36" t="s">
        <v>19586</v>
      </c>
      <c r="K1487" s="36" t="s">
        <v>7775</v>
      </c>
      <c r="L1487" s="36" t="s">
        <v>19587</v>
      </c>
      <c r="M1487" s="36" t="s">
        <v>19588</v>
      </c>
      <c r="N1487" s="36" t="s">
        <v>19589</v>
      </c>
      <c r="O1487" s="36" t="s">
        <v>19590</v>
      </c>
      <c r="P1487" s="36" t="s">
        <v>19578</v>
      </c>
    </row>
    <row r="1488" spans="1:16">
      <c r="A1488" s="132">
        <v>1487</v>
      </c>
      <c r="B1488" s="36" t="s">
        <v>19591</v>
      </c>
      <c r="C1488" s="36" t="s">
        <v>19592</v>
      </c>
      <c r="D1488" s="36" t="s">
        <v>19593</v>
      </c>
      <c r="E1488" s="36" t="s">
        <v>19594</v>
      </c>
      <c r="F1488" s="36" t="s">
        <v>19595</v>
      </c>
      <c r="G1488" s="36" t="s">
        <v>19596</v>
      </c>
      <c r="H1488" s="36" t="s">
        <v>19597</v>
      </c>
      <c r="I1488" s="36" t="s">
        <v>19595</v>
      </c>
      <c r="J1488" s="36" t="s">
        <v>19598</v>
      </c>
      <c r="K1488" s="36" t="s">
        <v>19599</v>
      </c>
      <c r="L1488" s="36" t="s">
        <v>19600</v>
      </c>
      <c r="M1488" s="36" t="s">
        <v>19600</v>
      </c>
      <c r="N1488" s="36" t="s">
        <v>19601</v>
      </c>
      <c r="O1488" s="36" t="s">
        <v>19602</v>
      </c>
      <c r="P1488" s="36" t="s">
        <v>19591</v>
      </c>
    </row>
    <row r="1489" spans="1:16">
      <c r="A1489" s="132">
        <v>1488</v>
      </c>
      <c r="B1489" s="36" t="s">
        <v>19603</v>
      </c>
      <c r="C1489" s="36" t="s">
        <v>19604</v>
      </c>
      <c r="D1489" s="36" t="s">
        <v>19605</v>
      </c>
      <c r="E1489" s="36" t="s">
        <v>19606</v>
      </c>
      <c r="F1489" s="36" t="s">
        <v>19607</v>
      </c>
      <c r="G1489" s="36" t="s">
        <v>19608</v>
      </c>
      <c r="H1489" s="36" t="s">
        <v>19609</v>
      </c>
      <c r="I1489" s="36" t="s">
        <v>19610</v>
      </c>
      <c r="J1489" s="36" t="s">
        <v>19611</v>
      </c>
      <c r="K1489" s="36" t="s">
        <v>19612</v>
      </c>
      <c r="L1489" s="36" t="s">
        <v>19613</v>
      </c>
      <c r="M1489" s="36" t="s">
        <v>19614</v>
      </c>
      <c r="N1489" s="36" t="s">
        <v>19615</v>
      </c>
      <c r="O1489" s="36" t="s">
        <v>19616</v>
      </c>
      <c r="P1489" s="36" t="s">
        <v>19603</v>
      </c>
    </row>
    <row r="1490" spans="1:16">
      <c r="A1490" s="132">
        <v>1489</v>
      </c>
      <c r="B1490" s="36" t="s">
        <v>19617</v>
      </c>
      <c r="C1490" s="36" t="s">
        <v>19618</v>
      </c>
      <c r="D1490" s="36" t="s">
        <v>19619</v>
      </c>
      <c r="E1490" s="36" t="s">
        <v>19620</v>
      </c>
      <c r="F1490" s="36" t="s">
        <v>19621</v>
      </c>
      <c r="G1490" s="36" t="s">
        <v>19622</v>
      </c>
      <c r="H1490" s="36" t="s">
        <v>19623</v>
      </c>
      <c r="I1490" s="36" t="s">
        <v>19624</v>
      </c>
      <c r="J1490" s="36" t="s">
        <v>19625</v>
      </c>
      <c r="K1490" s="36" t="s">
        <v>19626</v>
      </c>
      <c r="L1490" s="36" t="s">
        <v>19627</v>
      </c>
      <c r="M1490" s="36" t="s">
        <v>19628</v>
      </c>
      <c r="N1490" s="36" t="s">
        <v>19629</v>
      </c>
      <c r="O1490" s="36" t="s">
        <v>19630</v>
      </c>
      <c r="P1490" s="36" t="s">
        <v>19631</v>
      </c>
    </row>
    <row r="1491" spans="1:16">
      <c r="A1491" s="132">
        <v>1490</v>
      </c>
      <c r="B1491" s="36" t="s">
        <v>19632</v>
      </c>
      <c r="C1491" s="36" t="s">
        <v>19633</v>
      </c>
      <c r="D1491" s="36" t="s">
        <v>19634</v>
      </c>
      <c r="E1491" s="36" t="s">
        <v>19635</v>
      </c>
      <c r="F1491" s="36" t="s">
        <v>19636</v>
      </c>
      <c r="G1491" s="36" t="s">
        <v>19637</v>
      </c>
      <c r="H1491" s="36" t="s">
        <v>19638</v>
      </c>
      <c r="I1491" s="36" t="s">
        <v>19639</v>
      </c>
      <c r="J1491" s="36" t="s">
        <v>19640</v>
      </c>
      <c r="K1491" s="36" t="s">
        <v>19641</v>
      </c>
      <c r="L1491" s="36" t="s">
        <v>19642</v>
      </c>
      <c r="M1491" s="36" t="s">
        <v>19643</v>
      </c>
      <c r="N1491" s="36" t="s">
        <v>19644</v>
      </c>
      <c r="O1491" s="36" t="s">
        <v>19645</v>
      </c>
      <c r="P1491" s="36" t="s">
        <v>19632</v>
      </c>
    </row>
    <row r="1492" spans="1:16">
      <c r="A1492" s="132">
        <v>1491</v>
      </c>
      <c r="B1492" s="36" t="s">
        <v>19646</v>
      </c>
      <c r="C1492" s="36" t="s">
        <v>19647</v>
      </c>
      <c r="D1492" s="36" t="s">
        <v>19648</v>
      </c>
      <c r="E1492" s="36" t="s">
        <v>19649</v>
      </c>
      <c r="F1492" s="36" t="s">
        <v>13656</v>
      </c>
      <c r="G1492" s="36" t="s">
        <v>13656</v>
      </c>
      <c r="H1492" s="36" t="s">
        <v>19650</v>
      </c>
      <c r="I1492" s="36" t="s">
        <v>19651</v>
      </c>
      <c r="J1492" s="36" t="s">
        <v>19652</v>
      </c>
      <c r="K1492" s="36" t="s">
        <v>19653</v>
      </c>
      <c r="L1492" s="36" t="s">
        <v>19654</v>
      </c>
      <c r="M1492" s="36" t="s">
        <v>19655</v>
      </c>
      <c r="N1492" s="36" t="s">
        <v>19655</v>
      </c>
      <c r="O1492" s="36" t="s">
        <v>13663</v>
      </c>
      <c r="P1492" s="36" t="s">
        <v>19646</v>
      </c>
    </row>
    <row r="1493" spans="1:16">
      <c r="A1493" s="132">
        <v>1492</v>
      </c>
      <c r="B1493" s="36" t="s">
        <v>18522</v>
      </c>
      <c r="C1493" s="36" t="s">
        <v>18523</v>
      </c>
      <c r="D1493" s="36" t="s">
        <v>18524</v>
      </c>
      <c r="E1493" s="36" t="s">
        <v>18525</v>
      </c>
      <c r="F1493" s="36" t="s">
        <v>18526</v>
      </c>
      <c r="G1493" s="36" t="s">
        <v>18527</v>
      </c>
      <c r="H1493" s="36" t="s">
        <v>18528</v>
      </c>
      <c r="I1493" s="36" t="s">
        <v>18529</v>
      </c>
      <c r="J1493" s="36" t="s">
        <v>18530</v>
      </c>
      <c r="K1493" s="36" t="s">
        <v>18531</v>
      </c>
      <c r="L1493" s="36" t="s">
        <v>18532</v>
      </c>
      <c r="M1493" s="36" t="s">
        <v>18533</v>
      </c>
      <c r="N1493" s="36" t="s">
        <v>18534</v>
      </c>
      <c r="O1493" s="36" t="s">
        <v>18535</v>
      </c>
      <c r="P1493" s="36" t="s">
        <v>18522</v>
      </c>
    </row>
    <row r="1494" spans="1:16">
      <c r="A1494" s="132">
        <v>1493</v>
      </c>
      <c r="B1494" s="36" t="s">
        <v>19656</v>
      </c>
      <c r="C1494" s="36" t="s">
        <v>19657</v>
      </c>
      <c r="D1494" s="36" t="s">
        <v>19658</v>
      </c>
      <c r="E1494" s="36" t="s">
        <v>19659</v>
      </c>
      <c r="F1494" s="36" t="s">
        <v>19660</v>
      </c>
      <c r="G1494" s="36" t="s">
        <v>19661</v>
      </c>
      <c r="H1494" s="36" t="s">
        <v>19662</v>
      </c>
      <c r="I1494" s="36" t="s">
        <v>19663</v>
      </c>
      <c r="J1494" s="36" t="s">
        <v>19664</v>
      </c>
      <c r="K1494" s="36" t="s">
        <v>19665</v>
      </c>
      <c r="L1494" s="36" t="s">
        <v>19666</v>
      </c>
      <c r="M1494" s="36" t="s">
        <v>19667</v>
      </c>
      <c r="N1494" s="36" t="s">
        <v>19668</v>
      </c>
      <c r="O1494" s="36" t="s">
        <v>19669</v>
      </c>
      <c r="P1494" s="36" t="s">
        <v>19656</v>
      </c>
    </row>
    <row r="1495" spans="1:16">
      <c r="A1495" s="132">
        <v>1494</v>
      </c>
      <c r="B1495" s="36" t="s">
        <v>19670</v>
      </c>
      <c r="C1495" s="36" t="s">
        <v>19671</v>
      </c>
      <c r="D1495" s="36" t="s">
        <v>19672</v>
      </c>
      <c r="E1495" s="36" t="s">
        <v>19673</v>
      </c>
      <c r="F1495" s="36" t="s">
        <v>19674</v>
      </c>
      <c r="G1495" s="36" t="s">
        <v>19675</v>
      </c>
      <c r="H1495" s="36" t="s">
        <v>19676</v>
      </c>
      <c r="I1495" s="36" t="s">
        <v>19677</v>
      </c>
      <c r="J1495" s="36" t="s">
        <v>19678</v>
      </c>
      <c r="K1495" s="36" t="s">
        <v>19679</v>
      </c>
      <c r="L1495" s="36" t="s">
        <v>19680</v>
      </c>
      <c r="M1495" s="36" t="s">
        <v>19681</v>
      </c>
      <c r="N1495" s="36" t="s">
        <v>19682</v>
      </c>
      <c r="O1495" s="36" t="s">
        <v>19683</v>
      </c>
      <c r="P1495" s="36" t="s">
        <v>19670</v>
      </c>
    </row>
    <row r="1496" spans="1:16">
      <c r="A1496" s="132">
        <v>1495</v>
      </c>
      <c r="B1496" s="36" t="s">
        <v>19684</v>
      </c>
      <c r="C1496" s="36" t="s">
        <v>19685</v>
      </c>
      <c r="D1496" s="36" t="s">
        <v>19686</v>
      </c>
      <c r="E1496" s="36" t="s">
        <v>19687</v>
      </c>
      <c r="F1496" s="36" t="s">
        <v>19688</v>
      </c>
      <c r="G1496" s="36" t="s">
        <v>19689</v>
      </c>
      <c r="H1496" s="36" t="s">
        <v>19690</v>
      </c>
      <c r="I1496" s="36" t="s">
        <v>19691</v>
      </c>
      <c r="J1496" s="36" t="s">
        <v>19692</v>
      </c>
      <c r="K1496" s="36" t="s">
        <v>19693</v>
      </c>
      <c r="L1496" s="36" t="s">
        <v>19694</v>
      </c>
      <c r="M1496" s="36" t="s">
        <v>19695</v>
      </c>
      <c r="N1496" s="36" t="s">
        <v>19696</v>
      </c>
      <c r="O1496" s="36" t="s">
        <v>19697</v>
      </c>
      <c r="P1496" s="36" t="s">
        <v>19684</v>
      </c>
    </row>
    <row r="1497" spans="1:16">
      <c r="A1497" s="132">
        <v>1496</v>
      </c>
      <c r="B1497" s="36" t="s">
        <v>19698</v>
      </c>
      <c r="C1497" s="36" t="s">
        <v>19699</v>
      </c>
      <c r="D1497" s="36" t="s">
        <v>19700</v>
      </c>
      <c r="E1497" s="36" t="s">
        <v>19701</v>
      </c>
      <c r="F1497" s="36" t="s">
        <v>19702</v>
      </c>
      <c r="G1497" s="36" t="s">
        <v>19703</v>
      </c>
      <c r="H1497" s="36" t="s">
        <v>19704</v>
      </c>
      <c r="I1497" s="36" t="s">
        <v>19705</v>
      </c>
      <c r="J1497" s="36" t="s">
        <v>19706</v>
      </c>
      <c r="K1497" s="36" t="s">
        <v>19707</v>
      </c>
      <c r="L1497" s="36" t="s">
        <v>19708</v>
      </c>
      <c r="M1497" s="36" t="s">
        <v>19709</v>
      </c>
      <c r="N1497" s="36" t="s">
        <v>19710</v>
      </c>
      <c r="O1497" s="36" t="s">
        <v>19711</v>
      </c>
      <c r="P1497" s="36" t="s">
        <v>19698</v>
      </c>
    </row>
    <row r="1498" spans="1:16">
      <c r="A1498" s="132">
        <v>1497</v>
      </c>
      <c r="B1498" s="36" t="s">
        <v>19712</v>
      </c>
      <c r="C1498" s="36" t="s">
        <v>19713</v>
      </c>
      <c r="D1498" s="36" t="s">
        <v>19714</v>
      </c>
      <c r="E1498" s="36" t="s">
        <v>19715</v>
      </c>
      <c r="F1498" s="36" t="s">
        <v>19716</v>
      </c>
      <c r="G1498" s="36" t="s">
        <v>19717</v>
      </c>
      <c r="H1498" s="36" t="s">
        <v>19718</v>
      </c>
      <c r="I1498" s="36" t="s">
        <v>19719</v>
      </c>
      <c r="J1498" s="36" t="s">
        <v>19720</v>
      </c>
      <c r="K1498" s="36" t="s">
        <v>19721</v>
      </c>
      <c r="L1498" s="36" t="s">
        <v>19722</v>
      </c>
      <c r="M1498" s="36" t="s">
        <v>19723</v>
      </c>
      <c r="N1498" s="36" t="s">
        <v>19724</v>
      </c>
      <c r="O1498" s="36" t="s">
        <v>19725</v>
      </c>
      <c r="P1498" s="36" t="s">
        <v>19712</v>
      </c>
    </row>
    <row r="1499" spans="1:16">
      <c r="A1499" s="132">
        <v>1498</v>
      </c>
      <c r="B1499" s="36" t="s">
        <v>19726</v>
      </c>
      <c r="C1499" s="36" t="s">
        <v>19727</v>
      </c>
      <c r="D1499" s="36" t="s">
        <v>19728</v>
      </c>
      <c r="E1499" s="36" t="s">
        <v>19729</v>
      </c>
      <c r="F1499" s="36" t="s">
        <v>19730</v>
      </c>
      <c r="G1499" s="36" t="s">
        <v>19731</v>
      </c>
      <c r="H1499" s="36" t="s">
        <v>19732</v>
      </c>
      <c r="I1499" s="36" t="s">
        <v>19733</v>
      </c>
      <c r="J1499" s="36" t="s">
        <v>19734</v>
      </c>
      <c r="K1499" s="36" t="s">
        <v>19735</v>
      </c>
      <c r="L1499" s="36" t="s">
        <v>19736</v>
      </c>
      <c r="M1499" s="36" t="s">
        <v>19737</v>
      </c>
      <c r="N1499" s="36" t="s">
        <v>19738</v>
      </c>
      <c r="O1499" s="36" t="s">
        <v>19739</v>
      </c>
      <c r="P1499" s="36" t="s">
        <v>19726</v>
      </c>
    </row>
    <row r="1500" spans="1:16">
      <c r="A1500" s="132">
        <v>1499</v>
      </c>
      <c r="B1500" s="36" t="s">
        <v>19740</v>
      </c>
      <c r="C1500" s="36" t="s">
        <v>19741</v>
      </c>
      <c r="D1500" s="36" t="s">
        <v>19742</v>
      </c>
      <c r="E1500" s="36" t="s">
        <v>19743</v>
      </c>
      <c r="F1500" s="36" t="s">
        <v>19744</v>
      </c>
      <c r="G1500" s="36" t="s">
        <v>19745</v>
      </c>
      <c r="H1500" s="36" t="s">
        <v>19746</v>
      </c>
      <c r="I1500" s="36" t="s">
        <v>19747</v>
      </c>
      <c r="J1500" s="36" t="s">
        <v>19748</v>
      </c>
      <c r="K1500" s="36" t="s">
        <v>19749</v>
      </c>
      <c r="L1500" s="36" t="s">
        <v>19750</v>
      </c>
      <c r="M1500" s="36" t="s">
        <v>19751</v>
      </c>
      <c r="N1500" s="36" t="s">
        <v>19752</v>
      </c>
      <c r="O1500" s="36" t="s">
        <v>19753</v>
      </c>
      <c r="P1500" s="36" t="s">
        <v>19740</v>
      </c>
    </row>
    <row r="1501" spans="1:16">
      <c r="A1501" s="132">
        <v>1500</v>
      </c>
      <c r="B1501" s="36" t="s">
        <v>19754</v>
      </c>
      <c r="C1501" s="36" t="s">
        <v>19755</v>
      </c>
      <c r="D1501" s="36" t="s">
        <v>19756</v>
      </c>
      <c r="E1501" s="36" t="s">
        <v>19757</v>
      </c>
      <c r="F1501" s="36" t="s">
        <v>19758</v>
      </c>
      <c r="G1501" s="36" t="s">
        <v>19759</v>
      </c>
      <c r="H1501" s="36" t="s">
        <v>19760</v>
      </c>
      <c r="I1501" s="36" t="s">
        <v>19761</v>
      </c>
      <c r="J1501" s="36" t="s">
        <v>19762</v>
      </c>
      <c r="K1501" s="36" t="s">
        <v>19763</v>
      </c>
      <c r="L1501" s="36" t="s">
        <v>19764</v>
      </c>
      <c r="M1501" s="36" t="s">
        <v>19765</v>
      </c>
      <c r="N1501" s="36" t="s">
        <v>19766</v>
      </c>
      <c r="O1501" s="36" t="s">
        <v>19767</v>
      </c>
      <c r="P1501" s="36" t="s">
        <v>19754</v>
      </c>
    </row>
    <row r="1502" spans="1:16">
      <c r="A1502" s="132">
        <v>1501</v>
      </c>
      <c r="B1502" s="36" t="s">
        <v>19768</v>
      </c>
      <c r="C1502" s="36" t="s">
        <v>19769</v>
      </c>
      <c r="D1502" s="36" t="s">
        <v>19770</v>
      </c>
      <c r="E1502" s="36" t="s">
        <v>29588</v>
      </c>
      <c r="F1502" s="36" t="s">
        <v>19771</v>
      </c>
      <c r="G1502" s="36" t="s">
        <v>19772</v>
      </c>
      <c r="H1502" s="36" t="s">
        <v>19773</v>
      </c>
      <c r="I1502" s="36" t="s">
        <v>19774</v>
      </c>
      <c r="J1502" s="36" t="s">
        <v>19775</v>
      </c>
      <c r="K1502" s="36" t="s">
        <v>19776</v>
      </c>
      <c r="L1502" s="36" t="s">
        <v>19777</v>
      </c>
      <c r="M1502" s="36" t="s">
        <v>19778</v>
      </c>
      <c r="N1502" s="36" t="s">
        <v>19779</v>
      </c>
      <c r="O1502" s="36" t="s">
        <v>19780</v>
      </c>
      <c r="P1502" s="36" t="s">
        <v>19768</v>
      </c>
    </row>
    <row r="1503" spans="1:16">
      <c r="A1503" s="132">
        <v>1502</v>
      </c>
      <c r="B1503" s="36" t="s">
        <v>19781</v>
      </c>
      <c r="C1503" s="36" t="s">
        <v>19782</v>
      </c>
      <c r="D1503" s="36" t="s">
        <v>19783</v>
      </c>
      <c r="E1503" s="36" t="s">
        <v>29589</v>
      </c>
      <c r="F1503" s="36" t="s">
        <v>19784</v>
      </c>
      <c r="G1503" s="36" t="s">
        <v>19785</v>
      </c>
      <c r="H1503" s="36" t="s">
        <v>19786</v>
      </c>
      <c r="I1503" s="36" t="s">
        <v>19787</v>
      </c>
      <c r="J1503" s="36" t="s">
        <v>19788</v>
      </c>
      <c r="K1503" s="36" t="s">
        <v>19789</v>
      </c>
      <c r="L1503" s="36" t="s">
        <v>19790</v>
      </c>
      <c r="M1503" s="36" t="s">
        <v>19791</v>
      </c>
      <c r="N1503" s="36" t="s">
        <v>19792</v>
      </c>
      <c r="O1503" s="36" t="s">
        <v>19793</v>
      </c>
      <c r="P1503" s="36" t="s">
        <v>19781</v>
      </c>
    </row>
    <row r="1504" spans="1:16">
      <c r="A1504" s="132">
        <v>1503</v>
      </c>
      <c r="B1504" s="36" t="s">
        <v>19794</v>
      </c>
      <c r="C1504" s="36" t="s">
        <v>19795</v>
      </c>
      <c r="D1504" s="36" t="s">
        <v>19796</v>
      </c>
      <c r="E1504" s="36" t="s">
        <v>19797</v>
      </c>
      <c r="F1504" s="36" t="s">
        <v>19798</v>
      </c>
      <c r="G1504" s="36" t="s">
        <v>19799</v>
      </c>
      <c r="H1504" s="36" t="s">
        <v>19800</v>
      </c>
      <c r="I1504" s="36" t="s">
        <v>19801</v>
      </c>
      <c r="J1504" s="36" t="s">
        <v>19802</v>
      </c>
      <c r="K1504" s="36" t="s">
        <v>19803</v>
      </c>
      <c r="L1504" s="36" t="s">
        <v>19804</v>
      </c>
      <c r="M1504" s="36" t="s">
        <v>19805</v>
      </c>
      <c r="N1504" s="36" t="s">
        <v>19806</v>
      </c>
      <c r="O1504" s="36" t="s">
        <v>19807</v>
      </c>
      <c r="P1504" s="36" t="s">
        <v>19808</v>
      </c>
    </row>
    <row r="1505" spans="1:16">
      <c r="A1505" s="132">
        <v>1504</v>
      </c>
      <c r="B1505" s="36" t="s">
        <v>19809</v>
      </c>
      <c r="C1505" s="36" t="s">
        <v>19810</v>
      </c>
      <c r="D1505" s="36" t="s">
        <v>19811</v>
      </c>
      <c r="E1505" s="36" t="s">
        <v>19812</v>
      </c>
      <c r="F1505" s="36" t="s">
        <v>19813</v>
      </c>
      <c r="G1505" s="36" t="s">
        <v>19814</v>
      </c>
      <c r="H1505" s="36" t="s">
        <v>19815</v>
      </c>
      <c r="I1505" s="36" t="s">
        <v>19816</v>
      </c>
      <c r="J1505" s="36" t="s">
        <v>19817</v>
      </c>
      <c r="K1505" s="36" t="s">
        <v>19818</v>
      </c>
      <c r="L1505" s="36" t="s">
        <v>19819</v>
      </c>
      <c r="M1505" s="36" t="s">
        <v>19820</v>
      </c>
      <c r="N1505" s="36" t="s">
        <v>19821</v>
      </c>
      <c r="O1505" s="36" t="s">
        <v>19822</v>
      </c>
      <c r="P1505" s="36" t="s">
        <v>19823</v>
      </c>
    </row>
    <row r="1506" spans="1:16">
      <c r="A1506" s="132">
        <v>1505</v>
      </c>
      <c r="B1506" s="36" t="s">
        <v>19824</v>
      </c>
      <c r="C1506" s="36" t="s">
        <v>19825</v>
      </c>
      <c r="D1506" s="36" t="s">
        <v>19826</v>
      </c>
      <c r="E1506" s="36" t="s">
        <v>19827</v>
      </c>
      <c r="F1506" s="36" t="s">
        <v>19828</v>
      </c>
      <c r="G1506" s="36" t="s">
        <v>19829</v>
      </c>
      <c r="H1506" s="36" t="s">
        <v>19830</v>
      </c>
      <c r="I1506" s="36" t="s">
        <v>19831</v>
      </c>
      <c r="J1506" s="36" t="s">
        <v>19832</v>
      </c>
      <c r="K1506" s="36" t="s">
        <v>19833</v>
      </c>
      <c r="L1506" s="36" t="s">
        <v>19834</v>
      </c>
      <c r="M1506" s="36" t="s">
        <v>19835</v>
      </c>
      <c r="N1506" s="36" t="s">
        <v>19836</v>
      </c>
      <c r="O1506" s="36" t="s">
        <v>19837</v>
      </c>
      <c r="P1506" s="36" t="s">
        <v>19824</v>
      </c>
    </row>
    <row r="1507" spans="1:16">
      <c r="A1507" s="132">
        <v>1506</v>
      </c>
      <c r="B1507" s="36" t="s">
        <v>19838</v>
      </c>
      <c r="C1507" s="36" t="s">
        <v>19839</v>
      </c>
      <c r="D1507" s="36" t="s">
        <v>19840</v>
      </c>
      <c r="E1507" s="36" t="s">
        <v>19841</v>
      </c>
      <c r="F1507" s="36" t="s">
        <v>19842</v>
      </c>
      <c r="G1507" s="36" t="s">
        <v>19843</v>
      </c>
      <c r="H1507" s="36" t="s">
        <v>19844</v>
      </c>
      <c r="I1507" s="36" t="s">
        <v>19845</v>
      </c>
      <c r="J1507" s="36" t="s">
        <v>19846</v>
      </c>
      <c r="K1507" s="36" t="s">
        <v>19847</v>
      </c>
      <c r="L1507" s="36" t="s">
        <v>19848</v>
      </c>
      <c r="M1507" s="36" t="s">
        <v>19849</v>
      </c>
      <c r="N1507" s="36" t="s">
        <v>19850</v>
      </c>
      <c r="O1507" s="36" t="s">
        <v>19851</v>
      </c>
      <c r="P1507" s="36" t="s">
        <v>19838</v>
      </c>
    </row>
    <row r="1508" spans="1:16">
      <c r="A1508" s="132">
        <v>1507</v>
      </c>
      <c r="B1508" s="36" t="s">
        <v>19852</v>
      </c>
      <c r="C1508" s="36" t="s">
        <v>19853</v>
      </c>
      <c r="D1508" s="36" t="s">
        <v>19854</v>
      </c>
      <c r="E1508" s="36" t="s">
        <v>19855</v>
      </c>
      <c r="F1508" s="36" t="s">
        <v>19856</v>
      </c>
      <c r="G1508" s="36" t="s">
        <v>19857</v>
      </c>
      <c r="H1508" s="36" t="s">
        <v>19858</v>
      </c>
      <c r="I1508" s="36" t="s">
        <v>19859</v>
      </c>
      <c r="J1508" s="36" t="s">
        <v>19860</v>
      </c>
      <c r="K1508" s="36" t="s">
        <v>19861</v>
      </c>
      <c r="L1508" s="36" t="s">
        <v>19862</v>
      </c>
      <c r="M1508" s="36" t="s">
        <v>19863</v>
      </c>
      <c r="N1508" s="36" t="s">
        <v>19864</v>
      </c>
      <c r="O1508" s="36" t="s">
        <v>19865</v>
      </c>
      <c r="P1508" s="36" t="s">
        <v>19852</v>
      </c>
    </row>
    <row r="1509" spans="1:16">
      <c r="A1509" s="132">
        <v>1508</v>
      </c>
      <c r="B1509" s="36" t="s">
        <v>19866</v>
      </c>
      <c r="C1509" s="36" t="s">
        <v>19867</v>
      </c>
      <c r="D1509" s="36" t="s">
        <v>19868</v>
      </c>
      <c r="E1509" s="36" t="s">
        <v>19869</v>
      </c>
      <c r="F1509" s="36" t="s">
        <v>19870</v>
      </c>
      <c r="G1509" s="36" t="s">
        <v>19871</v>
      </c>
      <c r="H1509" s="36" t="s">
        <v>19872</v>
      </c>
      <c r="I1509" s="36" t="s">
        <v>19873</v>
      </c>
      <c r="J1509" s="36" t="s">
        <v>19874</v>
      </c>
      <c r="K1509" s="36" t="s">
        <v>19875</v>
      </c>
      <c r="L1509" s="36" t="s">
        <v>19876</v>
      </c>
      <c r="M1509" s="36" t="s">
        <v>19877</v>
      </c>
      <c r="N1509" s="36" t="s">
        <v>19878</v>
      </c>
      <c r="O1509" s="36" t="s">
        <v>19879</v>
      </c>
      <c r="P1509" s="36" t="s">
        <v>19866</v>
      </c>
    </row>
    <row r="1510" spans="1:16">
      <c r="A1510" s="132">
        <v>1509</v>
      </c>
      <c r="B1510" s="36" t="s">
        <v>19880</v>
      </c>
      <c r="C1510" s="36" t="s">
        <v>19881</v>
      </c>
      <c r="D1510" s="36" t="s">
        <v>19882</v>
      </c>
      <c r="E1510" s="36" t="s">
        <v>19883</v>
      </c>
      <c r="F1510" s="36" t="s">
        <v>19884</v>
      </c>
      <c r="G1510" s="36" t="s">
        <v>19885</v>
      </c>
      <c r="H1510" s="36" t="s">
        <v>19886</v>
      </c>
      <c r="I1510" s="36" t="s">
        <v>19887</v>
      </c>
      <c r="J1510" s="36" t="s">
        <v>19888</v>
      </c>
      <c r="K1510" s="36" t="s">
        <v>4485</v>
      </c>
      <c r="L1510" s="36" t="s">
        <v>19889</v>
      </c>
      <c r="M1510" s="36" t="s">
        <v>19890</v>
      </c>
      <c r="N1510" s="36" t="s">
        <v>19890</v>
      </c>
      <c r="O1510" s="36" t="s">
        <v>4485</v>
      </c>
      <c r="P1510" s="36" t="s">
        <v>19880</v>
      </c>
    </row>
    <row r="1511" spans="1:16">
      <c r="A1511" s="132">
        <v>1510</v>
      </c>
      <c r="B1511" s="36" t="s">
        <v>19891</v>
      </c>
      <c r="C1511" s="36" t="s">
        <v>19892</v>
      </c>
      <c r="D1511" s="36" t="s">
        <v>19893</v>
      </c>
      <c r="E1511" s="36" t="s">
        <v>19894</v>
      </c>
      <c r="F1511" s="36" t="s">
        <v>19895</v>
      </c>
      <c r="G1511" s="36" t="s">
        <v>19896</v>
      </c>
      <c r="H1511" s="36" t="s">
        <v>19897</v>
      </c>
      <c r="I1511" s="36" t="s">
        <v>19898</v>
      </c>
      <c r="J1511" s="36" t="s">
        <v>19899</v>
      </c>
      <c r="K1511" s="36" t="s">
        <v>19900</v>
      </c>
      <c r="L1511" s="36" t="s">
        <v>19901</v>
      </c>
      <c r="M1511" s="36" t="s">
        <v>19902</v>
      </c>
      <c r="N1511" s="36" t="s">
        <v>19902</v>
      </c>
      <c r="O1511" s="36" t="s">
        <v>19903</v>
      </c>
      <c r="P1511" s="36" t="s">
        <v>19891</v>
      </c>
    </row>
    <row r="1512" spans="1:16">
      <c r="A1512" s="132">
        <v>1511</v>
      </c>
      <c r="B1512" s="36" t="s">
        <v>19904</v>
      </c>
      <c r="C1512" s="36" t="s">
        <v>19905</v>
      </c>
      <c r="D1512" s="36" t="s">
        <v>19905</v>
      </c>
      <c r="E1512" s="36" t="s">
        <v>10445</v>
      </c>
      <c r="F1512" s="36" t="s">
        <v>19906</v>
      </c>
      <c r="G1512" s="36" t="s">
        <v>19907</v>
      </c>
      <c r="H1512" s="36" t="s">
        <v>19908</v>
      </c>
      <c r="I1512" s="36" t="s">
        <v>19909</v>
      </c>
      <c r="J1512" s="36" t="s">
        <v>19910</v>
      </c>
      <c r="K1512" s="36" t="s">
        <v>19911</v>
      </c>
      <c r="L1512" s="36" t="s">
        <v>19912</v>
      </c>
      <c r="M1512" s="36" t="s">
        <v>19913</v>
      </c>
      <c r="N1512" s="36" t="s">
        <v>19914</v>
      </c>
      <c r="O1512" s="36" t="s">
        <v>19911</v>
      </c>
      <c r="P1512" s="36" t="s">
        <v>19904</v>
      </c>
    </row>
    <row r="1513" spans="1:16" ht="16.2">
      <c r="A1513" s="132">
        <v>1512</v>
      </c>
      <c r="B1513" s="36" t="s">
        <v>432</v>
      </c>
      <c r="C1513" s="36" t="s">
        <v>9481</v>
      </c>
      <c r="D1513" s="36" t="s">
        <v>19915</v>
      </c>
      <c r="E1513" s="36" t="s">
        <v>9481</v>
      </c>
      <c r="F1513" s="36" t="s">
        <v>9482</v>
      </c>
      <c r="G1513" s="36" t="s">
        <v>9481</v>
      </c>
      <c r="H1513" s="36" t="s">
        <v>9484</v>
      </c>
      <c r="I1513" s="36" t="s">
        <v>9482</v>
      </c>
      <c r="J1513" s="36" t="s">
        <v>19916</v>
      </c>
      <c r="K1513" s="36" t="s">
        <v>9486</v>
      </c>
      <c r="L1513" s="36" t="s">
        <v>9487</v>
      </c>
      <c r="M1513" s="36" t="s">
        <v>9488</v>
      </c>
      <c r="N1513" s="36" t="s">
        <v>9489</v>
      </c>
      <c r="O1513" s="36" t="s">
        <v>19917</v>
      </c>
      <c r="P1513" s="36" t="s">
        <v>432</v>
      </c>
    </row>
    <row r="1514" spans="1:16">
      <c r="A1514" s="132">
        <v>1513</v>
      </c>
      <c r="B1514" s="36" t="s">
        <v>19918</v>
      </c>
      <c r="C1514" s="36" t="s">
        <v>19919</v>
      </c>
      <c r="D1514" s="36" t="s">
        <v>19920</v>
      </c>
      <c r="E1514" s="36" t="s">
        <v>19921</v>
      </c>
      <c r="F1514" s="36" t="s">
        <v>19922</v>
      </c>
      <c r="G1514" s="36" t="s">
        <v>19923</v>
      </c>
      <c r="H1514" s="36" t="s">
        <v>19924</v>
      </c>
      <c r="I1514" s="36" t="s">
        <v>19925</v>
      </c>
      <c r="J1514" s="36" t="s">
        <v>19926</v>
      </c>
      <c r="K1514" s="36" t="s">
        <v>19927</v>
      </c>
      <c r="L1514" s="36" t="s">
        <v>19928</v>
      </c>
      <c r="M1514" s="36" t="s">
        <v>19929</v>
      </c>
      <c r="N1514" s="36" t="s">
        <v>19930</v>
      </c>
      <c r="O1514" s="36" t="s">
        <v>19931</v>
      </c>
      <c r="P1514" s="36" t="s">
        <v>19918</v>
      </c>
    </row>
    <row r="1515" spans="1:16">
      <c r="A1515" s="132">
        <v>1514</v>
      </c>
      <c r="B1515" s="36" t="s">
        <v>19932</v>
      </c>
      <c r="C1515" s="36" t="s">
        <v>19933</v>
      </c>
      <c r="D1515" s="36" t="s">
        <v>19934</v>
      </c>
      <c r="E1515" s="36" t="s">
        <v>19935</v>
      </c>
      <c r="F1515" s="36" t="s">
        <v>19936</v>
      </c>
      <c r="G1515" s="36" t="s">
        <v>19937</v>
      </c>
      <c r="H1515" s="36" t="s">
        <v>19938</v>
      </c>
      <c r="I1515" s="36" t="s">
        <v>19939</v>
      </c>
      <c r="J1515" s="36" t="s">
        <v>19940</v>
      </c>
      <c r="K1515" s="36" t="s">
        <v>19941</v>
      </c>
      <c r="L1515" s="36" t="s">
        <v>19942</v>
      </c>
      <c r="M1515" s="36" t="s">
        <v>19943</v>
      </c>
      <c r="N1515" s="36" t="s">
        <v>19944</v>
      </c>
      <c r="O1515" s="36" t="s">
        <v>19945</v>
      </c>
      <c r="P1515" s="36" t="s">
        <v>19932</v>
      </c>
    </row>
    <row r="1516" spans="1:16">
      <c r="A1516" s="132">
        <v>1515</v>
      </c>
      <c r="B1516" s="36" t="s">
        <v>19946</v>
      </c>
      <c r="C1516" s="36" t="s">
        <v>19947</v>
      </c>
      <c r="D1516" s="36" t="s">
        <v>19948</v>
      </c>
      <c r="E1516" s="36" t="s">
        <v>19949</v>
      </c>
      <c r="F1516" s="36" t="s">
        <v>19950</v>
      </c>
      <c r="G1516" s="36" t="s">
        <v>19951</v>
      </c>
      <c r="H1516" s="36" t="s">
        <v>19952</v>
      </c>
      <c r="I1516" s="36" t="s">
        <v>19953</v>
      </c>
      <c r="J1516" s="36" t="s">
        <v>19954</v>
      </c>
      <c r="K1516" s="36" t="s">
        <v>19955</v>
      </c>
      <c r="L1516" s="36" t="s">
        <v>19956</v>
      </c>
      <c r="M1516" s="36" t="s">
        <v>19957</v>
      </c>
      <c r="N1516" s="36" t="s">
        <v>19958</v>
      </c>
      <c r="O1516" s="36" t="s">
        <v>19959</v>
      </c>
      <c r="P1516" s="36" t="s">
        <v>19946</v>
      </c>
    </row>
    <row r="1517" spans="1:16">
      <c r="A1517" s="132">
        <v>1516</v>
      </c>
      <c r="B1517" s="36" t="s">
        <v>19960</v>
      </c>
      <c r="C1517" s="36" t="s">
        <v>19961</v>
      </c>
      <c r="D1517" s="36" t="s">
        <v>19962</v>
      </c>
      <c r="E1517" s="36" t="s">
        <v>19963</v>
      </c>
      <c r="F1517" s="36" t="s">
        <v>19964</v>
      </c>
      <c r="G1517" s="36" t="s">
        <v>19965</v>
      </c>
      <c r="H1517" s="36" t="s">
        <v>19966</v>
      </c>
      <c r="I1517" s="36" t="s">
        <v>19967</v>
      </c>
      <c r="J1517" s="36" t="s">
        <v>19968</v>
      </c>
      <c r="K1517" s="36" t="s">
        <v>19969</v>
      </c>
      <c r="L1517" s="36" t="s">
        <v>19970</v>
      </c>
      <c r="M1517" s="36" t="s">
        <v>19971</v>
      </c>
      <c r="N1517" s="36" t="s">
        <v>19972</v>
      </c>
      <c r="O1517" s="36" t="s">
        <v>19973</v>
      </c>
      <c r="P1517" s="36" t="s">
        <v>19974</v>
      </c>
    </row>
    <row r="1518" spans="1:16" ht="14.4">
      <c r="A1518" s="132">
        <v>1517</v>
      </c>
      <c r="B1518" s="36" t="s">
        <v>19975</v>
      </c>
      <c r="C1518" s="36" t="s">
        <v>19976</v>
      </c>
      <c r="D1518" s="36" t="s">
        <v>19977</v>
      </c>
      <c r="E1518" s="36" t="s">
        <v>19978</v>
      </c>
      <c r="F1518" s="485" t="s">
        <v>29590</v>
      </c>
      <c r="G1518" s="36" t="s">
        <v>19979</v>
      </c>
      <c r="H1518" s="36" t="s">
        <v>19980</v>
      </c>
      <c r="I1518" s="36" t="s">
        <v>19981</v>
      </c>
      <c r="J1518" s="36" t="s">
        <v>19982</v>
      </c>
      <c r="K1518" s="36" t="s">
        <v>19983</v>
      </c>
      <c r="L1518" s="36" t="s">
        <v>19984</v>
      </c>
      <c r="M1518" s="36" t="s">
        <v>19985</v>
      </c>
      <c r="N1518" s="36" t="s">
        <v>19986</v>
      </c>
      <c r="O1518" s="36" t="s">
        <v>19987</v>
      </c>
      <c r="P1518" s="36" t="s">
        <v>19975</v>
      </c>
    </row>
    <row r="1519" spans="1:16">
      <c r="A1519" s="132">
        <v>1518</v>
      </c>
      <c r="B1519" s="36" t="s">
        <v>19988</v>
      </c>
      <c r="C1519" s="36" t="s">
        <v>19989</v>
      </c>
      <c r="D1519" s="36" t="s">
        <v>19990</v>
      </c>
      <c r="E1519" s="36" t="s">
        <v>19991</v>
      </c>
      <c r="F1519" s="36" t="s">
        <v>17871</v>
      </c>
      <c r="G1519" s="36" t="s">
        <v>19992</v>
      </c>
      <c r="H1519" s="36" t="s">
        <v>19993</v>
      </c>
      <c r="I1519" s="36" t="s">
        <v>19994</v>
      </c>
      <c r="J1519" s="36" t="s">
        <v>19995</v>
      </c>
      <c r="K1519" s="36" t="s">
        <v>19996</v>
      </c>
      <c r="L1519" s="36" t="s">
        <v>19997</v>
      </c>
      <c r="M1519" s="36" t="s">
        <v>19998</v>
      </c>
      <c r="N1519" s="36" t="s">
        <v>19999</v>
      </c>
      <c r="O1519" s="36" t="s">
        <v>20000</v>
      </c>
      <c r="P1519" s="36" t="s">
        <v>20001</v>
      </c>
    </row>
    <row r="1520" spans="1:16">
      <c r="A1520" s="132">
        <v>1519</v>
      </c>
      <c r="B1520" s="36" t="s">
        <v>20002</v>
      </c>
      <c r="C1520" s="36" t="s">
        <v>20003</v>
      </c>
      <c r="D1520" s="36" t="s">
        <v>20004</v>
      </c>
      <c r="E1520" s="36" t="s">
        <v>20005</v>
      </c>
      <c r="F1520" s="36" t="s">
        <v>20006</v>
      </c>
      <c r="G1520" s="36" t="s">
        <v>20007</v>
      </c>
      <c r="H1520" s="36" t="s">
        <v>20008</v>
      </c>
      <c r="I1520" s="36" t="s">
        <v>20009</v>
      </c>
      <c r="J1520" s="36" t="s">
        <v>20010</v>
      </c>
      <c r="K1520" s="36" t="s">
        <v>20011</v>
      </c>
      <c r="L1520" s="36" t="s">
        <v>20012</v>
      </c>
      <c r="M1520" s="36" t="s">
        <v>20013</v>
      </c>
      <c r="N1520" s="36" t="s">
        <v>20014</v>
      </c>
      <c r="O1520" s="36" t="s">
        <v>20015</v>
      </c>
      <c r="P1520" s="36" t="s">
        <v>20002</v>
      </c>
    </row>
    <row r="1521" spans="1:16">
      <c r="A1521" s="132">
        <v>1520</v>
      </c>
      <c r="B1521" s="36" t="s">
        <v>20016</v>
      </c>
      <c r="C1521" s="36" t="s">
        <v>20017</v>
      </c>
      <c r="D1521" s="36" t="s">
        <v>20018</v>
      </c>
      <c r="E1521" s="36" t="s">
        <v>20019</v>
      </c>
      <c r="F1521" s="36" t="s">
        <v>20020</v>
      </c>
      <c r="G1521" s="36" t="s">
        <v>20021</v>
      </c>
      <c r="H1521" s="36" t="s">
        <v>20022</v>
      </c>
      <c r="I1521" s="36" t="s">
        <v>20023</v>
      </c>
      <c r="J1521" s="36" t="s">
        <v>20024</v>
      </c>
      <c r="K1521" s="36" t="s">
        <v>20025</v>
      </c>
      <c r="L1521" s="36" t="s">
        <v>20026</v>
      </c>
      <c r="M1521" s="36" t="s">
        <v>20027</v>
      </c>
      <c r="N1521" s="36" t="s">
        <v>20028</v>
      </c>
      <c r="O1521" s="36" t="s">
        <v>20029</v>
      </c>
      <c r="P1521" s="36" t="s">
        <v>20016</v>
      </c>
    </row>
    <row r="1522" spans="1:16">
      <c r="A1522" s="132">
        <v>1521</v>
      </c>
      <c r="B1522" s="36" t="s">
        <v>20030</v>
      </c>
      <c r="C1522" s="36" t="s">
        <v>20031</v>
      </c>
      <c r="D1522" s="36" t="s">
        <v>20032</v>
      </c>
      <c r="E1522" s="36" t="s">
        <v>20033</v>
      </c>
      <c r="F1522" s="36" t="s">
        <v>20034</v>
      </c>
      <c r="G1522" s="36" t="s">
        <v>20035</v>
      </c>
      <c r="H1522" s="36" t="s">
        <v>20036</v>
      </c>
      <c r="I1522" s="36" t="s">
        <v>20037</v>
      </c>
      <c r="J1522" s="36" t="s">
        <v>20038</v>
      </c>
      <c r="K1522" s="36" t="s">
        <v>20039</v>
      </c>
      <c r="L1522" s="36" t="s">
        <v>20040</v>
      </c>
      <c r="M1522" s="36" t="s">
        <v>20041</v>
      </c>
      <c r="N1522" s="36" t="s">
        <v>20042</v>
      </c>
      <c r="O1522" s="36" t="s">
        <v>20043</v>
      </c>
      <c r="P1522" s="36" t="s">
        <v>20030</v>
      </c>
    </row>
    <row r="1523" spans="1:16">
      <c r="A1523" s="132">
        <v>1522</v>
      </c>
      <c r="B1523" s="36" t="s">
        <v>20044</v>
      </c>
      <c r="C1523" s="36" t="s">
        <v>20045</v>
      </c>
      <c r="D1523" s="36" t="s">
        <v>20046</v>
      </c>
      <c r="E1523" s="36" t="s">
        <v>20047</v>
      </c>
      <c r="F1523" s="36" t="s">
        <v>20048</v>
      </c>
      <c r="G1523" s="36" t="s">
        <v>20049</v>
      </c>
      <c r="H1523" s="36" t="s">
        <v>20050</v>
      </c>
      <c r="I1523" s="36" t="s">
        <v>20051</v>
      </c>
      <c r="J1523" s="36" t="s">
        <v>20052</v>
      </c>
      <c r="K1523" s="36" t="s">
        <v>20053</v>
      </c>
      <c r="L1523" s="36" t="s">
        <v>20054</v>
      </c>
      <c r="M1523" s="36" t="s">
        <v>20055</v>
      </c>
      <c r="N1523" s="36" t="s">
        <v>20056</v>
      </c>
      <c r="O1523" s="36" t="s">
        <v>20057</v>
      </c>
      <c r="P1523" s="36" t="s">
        <v>20044</v>
      </c>
    </row>
    <row r="1524" spans="1:16">
      <c r="A1524" s="132">
        <v>1523</v>
      </c>
      <c r="B1524" s="36" t="s">
        <v>20058</v>
      </c>
      <c r="C1524" s="36" t="s">
        <v>20059</v>
      </c>
      <c r="D1524" s="36" t="s">
        <v>20060</v>
      </c>
      <c r="E1524" s="36" t="s">
        <v>20061</v>
      </c>
      <c r="F1524" s="36" t="s">
        <v>18211</v>
      </c>
      <c r="G1524" s="36" t="s">
        <v>20062</v>
      </c>
      <c r="H1524" s="36" t="s">
        <v>20063</v>
      </c>
      <c r="I1524" s="36" t="s">
        <v>20064</v>
      </c>
      <c r="J1524" s="36" t="s">
        <v>20065</v>
      </c>
      <c r="K1524" s="36" t="s">
        <v>20066</v>
      </c>
      <c r="L1524" s="36" t="s">
        <v>20067</v>
      </c>
      <c r="M1524" s="36" t="s">
        <v>20068</v>
      </c>
      <c r="N1524" s="36" t="s">
        <v>20069</v>
      </c>
      <c r="O1524" s="36" t="s">
        <v>20070</v>
      </c>
      <c r="P1524" s="36" t="s">
        <v>20058</v>
      </c>
    </row>
    <row r="1525" spans="1:16">
      <c r="A1525" s="132">
        <v>1524</v>
      </c>
      <c r="B1525" s="36" t="s">
        <v>20071</v>
      </c>
      <c r="C1525" s="36" t="s">
        <v>20072</v>
      </c>
      <c r="D1525" s="36" t="s">
        <v>20073</v>
      </c>
      <c r="E1525" s="36" t="s">
        <v>20074</v>
      </c>
      <c r="F1525" s="36" t="s">
        <v>20075</v>
      </c>
      <c r="G1525" s="36" t="s">
        <v>20076</v>
      </c>
      <c r="H1525" s="36" t="s">
        <v>20077</v>
      </c>
      <c r="I1525" s="36" t="s">
        <v>20078</v>
      </c>
      <c r="J1525" s="36" t="s">
        <v>20079</v>
      </c>
      <c r="K1525" s="36" t="s">
        <v>20080</v>
      </c>
      <c r="L1525" s="36" t="s">
        <v>20081</v>
      </c>
      <c r="M1525" s="36" t="s">
        <v>20082</v>
      </c>
      <c r="N1525" s="36" t="s">
        <v>20083</v>
      </c>
      <c r="O1525" s="36" t="s">
        <v>3762</v>
      </c>
      <c r="P1525" s="36" t="s">
        <v>20071</v>
      </c>
    </row>
    <row r="1526" spans="1:16">
      <c r="A1526" s="132">
        <v>1525</v>
      </c>
      <c r="B1526" s="36" t="s">
        <v>20084</v>
      </c>
      <c r="C1526" s="36" t="s">
        <v>20085</v>
      </c>
      <c r="D1526" s="36" t="s">
        <v>20086</v>
      </c>
      <c r="E1526" s="36" t="s">
        <v>20087</v>
      </c>
      <c r="F1526" s="36" t="s">
        <v>20088</v>
      </c>
      <c r="G1526" s="36" t="s">
        <v>20089</v>
      </c>
      <c r="H1526" s="36" t="s">
        <v>20090</v>
      </c>
      <c r="I1526" s="36" t="s">
        <v>20091</v>
      </c>
      <c r="J1526" s="36" t="s">
        <v>20092</v>
      </c>
      <c r="K1526" s="36" t="s">
        <v>20093</v>
      </c>
      <c r="L1526" s="36" t="s">
        <v>20094</v>
      </c>
      <c r="M1526" s="36" t="s">
        <v>7088</v>
      </c>
      <c r="N1526" s="36" t="s">
        <v>20095</v>
      </c>
      <c r="O1526" s="36" t="s">
        <v>20096</v>
      </c>
      <c r="P1526" s="36" t="s">
        <v>20084</v>
      </c>
    </row>
    <row r="1527" spans="1:16">
      <c r="A1527" s="132">
        <v>1526</v>
      </c>
      <c r="B1527" s="36" t="s">
        <v>20097</v>
      </c>
      <c r="C1527" s="36" t="s">
        <v>20098</v>
      </c>
      <c r="D1527" s="36" t="s">
        <v>20099</v>
      </c>
      <c r="E1527" s="36" t="s">
        <v>20100</v>
      </c>
      <c r="F1527" s="36" t="s">
        <v>20101</v>
      </c>
      <c r="G1527" s="36" t="s">
        <v>20102</v>
      </c>
      <c r="H1527" s="36" t="s">
        <v>20103</v>
      </c>
      <c r="I1527" s="36" t="s">
        <v>20104</v>
      </c>
      <c r="J1527" s="36" t="s">
        <v>20105</v>
      </c>
      <c r="K1527" s="36" t="s">
        <v>20106</v>
      </c>
      <c r="L1527" s="36" t="s">
        <v>20107</v>
      </c>
      <c r="M1527" s="36" t="s">
        <v>20108</v>
      </c>
      <c r="N1527" s="36" t="s">
        <v>20109</v>
      </c>
      <c r="O1527" s="36" t="s">
        <v>20110</v>
      </c>
      <c r="P1527" s="36" t="s">
        <v>20097</v>
      </c>
    </row>
    <row r="1528" spans="1:16">
      <c r="A1528" s="132">
        <v>1527</v>
      </c>
      <c r="B1528" s="36" t="s">
        <v>20111</v>
      </c>
      <c r="C1528" s="36" t="s">
        <v>20112</v>
      </c>
      <c r="D1528" s="36" t="s">
        <v>20113</v>
      </c>
      <c r="E1528" s="36" t="s">
        <v>20114</v>
      </c>
      <c r="F1528" s="36" t="s">
        <v>20115</v>
      </c>
      <c r="G1528" s="36" t="s">
        <v>20116</v>
      </c>
      <c r="H1528" s="36" t="s">
        <v>20117</v>
      </c>
      <c r="I1528" s="36" t="s">
        <v>20118</v>
      </c>
      <c r="J1528" s="36" t="s">
        <v>20119</v>
      </c>
      <c r="K1528" s="36" t="s">
        <v>20120</v>
      </c>
      <c r="L1528" s="36" t="s">
        <v>20121</v>
      </c>
      <c r="M1528" s="36" t="s">
        <v>20122</v>
      </c>
      <c r="N1528" s="36" t="s">
        <v>20123</v>
      </c>
      <c r="O1528" s="36" t="s">
        <v>20124</v>
      </c>
      <c r="P1528" s="36" t="s">
        <v>20111</v>
      </c>
    </row>
    <row r="1529" spans="1:16">
      <c r="A1529" s="132">
        <v>1528</v>
      </c>
      <c r="B1529" s="36" t="s">
        <v>20125</v>
      </c>
      <c r="C1529" s="36" t="s">
        <v>20126</v>
      </c>
      <c r="D1529" s="36" t="s">
        <v>20127</v>
      </c>
      <c r="E1529" s="36" t="s">
        <v>20128</v>
      </c>
      <c r="F1529" s="36" t="s">
        <v>20129</v>
      </c>
      <c r="G1529" s="36" t="s">
        <v>20130</v>
      </c>
      <c r="H1529" s="36" t="s">
        <v>20131</v>
      </c>
      <c r="I1529" s="36" t="s">
        <v>20132</v>
      </c>
      <c r="J1529" s="36" t="s">
        <v>20133</v>
      </c>
      <c r="K1529" s="36" t="s">
        <v>20134</v>
      </c>
      <c r="L1529" s="36" t="s">
        <v>20135</v>
      </c>
      <c r="M1529" s="36" t="s">
        <v>20136</v>
      </c>
      <c r="N1529" s="36" t="s">
        <v>20137</v>
      </c>
      <c r="O1529" s="36" t="s">
        <v>20138</v>
      </c>
      <c r="P1529" s="36" t="s">
        <v>20125</v>
      </c>
    </row>
    <row r="1530" spans="1:16">
      <c r="A1530" s="132">
        <v>1529</v>
      </c>
      <c r="B1530" s="36" t="s">
        <v>20044</v>
      </c>
      <c r="C1530" s="36" t="s">
        <v>20045</v>
      </c>
      <c r="D1530" s="36" t="s">
        <v>20046</v>
      </c>
      <c r="E1530" s="36" t="s">
        <v>20047</v>
      </c>
      <c r="F1530" s="36" t="s">
        <v>20048</v>
      </c>
      <c r="G1530" s="36" t="s">
        <v>20049</v>
      </c>
      <c r="H1530" s="36" t="s">
        <v>20050</v>
      </c>
      <c r="I1530" s="36" t="s">
        <v>20051</v>
      </c>
      <c r="J1530" s="36" t="s">
        <v>20052</v>
      </c>
      <c r="K1530" s="36" t="s">
        <v>20053</v>
      </c>
      <c r="L1530" s="36" t="s">
        <v>20054</v>
      </c>
      <c r="M1530" s="36" t="s">
        <v>20055</v>
      </c>
      <c r="N1530" s="36" t="s">
        <v>20056</v>
      </c>
      <c r="O1530" s="36" t="s">
        <v>20057</v>
      </c>
      <c r="P1530" s="36" t="s">
        <v>20044</v>
      </c>
    </row>
    <row r="1531" spans="1:16">
      <c r="A1531" s="132">
        <v>1530</v>
      </c>
      <c r="B1531" s="36" t="s">
        <v>20139</v>
      </c>
      <c r="C1531" s="36" t="s">
        <v>20139</v>
      </c>
      <c r="D1531" s="36" t="s">
        <v>20139</v>
      </c>
      <c r="E1531" s="36" t="s">
        <v>20140</v>
      </c>
      <c r="F1531" s="36" t="s">
        <v>20141</v>
      </c>
      <c r="G1531" s="36" t="s">
        <v>20140</v>
      </c>
      <c r="H1531" s="36" t="s">
        <v>20139</v>
      </c>
      <c r="I1531" s="36" t="s">
        <v>20140</v>
      </c>
      <c r="J1531" s="36" t="s">
        <v>20140</v>
      </c>
      <c r="K1531" s="36" t="s">
        <v>20140</v>
      </c>
      <c r="L1531" s="36" t="s">
        <v>20140</v>
      </c>
      <c r="M1531" s="36" t="s">
        <v>20139</v>
      </c>
      <c r="N1531" s="36" t="s">
        <v>20140</v>
      </c>
      <c r="O1531" s="36" t="s">
        <v>20139</v>
      </c>
      <c r="P1531" s="36" t="s">
        <v>20139</v>
      </c>
    </row>
    <row r="1532" spans="1:16">
      <c r="A1532" s="132">
        <v>1531</v>
      </c>
      <c r="B1532" s="36" t="s">
        <v>20142</v>
      </c>
      <c r="C1532" s="36" t="s">
        <v>20142</v>
      </c>
      <c r="D1532" s="36" t="s">
        <v>20142</v>
      </c>
      <c r="E1532" s="36" t="s">
        <v>20143</v>
      </c>
      <c r="F1532" s="36" t="s">
        <v>20144</v>
      </c>
      <c r="G1532" s="36" t="s">
        <v>20143</v>
      </c>
      <c r="H1532" s="36" t="s">
        <v>20142</v>
      </c>
      <c r="I1532" s="36" t="s">
        <v>20143</v>
      </c>
      <c r="J1532" s="36" t="s">
        <v>20143</v>
      </c>
      <c r="K1532" s="36" t="s">
        <v>20143</v>
      </c>
      <c r="L1532" s="36" t="s">
        <v>20143</v>
      </c>
      <c r="M1532" s="36" t="s">
        <v>20142</v>
      </c>
      <c r="N1532" s="36" t="s">
        <v>20143</v>
      </c>
      <c r="O1532" s="36" t="s">
        <v>20142</v>
      </c>
      <c r="P1532" s="36" t="s">
        <v>20142</v>
      </c>
    </row>
    <row r="1533" spans="1:16">
      <c r="A1533" s="132">
        <v>1532</v>
      </c>
      <c r="B1533" s="36" t="s">
        <v>20145</v>
      </c>
      <c r="C1533" s="36" t="s">
        <v>20145</v>
      </c>
      <c r="D1533" s="36" t="s">
        <v>20145</v>
      </c>
      <c r="E1533" s="36" t="s">
        <v>20146</v>
      </c>
      <c r="F1533" s="36" t="s">
        <v>20147</v>
      </c>
      <c r="G1533" s="36" t="s">
        <v>20146</v>
      </c>
      <c r="H1533" s="36" t="s">
        <v>20145</v>
      </c>
      <c r="I1533" s="36" t="s">
        <v>20146</v>
      </c>
      <c r="J1533" s="36" t="s">
        <v>20146</v>
      </c>
      <c r="K1533" s="36" t="s">
        <v>20146</v>
      </c>
      <c r="L1533" s="36" t="s">
        <v>20146</v>
      </c>
      <c r="M1533" s="36" t="s">
        <v>20145</v>
      </c>
      <c r="N1533" s="36" t="s">
        <v>20146</v>
      </c>
      <c r="O1533" s="36" t="s">
        <v>20145</v>
      </c>
      <c r="P1533" s="36" t="s">
        <v>20145</v>
      </c>
    </row>
    <row r="1534" spans="1:16">
      <c r="A1534" s="132">
        <v>1533</v>
      </c>
      <c r="B1534" s="36" t="s">
        <v>20148</v>
      </c>
      <c r="C1534" s="36" t="s">
        <v>20148</v>
      </c>
      <c r="D1534" s="36" t="s">
        <v>20148</v>
      </c>
      <c r="E1534" s="36" t="s">
        <v>20149</v>
      </c>
      <c r="F1534" s="36" t="s">
        <v>20150</v>
      </c>
      <c r="G1534" s="36" t="s">
        <v>20149</v>
      </c>
      <c r="H1534" s="36" t="s">
        <v>20148</v>
      </c>
      <c r="I1534" s="36" t="s">
        <v>20149</v>
      </c>
      <c r="J1534" s="36" t="s">
        <v>20149</v>
      </c>
      <c r="K1534" s="36" t="s">
        <v>20149</v>
      </c>
      <c r="L1534" s="36" t="s">
        <v>20149</v>
      </c>
      <c r="M1534" s="36" t="s">
        <v>20148</v>
      </c>
      <c r="N1534" s="36" t="s">
        <v>20149</v>
      </c>
      <c r="O1534" s="36" t="s">
        <v>20148</v>
      </c>
      <c r="P1534" s="36" t="s">
        <v>20148</v>
      </c>
    </row>
    <row r="1535" spans="1:16">
      <c r="A1535" s="132">
        <v>1534</v>
      </c>
      <c r="B1535" s="36" t="s">
        <v>20151</v>
      </c>
      <c r="C1535" s="36" t="s">
        <v>20151</v>
      </c>
      <c r="D1535" s="36" t="s">
        <v>20151</v>
      </c>
      <c r="E1535" s="36" t="s">
        <v>20152</v>
      </c>
      <c r="F1535" s="36" t="s">
        <v>20153</v>
      </c>
      <c r="G1535" s="36" t="s">
        <v>20152</v>
      </c>
      <c r="H1535" s="36" t="s">
        <v>20151</v>
      </c>
      <c r="I1535" s="36" t="s">
        <v>20152</v>
      </c>
      <c r="J1535" s="36" t="s">
        <v>20152</v>
      </c>
      <c r="K1535" s="36" t="s">
        <v>20152</v>
      </c>
      <c r="L1535" s="36" t="s">
        <v>20152</v>
      </c>
      <c r="M1535" s="36" t="s">
        <v>20151</v>
      </c>
      <c r="N1535" s="36" t="s">
        <v>20152</v>
      </c>
      <c r="O1535" s="36" t="s">
        <v>20151</v>
      </c>
      <c r="P1535" s="36" t="s">
        <v>20151</v>
      </c>
    </row>
    <row r="1536" spans="1:16">
      <c r="A1536" s="132">
        <v>1535</v>
      </c>
      <c r="B1536" s="36" t="s">
        <v>20154</v>
      </c>
      <c r="C1536" s="36" t="s">
        <v>20154</v>
      </c>
      <c r="D1536" s="36" t="s">
        <v>20154</v>
      </c>
      <c r="E1536" s="36" t="s">
        <v>20155</v>
      </c>
      <c r="F1536" s="36" t="s">
        <v>20156</v>
      </c>
      <c r="G1536" s="36" t="s">
        <v>20157</v>
      </c>
      <c r="H1536" s="36" t="s">
        <v>20154</v>
      </c>
      <c r="I1536" s="36" t="s">
        <v>20155</v>
      </c>
      <c r="J1536" s="36" t="s">
        <v>20155</v>
      </c>
      <c r="K1536" s="36" t="s">
        <v>20157</v>
      </c>
      <c r="L1536" s="36" t="s">
        <v>20157</v>
      </c>
      <c r="M1536" s="36" t="s">
        <v>20154</v>
      </c>
      <c r="N1536" s="36" t="s">
        <v>20157</v>
      </c>
      <c r="O1536" s="36" t="s">
        <v>20154</v>
      </c>
      <c r="P1536" s="36" t="s">
        <v>20154</v>
      </c>
    </row>
    <row r="1537" spans="1:16">
      <c r="A1537" s="132">
        <v>1536</v>
      </c>
      <c r="B1537" s="36" t="s">
        <v>20158</v>
      </c>
      <c r="C1537" s="36" t="s">
        <v>20159</v>
      </c>
      <c r="D1537" s="36" t="s">
        <v>20160</v>
      </c>
      <c r="E1537" s="36" t="s">
        <v>20161</v>
      </c>
      <c r="F1537" s="36" t="s">
        <v>20162</v>
      </c>
      <c r="G1537" s="36" t="s">
        <v>20163</v>
      </c>
      <c r="H1537" s="36" t="s">
        <v>20164</v>
      </c>
      <c r="I1537" s="36" t="s">
        <v>20165</v>
      </c>
      <c r="J1537" s="36" t="s">
        <v>20166</v>
      </c>
      <c r="K1537" s="36" t="s">
        <v>20167</v>
      </c>
      <c r="L1537" s="36" t="s">
        <v>20168</v>
      </c>
      <c r="M1537" s="36" t="s">
        <v>20169</v>
      </c>
      <c r="N1537" s="36" t="s">
        <v>20170</v>
      </c>
      <c r="O1537" s="36" t="s">
        <v>20171</v>
      </c>
      <c r="P1537" s="36" t="s">
        <v>20158</v>
      </c>
    </row>
    <row r="1538" spans="1:16">
      <c r="A1538" s="132">
        <v>1537</v>
      </c>
      <c r="B1538" s="36" t="s">
        <v>20172</v>
      </c>
      <c r="C1538" s="36" t="s">
        <v>20173</v>
      </c>
      <c r="D1538" s="36" t="s">
        <v>20174</v>
      </c>
      <c r="E1538" s="36" t="s">
        <v>20175</v>
      </c>
      <c r="F1538" s="36" t="s">
        <v>20176</v>
      </c>
      <c r="G1538" s="36" t="s">
        <v>20177</v>
      </c>
      <c r="H1538" s="36" t="s">
        <v>20178</v>
      </c>
      <c r="I1538" s="36" t="s">
        <v>20179</v>
      </c>
      <c r="J1538" s="36" t="s">
        <v>20180</v>
      </c>
      <c r="K1538" s="36" t="s">
        <v>20181</v>
      </c>
      <c r="L1538" s="36" t="s">
        <v>20182</v>
      </c>
      <c r="M1538" s="36" t="s">
        <v>20183</v>
      </c>
      <c r="N1538" s="36" t="s">
        <v>20184</v>
      </c>
      <c r="O1538" s="36" t="s">
        <v>20185</v>
      </c>
      <c r="P1538" s="36" t="s">
        <v>20172</v>
      </c>
    </row>
    <row r="1539" spans="1:16">
      <c r="A1539" s="132">
        <v>1538</v>
      </c>
      <c r="B1539" s="36" t="s">
        <v>20186</v>
      </c>
      <c r="C1539" s="36" t="s">
        <v>20187</v>
      </c>
      <c r="D1539" s="36" t="s">
        <v>20188</v>
      </c>
      <c r="E1539" s="36" t="s">
        <v>20189</v>
      </c>
      <c r="F1539" s="36" t="s">
        <v>20190</v>
      </c>
      <c r="G1539" s="36" t="s">
        <v>20191</v>
      </c>
      <c r="H1539" s="36" t="s">
        <v>20192</v>
      </c>
      <c r="I1539" s="36" t="s">
        <v>20193</v>
      </c>
      <c r="J1539" s="36" t="s">
        <v>20194</v>
      </c>
      <c r="K1539" s="36" t="s">
        <v>20195</v>
      </c>
      <c r="L1539" s="36" t="s">
        <v>20196</v>
      </c>
      <c r="M1539" s="36" t="s">
        <v>20197</v>
      </c>
      <c r="N1539" s="36" t="s">
        <v>20198</v>
      </c>
      <c r="O1539" s="36" t="s">
        <v>20199</v>
      </c>
      <c r="P1539" s="36" t="s">
        <v>20186</v>
      </c>
    </row>
    <row r="1540" spans="1:16">
      <c r="A1540" s="132">
        <v>1539</v>
      </c>
      <c r="B1540" s="36" t="s">
        <v>20200</v>
      </c>
      <c r="C1540" s="36" t="s">
        <v>20072</v>
      </c>
      <c r="D1540" s="36" t="s">
        <v>20073</v>
      </c>
      <c r="E1540" s="36" t="s">
        <v>20074</v>
      </c>
      <c r="F1540" s="36" t="s">
        <v>20201</v>
      </c>
      <c r="G1540" s="36" t="s">
        <v>20202</v>
      </c>
      <c r="H1540" s="36" t="s">
        <v>20203</v>
      </c>
      <c r="I1540" s="36" t="s">
        <v>20204</v>
      </c>
      <c r="J1540" s="36" t="s">
        <v>20205</v>
      </c>
      <c r="K1540" s="36" t="s">
        <v>20206</v>
      </c>
      <c r="L1540" s="36" t="s">
        <v>20207</v>
      </c>
      <c r="M1540" s="36" t="s">
        <v>20208</v>
      </c>
      <c r="N1540" s="36" t="s">
        <v>20209</v>
      </c>
      <c r="O1540" s="36" t="s">
        <v>20210</v>
      </c>
      <c r="P1540" s="36" t="s">
        <v>20200</v>
      </c>
    </row>
    <row r="1541" spans="1:16">
      <c r="A1541" s="132">
        <v>1540</v>
      </c>
      <c r="B1541" s="36" t="s">
        <v>4343</v>
      </c>
      <c r="C1541" s="36" t="s">
        <v>4344</v>
      </c>
      <c r="D1541" s="36" t="s">
        <v>4345</v>
      </c>
      <c r="E1541" s="36" t="s">
        <v>4346</v>
      </c>
      <c r="F1541" s="36" t="s">
        <v>4347</v>
      </c>
      <c r="G1541" s="36" t="s">
        <v>4348</v>
      </c>
      <c r="H1541" s="36" t="s">
        <v>4349</v>
      </c>
      <c r="I1541" s="36" t="s">
        <v>4350</v>
      </c>
      <c r="J1541" s="36" t="s">
        <v>4351</v>
      </c>
      <c r="K1541" s="36" t="s">
        <v>4352</v>
      </c>
      <c r="L1541" s="36" t="s">
        <v>4353</v>
      </c>
      <c r="M1541" s="36" t="s">
        <v>4354</v>
      </c>
      <c r="N1541" s="36" t="s">
        <v>4355</v>
      </c>
      <c r="O1541" s="36" t="s">
        <v>4356</v>
      </c>
      <c r="P1541" s="36" t="s">
        <v>4357</v>
      </c>
    </row>
    <row r="1542" spans="1:16">
      <c r="A1542" s="132">
        <v>1541</v>
      </c>
      <c r="B1542" s="36" t="s">
        <v>20211</v>
      </c>
      <c r="C1542" s="36" t="s">
        <v>20212</v>
      </c>
      <c r="D1542" s="36" t="s">
        <v>20213</v>
      </c>
      <c r="E1542" s="36" t="s">
        <v>20214</v>
      </c>
      <c r="F1542" s="36" t="s">
        <v>20215</v>
      </c>
      <c r="G1542" s="36" t="s">
        <v>20216</v>
      </c>
      <c r="H1542" s="36" t="s">
        <v>20217</v>
      </c>
      <c r="I1542" s="36" t="s">
        <v>20218</v>
      </c>
      <c r="J1542" s="36" t="s">
        <v>20219</v>
      </c>
      <c r="K1542" s="36" t="s">
        <v>20220</v>
      </c>
      <c r="L1542" s="36" t="s">
        <v>20221</v>
      </c>
      <c r="M1542" s="36" t="s">
        <v>20222</v>
      </c>
      <c r="N1542" s="36" t="s">
        <v>20223</v>
      </c>
      <c r="O1542" s="36" t="s">
        <v>20224</v>
      </c>
      <c r="P1542" s="36" t="s">
        <v>20211</v>
      </c>
    </row>
    <row r="1543" spans="1:16">
      <c r="A1543" s="132">
        <v>1542</v>
      </c>
      <c r="B1543" s="36" t="s">
        <v>20225</v>
      </c>
      <c r="C1543" s="36" t="s">
        <v>20226</v>
      </c>
      <c r="D1543" s="36" t="s">
        <v>20227</v>
      </c>
      <c r="E1543" s="36" t="s">
        <v>20228</v>
      </c>
      <c r="F1543" s="36" t="s">
        <v>20229</v>
      </c>
      <c r="G1543" s="36" t="s">
        <v>20230</v>
      </c>
      <c r="H1543" s="36" t="s">
        <v>20231</v>
      </c>
      <c r="I1543" s="36" t="s">
        <v>20232</v>
      </c>
      <c r="J1543" s="36" t="s">
        <v>20233</v>
      </c>
      <c r="K1543" s="36" t="s">
        <v>20234</v>
      </c>
      <c r="L1543" s="36" t="s">
        <v>20235</v>
      </c>
      <c r="M1543" s="36" t="s">
        <v>20236</v>
      </c>
      <c r="N1543" s="36" t="s">
        <v>20237</v>
      </c>
      <c r="O1543" s="36" t="s">
        <v>20238</v>
      </c>
      <c r="P1543" s="36" t="s">
        <v>20225</v>
      </c>
    </row>
    <row r="1544" spans="1:16">
      <c r="A1544" s="132">
        <v>1543</v>
      </c>
      <c r="B1544" s="36" t="s">
        <v>20239</v>
      </c>
      <c r="C1544" s="36" t="s">
        <v>20240</v>
      </c>
      <c r="D1544" s="36" t="s">
        <v>20241</v>
      </c>
      <c r="E1544" s="36" t="s">
        <v>20242</v>
      </c>
      <c r="F1544" s="36" t="s">
        <v>20243</v>
      </c>
      <c r="G1544" s="36" t="s">
        <v>20244</v>
      </c>
      <c r="H1544" s="36" t="s">
        <v>20245</v>
      </c>
      <c r="I1544" s="36" t="s">
        <v>20246</v>
      </c>
      <c r="J1544" s="36" t="s">
        <v>20247</v>
      </c>
      <c r="K1544" s="36" t="s">
        <v>20248</v>
      </c>
      <c r="L1544" s="36" t="s">
        <v>20249</v>
      </c>
      <c r="M1544" s="36" t="s">
        <v>20250</v>
      </c>
      <c r="N1544" s="36" t="s">
        <v>20251</v>
      </c>
      <c r="O1544" s="36" t="s">
        <v>20252</v>
      </c>
      <c r="P1544" s="36" t="s">
        <v>20253</v>
      </c>
    </row>
    <row r="1545" spans="1:16">
      <c r="A1545" s="132">
        <v>1544</v>
      </c>
      <c r="B1545" s="36" t="s">
        <v>20254</v>
      </c>
      <c r="C1545" s="36" t="s">
        <v>20255</v>
      </c>
      <c r="D1545" s="36" t="s">
        <v>20256</v>
      </c>
      <c r="E1545" s="36" t="s">
        <v>20257</v>
      </c>
      <c r="F1545" s="36" t="s">
        <v>14303</v>
      </c>
      <c r="G1545" s="36" t="s">
        <v>20258</v>
      </c>
      <c r="H1545" s="36" t="s">
        <v>20259</v>
      </c>
      <c r="I1545" s="36" t="s">
        <v>20260</v>
      </c>
      <c r="J1545" s="36" t="s">
        <v>20261</v>
      </c>
      <c r="K1545" s="36" t="s">
        <v>20262</v>
      </c>
      <c r="L1545" s="36" t="s">
        <v>20263</v>
      </c>
      <c r="M1545" s="36" t="s">
        <v>20264</v>
      </c>
      <c r="N1545" s="36" t="s">
        <v>20265</v>
      </c>
      <c r="O1545" s="36" t="s">
        <v>20266</v>
      </c>
      <c r="P1545" s="36" t="s">
        <v>20254</v>
      </c>
    </row>
    <row r="1546" spans="1:16">
      <c r="A1546" s="132">
        <v>1545</v>
      </c>
      <c r="B1546" s="36" t="s">
        <v>20267</v>
      </c>
      <c r="C1546" s="36" t="s">
        <v>20268</v>
      </c>
      <c r="D1546" s="36" t="s">
        <v>6935</v>
      </c>
      <c r="E1546" s="36" t="s">
        <v>20269</v>
      </c>
      <c r="F1546" s="36" t="s">
        <v>14303</v>
      </c>
      <c r="G1546" s="36" t="s">
        <v>20270</v>
      </c>
      <c r="H1546" s="36" t="s">
        <v>20271</v>
      </c>
      <c r="I1546" s="36" t="s">
        <v>20272</v>
      </c>
      <c r="J1546" s="36" t="s">
        <v>20273</v>
      </c>
      <c r="K1546" s="36" t="s">
        <v>20274</v>
      </c>
      <c r="L1546" s="36" t="s">
        <v>20275</v>
      </c>
      <c r="M1546" s="36" t="s">
        <v>20276</v>
      </c>
      <c r="N1546" s="36" t="s">
        <v>20277</v>
      </c>
      <c r="O1546" s="36" t="s">
        <v>20278</v>
      </c>
      <c r="P1546" s="36" t="s">
        <v>20267</v>
      </c>
    </row>
    <row r="1547" spans="1:16">
      <c r="A1547" s="132">
        <v>1546</v>
      </c>
      <c r="B1547" s="36" t="s">
        <v>20279</v>
      </c>
      <c r="C1547" s="36" t="s">
        <v>20280</v>
      </c>
      <c r="D1547" s="36" t="s">
        <v>20281</v>
      </c>
      <c r="E1547" s="36" t="s">
        <v>20282</v>
      </c>
      <c r="F1547" s="36" t="s">
        <v>20283</v>
      </c>
      <c r="G1547" s="36" t="s">
        <v>20284</v>
      </c>
      <c r="H1547" s="36" t="s">
        <v>20285</v>
      </c>
      <c r="I1547" s="36" t="s">
        <v>20286</v>
      </c>
      <c r="J1547" s="36" t="s">
        <v>20287</v>
      </c>
      <c r="K1547" s="36" t="s">
        <v>20288</v>
      </c>
      <c r="L1547" s="36" t="s">
        <v>20289</v>
      </c>
      <c r="M1547" s="36" t="s">
        <v>20290</v>
      </c>
      <c r="N1547" s="36" t="s">
        <v>20290</v>
      </c>
      <c r="O1547" s="36" t="s">
        <v>20291</v>
      </c>
      <c r="P1547" s="36" t="s">
        <v>20279</v>
      </c>
    </row>
    <row r="1548" spans="1:16">
      <c r="A1548" s="132">
        <v>1547</v>
      </c>
      <c r="B1548" s="36" t="s">
        <v>20292</v>
      </c>
      <c r="C1548" s="36" t="s">
        <v>20293</v>
      </c>
      <c r="D1548" s="36" t="s">
        <v>20294</v>
      </c>
      <c r="E1548" s="36" t="s">
        <v>20295</v>
      </c>
      <c r="F1548" s="36" t="s">
        <v>20292</v>
      </c>
      <c r="G1548" s="36" t="s">
        <v>20292</v>
      </c>
      <c r="H1548" s="36" t="s">
        <v>20292</v>
      </c>
      <c r="I1548" s="36" t="s">
        <v>20292</v>
      </c>
      <c r="J1548" s="36" t="s">
        <v>20292</v>
      </c>
      <c r="K1548" s="36" t="s">
        <v>20292</v>
      </c>
      <c r="L1548" s="36" t="s">
        <v>20296</v>
      </c>
      <c r="M1548" s="36" t="s">
        <v>20292</v>
      </c>
      <c r="N1548" s="36" t="s">
        <v>20297</v>
      </c>
      <c r="O1548" s="36" t="s">
        <v>20298</v>
      </c>
      <c r="P1548" s="36" t="s">
        <v>20292</v>
      </c>
    </row>
    <row r="1549" spans="1:16">
      <c r="A1549" s="132">
        <v>1548</v>
      </c>
      <c r="B1549" s="36" t="s">
        <v>20299</v>
      </c>
      <c r="C1549" s="36" t="s">
        <v>20300</v>
      </c>
      <c r="D1549" s="36" t="s">
        <v>20301</v>
      </c>
      <c r="E1549" s="36" t="s">
        <v>20302</v>
      </c>
      <c r="F1549" s="36" t="s">
        <v>20303</v>
      </c>
      <c r="G1549" s="36" t="s">
        <v>20304</v>
      </c>
      <c r="H1549" s="36" t="s">
        <v>20305</v>
      </c>
      <c r="I1549" s="36" t="s">
        <v>20306</v>
      </c>
      <c r="J1549" s="36" t="s">
        <v>20307</v>
      </c>
      <c r="K1549" s="36" t="s">
        <v>20308</v>
      </c>
      <c r="L1549" s="36" t="s">
        <v>20309</v>
      </c>
      <c r="M1549" s="36" t="s">
        <v>20310</v>
      </c>
      <c r="N1549" s="36" t="s">
        <v>20311</v>
      </c>
      <c r="O1549" s="36" t="s">
        <v>20312</v>
      </c>
      <c r="P1549" s="36" t="s">
        <v>20299</v>
      </c>
    </row>
    <row r="1550" spans="1:16" ht="15" customHeight="1">
      <c r="A1550" s="132">
        <v>1549</v>
      </c>
      <c r="B1550" s="36" t="s">
        <v>20313</v>
      </c>
      <c r="C1550" s="36" t="s">
        <v>20314</v>
      </c>
      <c r="D1550" s="36" t="s">
        <v>20315</v>
      </c>
      <c r="E1550" s="36" t="s">
        <v>20316</v>
      </c>
      <c r="F1550" s="36" t="s">
        <v>20317</v>
      </c>
      <c r="G1550" s="36" t="s">
        <v>20318</v>
      </c>
      <c r="H1550" s="36" t="s">
        <v>20319</v>
      </c>
      <c r="I1550" s="36" t="s">
        <v>20320</v>
      </c>
      <c r="J1550" s="36" t="s">
        <v>20321</v>
      </c>
      <c r="K1550" s="36" t="s">
        <v>20322</v>
      </c>
      <c r="L1550" s="36" t="s">
        <v>20323</v>
      </c>
      <c r="M1550" s="36" t="s">
        <v>20324</v>
      </c>
      <c r="N1550" s="36" t="s">
        <v>20325</v>
      </c>
      <c r="O1550" s="36" t="s">
        <v>20326</v>
      </c>
      <c r="P1550" s="36" t="s">
        <v>20313</v>
      </c>
    </row>
    <row r="1551" spans="1:16" ht="15" customHeight="1">
      <c r="A1551" s="132">
        <v>1550</v>
      </c>
      <c r="B1551" s="36" t="s">
        <v>20327</v>
      </c>
      <c r="C1551" s="36" t="s">
        <v>20328</v>
      </c>
      <c r="D1551" s="36" t="s">
        <v>20329</v>
      </c>
      <c r="E1551" s="36" t="s">
        <v>20330</v>
      </c>
      <c r="F1551" s="36" t="s">
        <v>20331</v>
      </c>
      <c r="G1551" s="36" t="s">
        <v>20332</v>
      </c>
      <c r="H1551" s="36" t="s">
        <v>20333</v>
      </c>
      <c r="I1551" s="36" t="s">
        <v>20334</v>
      </c>
      <c r="J1551" s="36" t="s">
        <v>20335</v>
      </c>
      <c r="K1551" s="36" t="s">
        <v>20336</v>
      </c>
      <c r="L1551" s="36" t="s">
        <v>20337</v>
      </c>
      <c r="M1551" s="36" t="s">
        <v>20338</v>
      </c>
      <c r="N1551" s="36" t="s">
        <v>20339</v>
      </c>
      <c r="O1551" s="36" t="s">
        <v>20340</v>
      </c>
      <c r="P1551" s="36" t="s">
        <v>20327</v>
      </c>
    </row>
    <row r="1552" spans="1:16">
      <c r="A1552" s="132">
        <v>1551</v>
      </c>
      <c r="B1552" s="36" t="s">
        <v>20341</v>
      </c>
      <c r="C1552" s="36" t="s">
        <v>20342</v>
      </c>
      <c r="D1552" s="36" t="s">
        <v>20343</v>
      </c>
      <c r="E1552" s="36" t="s">
        <v>20344</v>
      </c>
      <c r="F1552" s="36" t="s">
        <v>20345</v>
      </c>
      <c r="G1552" s="36" t="s">
        <v>20346</v>
      </c>
      <c r="H1552" s="36" t="s">
        <v>20347</v>
      </c>
      <c r="I1552" s="36" t="s">
        <v>20348</v>
      </c>
      <c r="J1552" s="36" t="s">
        <v>20349</v>
      </c>
      <c r="K1552" s="36" t="s">
        <v>20350</v>
      </c>
      <c r="L1552" s="36" t="s">
        <v>20351</v>
      </c>
      <c r="M1552" s="36" t="s">
        <v>20351</v>
      </c>
      <c r="N1552" s="36" t="s">
        <v>20351</v>
      </c>
      <c r="O1552" s="36" t="s">
        <v>20352</v>
      </c>
      <c r="P1552" s="36" t="s">
        <v>20341</v>
      </c>
    </row>
    <row r="1553" spans="1:16">
      <c r="A1553" s="132">
        <v>1552</v>
      </c>
      <c r="B1553" s="36" t="s">
        <v>13500</v>
      </c>
      <c r="C1553" s="36" t="s">
        <v>13488</v>
      </c>
      <c r="D1553" s="36" t="s">
        <v>13489</v>
      </c>
      <c r="E1553" s="36" t="s">
        <v>20353</v>
      </c>
      <c r="F1553" s="36" t="s">
        <v>20354</v>
      </c>
      <c r="G1553" s="36" t="s">
        <v>20355</v>
      </c>
      <c r="H1553" s="36" t="s">
        <v>20356</v>
      </c>
      <c r="I1553" s="36" t="s">
        <v>20357</v>
      </c>
      <c r="J1553" s="36" t="s">
        <v>20358</v>
      </c>
      <c r="K1553" s="36" t="s">
        <v>13507</v>
      </c>
      <c r="L1553" s="36" t="s">
        <v>20359</v>
      </c>
      <c r="M1553" s="36" t="s">
        <v>20360</v>
      </c>
      <c r="N1553" s="36" t="s">
        <v>20361</v>
      </c>
      <c r="O1553" s="36" t="s">
        <v>20362</v>
      </c>
      <c r="P1553" s="36" t="s">
        <v>13500</v>
      </c>
    </row>
    <row r="1554" spans="1:16" ht="15" customHeight="1">
      <c r="A1554" s="132">
        <v>1553</v>
      </c>
      <c r="B1554" s="36" t="s">
        <v>20363</v>
      </c>
      <c r="C1554" s="36" t="s">
        <v>14663</v>
      </c>
      <c r="D1554" s="36" t="s">
        <v>14664</v>
      </c>
      <c r="E1554" s="36" t="s">
        <v>14665</v>
      </c>
      <c r="F1554" s="36" t="s">
        <v>20364</v>
      </c>
      <c r="G1554" s="36" t="s">
        <v>20365</v>
      </c>
      <c r="H1554" s="36" t="s">
        <v>14668</v>
      </c>
      <c r="I1554" s="36" t="s">
        <v>20366</v>
      </c>
      <c r="J1554" s="36" t="s">
        <v>20367</v>
      </c>
      <c r="K1554" s="36" t="s">
        <v>20368</v>
      </c>
      <c r="L1554" s="36" t="s">
        <v>20369</v>
      </c>
      <c r="M1554" s="36" t="s">
        <v>20370</v>
      </c>
      <c r="N1554" s="36" t="s">
        <v>20371</v>
      </c>
      <c r="O1554" s="36" t="s">
        <v>20372</v>
      </c>
      <c r="P1554" s="36" t="s">
        <v>20363</v>
      </c>
    </row>
    <row r="1555" spans="1:16">
      <c r="A1555" s="132">
        <v>1554</v>
      </c>
      <c r="B1555" s="36" t="s">
        <v>20373</v>
      </c>
      <c r="C1555" s="36" t="s">
        <v>20374</v>
      </c>
      <c r="D1555" s="36" t="s">
        <v>20375</v>
      </c>
      <c r="E1555" s="36" t="s">
        <v>20376</v>
      </c>
      <c r="F1555" s="36" t="s">
        <v>20377</v>
      </c>
      <c r="G1555" s="36" t="s">
        <v>20378</v>
      </c>
      <c r="H1555" s="36" t="s">
        <v>20379</v>
      </c>
      <c r="I1555" s="36" t="s">
        <v>20380</v>
      </c>
      <c r="J1555" s="36" t="s">
        <v>20381</v>
      </c>
      <c r="K1555" s="36" t="s">
        <v>20382</v>
      </c>
      <c r="L1555" s="36" t="s">
        <v>20383</v>
      </c>
      <c r="M1555" s="36" t="s">
        <v>20384</v>
      </c>
      <c r="N1555" s="36" t="s">
        <v>20385</v>
      </c>
      <c r="O1555" s="36" t="s">
        <v>20386</v>
      </c>
      <c r="P1555" s="36" t="s">
        <v>20373</v>
      </c>
    </row>
    <row r="1556" spans="1:16" ht="15" customHeight="1">
      <c r="A1556" s="132">
        <v>1555</v>
      </c>
      <c r="B1556" s="36" t="s">
        <v>20387</v>
      </c>
      <c r="C1556" s="36" t="s">
        <v>20387</v>
      </c>
      <c r="D1556" s="36" t="s">
        <v>20387</v>
      </c>
      <c r="E1556" s="36" t="s">
        <v>20388</v>
      </c>
      <c r="F1556" s="36" t="s">
        <v>20389</v>
      </c>
      <c r="G1556" s="36" t="s">
        <v>20390</v>
      </c>
      <c r="H1556" s="36" t="s">
        <v>20391</v>
      </c>
      <c r="I1556" s="36" t="s">
        <v>20392</v>
      </c>
      <c r="J1556" s="36" t="s">
        <v>20393</v>
      </c>
      <c r="K1556" s="36" t="s">
        <v>20394</v>
      </c>
      <c r="L1556" s="36" t="s">
        <v>20395</v>
      </c>
      <c r="M1556" s="36" t="s">
        <v>20396</v>
      </c>
      <c r="N1556" s="36" t="s">
        <v>20396</v>
      </c>
      <c r="O1556" s="36" t="s">
        <v>20397</v>
      </c>
      <c r="P1556" s="36" t="s">
        <v>20387</v>
      </c>
    </row>
    <row r="1557" spans="1:16">
      <c r="A1557" s="132">
        <v>1556</v>
      </c>
      <c r="B1557" s="36" t="s">
        <v>20398</v>
      </c>
      <c r="C1557" s="36" t="s">
        <v>20399</v>
      </c>
      <c r="D1557" s="36" t="s">
        <v>20400</v>
      </c>
      <c r="E1557" s="36" t="s">
        <v>20401</v>
      </c>
      <c r="F1557" s="36" t="s">
        <v>20402</v>
      </c>
      <c r="G1557" s="36" t="s">
        <v>20403</v>
      </c>
      <c r="H1557" s="36" t="s">
        <v>20404</v>
      </c>
      <c r="I1557" s="36" t="s">
        <v>20405</v>
      </c>
      <c r="J1557" s="36" t="s">
        <v>20406</v>
      </c>
      <c r="K1557" s="36" t="s">
        <v>20407</v>
      </c>
      <c r="L1557" s="36" t="s">
        <v>20408</v>
      </c>
      <c r="M1557" s="36" t="s">
        <v>20409</v>
      </c>
      <c r="N1557" s="36" t="s">
        <v>20410</v>
      </c>
      <c r="O1557" s="36" t="s">
        <v>20411</v>
      </c>
      <c r="P1557" s="36" t="s">
        <v>20398</v>
      </c>
    </row>
    <row r="1558" spans="1:16">
      <c r="A1558" s="132">
        <v>1557</v>
      </c>
      <c r="B1558" s="36" t="s">
        <v>20412</v>
      </c>
      <c r="C1558" s="36" t="s">
        <v>20413</v>
      </c>
      <c r="D1558" s="36" t="s">
        <v>20414</v>
      </c>
      <c r="E1558" s="36" t="s">
        <v>20415</v>
      </c>
      <c r="F1558" s="36" t="s">
        <v>20416</v>
      </c>
      <c r="G1558" s="36" t="s">
        <v>20417</v>
      </c>
      <c r="H1558" s="36" t="s">
        <v>20418</v>
      </c>
      <c r="I1558" s="36" t="s">
        <v>20419</v>
      </c>
      <c r="J1558" s="36" t="s">
        <v>20420</v>
      </c>
      <c r="K1558" s="36" t="s">
        <v>20421</v>
      </c>
      <c r="L1558" s="36" t="s">
        <v>20422</v>
      </c>
      <c r="M1558" s="36" t="s">
        <v>20423</v>
      </c>
      <c r="N1558" s="36" t="s">
        <v>20424</v>
      </c>
      <c r="O1558" s="36" t="s">
        <v>20425</v>
      </c>
      <c r="P1558" s="36" t="s">
        <v>20412</v>
      </c>
    </row>
    <row r="1559" spans="1:16">
      <c r="A1559" s="132">
        <v>1558</v>
      </c>
      <c r="B1559" s="36" t="s">
        <v>20426</v>
      </c>
      <c r="C1559" s="36" t="s">
        <v>20427</v>
      </c>
      <c r="D1559" s="36" t="s">
        <v>20428</v>
      </c>
      <c r="E1559" s="36" t="s">
        <v>20429</v>
      </c>
      <c r="F1559" s="36" t="s">
        <v>20430</v>
      </c>
      <c r="G1559" s="36" t="s">
        <v>20431</v>
      </c>
      <c r="H1559" s="36" t="s">
        <v>20432</v>
      </c>
      <c r="I1559" s="36" t="s">
        <v>20433</v>
      </c>
      <c r="J1559" s="36" t="s">
        <v>20434</v>
      </c>
      <c r="K1559" s="36" t="s">
        <v>20435</v>
      </c>
      <c r="L1559" s="36" t="s">
        <v>20436</v>
      </c>
      <c r="M1559" s="36" t="s">
        <v>20437</v>
      </c>
      <c r="N1559" s="36" t="s">
        <v>20438</v>
      </c>
      <c r="O1559" s="36" t="s">
        <v>20439</v>
      </c>
      <c r="P1559" s="36" t="s">
        <v>20426</v>
      </c>
    </row>
    <row r="1560" spans="1:16">
      <c r="A1560" s="132">
        <v>1559</v>
      </c>
      <c r="B1560" s="36" t="s">
        <v>20440</v>
      </c>
      <c r="C1560" s="36" t="s">
        <v>20441</v>
      </c>
      <c r="D1560" s="36" t="s">
        <v>20442</v>
      </c>
      <c r="E1560" s="36" t="s">
        <v>20443</v>
      </c>
      <c r="F1560" s="36" t="s">
        <v>20444</v>
      </c>
      <c r="G1560" s="36" t="s">
        <v>20445</v>
      </c>
      <c r="H1560" s="36" t="s">
        <v>20446</v>
      </c>
      <c r="I1560" s="36" t="s">
        <v>20447</v>
      </c>
      <c r="J1560" s="36" t="s">
        <v>20448</v>
      </c>
      <c r="K1560" s="36" t="s">
        <v>20449</v>
      </c>
      <c r="L1560" s="36" t="s">
        <v>20450</v>
      </c>
      <c r="M1560" s="36" t="s">
        <v>20451</v>
      </c>
      <c r="N1560" s="36" t="s">
        <v>20452</v>
      </c>
      <c r="O1560" s="36" t="s">
        <v>20453</v>
      </c>
      <c r="P1560" s="36" t="s">
        <v>20440</v>
      </c>
    </row>
    <row r="1561" spans="1:16">
      <c r="A1561" s="132">
        <v>1560</v>
      </c>
      <c r="B1561" s="36" t="s">
        <v>20454</v>
      </c>
      <c r="C1561" s="36" t="s">
        <v>20455</v>
      </c>
      <c r="D1561" s="36" t="s">
        <v>20456</v>
      </c>
      <c r="E1561" s="36" t="s">
        <v>20457</v>
      </c>
      <c r="F1561" s="36" t="s">
        <v>20458</v>
      </c>
      <c r="G1561" s="36" t="s">
        <v>20459</v>
      </c>
      <c r="H1561" s="36" t="s">
        <v>20460</v>
      </c>
      <c r="I1561" s="36" t="s">
        <v>20461</v>
      </c>
      <c r="J1561" s="36" t="s">
        <v>20462</v>
      </c>
      <c r="K1561" s="36" t="s">
        <v>20463</v>
      </c>
      <c r="L1561" s="36" t="s">
        <v>20464</v>
      </c>
      <c r="M1561" s="36" t="s">
        <v>20465</v>
      </c>
      <c r="N1561" s="36" t="s">
        <v>20466</v>
      </c>
      <c r="O1561" s="36" t="s">
        <v>20467</v>
      </c>
      <c r="P1561" s="36" t="s">
        <v>20454</v>
      </c>
    </row>
    <row r="1562" spans="1:16">
      <c r="A1562" s="132">
        <v>1561</v>
      </c>
      <c r="B1562" s="36" t="s">
        <v>20468</v>
      </c>
      <c r="C1562" s="36" t="s">
        <v>20469</v>
      </c>
      <c r="D1562" s="36" t="s">
        <v>20470</v>
      </c>
      <c r="E1562" s="36" t="s">
        <v>20471</v>
      </c>
      <c r="F1562" s="36" t="s">
        <v>20472</v>
      </c>
      <c r="G1562" s="36" t="s">
        <v>20473</v>
      </c>
      <c r="H1562" s="36" t="s">
        <v>20474</v>
      </c>
      <c r="I1562" s="36" t="s">
        <v>20475</v>
      </c>
      <c r="J1562" s="36" t="s">
        <v>20476</v>
      </c>
      <c r="K1562" s="36" t="s">
        <v>20477</v>
      </c>
      <c r="L1562" s="36" t="s">
        <v>20478</v>
      </c>
      <c r="M1562" s="36" t="s">
        <v>20479</v>
      </c>
      <c r="N1562" s="36" t="s">
        <v>20480</v>
      </c>
      <c r="O1562" s="36" t="s">
        <v>20481</v>
      </c>
      <c r="P1562" s="36" t="s">
        <v>20468</v>
      </c>
    </row>
    <row r="1563" spans="1:16">
      <c r="A1563" s="132">
        <v>1562</v>
      </c>
      <c r="B1563" s="36" t="s">
        <v>20482</v>
      </c>
      <c r="C1563" s="36" t="s">
        <v>20483</v>
      </c>
      <c r="D1563" s="36" t="s">
        <v>20484</v>
      </c>
      <c r="E1563" s="36" t="s">
        <v>20485</v>
      </c>
      <c r="F1563" s="36" t="s">
        <v>20486</v>
      </c>
      <c r="G1563" s="36" t="s">
        <v>20487</v>
      </c>
      <c r="H1563" s="36" t="s">
        <v>20488</v>
      </c>
      <c r="I1563" s="36" t="s">
        <v>20489</v>
      </c>
      <c r="J1563" s="36" t="s">
        <v>20490</v>
      </c>
      <c r="K1563" s="36" t="s">
        <v>20491</v>
      </c>
      <c r="L1563" s="36" t="s">
        <v>20492</v>
      </c>
      <c r="M1563" s="36" t="s">
        <v>20493</v>
      </c>
      <c r="N1563" s="36" t="s">
        <v>20494</v>
      </c>
      <c r="O1563" s="36" t="s">
        <v>20495</v>
      </c>
      <c r="P1563" s="36" t="s">
        <v>20482</v>
      </c>
    </row>
    <row r="1564" spans="1:16">
      <c r="A1564" s="132">
        <v>1563</v>
      </c>
      <c r="B1564" s="36" t="s">
        <v>20496</v>
      </c>
      <c r="C1564" s="36" t="s">
        <v>20497</v>
      </c>
      <c r="D1564" s="36" t="s">
        <v>20497</v>
      </c>
      <c r="E1564" s="36" t="s">
        <v>20497</v>
      </c>
      <c r="F1564" s="36" t="s">
        <v>20497</v>
      </c>
      <c r="G1564" s="36" t="s">
        <v>20497</v>
      </c>
      <c r="H1564" s="36" t="s">
        <v>20497</v>
      </c>
      <c r="I1564" s="36" t="s">
        <v>20497</v>
      </c>
      <c r="J1564" s="36" t="s">
        <v>20497</v>
      </c>
      <c r="K1564" s="36" t="s">
        <v>20497</v>
      </c>
      <c r="L1564" s="36" t="s">
        <v>20497</v>
      </c>
      <c r="M1564" s="36" t="s">
        <v>20497</v>
      </c>
      <c r="N1564" s="36" t="s">
        <v>20497</v>
      </c>
      <c r="O1564" s="36" t="s">
        <v>20497</v>
      </c>
      <c r="P1564" s="36" t="s">
        <v>20496</v>
      </c>
    </row>
    <row r="1565" spans="1:16">
      <c r="A1565" s="132">
        <v>1564</v>
      </c>
      <c r="B1565" s="36" t="s">
        <v>20498</v>
      </c>
      <c r="C1565" s="36" t="s">
        <v>20499</v>
      </c>
      <c r="D1565" s="36" t="s">
        <v>20500</v>
      </c>
      <c r="E1565" s="36" t="s">
        <v>20501</v>
      </c>
      <c r="F1565" s="36" t="s">
        <v>20502</v>
      </c>
      <c r="G1565" s="36" t="s">
        <v>20503</v>
      </c>
      <c r="H1565" s="36" t="s">
        <v>20504</v>
      </c>
      <c r="I1565" s="36" t="s">
        <v>20505</v>
      </c>
      <c r="J1565" s="36" t="s">
        <v>20506</v>
      </c>
      <c r="K1565" s="36" t="s">
        <v>20507</v>
      </c>
      <c r="L1565" s="36" t="s">
        <v>20508</v>
      </c>
      <c r="M1565" s="36" t="s">
        <v>20509</v>
      </c>
      <c r="N1565" s="36" t="s">
        <v>20510</v>
      </c>
      <c r="O1565" s="36" t="s">
        <v>20511</v>
      </c>
      <c r="P1565" s="36" t="s">
        <v>20498</v>
      </c>
    </row>
    <row r="1566" spans="1:16" ht="13.95" customHeight="1">
      <c r="A1566" s="132">
        <v>1565</v>
      </c>
      <c r="B1566" s="36" t="s">
        <v>20512</v>
      </c>
      <c r="C1566" s="36" t="s">
        <v>20513</v>
      </c>
      <c r="D1566" s="36" t="s">
        <v>20514</v>
      </c>
      <c r="E1566" s="36" t="s">
        <v>20515</v>
      </c>
      <c r="F1566" s="36" t="s">
        <v>20516</v>
      </c>
      <c r="G1566" s="36" t="s">
        <v>20517</v>
      </c>
      <c r="H1566" s="36" t="s">
        <v>20518</v>
      </c>
      <c r="I1566" s="36" t="s">
        <v>20519</v>
      </c>
      <c r="J1566" s="36" t="s">
        <v>20520</v>
      </c>
      <c r="K1566" s="36" t="s">
        <v>20521</v>
      </c>
      <c r="L1566" s="36" t="s">
        <v>20522</v>
      </c>
      <c r="M1566" s="36" t="s">
        <v>20523</v>
      </c>
      <c r="N1566" s="36" t="s">
        <v>20524</v>
      </c>
      <c r="O1566" s="36" t="s">
        <v>20525</v>
      </c>
      <c r="P1566" s="36" t="s">
        <v>20512</v>
      </c>
    </row>
    <row r="1567" spans="1:16">
      <c r="A1567" s="132">
        <v>1566</v>
      </c>
      <c r="B1567" s="36" t="s">
        <v>20526</v>
      </c>
      <c r="C1567" s="36" t="s">
        <v>20527</v>
      </c>
      <c r="D1567" s="36" t="s">
        <v>20528</v>
      </c>
      <c r="E1567" s="36" t="s">
        <v>20529</v>
      </c>
      <c r="F1567" s="36" t="s">
        <v>20530</v>
      </c>
      <c r="G1567" s="36" t="s">
        <v>20531</v>
      </c>
      <c r="H1567" s="36" t="s">
        <v>20532</v>
      </c>
      <c r="I1567" s="36" t="s">
        <v>20533</v>
      </c>
      <c r="J1567" s="36" t="s">
        <v>20534</v>
      </c>
      <c r="K1567" s="36" t="s">
        <v>20535</v>
      </c>
      <c r="L1567" s="36" t="s">
        <v>20536</v>
      </c>
      <c r="M1567" s="36" t="s">
        <v>20537</v>
      </c>
      <c r="N1567" s="36" t="s">
        <v>20538</v>
      </c>
      <c r="O1567" s="36" t="s">
        <v>20539</v>
      </c>
      <c r="P1567" s="36" t="s">
        <v>20526</v>
      </c>
    </row>
    <row r="1568" spans="1:16">
      <c r="A1568" s="132">
        <v>1567</v>
      </c>
      <c r="B1568" s="36" t="s">
        <v>20540</v>
      </c>
      <c r="C1568" s="36" t="s">
        <v>20541</v>
      </c>
      <c r="D1568" s="36" t="s">
        <v>20542</v>
      </c>
      <c r="E1568" s="36" t="s">
        <v>20543</v>
      </c>
      <c r="F1568" s="36" t="s">
        <v>20544</v>
      </c>
      <c r="G1568" s="36" t="s">
        <v>20545</v>
      </c>
      <c r="H1568" s="36" t="s">
        <v>20546</v>
      </c>
      <c r="I1568" s="36" t="s">
        <v>20547</v>
      </c>
      <c r="J1568" s="36" t="s">
        <v>20548</v>
      </c>
      <c r="K1568" s="36" t="s">
        <v>20549</v>
      </c>
      <c r="L1568" s="36" t="s">
        <v>20550</v>
      </c>
      <c r="M1568" s="36" t="s">
        <v>20551</v>
      </c>
      <c r="N1568" s="36" t="s">
        <v>20552</v>
      </c>
      <c r="O1568" s="36" t="s">
        <v>20553</v>
      </c>
      <c r="P1568" s="36" t="s">
        <v>20540</v>
      </c>
    </row>
    <row r="1569" spans="1:16">
      <c r="A1569" s="132">
        <v>1568</v>
      </c>
      <c r="B1569" s="36" t="s">
        <v>20554</v>
      </c>
      <c r="C1569" s="36" t="s">
        <v>20555</v>
      </c>
      <c r="D1569" s="36" t="s">
        <v>20556</v>
      </c>
      <c r="E1569" s="36" t="s">
        <v>20557</v>
      </c>
      <c r="F1569" s="36" t="s">
        <v>20558</v>
      </c>
      <c r="G1569" s="36" t="s">
        <v>20559</v>
      </c>
      <c r="H1569" s="36" t="s">
        <v>20560</v>
      </c>
      <c r="I1569" s="36" t="s">
        <v>20561</v>
      </c>
      <c r="J1569" s="36" t="s">
        <v>20562</v>
      </c>
      <c r="K1569" s="36" t="s">
        <v>20563</v>
      </c>
      <c r="L1569" s="36" t="s">
        <v>20564</v>
      </c>
      <c r="M1569" s="36" t="s">
        <v>20565</v>
      </c>
      <c r="N1569" s="36" t="s">
        <v>20566</v>
      </c>
      <c r="O1569" s="36" t="s">
        <v>20567</v>
      </c>
      <c r="P1569" s="36" t="s">
        <v>20554</v>
      </c>
    </row>
    <row r="1570" spans="1:16">
      <c r="A1570" s="132">
        <v>1569</v>
      </c>
      <c r="B1570" s="36" t="s">
        <v>20568</v>
      </c>
      <c r="C1570" s="36" t="s">
        <v>20569</v>
      </c>
      <c r="D1570" s="36" t="s">
        <v>20570</v>
      </c>
      <c r="E1570" s="36" t="s">
        <v>20571</v>
      </c>
      <c r="F1570" s="36" t="s">
        <v>20572</v>
      </c>
      <c r="G1570" s="36" t="s">
        <v>20573</v>
      </c>
      <c r="H1570" s="36" t="s">
        <v>20574</v>
      </c>
      <c r="I1570" s="36" t="s">
        <v>20575</v>
      </c>
      <c r="J1570" s="36" t="s">
        <v>20576</v>
      </c>
      <c r="K1570" s="36" t="s">
        <v>20577</v>
      </c>
      <c r="L1570" s="36" t="s">
        <v>20578</v>
      </c>
      <c r="M1570" s="36" t="s">
        <v>20579</v>
      </c>
      <c r="N1570" s="36" t="s">
        <v>20580</v>
      </c>
      <c r="O1570" s="36" t="s">
        <v>20581</v>
      </c>
      <c r="P1570" s="36" t="s">
        <v>20568</v>
      </c>
    </row>
    <row r="1571" spans="1:16">
      <c r="A1571" s="132">
        <v>1570</v>
      </c>
      <c r="B1571" s="36" t="s">
        <v>20582</v>
      </c>
      <c r="C1571" s="36" t="s">
        <v>20583</v>
      </c>
      <c r="D1571" s="36" t="s">
        <v>20584</v>
      </c>
      <c r="E1571" s="36" t="s">
        <v>20585</v>
      </c>
      <c r="F1571" s="36" t="s">
        <v>20586</v>
      </c>
      <c r="G1571" s="36" t="s">
        <v>20587</v>
      </c>
      <c r="H1571" s="36" t="s">
        <v>20588</v>
      </c>
      <c r="I1571" s="36" t="s">
        <v>20589</v>
      </c>
      <c r="J1571" s="36" t="s">
        <v>20590</v>
      </c>
      <c r="K1571" s="36" t="s">
        <v>20591</v>
      </c>
      <c r="L1571" s="36" t="s">
        <v>20592</v>
      </c>
      <c r="M1571" s="36" t="s">
        <v>20593</v>
      </c>
      <c r="N1571" s="36" t="s">
        <v>20594</v>
      </c>
      <c r="O1571" s="36" t="s">
        <v>20595</v>
      </c>
      <c r="P1571" s="36" t="s">
        <v>20582</v>
      </c>
    </row>
    <row r="1572" spans="1:16">
      <c r="A1572" s="132">
        <v>1571</v>
      </c>
      <c r="B1572" s="36" t="s">
        <v>20596</v>
      </c>
      <c r="C1572" s="36" t="s">
        <v>20597</v>
      </c>
      <c r="D1572" s="36" t="s">
        <v>20598</v>
      </c>
      <c r="E1572" s="36" t="s">
        <v>20599</v>
      </c>
      <c r="F1572" s="36" t="s">
        <v>20600</v>
      </c>
      <c r="G1572" s="36" t="s">
        <v>20601</v>
      </c>
      <c r="H1572" s="36" t="s">
        <v>20602</v>
      </c>
      <c r="I1572" s="36" t="s">
        <v>20603</v>
      </c>
      <c r="J1572" s="36" t="s">
        <v>20604</v>
      </c>
      <c r="K1572" s="36" t="s">
        <v>20605</v>
      </c>
      <c r="L1572" s="36" t="s">
        <v>20606</v>
      </c>
      <c r="M1572" s="36" t="s">
        <v>20607</v>
      </c>
      <c r="N1572" s="36" t="s">
        <v>20608</v>
      </c>
      <c r="O1572" s="36" t="s">
        <v>20609</v>
      </c>
      <c r="P1572" s="36" t="s">
        <v>20596</v>
      </c>
    </row>
    <row r="1573" spans="1:16">
      <c r="A1573" s="132">
        <v>1572</v>
      </c>
      <c r="B1573" s="36" t="s">
        <v>20610</v>
      </c>
      <c r="C1573" s="36" t="s">
        <v>20611</v>
      </c>
      <c r="D1573" s="36" t="s">
        <v>20612</v>
      </c>
      <c r="E1573" s="36" t="s">
        <v>20613</v>
      </c>
      <c r="F1573" s="36" t="s">
        <v>20614</v>
      </c>
      <c r="G1573" s="36" t="s">
        <v>20615</v>
      </c>
      <c r="H1573" s="36" t="s">
        <v>20616</v>
      </c>
      <c r="I1573" s="36" t="s">
        <v>20617</v>
      </c>
      <c r="J1573" s="36" t="s">
        <v>20618</v>
      </c>
      <c r="K1573" s="36" t="s">
        <v>20619</v>
      </c>
      <c r="L1573" s="36" t="s">
        <v>20620</v>
      </c>
      <c r="M1573" s="36" t="s">
        <v>20621</v>
      </c>
      <c r="N1573" s="36" t="s">
        <v>20622</v>
      </c>
      <c r="O1573" s="36" t="s">
        <v>20623</v>
      </c>
      <c r="P1573" s="36" t="s">
        <v>20610</v>
      </c>
    </row>
    <row r="1574" spans="1:16">
      <c r="A1574" s="132">
        <v>1573</v>
      </c>
      <c r="B1574" s="36" t="s">
        <v>20624</v>
      </c>
      <c r="C1574" s="36" t="s">
        <v>20625</v>
      </c>
      <c r="D1574" s="36" t="s">
        <v>20626</v>
      </c>
      <c r="E1574" s="36" t="s">
        <v>20627</v>
      </c>
      <c r="F1574" s="36" t="s">
        <v>20628</v>
      </c>
      <c r="G1574" s="36" t="s">
        <v>20629</v>
      </c>
      <c r="H1574" s="36" t="s">
        <v>20630</v>
      </c>
      <c r="I1574" s="36" t="s">
        <v>20631</v>
      </c>
      <c r="J1574" s="36" t="s">
        <v>20632</v>
      </c>
      <c r="K1574" s="36" t="s">
        <v>20633</v>
      </c>
      <c r="L1574" s="36" t="s">
        <v>20634</v>
      </c>
      <c r="M1574" s="36" t="s">
        <v>20635</v>
      </c>
      <c r="N1574" s="36" t="s">
        <v>20636</v>
      </c>
      <c r="O1574" s="36" t="s">
        <v>20637</v>
      </c>
      <c r="P1574" s="36" t="s">
        <v>20624</v>
      </c>
    </row>
    <row r="1575" spans="1:16" ht="13.95" customHeight="1">
      <c r="A1575" s="132">
        <v>1574</v>
      </c>
      <c r="B1575" s="36" t="s">
        <v>20638</v>
      </c>
      <c r="C1575" s="36" t="s">
        <v>20639</v>
      </c>
      <c r="D1575" s="36" t="s">
        <v>20640</v>
      </c>
      <c r="E1575" s="36" t="s">
        <v>20641</v>
      </c>
      <c r="F1575" s="36" t="s">
        <v>20642</v>
      </c>
      <c r="G1575" s="36" t="s">
        <v>20643</v>
      </c>
      <c r="H1575" s="36" t="s">
        <v>20644</v>
      </c>
      <c r="I1575" s="36" t="s">
        <v>20645</v>
      </c>
      <c r="J1575" s="36" t="s">
        <v>20646</v>
      </c>
      <c r="K1575" s="36" t="s">
        <v>20647</v>
      </c>
      <c r="L1575" s="36" t="s">
        <v>20648</v>
      </c>
      <c r="M1575" s="36" t="s">
        <v>20649</v>
      </c>
      <c r="N1575" s="36" t="s">
        <v>20650</v>
      </c>
      <c r="O1575" s="36" t="s">
        <v>20651</v>
      </c>
      <c r="P1575" s="36" t="s">
        <v>20638</v>
      </c>
    </row>
    <row r="1576" spans="1:16" ht="13.95" customHeight="1">
      <c r="A1576" s="132">
        <v>1575</v>
      </c>
      <c r="B1576" s="36" t="s">
        <v>20652</v>
      </c>
      <c r="C1576" s="36" t="s">
        <v>20653</v>
      </c>
      <c r="D1576" s="36" t="s">
        <v>20654</v>
      </c>
      <c r="E1576" s="36" t="s">
        <v>20655</v>
      </c>
      <c r="F1576" s="36" t="s">
        <v>20656</v>
      </c>
      <c r="G1576" s="36" t="s">
        <v>20657</v>
      </c>
      <c r="H1576" s="36" t="s">
        <v>20658</v>
      </c>
      <c r="I1576" s="36" t="s">
        <v>20659</v>
      </c>
      <c r="J1576" s="36" t="s">
        <v>20660</v>
      </c>
      <c r="K1576" s="36" t="s">
        <v>20661</v>
      </c>
      <c r="L1576" s="36" t="s">
        <v>20662</v>
      </c>
      <c r="M1576" s="36" t="s">
        <v>20663</v>
      </c>
      <c r="N1576" s="36" t="s">
        <v>20664</v>
      </c>
      <c r="O1576" s="36" t="s">
        <v>20665</v>
      </c>
      <c r="P1576" s="36" t="s">
        <v>20652</v>
      </c>
    </row>
    <row r="1577" spans="1:16">
      <c r="A1577" s="132">
        <v>1576</v>
      </c>
      <c r="B1577" s="36" t="s">
        <v>20666</v>
      </c>
      <c r="C1577" s="36" t="s">
        <v>20667</v>
      </c>
      <c r="D1577" s="36" t="s">
        <v>20668</v>
      </c>
      <c r="E1577" s="36" t="s">
        <v>20669</v>
      </c>
      <c r="F1577" s="36" t="s">
        <v>20670</v>
      </c>
      <c r="G1577" s="36" t="s">
        <v>20671</v>
      </c>
      <c r="H1577" s="36" t="s">
        <v>20672</v>
      </c>
      <c r="I1577" s="36" t="s">
        <v>20673</v>
      </c>
      <c r="J1577" s="36" t="s">
        <v>20674</v>
      </c>
      <c r="K1577" s="36" t="s">
        <v>20675</v>
      </c>
      <c r="L1577" s="36" t="s">
        <v>20676</v>
      </c>
      <c r="M1577" s="36" t="s">
        <v>20677</v>
      </c>
      <c r="N1577" s="36" t="s">
        <v>20678</v>
      </c>
      <c r="O1577" s="36" t="s">
        <v>20679</v>
      </c>
      <c r="P1577" s="36" t="s">
        <v>20666</v>
      </c>
    </row>
    <row r="1578" spans="1:16">
      <c r="A1578" s="132">
        <v>1577</v>
      </c>
      <c r="B1578" s="36" t="s">
        <v>20680</v>
      </c>
      <c r="C1578" s="36" t="s">
        <v>20681</v>
      </c>
      <c r="D1578" s="36" t="s">
        <v>20682</v>
      </c>
      <c r="E1578" s="36" t="s">
        <v>20683</v>
      </c>
      <c r="F1578" s="36" t="s">
        <v>20684</v>
      </c>
      <c r="G1578" s="36" t="s">
        <v>20685</v>
      </c>
      <c r="H1578" s="36" t="s">
        <v>20686</v>
      </c>
      <c r="I1578" s="36" t="s">
        <v>20687</v>
      </c>
      <c r="J1578" s="36" t="s">
        <v>20688</v>
      </c>
      <c r="K1578" s="36" t="s">
        <v>20689</v>
      </c>
      <c r="L1578" s="36" t="s">
        <v>20690</v>
      </c>
      <c r="M1578" s="36" t="s">
        <v>20691</v>
      </c>
      <c r="N1578" s="36" t="s">
        <v>20692</v>
      </c>
      <c r="O1578" s="36" t="s">
        <v>20693</v>
      </c>
      <c r="P1578" s="36" t="s">
        <v>20680</v>
      </c>
    </row>
    <row r="1579" spans="1:16">
      <c r="A1579" s="132">
        <v>1578</v>
      </c>
      <c r="B1579" s="36" t="s">
        <v>4343</v>
      </c>
      <c r="C1579" s="36" t="s">
        <v>4344</v>
      </c>
      <c r="D1579" s="36" t="s">
        <v>4345</v>
      </c>
      <c r="E1579" s="36" t="s">
        <v>4346</v>
      </c>
      <c r="F1579" s="36" t="s">
        <v>4347</v>
      </c>
      <c r="G1579" s="36" t="s">
        <v>4348</v>
      </c>
      <c r="H1579" s="36" t="s">
        <v>4349</v>
      </c>
      <c r="I1579" s="36" t="s">
        <v>4350</v>
      </c>
      <c r="J1579" s="36" t="s">
        <v>4351</v>
      </c>
      <c r="K1579" s="36" t="s">
        <v>4352</v>
      </c>
      <c r="L1579" s="36" t="s">
        <v>4353</v>
      </c>
      <c r="M1579" s="36" t="s">
        <v>4354</v>
      </c>
      <c r="N1579" s="36" t="s">
        <v>4355</v>
      </c>
      <c r="O1579" s="36" t="s">
        <v>4356</v>
      </c>
      <c r="P1579" s="36" t="s">
        <v>4357</v>
      </c>
    </row>
    <row r="1580" spans="1:16">
      <c r="A1580" s="132">
        <v>1579</v>
      </c>
      <c r="B1580" s="36" t="s">
        <v>4373</v>
      </c>
      <c r="C1580" s="36" t="s">
        <v>20694</v>
      </c>
      <c r="D1580" s="36" t="s">
        <v>4375</v>
      </c>
      <c r="E1580" s="36" t="s">
        <v>4376</v>
      </c>
      <c r="F1580" s="36" t="s">
        <v>4377</v>
      </c>
      <c r="G1580" s="36" t="s">
        <v>4378</v>
      </c>
      <c r="H1580" s="36" t="s">
        <v>4379</v>
      </c>
      <c r="I1580" s="36" t="s">
        <v>4380</v>
      </c>
      <c r="J1580" s="36" t="s">
        <v>4381</v>
      </c>
      <c r="K1580" s="36" t="s">
        <v>4382</v>
      </c>
      <c r="L1580" s="36" t="s">
        <v>4383</v>
      </c>
      <c r="M1580" s="36" t="s">
        <v>4384</v>
      </c>
      <c r="N1580" s="36" t="s">
        <v>4385</v>
      </c>
      <c r="O1580" s="36" t="s">
        <v>4386</v>
      </c>
      <c r="P1580" s="36" t="s">
        <v>4373</v>
      </c>
    </row>
    <row r="1581" spans="1:16">
      <c r="A1581" s="132">
        <v>1580</v>
      </c>
      <c r="B1581" s="36" t="s">
        <v>7626</v>
      </c>
      <c r="C1581" s="36" t="s">
        <v>20695</v>
      </c>
      <c r="D1581" s="36" t="s">
        <v>7628</v>
      </c>
      <c r="E1581" s="36" t="s">
        <v>7629</v>
      </c>
      <c r="F1581" s="36" t="s">
        <v>7630</v>
      </c>
      <c r="G1581" s="36" t="s">
        <v>7631</v>
      </c>
      <c r="H1581" s="36" t="s">
        <v>7632</v>
      </c>
      <c r="I1581" s="36" t="s">
        <v>7633</v>
      </c>
      <c r="J1581" s="36" t="s">
        <v>7634</v>
      </c>
      <c r="K1581" s="36" t="s">
        <v>7635</v>
      </c>
      <c r="L1581" s="36" t="s">
        <v>7636</v>
      </c>
      <c r="M1581" s="36" t="s">
        <v>7637</v>
      </c>
      <c r="N1581" s="36" t="s">
        <v>7638</v>
      </c>
      <c r="O1581" s="36" t="s">
        <v>7639</v>
      </c>
      <c r="P1581" s="36" t="s">
        <v>7626</v>
      </c>
    </row>
    <row r="1582" spans="1:16">
      <c r="A1582" s="132">
        <v>1581</v>
      </c>
      <c r="B1582" s="36" t="s">
        <v>20696</v>
      </c>
      <c r="C1582" s="36" t="s">
        <v>20697</v>
      </c>
      <c r="D1582" s="36" t="s">
        <v>20698</v>
      </c>
      <c r="E1582" s="36" t="s">
        <v>20699</v>
      </c>
      <c r="F1582" s="36" t="s">
        <v>20700</v>
      </c>
      <c r="G1582" s="36" t="s">
        <v>20701</v>
      </c>
      <c r="H1582" s="36" t="s">
        <v>20702</v>
      </c>
      <c r="I1582" s="36" t="s">
        <v>20703</v>
      </c>
      <c r="J1582" s="36" t="s">
        <v>20704</v>
      </c>
      <c r="K1582" s="36" t="s">
        <v>20705</v>
      </c>
      <c r="L1582" s="36" t="s">
        <v>20706</v>
      </c>
      <c r="M1582" s="36" t="s">
        <v>20707</v>
      </c>
      <c r="N1582" s="36" t="s">
        <v>20708</v>
      </c>
      <c r="O1582" s="36" t="s">
        <v>20709</v>
      </c>
      <c r="P1582" s="36" t="s">
        <v>20696</v>
      </c>
    </row>
    <row r="1583" spans="1:16">
      <c r="A1583" s="132">
        <v>1582</v>
      </c>
      <c r="B1583" s="36" t="s">
        <v>20710</v>
      </c>
      <c r="C1583" s="36" t="s">
        <v>20711</v>
      </c>
      <c r="D1583" s="36" t="s">
        <v>20712</v>
      </c>
      <c r="E1583" s="36" t="s">
        <v>20713</v>
      </c>
      <c r="F1583" s="36" t="s">
        <v>20714</v>
      </c>
      <c r="G1583" s="36" t="s">
        <v>20715</v>
      </c>
      <c r="H1583" s="36" t="s">
        <v>20716</v>
      </c>
      <c r="I1583" s="36" t="s">
        <v>20717</v>
      </c>
      <c r="J1583" s="36" t="s">
        <v>20718</v>
      </c>
      <c r="K1583" s="36" t="s">
        <v>20719</v>
      </c>
      <c r="L1583" s="36" t="s">
        <v>20720</v>
      </c>
      <c r="M1583" s="36" t="s">
        <v>20721</v>
      </c>
      <c r="N1583" s="36" t="s">
        <v>20722</v>
      </c>
      <c r="O1583" s="36" t="s">
        <v>20723</v>
      </c>
      <c r="P1583" s="36" t="s">
        <v>20710</v>
      </c>
    </row>
    <row r="1584" spans="1:16">
      <c r="A1584" s="132">
        <v>1583</v>
      </c>
      <c r="B1584" s="36" t="s">
        <v>20724</v>
      </c>
      <c r="C1584" s="36" t="s">
        <v>20725</v>
      </c>
      <c r="D1584" s="36" t="s">
        <v>20726</v>
      </c>
      <c r="E1584" s="36" t="s">
        <v>20727</v>
      </c>
      <c r="F1584" s="36" t="s">
        <v>20728</v>
      </c>
      <c r="G1584" s="36" t="s">
        <v>20729</v>
      </c>
      <c r="H1584" s="36" t="s">
        <v>20730</v>
      </c>
      <c r="I1584" s="36" t="s">
        <v>20731</v>
      </c>
      <c r="J1584" s="36" t="s">
        <v>20732</v>
      </c>
      <c r="K1584" s="36" t="s">
        <v>20733</v>
      </c>
      <c r="L1584" s="36" t="s">
        <v>20734</v>
      </c>
      <c r="M1584" s="36" t="s">
        <v>20735</v>
      </c>
      <c r="N1584" s="36" t="s">
        <v>20736</v>
      </c>
      <c r="O1584" s="36" t="s">
        <v>20737</v>
      </c>
      <c r="P1584" s="36" t="s">
        <v>20724</v>
      </c>
    </row>
    <row r="1585" spans="1:16">
      <c r="A1585" s="132">
        <v>1584</v>
      </c>
      <c r="B1585" s="36" t="s">
        <v>7640</v>
      </c>
      <c r="C1585" s="36" t="s">
        <v>20738</v>
      </c>
      <c r="D1585" s="36" t="s">
        <v>7642</v>
      </c>
      <c r="E1585" s="36" t="s">
        <v>7643</v>
      </c>
      <c r="F1585" s="36" t="s">
        <v>7644</v>
      </c>
      <c r="G1585" s="36" t="s">
        <v>7645</v>
      </c>
      <c r="H1585" s="36" t="s">
        <v>7646</v>
      </c>
      <c r="I1585" s="36" t="s">
        <v>7647</v>
      </c>
      <c r="J1585" s="36" t="s">
        <v>7648</v>
      </c>
      <c r="K1585" s="36" t="s">
        <v>7649</v>
      </c>
      <c r="L1585" s="36" t="s">
        <v>7650</v>
      </c>
      <c r="M1585" s="36" t="s">
        <v>7651</v>
      </c>
      <c r="N1585" s="36" t="s">
        <v>7652</v>
      </c>
      <c r="O1585" s="36" t="s">
        <v>7653</v>
      </c>
      <c r="P1585" s="36" t="s">
        <v>7640</v>
      </c>
    </row>
    <row r="1586" spans="1:16">
      <c r="A1586" s="132">
        <v>1585</v>
      </c>
      <c r="B1586" s="36" t="s">
        <v>20739</v>
      </c>
      <c r="C1586" s="36" t="s">
        <v>20740</v>
      </c>
      <c r="D1586" s="36" t="s">
        <v>20741</v>
      </c>
      <c r="E1586" s="36" t="s">
        <v>20742</v>
      </c>
      <c r="F1586" s="36" t="s">
        <v>20743</v>
      </c>
      <c r="G1586" s="36" t="s">
        <v>20744</v>
      </c>
      <c r="H1586" s="36" t="s">
        <v>20745</v>
      </c>
      <c r="I1586" s="36" t="s">
        <v>20746</v>
      </c>
      <c r="J1586" s="36" t="s">
        <v>20747</v>
      </c>
      <c r="K1586" s="36" t="s">
        <v>20748</v>
      </c>
      <c r="L1586" s="36" t="s">
        <v>20749</v>
      </c>
      <c r="M1586" s="36" t="s">
        <v>20750</v>
      </c>
      <c r="N1586" s="36" t="s">
        <v>20751</v>
      </c>
      <c r="O1586" s="36" t="s">
        <v>20752</v>
      </c>
      <c r="P1586" s="36" t="s">
        <v>20739</v>
      </c>
    </row>
    <row r="1587" spans="1:16">
      <c r="A1587" s="132">
        <v>1586</v>
      </c>
      <c r="B1587" s="36" t="s">
        <v>20753</v>
      </c>
      <c r="C1587" s="36" t="s">
        <v>20754</v>
      </c>
      <c r="D1587" s="36" t="s">
        <v>19882</v>
      </c>
      <c r="E1587" s="36" t="s">
        <v>20755</v>
      </c>
      <c r="F1587" s="36" t="s">
        <v>20756</v>
      </c>
      <c r="G1587" s="36" t="s">
        <v>20757</v>
      </c>
      <c r="H1587" s="36" t="s">
        <v>20758</v>
      </c>
      <c r="I1587" s="36" t="s">
        <v>20759</v>
      </c>
      <c r="J1587" s="36" t="s">
        <v>20760</v>
      </c>
      <c r="K1587" s="36" t="s">
        <v>20761</v>
      </c>
      <c r="L1587" s="36" t="s">
        <v>20762</v>
      </c>
      <c r="M1587" s="36" t="s">
        <v>20763</v>
      </c>
      <c r="N1587" s="36" t="s">
        <v>20764</v>
      </c>
      <c r="O1587" s="36" t="s">
        <v>20765</v>
      </c>
      <c r="P1587" s="36" t="s">
        <v>20753</v>
      </c>
    </row>
    <row r="1588" spans="1:16">
      <c r="A1588" s="132">
        <v>1587</v>
      </c>
      <c r="B1588" s="36" t="s">
        <v>20766</v>
      </c>
      <c r="C1588" s="36" t="s">
        <v>20767</v>
      </c>
      <c r="D1588" s="36" t="s">
        <v>20768</v>
      </c>
      <c r="E1588" s="36" t="s">
        <v>20769</v>
      </c>
      <c r="F1588" s="36" t="s">
        <v>20770</v>
      </c>
      <c r="G1588" s="36" t="s">
        <v>20771</v>
      </c>
      <c r="H1588" s="36" t="s">
        <v>20772</v>
      </c>
      <c r="I1588" s="36" t="s">
        <v>20773</v>
      </c>
      <c r="J1588" s="36" t="s">
        <v>20774</v>
      </c>
      <c r="K1588" s="36" t="s">
        <v>20775</v>
      </c>
      <c r="L1588" s="36" t="s">
        <v>20776</v>
      </c>
      <c r="M1588" s="36" t="s">
        <v>20771</v>
      </c>
      <c r="N1588" s="36" t="s">
        <v>20777</v>
      </c>
      <c r="O1588" s="36" t="s">
        <v>20775</v>
      </c>
      <c r="P1588" s="36" t="s">
        <v>20766</v>
      </c>
    </row>
    <row r="1589" spans="1:16">
      <c r="A1589" s="132">
        <v>1588</v>
      </c>
      <c r="B1589" s="36" t="s">
        <v>20778</v>
      </c>
      <c r="C1589" s="36" t="s">
        <v>20779</v>
      </c>
      <c r="D1589" s="36" t="s">
        <v>20780</v>
      </c>
      <c r="E1589" s="36" t="s">
        <v>20781</v>
      </c>
      <c r="F1589" s="36" t="s">
        <v>20782</v>
      </c>
      <c r="G1589" s="36" t="s">
        <v>20783</v>
      </c>
      <c r="H1589" s="36" t="s">
        <v>20784</v>
      </c>
      <c r="I1589" s="36" t="s">
        <v>20785</v>
      </c>
      <c r="J1589" s="36" t="s">
        <v>20786</v>
      </c>
      <c r="K1589" s="36" t="s">
        <v>20787</v>
      </c>
      <c r="L1589" s="36" t="s">
        <v>20788</v>
      </c>
      <c r="M1589" s="36" t="s">
        <v>20789</v>
      </c>
      <c r="N1589" s="36" t="s">
        <v>20790</v>
      </c>
      <c r="O1589" s="36" t="s">
        <v>20791</v>
      </c>
      <c r="P1589" s="36" t="s">
        <v>20778</v>
      </c>
    </row>
    <row r="1590" spans="1:16" ht="15" customHeight="1">
      <c r="A1590" s="132">
        <v>1589</v>
      </c>
      <c r="B1590" s="36" t="s">
        <v>20792</v>
      </c>
      <c r="C1590" s="36" t="s">
        <v>20793</v>
      </c>
      <c r="D1590" s="36" t="s">
        <v>20794</v>
      </c>
      <c r="E1590" s="36" t="s">
        <v>20795</v>
      </c>
      <c r="F1590" s="36" t="s">
        <v>20796</v>
      </c>
      <c r="G1590" s="36" t="s">
        <v>20797</v>
      </c>
      <c r="H1590" s="36" t="s">
        <v>20798</v>
      </c>
      <c r="I1590" s="36" t="s">
        <v>20799</v>
      </c>
      <c r="J1590" s="36" t="s">
        <v>20800</v>
      </c>
      <c r="K1590" s="36" t="s">
        <v>20801</v>
      </c>
      <c r="L1590" s="36" t="s">
        <v>20802</v>
      </c>
      <c r="M1590" s="36" t="s">
        <v>20803</v>
      </c>
      <c r="N1590" s="36" t="s">
        <v>20804</v>
      </c>
      <c r="O1590" s="36" t="s">
        <v>20805</v>
      </c>
      <c r="P1590" s="36" t="s">
        <v>20792</v>
      </c>
    </row>
    <row r="1591" spans="1:16" ht="15" customHeight="1">
      <c r="A1591" s="132">
        <v>1590</v>
      </c>
      <c r="B1591" s="36" t="s">
        <v>20806</v>
      </c>
      <c r="C1591" s="36" t="s">
        <v>20807</v>
      </c>
      <c r="D1591" s="36" t="s">
        <v>20808</v>
      </c>
      <c r="E1591" s="36" t="s">
        <v>20809</v>
      </c>
      <c r="F1591" s="36" t="s">
        <v>20810</v>
      </c>
      <c r="G1591" s="36" t="s">
        <v>20810</v>
      </c>
      <c r="H1591" s="36" t="s">
        <v>20811</v>
      </c>
      <c r="I1591" s="36" t="s">
        <v>20812</v>
      </c>
      <c r="J1591" s="36" t="s">
        <v>20813</v>
      </c>
      <c r="K1591" s="36" t="s">
        <v>20814</v>
      </c>
      <c r="L1591" s="36" t="s">
        <v>20815</v>
      </c>
      <c r="M1591" s="36" t="s">
        <v>20816</v>
      </c>
      <c r="N1591" s="36" t="s">
        <v>20817</v>
      </c>
      <c r="O1591" s="36" t="s">
        <v>20814</v>
      </c>
      <c r="P1591" s="36" t="s">
        <v>20806</v>
      </c>
    </row>
    <row r="1592" spans="1:16" ht="15" customHeight="1">
      <c r="A1592" s="132">
        <v>1591</v>
      </c>
      <c r="B1592" s="36" t="s">
        <v>20818</v>
      </c>
      <c r="C1592" s="36" t="s">
        <v>20819</v>
      </c>
      <c r="D1592" s="36" t="s">
        <v>20820</v>
      </c>
      <c r="E1592" s="36" t="s">
        <v>20821</v>
      </c>
      <c r="F1592" s="36" t="s">
        <v>20822</v>
      </c>
      <c r="G1592" s="36" t="s">
        <v>20823</v>
      </c>
      <c r="H1592" s="36" t="s">
        <v>20824</v>
      </c>
      <c r="I1592" s="36" t="s">
        <v>20825</v>
      </c>
      <c r="J1592" s="36" t="s">
        <v>20826</v>
      </c>
      <c r="K1592" s="36" t="s">
        <v>20827</v>
      </c>
      <c r="L1592" s="36" t="s">
        <v>20828</v>
      </c>
      <c r="M1592" s="36" t="s">
        <v>20829</v>
      </c>
      <c r="N1592" s="36" t="s">
        <v>20830</v>
      </c>
      <c r="O1592" s="36" t="s">
        <v>20831</v>
      </c>
      <c r="P1592" s="36" t="s">
        <v>20818</v>
      </c>
    </row>
    <row r="1593" spans="1:16" ht="15" customHeight="1">
      <c r="A1593" s="132">
        <v>1592</v>
      </c>
      <c r="B1593" s="36" t="s">
        <v>20832</v>
      </c>
      <c r="C1593" s="36" t="s">
        <v>20833</v>
      </c>
      <c r="D1593" s="36" t="s">
        <v>20834</v>
      </c>
      <c r="E1593" s="36" t="s">
        <v>20835</v>
      </c>
      <c r="F1593" s="36" t="s">
        <v>20836</v>
      </c>
      <c r="G1593" s="36" t="s">
        <v>20837</v>
      </c>
      <c r="H1593" s="36" t="s">
        <v>20838</v>
      </c>
      <c r="I1593" s="36" t="s">
        <v>20839</v>
      </c>
      <c r="J1593" s="36" t="s">
        <v>20840</v>
      </c>
      <c r="K1593" s="36" t="s">
        <v>20841</v>
      </c>
      <c r="L1593" s="36" t="s">
        <v>20842</v>
      </c>
      <c r="M1593" s="36" t="s">
        <v>20843</v>
      </c>
      <c r="N1593" s="36" t="s">
        <v>20844</v>
      </c>
      <c r="O1593" s="36" t="s">
        <v>20845</v>
      </c>
      <c r="P1593" s="36" t="s">
        <v>20832</v>
      </c>
    </row>
    <row r="1594" spans="1:16" ht="15" customHeight="1">
      <c r="A1594" s="132">
        <v>1593</v>
      </c>
      <c r="B1594" s="36" t="s">
        <v>20846</v>
      </c>
      <c r="C1594" s="36" t="s">
        <v>20847</v>
      </c>
      <c r="D1594" s="36" t="s">
        <v>20848</v>
      </c>
      <c r="E1594" s="36" t="s">
        <v>20849</v>
      </c>
      <c r="F1594" s="36" t="s">
        <v>20850</v>
      </c>
      <c r="G1594" s="36" t="s">
        <v>20851</v>
      </c>
      <c r="H1594" s="36" t="s">
        <v>20852</v>
      </c>
      <c r="I1594" s="36" t="s">
        <v>20853</v>
      </c>
      <c r="J1594" s="36" t="s">
        <v>20854</v>
      </c>
      <c r="K1594" s="36" t="s">
        <v>20855</v>
      </c>
      <c r="L1594" s="36" t="s">
        <v>20856</v>
      </c>
      <c r="M1594" s="36" t="s">
        <v>20857</v>
      </c>
      <c r="N1594" s="36" t="s">
        <v>20858</v>
      </c>
      <c r="O1594" s="36" t="s">
        <v>20859</v>
      </c>
      <c r="P1594" s="36" t="s">
        <v>20846</v>
      </c>
    </row>
    <row r="1595" spans="1:16" ht="15" customHeight="1">
      <c r="A1595" s="132">
        <v>1594</v>
      </c>
      <c r="B1595" s="36" t="s">
        <v>20860</v>
      </c>
      <c r="C1595" s="36" t="s">
        <v>20861</v>
      </c>
      <c r="D1595" s="36" t="s">
        <v>20861</v>
      </c>
      <c r="E1595" s="36" t="s">
        <v>20862</v>
      </c>
      <c r="F1595" s="36" t="s">
        <v>20863</v>
      </c>
      <c r="G1595" s="36" t="s">
        <v>20864</v>
      </c>
      <c r="H1595" s="36" t="s">
        <v>20860</v>
      </c>
      <c r="I1595" s="36" t="s">
        <v>20863</v>
      </c>
      <c r="J1595" s="36" t="s">
        <v>20865</v>
      </c>
      <c r="K1595" s="36" t="s">
        <v>20866</v>
      </c>
      <c r="L1595" s="36" t="s">
        <v>20867</v>
      </c>
      <c r="M1595" s="36" t="s">
        <v>20868</v>
      </c>
      <c r="N1595" s="36" t="s">
        <v>20860</v>
      </c>
      <c r="O1595" s="36" t="s">
        <v>20860</v>
      </c>
      <c r="P1595" s="36" t="s">
        <v>20860</v>
      </c>
    </row>
    <row r="1596" spans="1:16" ht="15" customHeight="1">
      <c r="A1596" s="132">
        <v>1595</v>
      </c>
      <c r="B1596" s="36" t="s">
        <v>20869</v>
      </c>
      <c r="C1596" s="36" t="s">
        <v>20870</v>
      </c>
      <c r="D1596" s="36" t="s">
        <v>20871</v>
      </c>
      <c r="E1596" s="36" t="s">
        <v>20872</v>
      </c>
      <c r="F1596" s="36" t="s">
        <v>20873</v>
      </c>
      <c r="G1596" s="36" t="s">
        <v>20874</v>
      </c>
      <c r="H1596" s="36" t="s">
        <v>20869</v>
      </c>
      <c r="I1596" s="36" t="s">
        <v>20875</v>
      </c>
      <c r="J1596" s="36" t="s">
        <v>20876</v>
      </c>
      <c r="K1596" s="36" t="s">
        <v>20877</v>
      </c>
      <c r="L1596" s="36" t="s">
        <v>20878</v>
      </c>
      <c r="M1596" s="36" t="s">
        <v>20879</v>
      </c>
      <c r="N1596" s="36" t="s">
        <v>20880</v>
      </c>
      <c r="O1596" s="36" t="s">
        <v>20881</v>
      </c>
      <c r="P1596" s="36" t="s">
        <v>20869</v>
      </c>
    </row>
    <row r="1597" spans="1:16" ht="15" customHeight="1">
      <c r="A1597" s="132">
        <v>1596</v>
      </c>
      <c r="B1597" s="36" t="s">
        <v>20882</v>
      </c>
      <c r="C1597" s="36" t="s">
        <v>20883</v>
      </c>
      <c r="D1597" s="36" t="s">
        <v>20884</v>
      </c>
      <c r="E1597" s="36" t="s">
        <v>20884</v>
      </c>
      <c r="F1597" s="36" t="s">
        <v>20885</v>
      </c>
      <c r="G1597" s="36" t="s">
        <v>20886</v>
      </c>
      <c r="H1597" s="36" t="s">
        <v>20882</v>
      </c>
      <c r="I1597" s="36" t="s">
        <v>20885</v>
      </c>
      <c r="J1597" s="36" t="s">
        <v>20887</v>
      </c>
      <c r="K1597" s="36" t="s">
        <v>20888</v>
      </c>
      <c r="L1597" s="36" t="s">
        <v>20889</v>
      </c>
      <c r="M1597" s="36" t="s">
        <v>20890</v>
      </c>
      <c r="N1597" s="36" t="s">
        <v>20891</v>
      </c>
      <c r="O1597" s="36" t="s">
        <v>20892</v>
      </c>
      <c r="P1597" s="36" t="s">
        <v>20882</v>
      </c>
    </row>
    <row r="1598" spans="1:16" ht="15" customHeight="1">
      <c r="A1598" s="132">
        <v>1597</v>
      </c>
      <c r="B1598" s="36" t="s">
        <v>20884</v>
      </c>
      <c r="C1598" s="36" t="s">
        <v>20884</v>
      </c>
      <c r="D1598" s="36" t="s">
        <v>20884</v>
      </c>
      <c r="E1598" s="36" t="s">
        <v>20884</v>
      </c>
      <c r="F1598" s="36" t="s">
        <v>20884</v>
      </c>
      <c r="G1598" s="36" t="s">
        <v>20884</v>
      </c>
      <c r="H1598" s="36" t="s">
        <v>20884</v>
      </c>
      <c r="I1598" s="36" t="s">
        <v>20884</v>
      </c>
      <c r="J1598" s="36" t="s">
        <v>20884</v>
      </c>
      <c r="K1598" s="36" t="s">
        <v>20884</v>
      </c>
      <c r="L1598" s="36" t="s">
        <v>20884</v>
      </c>
      <c r="M1598" s="36" t="s">
        <v>20884</v>
      </c>
      <c r="N1598" s="36" t="s">
        <v>20884</v>
      </c>
      <c r="O1598" s="36" t="s">
        <v>20884</v>
      </c>
      <c r="P1598" s="36" t="s">
        <v>20884</v>
      </c>
    </row>
    <row r="1599" spans="1:16" ht="15" customHeight="1">
      <c r="A1599" s="132">
        <v>1598</v>
      </c>
      <c r="B1599" s="36" t="s">
        <v>20893</v>
      </c>
      <c r="C1599" s="36" t="s">
        <v>20893</v>
      </c>
      <c r="D1599" s="36" t="s">
        <v>20893</v>
      </c>
      <c r="E1599" s="36" t="s">
        <v>20893</v>
      </c>
      <c r="F1599" s="36" t="s">
        <v>20893</v>
      </c>
      <c r="G1599" s="36" t="s">
        <v>20893</v>
      </c>
      <c r="H1599" s="36" t="s">
        <v>20893</v>
      </c>
      <c r="I1599" s="36" t="s">
        <v>20893</v>
      </c>
      <c r="J1599" s="36" t="s">
        <v>20893</v>
      </c>
      <c r="K1599" s="36" t="s">
        <v>20893</v>
      </c>
      <c r="L1599" s="36" t="s">
        <v>20893</v>
      </c>
      <c r="M1599" s="36" t="s">
        <v>20893</v>
      </c>
      <c r="N1599" s="36" t="s">
        <v>20893</v>
      </c>
      <c r="O1599" s="36" t="s">
        <v>20893</v>
      </c>
      <c r="P1599" s="36" t="s">
        <v>20893</v>
      </c>
    </row>
    <row r="1600" spans="1:16" ht="15" customHeight="1">
      <c r="A1600" s="132">
        <v>1599</v>
      </c>
      <c r="B1600" s="36" t="s">
        <v>20894</v>
      </c>
      <c r="C1600" s="36" t="s">
        <v>20895</v>
      </c>
      <c r="D1600" s="36" t="s">
        <v>20896</v>
      </c>
      <c r="E1600" s="36" t="s">
        <v>20897</v>
      </c>
      <c r="F1600" s="36" t="s">
        <v>20898</v>
      </c>
      <c r="G1600" s="36" t="s">
        <v>20899</v>
      </c>
      <c r="H1600" s="36" t="s">
        <v>20898</v>
      </c>
      <c r="I1600" s="36" t="s">
        <v>20898</v>
      </c>
      <c r="J1600" s="36" t="s">
        <v>20900</v>
      </c>
      <c r="K1600" s="36" t="s">
        <v>20901</v>
      </c>
      <c r="L1600" s="36" t="s">
        <v>20901</v>
      </c>
      <c r="M1600" s="36" t="s">
        <v>20901</v>
      </c>
      <c r="N1600" s="36" t="s">
        <v>20901</v>
      </c>
      <c r="O1600" s="36" t="s">
        <v>20901</v>
      </c>
      <c r="P1600" s="36" t="s">
        <v>20894</v>
      </c>
    </row>
    <row r="1601" spans="1:16" ht="15" customHeight="1">
      <c r="A1601" s="132">
        <v>1600</v>
      </c>
      <c r="B1601" s="36" t="s">
        <v>20902</v>
      </c>
      <c r="C1601" s="36" t="s">
        <v>20903</v>
      </c>
      <c r="D1601" s="36" t="s">
        <v>20904</v>
      </c>
      <c r="E1601" s="36" t="s">
        <v>20905</v>
      </c>
      <c r="F1601" s="36" t="s">
        <v>20906</v>
      </c>
      <c r="G1601" s="36" t="s">
        <v>20907</v>
      </c>
      <c r="H1601" s="36" t="s">
        <v>20902</v>
      </c>
      <c r="I1601" s="36" t="s">
        <v>20906</v>
      </c>
      <c r="J1601" s="36" t="s">
        <v>20908</v>
      </c>
      <c r="K1601" s="36" t="s">
        <v>20909</v>
      </c>
      <c r="L1601" s="36" t="s">
        <v>20910</v>
      </c>
      <c r="M1601" s="36" t="s">
        <v>20911</v>
      </c>
      <c r="N1601" s="36" t="s">
        <v>20912</v>
      </c>
      <c r="O1601" s="36" t="s">
        <v>20913</v>
      </c>
      <c r="P1601" s="36" t="s">
        <v>20902</v>
      </c>
    </row>
    <row r="1602" spans="1:16" ht="15" customHeight="1">
      <c r="A1602" s="132">
        <v>1601</v>
      </c>
      <c r="B1602" s="36" t="s">
        <v>20914</v>
      </c>
      <c r="C1602" s="36" t="s">
        <v>20915</v>
      </c>
      <c r="D1602" s="36" t="s">
        <v>20916</v>
      </c>
      <c r="E1602" s="36" t="s">
        <v>20917</v>
      </c>
      <c r="F1602" s="36" t="s">
        <v>20918</v>
      </c>
      <c r="G1602" s="36" t="s">
        <v>20914</v>
      </c>
      <c r="H1602" s="36" t="s">
        <v>20919</v>
      </c>
      <c r="I1602" s="36" t="s">
        <v>20920</v>
      </c>
      <c r="J1602" s="36" t="s">
        <v>20921</v>
      </c>
      <c r="K1602" s="36" t="s">
        <v>20914</v>
      </c>
      <c r="L1602" s="36" t="s">
        <v>20922</v>
      </c>
      <c r="M1602" s="36" t="s">
        <v>20923</v>
      </c>
      <c r="N1602" s="36" t="s">
        <v>20924</v>
      </c>
      <c r="O1602" s="36" t="s">
        <v>20925</v>
      </c>
      <c r="P1602" s="36" t="s">
        <v>20914</v>
      </c>
    </row>
    <row r="1603" spans="1:16" ht="15" customHeight="1">
      <c r="A1603" s="132">
        <v>1602</v>
      </c>
      <c r="B1603" s="36" t="s">
        <v>20926</v>
      </c>
      <c r="C1603" s="36" t="s">
        <v>20926</v>
      </c>
      <c r="D1603" s="177" t="s">
        <v>20927</v>
      </c>
      <c r="E1603" s="36" t="s">
        <v>20926</v>
      </c>
      <c r="F1603" s="36" t="s">
        <v>20926</v>
      </c>
      <c r="G1603" s="36" t="s">
        <v>20926</v>
      </c>
      <c r="H1603" s="36" t="s">
        <v>20928</v>
      </c>
      <c r="I1603" s="36" t="s">
        <v>20926</v>
      </c>
      <c r="J1603" s="36" t="s">
        <v>20926</v>
      </c>
      <c r="K1603" s="36" t="s">
        <v>20926</v>
      </c>
      <c r="L1603" s="36" t="s">
        <v>20926</v>
      </c>
      <c r="M1603" s="36" t="s">
        <v>20926</v>
      </c>
      <c r="N1603" s="36" t="s">
        <v>20926</v>
      </c>
      <c r="O1603" s="36" t="s">
        <v>20926</v>
      </c>
      <c r="P1603" s="36" t="s">
        <v>20926</v>
      </c>
    </row>
    <row r="1604" spans="1:16" ht="15" customHeight="1">
      <c r="A1604" s="132">
        <v>1603</v>
      </c>
      <c r="B1604" s="36" t="s">
        <v>20929</v>
      </c>
      <c r="C1604" s="36" t="s">
        <v>20930</v>
      </c>
      <c r="D1604" s="36" t="s">
        <v>20931</v>
      </c>
      <c r="E1604" s="36" t="s">
        <v>20929</v>
      </c>
      <c r="F1604" s="36" t="s">
        <v>20929</v>
      </c>
      <c r="G1604" s="36" t="s">
        <v>20929</v>
      </c>
      <c r="H1604" s="36" t="s">
        <v>20929</v>
      </c>
      <c r="I1604" s="36" t="s">
        <v>20929</v>
      </c>
      <c r="J1604" s="36" t="s">
        <v>20931</v>
      </c>
      <c r="K1604" s="36" t="s">
        <v>20930</v>
      </c>
      <c r="L1604" s="36" t="s">
        <v>20930</v>
      </c>
      <c r="M1604" s="36" t="s">
        <v>20930</v>
      </c>
      <c r="N1604" s="36" t="s">
        <v>20931</v>
      </c>
      <c r="O1604" s="36" t="s">
        <v>20929</v>
      </c>
      <c r="P1604" s="36" t="s">
        <v>20929</v>
      </c>
    </row>
    <row r="1605" spans="1:16" ht="15" customHeight="1">
      <c r="A1605" s="132">
        <v>1604</v>
      </c>
      <c r="B1605" s="36" t="s">
        <v>20932</v>
      </c>
      <c r="C1605" s="36" t="s">
        <v>20933</v>
      </c>
      <c r="D1605" s="36" t="s">
        <v>20934</v>
      </c>
      <c r="E1605" s="36" t="s">
        <v>20932</v>
      </c>
      <c r="F1605" s="36" t="s">
        <v>20932</v>
      </c>
      <c r="G1605" s="36" t="s">
        <v>20932</v>
      </c>
      <c r="H1605" s="36" t="s">
        <v>20932</v>
      </c>
      <c r="I1605" s="36" t="s">
        <v>20932</v>
      </c>
      <c r="J1605" s="36" t="s">
        <v>20934</v>
      </c>
      <c r="K1605" s="36" t="s">
        <v>20933</v>
      </c>
      <c r="L1605" s="36" t="s">
        <v>20933</v>
      </c>
      <c r="M1605" s="36" t="s">
        <v>20933</v>
      </c>
      <c r="N1605" s="36" t="s">
        <v>20934</v>
      </c>
      <c r="O1605" s="36" t="s">
        <v>20932</v>
      </c>
      <c r="P1605" s="36" t="s">
        <v>20932</v>
      </c>
    </row>
    <row r="1606" spans="1:16" ht="15" customHeight="1">
      <c r="A1606" s="132">
        <v>1605</v>
      </c>
      <c r="B1606" s="36" t="s">
        <v>20935</v>
      </c>
      <c r="C1606" s="36" t="s">
        <v>20936</v>
      </c>
      <c r="D1606" s="36" t="s">
        <v>20937</v>
      </c>
      <c r="E1606" s="36" t="s">
        <v>20935</v>
      </c>
      <c r="F1606" s="36" t="s">
        <v>20935</v>
      </c>
      <c r="G1606" s="36" t="s">
        <v>20935</v>
      </c>
      <c r="H1606" s="36" t="s">
        <v>20935</v>
      </c>
      <c r="I1606" s="36" t="s">
        <v>20935</v>
      </c>
      <c r="J1606" s="36" t="s">
        <v>20937</v>
      </c>
      <c r="K1606" s="36" t="s">
        <v>20936</v>
      </c>
      <c r="L1606" s="36" t="s">
        <v>20936</v>
      </c>
      <c r="M1606" s="36" t="s">
        <v>20936</v>
      </c>
      <c r="N1606" s="36" t="s">
        <v>20937</v>
      </c>
      <c r="O1606" s="36" t="s">
        <v>20935</v>
      </c>
      <c r="P1606" s="36" t="s">
        <v>20935</v>
      </c>
    </row>
    <row r="1607" spans="1:16" ht="15" customHeight="1">
      <c r="A1607" s="132">
        <v>1606</v>
      </c>
      <c r="B1607" s="36" t="s">
        <v>20938</v>
      </c>
      <c r="C1607" s="36" t="s">
        <v>20939</v>
      </c>
      <c r="D1607" s="36" t="s">
        <v>20940</v>
      </c>
      <c r="E1607" s="36" t="s">
        <v>20938</v>
      </c>
      <c r="F1607" s="36" t="s">
        <v>20938</v>
      </c>
      <c r="G1607" s="36" t="s">
        <v>20938</v>
      </c>
      <c r="H1607" s="36" t="s">
        <v>20938</v>
      </c>
      <c r="I1607" s="36" t="s">
        <v>20938</v>
      </c>
      <c r="J1607" s="36" t="s">
        <v>20940</v>
      </c>
      <c r="K1607" s="36" t="s">
        <v>20939</v>
      </c>
      <c r="L1607" s="36" t="s">
        <v>20939</v>
      </c>
      <c r="M1607" s="36" t="s">
        <v>20939</v>
      </c>
      <c r="N1607" s="36" t="s">
        <v>20940</v>
      </c>
      <c r="O1607" s="36" t="s">
        <v>20938</v>
      </c>
      <c r="P1607" s="36" t="s">
        <v>20938</v>
      </c>
    </row>
    <row r="1608" spans="1:16" ht="15" customHeight="1">
      <c r="A1608" s="132">
        <v>1607</v>
      </c>
      <c r="B1608" s="36" t="s">
        <v>20941</v>
      </c>
      <c r="C1608" s="36" t="s">
        <v>20942</v>
      </c>
      <c r="D1608" s="36" t="s">
        <v>20943</v>
      </c>
      <c r="E1608" s="36" t="s">
        <v>20944</v>
      </c>
      <c r="F1608" s="36" t="s">
        <v>20945</v>
      </c>
      <c r="G1608" s="36" t="s">
        <v>20946</v>
      </c>
      <c r="H1608" s="36" t="s">
        <v>20947</v>
      </c>
      <c r="I1608" s="36" t="s">
        <v>20948</v>
      </c>
      <c r="J1608" s="36" t="s">
        <v>20949</v>
      </c>
      <c r="K1608" s="36" t="s">
        <v>20950</v>
      </c>
      <c r="L1608" s="36" t="s">
        <v>20943</v>
      </c>
      <c r="M1608" s="36" t="s">
        <v>20951</v>
      </c>
      <c r="N1608" s="36" t="s">
        <v>20952</v>
      </c>
      <c r="O1608" s="36" t="s">
        <v>20950</v>
      </c>
      <c r="P1608" s="36" t="s">
        <v>20941</v>
      </c>
    </row>
    <row r="1609" spans="1:16" ht="15" customHeight="1">
      <c r="A1609" s="132">
        <v>1608</v>
      </c>
      <c r="B1609" s="36" t="s">
        <v>20953</v>
      </c>
      <c r="C1609" s="36" t="s">
        <v>20954</v>
      </c>
      <c r="D1609" s="36" t="s">
        <v>20955</v>
      </c>
      <c r="E1609" s="36" t="s">
        <v>17733</v>
      </c>
      <c r="F1609" s="36" t="s">
        <v>20956</v>
      </c>
      <c r="G1609" s="36" t="s">
        <v>20957</v>
      </c>
      <c r="H1609" s="36" t="s">
        <v>20958</v>
      </c>
      <c r="I1609" s="36" t="s">
        <v>20959</v>
      </c>
      <c r="J1609" s="36" t="s">
        <v>20960</v>
      </c>
      <c r="K1609" s="36" t="s">
        <v>17737</v>
      </c>
      <c r="L1609" s="36" t="s">
        <v>20961</v>
      </c>
      <c r="M1609" s="36" t="s">
        <v>14797</v>
      </c>
      <c r="N1609" s="36" t="s">
        <v>20962</v>
      </c>
      <c r="O1609" s="36" t="s">
        <v>17737</v>
      </c>
      <c r="P1609" s="36" t="s">
        <v>20953</v>
      </c>
    </row>
    <row r="1610" spans="1:16" ht="15" customHeight="1">
      <c r="A1610" s="132">
        <v>1609</v>
      </c>
      <c r="B1610" s="36" t="s">
        <v>20963</v>
      </c>
      <c r="C1610" s="36" t="s">
        <v>20964</v>
      </c>
      <c r="D1610" s="36" t="s">
        <v>20965</v>
      </c>
      <c r="E1610" s="36" t="s">
        <v>20966</v>
      </c>
      <c r="F1610" s="36" t="s">
        <v>20967</v>
      </c>
      <c r="G1610" s="36" t="s">
        <v>20968</v>
      </c>
      <c r="H1610" s="36" t="s">
        <v>20969</v>
      </c>
      <c r="I1610" s="36" t="s">
        <v>20970</v>
      </c>
      <c r="J1610" s="36" t="s">
        <v>20971</v>
      </c>
      <c r="K1610" s="36" t="s">
        <v>20972</v>
      </c>
      <c r="L1610" s="36" t="s">
        <v>20973</v>
      </c>
      <c r="M1610" s="36" t="s">
        <v>20974</v>
      </c>
      <c r="N1610" s="36" t="s">
        <v>20975</v>
      </c>
      <c r="O1610" s="36" t="s">
        <v>20976</v>
      </c>
      <c r="P1610" s="36" t="s">
        <v>20963</v>
      </c>
    </row>
    <row r="1611" spans="1:16" ht="15" customHeight="1">
      <c r="A1611" s="132">
        <v>1610</v>
      </c>
      <c r="B1611" s="36" t="s">
        <v>20977</v>
      </c>
      <c r="C1611" s="36" t="s">
        <v>20978</v>
      </c>
      <c r="D1611" s="36" t="s">
        <v>20979</v>
      </c>
      <c r="E1611" s="36" t="s">
        <v>20980</v>
      </c>
      <c r="F1611" s="36" t="s">
        <v>20981</v>
      </c>
      <c r="G1611" s="36" t="s">
        <v>20982</v>
      </c>
      <c r="H1611" s="36" t="s">
        <v>20983</v>
      </c>
      <c r="I1611" s="36" t="s">
        <v>20984</v>
      </c>
      <c r="J1611" s="36" t="s">
        <v>20985</v>
      </c>
      <c r="K1611" s="36" t="s">
        <v>20986</v>
      </c>
      <c r="L1611" s="36" t="s">
        <v>20987</v>
      </c>
      <c r="M1611" s="36" t="s">
        <v>20988</v>
      </c>
      <c r="N1611" s="36" t="s">
        <v>20989</v>
      </c>
      <c r="O1611" s="36" t="s">
        <v>20990</v>
      </c>
      <c r="P1611" s="36" t="s">
        <v>20977</v>
      </c>
    </row>
    <row r="1612" spans="1:16" ht="15" customHeight="1">
      <c r="A1612" s="132">
        <v>1611</v>
      </c>
      <c r="B1612" s="36" t="s">
        <v>20991</v>
      </c>
      <c r="C1612" s="36" t="s">
        <v>20992</v>
      </c>
      <c r="D1612" s="36" t="s">
        <v>20993</v>
      </c>
      <c r="E1612" s="36" t="s">
        <v>20994</v>
      </c>
      <c r="F1612" s="36" t="s">
        <v>20995</v>
      </c>
      <c r="G1612" s="36" t="s">
        <v>20996</v>
      </c>
      <c r="H1612" s="36" t="s">
        <v>20997</v>
      </c>
      <c r="I1612" s="36" t="s">
        <v>20998</v>
      </c>
      <c r="J1612" s="36" t="s">
        <v>20999</v>
      </c>
      <c r="K1612" s="36" t="s">
        <v>21000</v>
      </c>
      <c r="L1612" s="36" t="s">
        <v>21001</v>
      </c>
      <c r="M1612" s="36" t="s">
        <v>21002</v>
      </c>
      <c r="N1612" s="36" t="s">
        <v>21003</v>
      </c>
      <c r="O1612" s="36" t="s">
        <v>21004</v>
      </c>
      <c r="P1612" s="36" t="s">
        <v>20991</v>
      </c>
    </row>
    <row r="1613" spans="1:16" ht="15" customHeight="1">
      <c r="A1613" s="132">
        <v>1612</v>
      </c>
      <c r="B1613" s="36" t="s">
        <v>21005</v>
      </c>
      <c r="C1613" s="36" t="s">
        <v>21006</v>
      </c>
      <c r="D1613" s="36" t="s">
        <v>21007</v>
      </c>
      <c r="E1613" s="36" t="s">
        <v>21008</v>
      </c>
      <c r="F1613" s="36" t="s">
        <v>21009</v>
      </c>
      <c r="G1613" s="36" t="s">
        <v>21010</v>
      </c>
      <c r="H1613" s="36" t="s">
        <v>21011</v>
      </c>
      <c r="I1613" s="36" t="s">
        <v>21012</v>
      </c>
      <c r="J1613" s="36" t="s">
        <v>21013</v>
      </c>
      <c r="K1613" s="36" t="s">
        <v>21014</v>
      </c>
      <c r="L1613" s="36" t="s">
        <v>21015</v>
      </c>
      <c r="M1613" s="36" t="s">
        <v>21016</v>
      </c>
      <c r="N1613" s="36" t="s">
        <v>21017</v>
      </c>
      <c r="O1613" s="36" t="s">
        <v>21018</v>
      </c>
      <c r="P1613" s="36" t="s">
        <v>21005</v>
      </c>
    </row>
    <row r="1614" spans="1:16" ht="15" customHeight="1">
      <c r="A1614" s="132">
        <v>1613</v>
      </c>
      <c r="B1614" s="36" t="s">
        <v>21019</v>
      </c>
      <c r="C1614" s="36" t="s">
        <v>21020</v>
      </c>
      <c r="D1614" s="36" t="s">
        <v>21021</v>
      </c>
      <c r="E1614" s="36" t="s">
        <v>21022</v>
      </c>
      <c r="F1614" s="36" t="s">
        <v>21023</v>
      </c>
      <c r="G1614" s="36" t="s">
        <v>21024</v>
      </c>
      <c r="H1614" s="36" t="s">
        <v>21025</v>
      </c>
      <c r="I1614" s="36" t="s">
        <v>21026</v>
      </c>
      <c r="J1614" s="36" t="s">
        <v>21027</v>
      </c>
      <c r="K1614" s="36" t="s">
        <v>21028</v>
      </c>
      <c r="L1614" s="36" t="s">
        <v>21029</v>
      </c>
      <c r="M1614" s="36" t="s">
        <v>21030</v>
      </c>
      <c r="N1614" s="36" t="s">
        <v>21031</v>
      </c>
      <c r="O1614" s="36" t="s">
        <v>21032</v>
      </c>
      <c r="P1614" s="36" t="s">
        <v>21019</v>
      </c>
    </row>
    <row r="1615" spans="1:16" ht="15" customHeight="1">
      <c r="A1615" s="132">
        <v>1614</v>
      </c>
      <c r="B1615" s="36" t="s">
        <v>21033</v>
      </c>
      <c r="C1615" s="36" t="s">
        <v>21034</v>
      </c>
      <c r="D1615" s="36" t="s">
        <v>21035</v>
      </c>
      <c r="E1615" s="36" t="s">
        <v>21036</v>
      </c>
      <c r="F1615" s="36" t="s">
        <v>21037</v>
      </c>
      <c r="G1615" s="36" t="s">
        <v>21038</v>
      </c>
      <c r="H1615" s="36" t="s">
        <v>21039</v>
      </c>
      <c r="I1615" s="36" t="s">
        <v>21040</v>
      </c>
      <c r="J1615" s="36" t="s">
        <v>21041</v>
      </c>
      <c r="K1615" s="36" t="s">
        <v>21042</v>
      </c>
      <c r="L1615" s="36" t="s">
        <v>21043</v>
      </c>
      <c r="M1615" s="36" t="s">
        <v>21044</v>
      </c>
      <c r="N1615" s="36" t="s">
        <v>21045</v>
      </c>
      <c r="O1615" s="36" t="s">
        <v>21046</v>
      </c>
      <c r="P1615" s="36" t="s">
        <v>21033</v>
      </c>
    </row>
    <row r="1616" spans="1:16" ht="15" customHeight="1">
      <c r="A1616" s="132">
        <v>1615</v>
      </c>
      <c r="B1616" s="36" t="s">
        <v>21047</v>
      </c>
      <c r="C1616" s="36" t="s">
        <v>21048</v>
      </c>
      <c r="D1616" s="36" t="s">
        <v>21049</v>
      </c>
      <c r="E1616" s="36" t="s">
        <v>21050</v>
      </c>
      <c r="F1616" s="36" t="s">
        <v>21051</v>
      </c>
      <c r="G1616" s="36" t="s">
        <v>21052</v>
      </c>
      <c r="H1616" s="36" t="s">
        <v>21053</v>
      </c>
      <c r="I1616" s="36" t="s">
        <v>21054</v>
      </c>
      <c r="J1616" s="36" t="s">
        <v>21055</v>
      </c>
      <c r="K1616" s="36" t="s">
        <v>21056</v>
      </c>
      <c r="L1616" s="36" t="s">
        <v>21057</v>
      </c>
      <c r="M1616" s="36" t="s">
        <v>21058</v>
      </c>
      <c r="N1616" s="36" t="s">
        <v>21059</v>
      </c>
      <c r="O1616" s="36" t="s">
        <v>21060</v>
      </c>
      <c r="P1616" s="36" t="s">
        <v>21047</v>
      </c>
    </row>
    <row r="1617" spans="1:16" ht="15" customHeight="1">
      <c r="A1617" s="132">
        <v>1616</v>
      </c>
      <c r="B1617" s="36" t="s">
        <v>21061</v>
      </c>
      <c r="C1617" s="36" t="s">
        <v>21062</v>
      </c>
      <c r="D1617" s="36" t="s">
        <v>21063</v>
      </c>
      <c r="E1617" s="36" t="s">
        <v>21064</v>
      </c>
      <c r="F1617" s="36" t="s">
        <v>21065</v>
      </c>
      <c r="G1617" s="36" t="s">
        <v>21066</v>
      </c>
      <c r="H1617" s="36" t="s">
        <v>21067</v>
      </c>
      <c r="I1617" s="36" t="s">
        <v>21068</v>
      </c>
      <c r="J1617" s="36" t="s">
        <v>21069</v>
      </c>
      <c r="K1617" s="36" t="s">
        <v>21070</v>
      </c>
      <c r="L1617" s="36" t="s">
        <v>21071</v>
      </c>
      <c r="M1617" s="36" t="s">
        <v>21072</v>
      </c>
      <c r="N1617" s="36" t="s">
        <v>21073</v>
      </c>
      <c r="O1617" s="36" t="s">
        <v>21074</v>
      </c>
      <c r="P1617" s="36" t="s">
        <v>21075</v>
      </c>
    </row>
    <row r="1618" spans="1:16" ht="15" customHeight="1">
      <c r="A1618" s="132">
        <v>1617</v>
      </c>
      <c r="B1618" s="36" t="s">
        <v>21076</v>
      </c>
      <c r="C1618" s="36" t="s">
        <v>21076</v>
      </c>
      <c r="D1618" s="36" t="s">
        <v>21077</v>
      </c>
      <c r="E1618" s="36" t="s">
        <v>21078</v>
      </c>
      <c r="F1618" s="36" t="s">
        <v>21076</v>
      </c>
      <c r="G1618" s="36" t="s">
        <v>21076</v>
      </c>
      <c r="H1618" s="36" t="s">
        <v>21079</v>
      </c>
      <c r="I1618" s="36" t="s">
        <v>21080</v>
      </c>
      <c r="J1618" s="36" t="s">
        <v>21076</v>
      </c>
      <c r="K1618" s="36" t="s">
        <v>21081</v>
      </c>
      <c r="L1618" s="36" t="s">
        <v>21076</v>
      </c>
      <c r="M1618" s="36" t="s">
        <v>21076</v>
      </c>
      <c r="N1618" s="36" t="s">
        <v>21076</v>
      </c>
      <c r="O1618" s="36" t="s">
        <v>21081</v>
      </c>
      <c r="P1618" s="36" t="s">
        <v>21076</v>
      </c>
    </row>
    <row r="1619" spans="1:16" ht="15" customHeight="1">
      <c r="A1619" s="132">
        <v>1618</v>
      </c>
      <c r="B1619" s="36" t="s">
        <v>21082</v>
      </c>
      <c r="C1619" s="36" t="s">
        <v>21083</v>
      </c>
      <c r="D1619" s="36" t="s">
        <v>21084</v>
      </c>
      <c r="E1619" s="36" t="s">
        <v>21085</v>
      </c>
      <c r="F1619" s="36" t="s">
        <v>21086</v>
      </c>
      <c r="G1619" s="36" t="s">
        <v>21087</v>
      </c>
      <c r="H1619" s="36" t="s">
        <v>21088</v>
      </c>
      <c r="I1619" s="36" t="s">
        <v>21089</v>
      </c>
      <c r="J1619" s="36" t="s">
        <v>21090</v>
      </c>
      <c r="K1619" s="36" t="s">
        <v>21091</v>
      </c>
      <c r="L1619" s="36" t="s">
        <v>21092</v>
      </c>
      <c r="M1619" s="36" t="s">
        <v>21093</v>
      </c>
      <c r="N1619" s="36" t="s">
        <v>21094</v>
      </c>
      <c r="O1619" s="36" t="s">
        <v>21095</v>
      </c>
      <c r="P1619" s="36" t="s">
        <v>21082</v>
      </c>
    </row>
    <row r="1620" spans="1:16" ht="15" customHeight="1">
      <c r="A1620" s="132">
        <v>1619</v>
      </c>
      <c r="B1620" s="36" t="s">
        <v>21096</v>
      </c>
      <c r="C1620" s="36" t="s">
        <v>21097</v>
      </c>
      <c r="D1620" s="36" t="s">
        <v>21098</v>
      </c>
      <c r="E1620" s="36" t="s">
        <v>21099</v>
      </c>
      <c r="F1620" s="36" t="s">
        <v>21100</v>
      </c>
      <c r="G1620" s="36" t="s">
        <v>21096</v>
      </c>
      <c r="H1620" s="36" t="s">
        <v>21101</v>
      </c>
      <c r="I1620" s="36" t="s">
        <v>21102</v>
      </c>
      <c r="J1620" s="36" t="s">
        <v>21103</v>
      </c>
      <c r="K1620" s="36" t="s">
        <v>21104</v>
      </c>
      <c r="L1620" s="36" t="s">
        <v>21105</v>
      </c>
      <c r="M1620" s="36" t="s">
        <v>21106</v>
      </c>
      <c r="N1620" s="36" t="s">
        <v>21107</v>
      </c>
      <c r="O1620" s="36" t="s">
        <v>21108</v>
      </c>
      <c r="P1620" s="36" t="s">
        <v>21096</v>
      </c>
    </row>
    <row r="1621" spans="1:16" ht="15" customHeight="1">
      <c r="A1621" s="132">
        <v>1620</v>
      </c>
      <c r="B1621" s="36" t="s">
        <v>21109</v>
      </c>
      <c r="C1621" s="36" t="s">
        <v>21110</v>
      </c>
      <c r="D1621" s="36" t="s">
        <v>21111</v>
      </c>
      <c r="E1621" s="36" t="s">
        <v>21112</v>
      </c>
      <c r="F1621" s="36" t="s">
        <v>21113</v>
      </c>
      <c r="G1621" s="36" t="s">
        <v>21114</v>
      </c>
      <c r="H1621" s="36" t="s">
        <v>21115</v>
      </c>
      <c r="I1621" s="36" t="s">
        <v>21116</v>
      </c>
      <c r="J1621" s="36" t="s">
        <v>21117</v>
      </c>
      <c r="K1621" s="36" t="s">
        <v>21118</v>
      </c>
      <c r="L1621" s="36" t="s">
        <v>21119</v>
      </c>
      <c r="M1621" s="36" t="s">
        <v>21120</v>
      </c>
      <c r="N1621" s="36" t="s">
        <v>21121</v>
      </c>
      <c r="O1621" s="36" t="s">
        <v>21122</v>
      </c>
      <c r="P1621" s="36" t="s">
        <v>21109</v>
      </c>
    </row>
    <row r="1622" spans="1:16" ht="15" customHeight="1">
      <c r="A1622" s="132">
        <v>1621</v>
      </c>
      <c r="B1622" s="36" t="s">
        <v>21123</v>
      </c>
      <c r="C1622" s="36" t="s">
        <v>21124</v>
      </c>
      <c r="D1622" s="36" t="s">
        <v>21125</v>
      </c>
      <c r="E1622" s="36" t="s">
        <v>21126</v>
      </c>
      <c r="F1622" s="36" t="s">
        <v>21127</v>
      </c>
      <c r="G1622" s="36" t="s">
        <v>21128</v>
      </c>
      <c r="H1622" s="36" t="s">
        <v>21129</v>
      </c>
      <c r="I1622" s="36" t="s">
        <v>21130</v>
      </c>
      <c r="J1622" s="36" t="s">
        <v>21131</v>
      </c>
      <c r="K1622" s="36" t="s">
        <v>21132</v>
      </c>
      <c r="L1622" s="36" t="s">
        <v>21133</v>
      </c>
      <c r="M1622" s="36" t="s">
        <v>21134</v>
      </c>
      <c r="N1622" s="36" t="s">
        <v>21135</v>
      </c>
      <c r="O1622" s="36" t="s">
        <v>21136</v>
      </c>
      <c r="P1622" s="36" t="s">
        <v>21123</v>
      </c>
    </row>
    <row r="1623" spans="1:16" ht="15" customHeight="1">
      <c r="A1623" s="132">
        <v>1622</v>
      </c>
      <c r="B1623" s="36" t="s">
        <v>21137</v>
      </c>
      <c r="C1623" s="36" t="s">
        <v>21138</v>
      </c>
      <c r="D1623" s="36" t="s">
        <v>21139</v>
      </c>
      <c r="E1623" s="36" t="s">
        <v>21140</v>
      </c>
      <c r="F1623" s="36" t="s">
        <v>21141</v>
      </c>
      <c r="G1623" s="36" t="s">
        <v>21142</v>
      </c>
      <c r="H1623" s="36" t="s">
        <v>21143</v>
      </c>
      <c r="I1623" s="36" t="s">
        <v>21144</v>
      </c>
      <c r="J1623" s="36" t="s">
        <v>21145</v>
      </c>
      <c r="K1623" s="36" t="s">
        <v>21146</v>
      </c>
      <c r="L1623" s="36" t="s">
        <v>21147</v>
      </c>
      <c r="M1623" s="36" t="s">
        <v>21148</v>
      </c>
      <c r="N1623" s="36" t="s">
        <v>21149</v>
      </c>
      <c r="O1623" s="36" t="s">
        <v>21150</v>
      </c>
      <c r="P1623" s="36" t="s">
        <v>21137</v>
      </c>
    </row>
    <row r="1624" spans="1:16" ht="15" customHeight="1">
      <c r="A1624" s="132">
        <v>1623</v>
      </c>
      <c r="B1624" s="36" t="s">
        <v>21151</v>
      </c>
      <c r="C1624" s="36" t="s">
        <v>21152</v>
      </c>
      <c r="D1624" s="36" t="s">
        <v>21153</v>
      </c>
      <c r="E1624" s="36" t="s">
        <v>21154</v>
      </c>
      <c r="F1624" s="36" t="s">
        <v>21155</v>
      </c>
      <c r="G1624" s="36" t="s">
        <v>21156</v>
      </c>
      <c r="H1624" s="36" t="s">
        <v>21157</v>
      </c>
      <c r="I1624" s="36" t="s">
        <v>21155</v>
      </c>
      <c r="J1624" s="36" t="s">
        <v>21158</v>
      </c>
      <c r="K1624" s="36" t="s">
        <v>21159</v>
      </c>
      <c r="L1624" s="36" t="s">
        <v>21160</v>
      </c>
      <c r="M1624" s="36" t="s">
        <v>21161</v>
      </c>
      <c r="N1624" s="36" t="s">
        <v>21162</v>
      </c>
      <c r="O1624" s="36" t="s">
        <v>21163</v>
      </c>
      <c r="P1624" s="36" t="s">
        <v>21151</v>
      </c>
    </row>
    <row r="1625" spans="1:16" ht="15" customHeight="1">
      <c r="A1625" s="132">
        <v>1624</v>
      </c>
      <c r="B1625" s="36" t="s">
        <v>21164</v>
      </c>
      <c r="C1625" s="36" t="s">
        <v>21165</v>
      </c>
      <c r="D1625" s="36" t="s">
        <v>21166</v>
      </c>
      <c r="E1625" s="36" t="s">
        <v>21167</v>
      </c>
      <c r="F1625" s="36" t="s">
        <v>21168</v>
      </c>
      <c r="G1625" s="36" t="s">
        <v>21169</v>
      </c>
      <c r="H1625" s="36" t="s">
        <v>21170</v>
      </c>
      <c r="I1625" s="36" t="s">
        <v>21171</v>
      </c>
      <c r="J1625" s="36" t="s">
        <v>21172</v>
      </c>
      <c r="K1625" s="36" t="s">
        <v>21173</v>
      </c>
      <c r="L1625" s="36" t="s">
        <v>21174</v>
      </c>
      <c r="M1625" s="36" t="s">
        <v>21175</v>
      </c>
      <c r="N1625" s="36" t="s">
        <v>21176</v>
      </c>
      <c r="O1625" s="36" t="s">
        <v>21177</v>
      </c>
      <c r="P1625" s="36" t="s">
        <v>21164</v>
      </c>
    </row>
    <row r="1626" spans="1:16" ht="15" customHeight="1">
      <c r="A1626" s="132">
        <v>1625</v>
      </c>
      <c r="B1626" s="36" t="s">
        <v>29591</v>
      </c>
      <c r="C1626" s="36" t="s">
        <v>21178</v>
      </c>
      <c r="D1626" s="36" t="s">
        <v>21179</v>
      </c>
      <c r="E1626" s="36" t="s">
        <v>21180</v>
      </c>
      <c r="F1626" s="36" t="s">
        <v>21181</v>
      </c>
      <c r="G1626" s="36" t="s">
        <v>21182</v>
      </c>
      <c r="H1626" s="36" t="s">
        <v>21183</v>
      </c>
      <c r="I1626" s="36" t="s">
        <v>21184</v>
      </c>
      <c r="J1626" s="36" t="s">
        <v>21185</v>
      </c>
      <c r="K1626" s="36" t="s">
        <v>21186</v>
      </c>
      <c r="L1626" s="36" t="s">
        <v>21187</v>
      </c>
      <c r="M1626" s="36" t="s">
        <v>21188</v>
      </c>
      <c r="N1626" s="36" t="s">
        <v>21189</v>
      </c>
      <c r="O1626" s="36" t="s">
        <v>21190</v>
      </c>
      <c r="P1626" s="36" t="s">
        <v>29591</v>
      </c>
    </row>
    <row r="1627" spans="1:16" ht="15" customHeight="1">
      <c r="A1627" s="132">
        <v>1626</v>
      </c>
      <c r="B1627" s="36" t="s">
        <v>29592</v>
      </c>
      <c r="C1627" s="36" t="s">
        <v>21191</v>
      </c>
      <c r="D1627" s="36" t="s">
        <v>21192</v>
      </c>
      <c r="E1627" s="36" t="s">
        <v>21193</v>
      </c>
      <c r="F1627" s="36" t="s">
        <v>21194</v>
      </c>
      <c r="G1627" s="36" t="s">
        <v>21195</v>
      </c>
      <c r="H1627" s="36" t="s">
        <v>21196</v>
      </c>
      <c r="I1627" s="36" t="s">
        <v>21197</v>
      </c>
      <c r="J1627" s="36" t="s">
        <v>21198</v>
      </c>
      <c r="K1627" s="36" t="s">
        <v>21199</v>
      </c>
      <c r="L1627" s="36" t="s">
        <v>21200</v>
      </c>
      <c r="M1627" s="36" t="s">
        <v>21201</v>
      </c>
      <c r="N1627" s="36" t="s">
        <v>21202</v>
      </c>
      <c r="O1627" s="36" t="s">
        <v>21203</v>
      </c>
      <c r="P1627" s="36" t="s">
        <v>29592</v>
      </c>
    </row>
    <row r="1628" spans="1:16" ht="15" customHeight="1">
      <c r="A1628" s="132">
        <v>1627</v>
      </c>
      <c r="B1628" s="36" t="s">
        <v>21204</v>
      </c>
      <c r="C1628" s="36" t="s">
        <v>21205</v>
      </c>
      <c r="D1628" s="36" t="s">
        <v>21206</v>
      </c>
      <c r="E1628" s="36" t="s">
        <v>21207</v>
      </c>
      <c r="F1628" s="36" t="s">
        <v>21208</v>
      </c>
      <c r="G1628" s="36" t="s">
        <v>21209</v>
      </c>
      <c r="H1628" s="36" t="s">
        <v>21210</v>
      </c>
      <c r="I1628" s="36" t="s">
        <v>21211</v>
      </c>
      <c r="J1628" s="36" t="s">
        <v>21212</v>
      </c>
      <c r="K1628" s="36" t="s">
        <v>21213</v>
      </c>
      <c r="L1628" s="36" t="s">
        <v>21214</v>
      </c>
      <c r="M1628" s="36" t="s">
        <v>21215</v>
      </c>
      <c r="N1628" s="36" t="s">
        <v>21216</v>
      </c>
      <c r="O1628" s="36" t="s">
        <v>21217</v>
      </c>
      <c r="P1628" s="36" t="s">
        <v>21204</v>
      </c>
    </row>
    <row r="1629" spans="1:16" ht="15" customHeight="1">
      <c r="A1629" s="132">
        <v>1628</v>
      </c>
      <c r="B1629" s="36" t="s">
        <v>21218</v>
      </c>
      <c r="C1629" s="36" t="s">
        <v>21219</v>
      </c>
      <c r="D1629" s="36" t="s">
        <v>21220</v>
      </c>
      <c r="E1629" s="36" t="s">
        <v>21221</v>
      </c>
      <c r="F1629" s="36" t="s">
        <v>21222</v>
      </c>
      <c r="G1629" s="36" t="s">
        <v>21223</v>
      </c>
      <c r="H1629" s="36" t="s">
        <v>21224</v>
      </c>
      <c r="I1629" s="36" t="s">
        <v>21225</v>
      </c>
      <c r="J1629" s="36" t="s">
        <v>21226</v>
      </c>
      <c r="K1629" s="36" t="s">
        <v>21227</v>
      </c>
      <c r="L1629" s="36" t="s">
        <v>21228</v>
      </c>
      <c r="M1629" s="36" t="s">
        <v>21229</v>
      </c>
      <c r="N1629" s="36" t="s">
        <v>21230</v>
      </c>
      <c r="O1629" s="36" t="s">
        <v>21231</v>
      </c>
      <c r="P1629" s="36" t="s">
        <v>21218</v>
      </c>
    </row>
    <row r="1630" spans="1:16" ht="15" customHeight="1">
      <c r="A1630" s="132">
        <v>1629</v>
      </c>
      <c r="B1630" s="36" t="s">
        <v>29593</v>
      </c>
      <c r="C1630" s="36" t="s">
        <v>21232</v>
      </c>
      <c r="D1630" s="36" t="s">
        <v>21233</v>
      </c>
      <c r="E1630" s="36" t="s">
        <v>29594</v>
      </c>
      <c r="F1630" s="36" t="s">
        <v>21235</v>
      </c>
      <c r="G1630" s="36" t="s">
        <v>21236</v>
      </c>
      <c r="H1630" s="36" t="s">
        <v>21237</v>
      </c>
      <c r="I1630" s="36" t="s">
        <v>21238</v>
      </c>
      <c r="J1630" s="36" t="s">
        <v>21239</v>
      </c>
      <c r="K1630" s="36" t="s">
        <v>21240</v>
      </c>
      <c r="L1630" s="36" t="s">
        <v>21241</v>
      </c>
      <c r="M1630" s="36" t="s">
        <v>21242</v>
      </c>
      <c r="N1630" s="36" t="s">
        <v>21243</v>
      </c>
      <c r="O1630" s="36" t="s">
        <v>21244</v>
      </c>
      <c r="P1630" s="36" t="s">
        <v>29593</v>
      </c>
    </row>
    <row r="1631" spans="1:16" ht="15" customHeight="1">
      <c r="A1631" s="132">
        <v>1630</v>
      </c>
      <c r="B1631" s="36" t="s">
        <v>21245</v>
      </c>
      <c r="C1631" s="36" t="s">
        <v>21246</v>
      </c>
      <c r="D1631" s="36" t="s">
        <v>21247</v>
      </c>
      <c r="E1631" s="36" t="s">
        <v>21248</v>
      </c>
      <c r="F1631" s="36" t="s">
        <v>21249</v>
      </c>
      <c r="G1631" s="36" t="s">
        <v>21250</v>
      </c>
      <c r="H1631" s="36" t="s">
        <v>21251</v>
      </c>
      <c r="I1631" s="36" t="s">
        <v>21252</v>
      </c>
      <c r="J1631" s="36" t="s">
        <v>21253</v>
      </c>
      <c r="K1631" s="36" t="s">
        <v>21254</v>
      </c>
      <c r="L1631" s="36" t="s">
        <v>21255</v>
      </c>
      <c r="M1631" s="36" t="s">
        <v>21256</v>
      </c>
      <c r="N1631" s="36" t="s">
        <v>21257</v>
      </c>
      <c r="O1631" s="36" t="s">
        <v>21258</v>
      </c>
      <c r="P1631" s="36" t="s">
        <v>21245</v>
      </c>
    </row>
    <row r="1632" spans="1:16" ht="15" customHeight="1">
      <c r="A1632" s="132">
        <v>1631</v>
      </c>
      <c r="B1632" s="36" t="s">
        <v>21259</v>
      </c>
      <c r="C1632" s="36" t="s">
        <v>21260</v>
      </c>
      <c r="D1632" s="36" t="s">
        <v>21261</v>
      </c>
      <c r="E1632" s="36" t="s">
        <v>21262</v>
      </c>
      <c r="F1632" s="36" t="s">
        <v>21263</v>
      </c>
      <c r="G1632" s="36" t="s">
        <v>21264</v>
      </c>
      <c r="H1632" s="36" t="s">
        <v>21265</v>
      </c>
      <c r="I1632" s="36" t="s">
        <v>21266</v>
      </c>
      <c r="J1632" s="36" t="s">
        <v>21267</v>
      </c>
      <c r="K1632" s="36" t="s">
        <v>21268</v>
      </c>
      <c r="L1632" s="36" t="s">
        <v>21269</v>
      </c>
      <c r="M1632" s="36" t="s">
        <v>21270</v>
      </c>
      <c r="N1632" s="36" t="s">
        <v>21271</v>
      </c>
      <c r="O1632" s="36" t="s">
        <v>21272</v>
      </c>
      <c r="P1632" s="36" t="s">
        <v>21259</v>
      </c>
    </row>
    <row r="1633" spans="1:16" ht="15" customHeight="1">
      <c r="A1633" s="132">
        <v>1632</v>
      </c>
      <c r="B1633" s="36" t="s">
        <v>21273</v>
      </c>
      <c r="C1633" s="36" t="s">
        <v>21274</v>
      </c>
      <c r="D1633" s="36" t="s">
        <v>21275</v>
      </c>
      <c r="E1633" s="36" t="s">
        <v>21276</v>
      </c>
      <c r="F1633" s="36" t="s">
        <v>21277</v>
      </c>
      <c r="G1633" s="36" t="s">
        <v>21278</v>
      </c>
      <c r="H1633" s="36" t="s">
        <v>21279</v>
      </c>
      <c r="I1633" s="36" t="s">
        <v>21280</v>
      </c>
      <c r="J1633" s="36" t="s">
        <v>21281</v>
      </c>
      <c r="K1633" s="36" t="s">
        <v>21282</v>
      </c>
      <c r="L1633" s="36" t="s">
        <v>21283</v>
      </c>
      <c r="M1633" s="36" t="s">
        <v>21284</v>
      </c>
      <c r="N1633" s="36" t="s">
        <v>21285</v>
      </c>
      <c r="O1633" s="36" t="s">
        <v>21286</v>
      </c>
      <c r="P1633" s="36" t="s">
        <v>21273</v>
      </c>
    </row>
    <row r="1634" spans="1:16" ht="15" customHeight="1">
      <c r="A1634" s="132">
        <v>1633</v>
      </c>
      <c r="B1634" s="36" t="s">
        <v>21287</v>
      </c>
      <c r="C1634" s="36" t="s">
        <v>21288</v>
      </c>
      <c r="D1634" s="36" t="s">
        <v>21289</v>
      </c>
      <c r="E1634" s="36" t="s">
        <v>21290</v>
      </c>
      <c r="F1634" s="36" t="s">
        <v>21291</v>
      </c>
      <c r="G1634" s="36" t="s">
        <v>21292</v>
      </c>
      <c r="H1634" s="36" t="s">
        <v>21293</v>
      </c>
      <c r="I1634" s="36" t="s">
        <v>21294</v>
      </c>
      <c r="J1634" s="36" t="s">
        <v>21295</v>
      </c>
      <c r="K1634" s="36" t="s">
        <v>21296</v>
      </c>
      <c r="L1634" s="36" t="s">
        <v>21297</v>
      </c>
      <c r="M1634" s="36" t="s">
        <v>21298</v>
      </c>
      <c r="N1634" s="36" t="s">
        <v>21299</v>
      </c>
      <c r="O1634" s="36" t="s">
        <v>21300</v>
      </c>
      <c r="P1634" s="36" t="s">
        <v>21287</v>
      </c>
    </row>
    <row r="1635" spans="1:16" ht="15" customHeight="1">
      <c r="A1635" s="132">
        <v>1634</v>
      </c>
      <c r="B1635" s="36" t="s">
        <v>21301</v>
      </c>
      <c r="C1635" s="36" t="s">
        <v>21302</v>
      </c>
      <c r="D1635" s="36" t="s">
        <v>21303</v>
      </c>
      <c r="E1635" s="36" t="s">
        <v>21304</v>
      </c>
      <c r="F1635" s="36" t="s">
        <v>21305</v>
      </c>
      <c r="G1635" s="36" t="s">
        <v>21306</v>
      </c>
      <c r="H1635" s="36" t="s">
        <v>21307</v>
      </c>
      <c r="I1635" s="36" t="s">
        <v>21308</v>
      </c>
      <c r="J1635" s="36" t="s">
        <v>21309</v>
      </c>
      <c r="K1635" s="36" t="s">
        <v>21310</v>
      </c>
      <c r="L1635" s="36" t="s">
        <v>21311</v>
      </c>
      <c r="M1635" s="36" t="s">
        <v>21312</v>
      </c>
      <c r="N1635" s="36" t="s">
        <v>21313</v>
      </c>
      <c r="O1635" s="36" t="s">
        <v>21314</v>
      </c>
      <c r="P1635" s="36" t="s">
        <v>21301</v>
      </c>
    </row>
    <row r="1636" spans="1:16" ht="15" customHeight="1">
      <c r="A1636" s="132">
        <v>1635</v>
      </c>
      <c r="B1636" s="36" t="s">
        <v>21315</v>
      </c>
      <c r="C1636" s="36" t="s">
        <v>21316</v>
      </c>
      <c r="D1636" s="36" t="s">
        <v>21317</v>
      </c>
      <c r="E1636" s="36" t="s">
        <v>21318</v>
      </c>
      <c r="F1636" s="36" t="s">
        <v>21319</v>
      </c>
      <c r="G1636" s="36" t="s">
        <v>21320</v>
      </c>
      <c r="H1636" s="36" t="s">
        <v>21321</v>
      </c>
      <c r="I1636" s="36" t="s">
        <v>21322</v>
      </c>
      <c r="J1636" s="36" t="s">
        <v>21323</v>
      </c>
      <c r="K1636" s="36" t="s">
        <v>21324</v>
      </c>
      <c r="L1636" s="36" t="s">
        <v>21325</v>
      </c>
      <c r="M1636" s="36" t="s">
        <v>21326</v>
      </c>
      <c r="N1636" s="36" t="s">
        <v>21327</v>
      </c>
      <c r="O1636" s="36" t="s">
        <v>21328</v>
      </c>
      <c r="P1636" s="36" t="s">
        <v>21315</v>
      </c>
    </row>
    <row r="1637" spans="1:16" ht="15" customHeight="1">
      <c r="A1637" s="132">
        <v>1636</v>
      </c>
      <c r="B1637" s="36" t="s">
        <v>21329</v>
      </c>
      <c r="C1637" s="36" t="s">
        <v>21330</v>
      </c>
      <c r="D1637" s="36" t="s">
        <v>21331</v>
      </c>
      <c r="E1637" s="36" t="s">
        <v>21332</v>
      </c>
      <c r="F1637" s="36" t="s">
        <v>21333</v>
      </c>
      <c r="G1637" s="36" t="s">
        <v>21334</v>
      </c>
      <c r="H1637" s="36" t="s">
        <v>21335</v>
      </c>
      <c r="I1637" s="36" t="s">
        <v>21336</v>
      </c>
      <c r="J1637" s="36" t="s">
        <v>21337</v>
      </c>
      <c r="K1637" s="36" t="s">
        <v>21338</v>
      </c>
      <c r="L1637" s="36" t="s">
        <v>21339</v>
      </c>
      <c r="M1637" s="36" t="s">
        <v>21340</v>
      </c>
      <c r="N1637" s="36" t="s">
        <v>21341</v>
      </c>
      <c r="O1637" s="36" t="s">
        <v>21342</v>
      </c>
      <c r="P1637" s="36" t="s">
        <v>21343</v>
      </c>
    </row>
    <row r="1638" spans="1:16" ht="15" customHeight="1">
      <c r="A1638" s="132">
        <v>1637</v>
      </c>
      <c r="B1638" s="36" t="s">
        <v>21344</v>
      </c>
      <c r="C1638" s="36" t="s">
        <v>21345</v>
      </c>
      <c r="D1638" s="36" t="s">
        <v>21346</v>
      </c>
      <c r="E1638" s="36" t="s">
        <v>21347</v>
      </c>
      <c r="F1638" s="36" t="s">
        <v>21348</v>
      </c>
      <c r="G1638" s="36" t="s">
        <v>21349</v>
      </c>
      <c r="H1638" s="36" t="s">
        <v>21350</v>
      </c>
      <c r="I1638" s="36" t="s">
        <v>21351</v>
      </c>
      <c r="J1638" s="36" t="s">
        <v>21352</v>
      </c>
      <c r="K1638" s="36" t="s">
        <v>21353</v>
      </c>
      <c r="L1638" s="36" t="s">
        <v>21354</v>
      </c>
      <c r="M1638" s="36" t="s">
        <v>21355</v>
      </c>
      <c r="N1638" s="36" t="s">
        <v>21356</v>
      </c>
      <c r="O1638" s="36" t="s">
        <v>21357</v>
      </c>
      <c r="P1638" s="36" t="s">
        <v>21344</v>
      </c>
    </row>
    <row r="1639" spans="1:16" ht="15" customHeight="1">
      <c r="A1639" s="132">
        <v>1638</v>
      </c>
      <c r="B1639" s="36" t="s">
        <v>21358</v>
      </c>
      <c r="C1639" s="36" t="s">
        <v>21359</v>
      </c>
      <c r="D1639" s="36" t="s">
        <v>21360</v>
      </c>
      <c r="E1639" s="36" t="s">
        <v>21361</v>
      </c>
      <c r="F1639" s="36" t="s">
        <v>3782</v>
      </c>
      <c r="G1639" s="36" t="s">
        <v>21362</v>
      </c>
      <c r="H1639" s="36" t="s">
        <v>21363</v>
      </c>
      <c r="I1639" s="36" t="s">
        <v>3867</v>
      </c>
      <c r="J1639" s="36" t="s">
        <v>21364</v>
      </c>
      <c r="K1639" s="36" t="s">
        <v>21365</v>
      </c>
      <c r="L1639" s="36" t="s">
        <v>21366</v>
      </c>
      <c r="M1639" s="36" t="s">
        <v>3870</v>
      </c>
      <c r="N1639" s="36" t="s">
        <v>21367</v>
      </c>
      <c r="O1639" s="36" t="s">
        <v>21365</v>
      </c>
      <c r="P1639" s="36" t="s">
        <v>21358</v>
      </c>
    </row>
    <row r="1640" spans="1:16" ht="15" customHeight="1">
      <c r="A1640" s="132">
        <v>1639</v>
      </c>
      <c r="B1640" s="36" t="s">
        <v>21368</v>
      </c>
      <c r="C1640" s="36" t="s">
        <v>21369</v>
      </c>
      <c r="D1640" s="36" t="s">
        <v>21370</v>
      </c>
      <c r="E1640" s="36" t="s">
        <v>21371</v>
      </c>
      <c r="F1640" s="36" t="s">
        <v>21372</v>
      </c>
      <c r="G1640" s="36" t="s">
        <v>21373</v>
      </c>
      <c r="H1640" s="36" t="s">
        <v>21374</v>
      </c>
      <c r="I1640" s="36" t="s">
        <v>21375</v>
      </c>
      <c r="J1640" s="36" t="s">
        <v>21376</v>
      </c>
      <c r="K1640" s="36" t="s">
        <v>21377</v>
      </c>
      <c r="L1640" s="36" t="s">
        <v>21378</v>
      </c>
      <c r="M1640" s="36" t="s">
        <v>21379</v>
      </c>
      <c r="N1640" s="36" t="s">
        <v>21380</v>
      </c>
      <c r="O1640" s="36" t="s">
        <v>21381</v>
      </c>
      <c r="P1640" s="36" t="s">
        <v>21368</v>
      </c>
    </row>
    <row r="1641" spans="1:16" ht="15" customHeight="1">
      <c r="A1641" s="132">
        <v>1640</v>
      </c>
      <c r="B1641" s="36" t="s">
        <v>21382</v>
      </c>
      <c r="C1641" s="36" t="s">
        <v>21383</v>
      </c>
      <c r="D1641" s="36" t="s">
        <v>21384</v>
      </c>
      <c r="E1641" s="36" t="s">
        <v>21385</v>
      </c>
      <c r="F1641" s="36" t="s">
        <v>21386</v>
      </c>
      <c r="G1641" s="36" t="s">
        <v>21387</v>
      </c>
      <c r="H1641" s="36" t="s">
        <v>21388</v>
      </c>
      <c r="I1641" s="36" t="s">
        <v>21389</v>
      </c>
      <c r="J1641" s="36" t="s">
        <v>21390</v>
      </c>
      <c r="K1641" s="36" t="s">
        <v>21391</v>
      </c>
      <c r="L1641" s="36" t="s">
        <v>21392</v>
      </c>
      <c r="M1641" s="36" t="s">
        <v>21393</v>
      </c>
      <c r="N1641" s="36" t="s">
        <v>21394</v>
      </c>
      <c r="O1641" s="36" t="s">
        <v>21395</v>
      </c>
      <c r="P1641" s="36" t="s">
        <v>21382</v>
      </c>
    </row>
    <row r="1642" spans="1:16" ht="15" customHeight="1">
      <c r="A1642" s="132">
        <v>1641</v>
      </c>
      <c r="B1642" s="36" t="s">
        <v>21396</v>
      </c>
      <c r="C1642" s="36" t="s">
        <v>21397</v>
      </c>
      <c r="D1642" s="36" t="s">
        <v>21398</v>
      </c>
      <c r="E1642" s="36" t="s">
        <v>21399</v>
      </c>
      <c r="F1642" s="36" t="s">
        <v>21400</v>
      </c>
      <c r="G1642" s="36" t="s">
        <v>21401</v>
      </c>
      <c r="H1642" s="36" t="s">
        <v>21402</v>
      </c>
      <c r="I1642" s="36" t="s">
        <v>21403</v>
      </c>
      <c r="J1642" s="36" t="s">
        <v>21404</v>
      </c>
      <c r="K1642" s="36" t="s">
        <v>21405</v>
      </c>
      <c r="L1642" s="36" t="s">
        <v>21406</v>
      </c>
      <c r="M1642" s="36" t="s">
        <v>21407</v>
      </c>
      <c r="N1642" s="36" t="s">
        <v>21408</v>
      </c>
      <c r="O1642" s="36" t="s">
        <v>21409</v>
      </c>
      <c r="P1642" s="36" t="s">
        <v>21396</v>
      </c>
    </row>
    <row r="1643" spans="1:16" ht="15" customHeight="1">
      <c r="A1643" s="132">
        <v>1642</v>
      </c>
      <c r="B1643" s="36" t="s">
        <v>21410</v>
      </c>
      <c r="C1643" s="36" t="s">
        <v>21411</v>
      </c>
      <c r="D1643" s="36" t="s">
        <v>21412</v>
      </c>
      <c r="E1643" s="36" t="s">
        <v>21413</v>
      </c>
      <c r="F1643" s="36" t="s">
        <v>21414</v>
      </c>
      <c r="G1643" s="36" t="s">
        <v>21415</v>
      </c>
      <c r="H1643" s="36" t="s">
        <v>21416</v>
      </c>
      <c r="I1643" s="36" t="s">
        <v>21417</v>
      </c>
      <c r="J1643" s="36" t="s">
        <v>21418</v>
      </c>
      <c r="K1643" s="36" t="s">
        <v>21419</v>
      </c>
      <c r="L1643" s="36" t="s">
        <v>21420</v>
      </c>
      <c r="M1643" s="36" t="s">
        <v>21421</v>
      </c>
      <c r="N1643" s="36" t="s">
        <v>21422</v>
      </c>
      <c r="O1643" s="36" t="s">
        <v>21423</v>
      </c>
      <c r="P1643" s="36" t="s">
        <v>21410</v>
      </c>
    </row>
    <row r="1644" spans="1:16" ht="15" customHeight="1">
      <c r="A1644" s="132">
        <v>1643</v>
      </c>
      <c r="B1644" s="36" t="s">
        <v>21424</v>
      </c>
      <c r="C1644" s="36" t="s">
        <v>21425</v>
      </c>
      <c r="D1644" s="36" t="s">
        <v>21426</v>
      </c>
      <c r="E1644" s="36" t="s">
        <v>21427</v>
      </c>
      <c r="F1644" s="36" t="s">
        <v>21428</v>
      </c>
      <c r="G1644" s="36" t="s">
        <v>21429</v>
      </c>
      <c r="H1644" s="36" t="s">
        <v>21430</v>
      </c>
      <c r="I1644" s="36" t="s">
        <v>21431</v>
      </c>
      <c r="J1644" s="36" t="s">
        <v>21432</v>
      </c>
      <c r="K1644" s="36" t="s">
        <v>21433</v>
      </c>
      <c r="L1644" s="36" t="s">
        <v>21434</v>
      </c>
      <c r="M1644" s="36" t="s">
        <v>21435</v>
      </c>
      <c r="N1644" s="36" t="s">
        <v>21436</v>
      </c>
      <c r="O1644" s="36" t="s">
        <v>21437</v>
      </c>
      <c r="P1644" s="36" t="s">
        <v>21424</v>
      </c>
    </row>
    <row r="1645" spans="1:16" ht="15" customHeight="1">
      <c r="A1645" s="132">
        <v>1644</v>
      </c>
      <c r="B1645" s="36" t="s">
        <v>21438</v>
      </c>
      <c r="C1645" s="36" t="s">
        <v>29595</v>
      </c>
      <c r="D1645" s="36" t="s">
        <v>21439</v>
      </c>
      <c r="E1645" s="36" t="s">
        <v>21440</v>
      </c>
      <c r="F1645" s="36" t="s">
        <v>21441</v>
      </c>
      <c r="G1645" s="36" t="s">
        <v>21442</v>
      </c>
      <c r="H1645" s="36" t="s">
        <v>21443</v>
      </c>
      <c r="I1645" s="36" t="s">
        <v>21444</v>
      </c>
      <c r="J1645" s="36" t="s">
        <v>21438</v>
      </c>
      <c r="K1645" s="36" t="s">
        <v>21438</v>
      </c>
      <c r="L1645" s="36" t="s">
        <v>21445</v>
      </c>
      <c r="M1645" s="36" t="s">
        <v>21438</v>
      </c>
      <c r="N1645" s="36" t="s">
        <v>21438</v>
      </c>
      <c r="O1645" s="36" t="s">
        <v>21438</v>
      </c>
      <c r="P1645" s="36" t="s">
        <v>21438</v>
      </c>
    </row>
    <row r="1646" spans="1:16" ht="15" customHeight="1">
      <c r="A1646" s="132">
        <v>1645</v>
      </c>
      <c r="B1646" s="36" t="s">
        <v>21446</v>
      </c>
      <c r="C1646" s="36" t="s">
        <v>21447</v>
      </c>
      <c r="D1646" s="36" t="s">
        <v>21448</v>
      </c>
      <c r="E1646" s="36" t="s">
        <v>21449</v>
      </c>
      <c r="F1646" s="36" t="s">
        <v>21450</v>
      </c>
      <c r="G1646" s="36" t="s">
        <v>21451</v>
      </c>
      <c r="H1646" s="36" t="s">
        <v>21452</v>
      </c>
      <c r="I1646" s="36" t="s">
        <v>21453</v>
      </c>
      <c r="J1646" s="36" t="s">
        <v>21454</v>
      </c>
      <c r="K1646" s="36" t="s">
        <v>21455</v>
      </c>
      <c r="L1646" s="36" t="s">
        <v>21456</v>
      </c>
      <c r="M1646" s="36" t="s">
        <v>21457</v>
      </c>
      <c r="N1646" s="36" t="s">
        <v>21458</v>
      </c>
      <c r="O1646" s="36" t="s">
        <v>21459</v>
      </c>
      <c r="P1646" s="36" t="s">
        <v>21446</v>
      </c>
    </row>
    <row r="1647" spans="1:16" ht="15" customHeight="1">
      <c r="A1647" s="132">
        <v>1646</v>
      </c>
      <c r="B1647" s="36" t="s">
        <v>21460</v>
      </c>
      <c r="C1647" s="36" t="s">
        <v>21461</v>
      </c>
      <c r="D1647" s="36" t="s">
        <v>21462</v>
      </c>
      <c r="E1647" s="36" t="s">
        <v>21463</v>
      </c>
      <c r="F1647" s="36" t="s">
        <v>21464</v>
      </c>
      <c r="G1647" s="36" t="s">
        <v>21465</v>
      </c>
      <c r="H1647" s="36" t="s">
        <v>21466</v>
      </c>
      <c r="I1647" s="36" t="s">
        <v>21467</v>
      </c>
      <c r="J1647" s="36" t="s">
        <v>21461</v>
      </c>
      <c r="K1647" s="36" t="s">
        <v>21468</v>
      </c>
      <c r="L1647" s="36" t="s">
        <v>21469</v>
      </c>
      <c r="M1647" s="36" t="s">
        <v>21470</v>
      </c>
      <c r="N1647" s="36" t="s">
        <v>21471</v>
      </c>
      <c r="O1647" s="36" t="s">
        <v>21472</v>
      </c>
      <c r="P1647" s="36" t="s">
        <v>21460</v>
      </c>
    </row>
    <row r="1648" spans="1:16" ht="15" customHeight="1">
      <c r="A1648" s="132">
        <v>1647</v>
      </c>
      <c r="B1648" s="36" t="s">
        <v>21473</v>
      </c>
      <c r="C1648" s="36" t="s">
        <v>21474</v>
      </c>
      <c r="D1648" s="36" t="s">
        <v>21475</v>
      </c>
      <c r="E1648" s="36" t="s">
        <v>21476</v>
      </c>
      <c r="F1648" s="36" t="s">
        <v>21477</v>
      </c>
      <c r="G1648" s="36" t="s">
        <v>21478</v>
      </c>
      <c r="H1648" s="36" t="s">
        <v>21479</v>
      </c>
      <c r="I1648" s="36" t="s">
        <v>21480</v>
      </c>
      <c r="J1648" s="36" t="s">
        <v>21481</v>
      </c>
      <c r="K1648" s="36" t="s">
        <v>21482</v>
      </c>
      <c r="L1648" s="36" t="s">
        <v>21483</v>
      </c>
      <c r="M1648" s="36" t="s">
        <v>21484</v>
      </c>
      <c r="N1648" s="36" t="s">
        <v>21485</v>
      </c>
      <c r="O1648" s="36" t="s">
        <v>21486</v>
      </c>
      <c r="P1648" s="36" t="s">
        <v>21473</v>
      </c>
    </row>
    <row r="1649" spans="1:16" ht="15" customHeight="1">
      <c r="A1649" s="132">
        <v>1648</v>
      </c>
      <c r="B1649" s="36" t="s">
        <v>84</v>
      </c>
      <c r="C1649" s="36" t="s">
        <v>84</v>
      </c>
      <c r="D1649" s="36" t="s">
        <v>21487</v>
      </c>
      <c r="E1649" s="36" t="s">
        <v>21488</v>
      </c>
      <c r="F1649" s="36" t="s">
        <v>21489</v>
      </c>
      <c r="G1649" s="36" t="s">
        <v>21490</v>
      </c>
      <c r="H1649" s="36" t="s">
        <v>21491</v>
      </c>
      <c r="I1649" s="36" t="s">
        <v>21492</v>
      </c>
      <c r="J1649" s="36" t="s">
        <v>21493</v>
      </c>
      <c r="K1649" s="36" t="s">
        <v>21494</v>
      </c>
      <c r="L1649" s="36" t="s">
        <v>21495</v>
      </c>
      <c r="M1649" s="36" t="s">
        <v>84</v>
      </c>
      <c r="N1649" s="36" t="s">
        <v>84</v>
      </c>
      <c r="O1649" s="36" t="s">
        <v>21496</v>
      </c>
      <c r="P1649" s="36" t="s">
        <v>84</v>
      </c>
    </row>
    <row r="1650" spans="1:16" ht="15" customHeight="1">
      <c r="A1650" s="132">
        <v>1649</v>
      </c>
      <c r="B1650" s="36" t="s">
        <v>21497</v>
      </c>
      <c r="C1650" s="36" t="s">
        <v>21498</v>
      </c>
      <c r="D1650" s="36" t="s">
        <v>21499</v>
      </c>
      <c r="E1650" s="36" t="s">
        <v>21500</v>
      </c>
      <c r="F1650" s="36" t="s">
        <v>21501</v>
      </c>
      <c r="G1650" s="36" t="s">
        <v>21502</v>
      </c>
      <c r="H1650" s="36" t="s">
        <v>21503</v>
      </c>
      <c r="I1650" s="36" t="s">
        <v>21504</v>
      </c>
      <c r="J1650" s="36" t="s">
        <v>21505</v>
      </c>
      <c r="K1650" s="36" t="s">
        <v>21506</v>
      </c>
      <c r="L1650" s="36" t="s">
        <v>21507</v>
      </c>
      <c r="M1650" s="36" t="s">
        <v>21508</v>
      </c>
      <c r="N1650" s="36" t="s">
        <v>21509</v>
      </c>
      <c r="O1650" s="36" t="s">
        <v>21510</v>
      </c>
      <c r="P1650" s="36" t="s">
        <v>21497</v>
      </c>
    </row>
    <row r="1651" spans="1:16" ht="15" customHeight="1">
      <c r="A1651" s="132">
        <v>1650</v>
      </c>
      <c r="B1651" s="36" t="s">
        <v>21511</v>
      </c>
      <c r="C1651" s="36" t="s">
        <v>21512</v>
      </c>
      <c r="D1651" s="36" t="s">
        <v>21513</v>
      </c>
      <c r="E1651" s="36" t="s">
        <v>21514</v>
      </c>
      <c r="F1651" s="36" t="s">
        <v>21515</v>
      </c>
      <c r="G1651" s="36" t="s">
        <v>21516</v>
      </c>
      <c r="H1651" s="36" t="s">
        <v>21517</v>
      </c>
      <c r="I1651" s="36" t="s">
        <v>21518</v>
      </c>
      <c r="J1651" s="36" t="s">
        <v>21519</v>
      </c>
      <c r="K1651" s="36" t="s">
        <v>21520</v>
      </c>
      <c r="L1651" s="36" t="s">
        <v>21521</v>
      </c>
      <c r="M1651" s="36" t="s">
        <v>21522</v>
      </c>
      <c r="N1651" s="36" t="s">
        <v>21523</v>
      </c>
      <c r="O1651" s="36" t="s">
        <v>21524</v>
      </c>
      <c r="P1651" s="36" t="s">
        <v>21511</v>
      </c>
    </row>
    <row r="1652" spans="1:16" ht="15" customHeight="1">
      <c r="A1652" s="132">
        <v>1651</v>
      </c>
      <c r="B1652" s="36" t="s">
        <v>21525</v>
      </c>
      <c r="C1652" s="36" t="s">
        <v>21526</v>
      </c>
      <c r="D1652" s="36" t="s">
        <v>21527</v>
      </c>
      <c r="E1652" s="36" t="s">
        <v>21528</v>
      </c>
      <c r="F1652" s="36" t="s">
        <v>21529</v>
      </c>
      <c r="G1652" s="36" t="s">
        <v>21530</v>
      </c>
      <c r="H1652" s="36" t="s">
        <v>21531</v>
      </c>
      <c r="I1652" s="36" t="s">
        <v>21532</v>
      </c>
      <c r="J1652" s="36" t="s">
        <v>21533</v>
      </c>
      <c r="K1652" s="36" t="s">
        <v>21534</v>
      </c>
      <c r="L1652" s="36" t="s">
        <v>21535</v>
      </c>
      <c r="M1652" s="36" t="s">
        <v>21536</v>
      </c>
      <c r="N1652" s="36" t="s">
        <v>21537</v>
      </c>
      <c r="O1652" s="36" t="s">
        <v>21538</v>
      </c>
      <c r="P1652" s="36" t="s">
        <v>21525</v>
      </c>
    </row>
    <row r="1653" spans="1:16" ht="15" customHeight="1">
      <c r="A1653" s="132">
        <v>1652</v>
      </c>
      <c r="B1653" s="36" t="s">
        <v>21539</v>
      </c>
      <c r="C1653" s="36" t="s">
        <v>21540</v>
      </c>
      <c r="D1653" s="36" t="s">
        <v>21541</v>
      </c>
      <c r="E1653" s="36" t="s">
        <v>21542</v>
      </c>
      <c r="F1653" s="36" t="s">
        <v>21543</v>
      </c>
      <c r="G1653" s="36" t="s">
        <v>21544</v>
      </c>
      <c r="H1653" s="36" t="s">
        <v>21545</v>
      </c>
      <c r="I1653" s="36" t="s">
        <v>21546</v>
      </c>
      <c r="J1653" s="36" t="s">
        <v>21547</v>
      </c>
      <c r="K1653" s="36" t="s">
        <v>21548</v>
      </c>
      <c r="L1653" s="36" t="s">
        <v>21549</v>
      </c>
      <c r="M1653" s="36" t="s">
        <v>21550</v>
      </c>
      <c r="N1653" s="36" t="s">
        <v>21551</v>
      </c>
      <c r="O1653" s="36" t="s">
        <v>21552</v>
      </c>
      <c r="P1653" s="36" t="s">
        <v>21539</v>
      </c>
    </row>
    <row r="1654" spans="1:16" ht="15" customHeight="1">
      <c r="A1654" s="132">
        <v>1653</v>
      </c>
      <c r="B1654" s="36" t="s">
        <v>21553</v>
      </c>
      <c r="C1654" s="36" t="s">
        <v>21554</v>
      </c>
      <c r="D1654" s="36" t="s">
        <v>21555</v>
      </c>
      <c r="E1654" s="36" t="s">
        <v>21556</v>
      </c>
      <c r="F1654" s="36" t="s">
        <v>21557</v>
      </c>
      <c r="G1654" s="36" t="s">
        <v>21558</v>
      </c>
      <c r="H1654" s="36" t="s">
        <v>21559</v>
      </c>
      <c r="I1654" s="36" t="s">
        <v>21560</v>
      </c>
      <c r="J1654" s="36" t="s">
        <v>21561</v>
      </c>
      <c r="K1654" s="36" t="s">
        <v>21562</v>
      </c>
      <c r="L1654" s="36" t="s">
        <v>21563</v>
      </c>
      <c r="M1654" s="36" t="s">
        <v>21564</v>
      </c>
      <c r="N1654" s="36" t="s">
        <v>21565</v>
      </c>
      <c r="O1654" s="36" t="s">
        <v>21566</v>
      </c>
      <c r="P1654" s="36" t="s">
        <v>21553</v>
      </c>
    </row>
    <row r="1655" spans="1:16" ht="15" customHeight="1">
      <c r="A1655" s="132">
        <v>1654</v>
      </c>
      <c r="B1655" s="36" t="s">
        <v>21567</v>
      </c>
      <c r="C1655" s="36" t="s">
        <v>21568</v>
      </c>
      <c r="D1655" s="36" t="s">
        <v>21569</v>
      </c>
      <c r="E1655" s="36" t="s">
        <v>21570</v>
      </c>
      <c r="F1655" s="36" t="s">
        <v>21571</v>
      </c>
      <c r="G1655" s="36" t="s">
        <v>21572</v>
      </c>
      <c r="H1655" s="36" t="s">
        <v>21573</v>
      </c>
      <c r="I1655" s="36" t="s">
        <v>21574</v>
      </c>
      <c r="J1655" s="36" t="s">
        <v>21575</v>
      </c>
      <c r="K1655" s="36" t="s">
        <v>21576</v>
      </c>
      <c r="L1655" s="36" t="s">
        <v>21577</v>
      </c>
      <c r="M1655" s="36" t="s">
        <v>21578</v>
      </c>
      <c r="N1655" s="36" t="s">
        <v>21579</v>
      </c>
      <c r="O1655" s="36" t="s">
        <v>21580</v>
      </c>
      <c r="P1655" s="36" t="s">
        <v>21567</v>
      </c>
    </row>
    <row r="1656" spans="1:16" ht="15" customHeight="1">
      <c r="A1656" s="132">
        <v>1655</v>
      </c>
      <c r="B1656" s="36" t="s">
        <v>21581</v>
      </c>
      <c r="C1656" s="36" t="s">
        <v>21582</v>
      </c>
      <c r="D1656" s="36" t="s">
        <v>21583</v>
      </c>
      <c r="E1656" s="36" t="s">
        <v>21584</v>
      </c>
      <c r="F1656" s="36" t="s">
        <v>21585</v>
      </c>
      <c r="G1656" s="36" t="s">
        <v>21586</v>
      </c>
      <c r="H1656" s="36" t="s">
        <v>21587</v>
      </c>
      <c r="I1656" s="36" t="s">
        <v>21588</v>
      </c>
      <c r="J1656" s="36" t="s">
        <v>21589</v>
      </c>
      <c r="K1656" s="36" t="s">
        <v>21590</v>
      </c>
      <c r="L1656" s="36" t="s">
        <v>21591</v>
      </c>
      <c r="M1656" s="36" t="s">
        <v>21592</v>
      </c>
      <c r="N1656" s="36" t="s">
        <v>21593</v>
      </c>
      <c r="O1656" s="36" t="s">
        <v>21594</v>
      </c>
      <c r="P1656" s="36" t="s">
        <v>21581</v>
      </c>
    </row>
    <row r="1657" spans="1:16" ht="15" customHeight="1">
      <c r="A1657" s="132">
        <v>1656</v>
      </c>
      <c r="B1657" s="36" t="s">
        <v>21595</v>
      </c>
      <c r="C1657" s="36" t="s">
        <v>21596</v>
      </c>
      <c r="D1657" s="36" t="s">
        <v>21597</v>
      </c>
      <c r="E1657" s="36" t="s">
        <v>21598</v>
      </c>
      <c r="F1657" s="36" t="s">
        <v>21599</v>
      </c>
      <c r="G1657" s="36" t="s">
        <v>21600</v>
      </c>
      <c r="H1657" s="36" t="s">
        <v>21601</v>
      </c>
      <c r="I1657" s="36" t="s">
        <v>21602</v>
      </c>
      <c r="J1657" s="36" t="s">
        <v>21603</v>
      </c>
      <c r="K1657" s="36" t="s">
        <v>21604</v>
      </c>
      <c r="L1657" s="36" t="s">
        <v>21605</v>
      </c>
      <c r="M1657" s="36" t="s">
        <v>21606</v>
      </c>
      <c r="N1657" s="36" t="s">
        <v>21607</v>
      </c>
      <c r="O1657" s="36" t="s">
        <v>21608</v>
      </c>
      <c r="P1657" s="36" t="s">
        <v>21595</v>
      </c>
    </row>
    <row r="1658" spans="1:16" ht="15" customHeight="1">
      <c r="A1658" s="132">
        <v>1657</v>
      </c>
      <c r="B1658" s="36" t="s">
        <v>21609</v>
      </c>
      <c r="C1658" s="36" t="s">
        <v>21610</v>
      </c>
      <c r="D1658" s="36" t="s">
        <v>21611</v>
      </c>
      <c r="E1658" s="36" t="s">
        <v>21612</v>
      </c>
      <c r="F1658" s="36" t="s">
        <v>21613</v>
      </c>
      <c r="G1658" s="36" t="s">
        <v>21614</v>
      </c>
      <c r="H1658" s="36" t="s">
        <v>21615</v>
      </c>
      <c r="I1658" s="36" t="s">
        <v>21616</v>
      </c>
      <c r="J1658" s="36" t="s">
        <v>21617</v>
      </c>
      <c r="K1658" s="36" t="s">
        <v>21618</v>
      </c>
      <c r="L1658" s="36" t="s">
        <v>21619</v>
      </c>
      <c r="M1658" s="36" t="s">
        <v>21620</v>
      </c>
      <c r="N1658" s="36" t="s">
        <v>21621</v>
      </c>
      <c r="O1658" s="36" t="s">
        <v>21622</v>
      </c>
      <c r="P1658" s="36" t="s">
        <v>21609</v>
      </c>
    </row>
    <row r="1659" spans="1:16" ht="15" customHeight="1">
      <c r="A1659" s="132">
        <v>1658</v>
      </c>
      <c r="B1659" s="36" t="s">
        <v>21623</v>
      </c>
      <c r="C1659" s="36" t="s">
        <v>21624</v>
      </c>
      <c r="D1659" s="36" t="s">
        <v>21625</v>
      </c>
      <c r="E1659" s="36" t="s">
        <v>21626</v>
      </c>
      <c r="F1659" s="36" t="s">
        <v>21627</v>
      </c>
      <c r="G1659" s="36" t="s">
        <v>21628</v>
      </c>
      <c r="H1659" s="36" t="s">
        <v>21629</v>
      </c>
      <c r="I1659" s="36" t="s">
        <v>21630</v>
      </c>
      <c r="J1659" s="36" t="s">
        <v>21631</v>
      </c>
      <c r="K1659" s="36" t="s">
        <v>21632</v>
      </c>
      <c r="L1659" s="36" t="s">
        <v>21633</v>
      </c>
      <c r="M1659" s="36" t="s">
        <v>21634</v>
      </c>
      <c r="N1659" s="36" t="s">
        <v>21635</v>
      </c>
      <c r="O1659" s="36" t="s">
        <v>21636</v>
      </c>
      <c r="P1659" s="36" t="s">
        <v>21623</v>
      </c>
    </row>
    <row r="1660" spans="1:16" ht="15" customHeight="1">
      <c r="A1660" s="132">
        <v>1659</v>
      </c>
      <c r="B1660" s="36" t="s">
        <v>21637</v>
      </c>
      <c r="C1660" s="36" t="s">
        <v>21638</v>
      </c>
      <c r="D1660" s="36" t="s">
        <v>21639</v>
      </c>
      <c r="E1660" s="36" t="s">
        <v>21640</v>
      </c>
      <c r="F1660" s="36" t="s">
        <v>21641</v>
      </c>
      <c r="G1660" s="36" t="s">
        <v>21642</v>
      </c>
      <c r="H1660" s="36" t="s">
        <v>21643</v>
      </c>
      <c r="I1660" s="36" t="s">
        <v>21644</v>
      </c>
      <c r="J1660" s="36" t="s">
        <v>21645</v>
      </c>
      <c r="K1660" s="36" t="s">
        <v>21646</v>
      </c>
      <c r="L1660" s="36" t="s">
        <v>21647</v>
      </c>
      <c r="M1660" s="36" t="s">
        <v>21648</v>
      </c>
      <c r="N1660" s="36" t="s">
        <v>21649</v>
      </c>
      <c r="O1660" s="36" t="s">
        <v>21650</v>
      </c>
      <c r="P1660" s="36" t="s">
        <v>21637</v>
      </c>
    </row>
    <row r="1661" spans="1:16" ht="15" customHeight="1">
      <c r="A1661" s="132">
        <v>1660</v>
      </c>
      <c r="B1661" s="36" t="s">
        <v>21651</v>
      </c>
      <c r="C1661" s="36" t="s">
        <v>21652</v>
      </c>
      <c r="D1661" s="36" t="s">
        <v>21653</v>
      </c>
      <c r="E1661" s="36" t="s">
        <v>21654</v>
      </c>
      <c r="F1661" s="36" t="s">
        <v>21655</v>
      </c>
      <c r="G1661" s="36" t="s">
        <v>21656</v>
      </c>
      <c r="H1661" s="36" t="s">
        <v>21657</v>
      </c>
      <c r="I1661" s="36" t="s">
        <v>21658</v>
      </c>
      <c r="J1661" s="36" t="s">
        <v>21659</v>
      </c>
      <c r="K1661" s="36" t="s">
        <v>21660</v>
      </c>
      <c r="L1661" s="36" t="s">
        <v>21661</v>
      </c>
      <c r="M1661" s="36" t="s">
        <v>21662</v>
      </c>
      <c r="N1661" s="36" t="s">
        <v>21663</v>
      </c>
      <c r="O1661" s="36" t="s">
        <v>21664</v>
      </c>
      <c r="P1661" s="36" t="s">
        <v>21651</v>
      </c>
    </row>
    <row r="1662" spans="1:16" ht="15" customHeight="1">
      <c r="A1662" s="132">
        <v>1661</v>
      </c>
      <c r="B1662" s="36" t="s">
        <v>21665</v>
      </c>
      <c r="C1662" s="36" t="s">
        <v>21666</v>
      </c>
      <c r="D1662" s="36" t="s">
        <v>21667</v>
      </c>
      <c r="E1662" s="36" t="s">
        <v>21668</v>
      </c>
      <c r="F1662" s="36" t="s">
        <v>21669</v>
      </c>
      <c r="G1662" s="36" t="s">
        <v>21670</v>
      </c>
      <c r="H1662" s="36" t="s">
        <v>21671</v>
      </c>
      <c r="I1662" s="36" t="s">
        <v>21672</v>
      </c>
      <c r="J1662" s="36" t="s">
        <v>21673</v>
      </c>
      <c r="K1662" s="36" t="s">
        <v>21674</v>
      </c>
      <c r="L1662" s="36" t="s">
        <v>21675</v>
      </c>
      <c r="M1662" s="36" t="s">
        <v>21676</v>
      </c>
      <c r="N1662" s="36" t="s">
        <v>21677</v>
      </c>
      <c r="O1662" s="36" t="s">
        <v>21678</v>
      </c>
      <c r="P1662" s="36" t="s">
        <v>21665</v>
      </c>
    </row>
    <row r="1663" spans="1:16" ht="15" customHeight="1">
      <c r="A1663" s="132">
        <v>1662</v>
      </c>
      <c r="B1663" s="36" t="s">
        <v>21679</v>
      </c>
      <c r="C1663" s="36" t="s">
        <v>21680</v>
      </c>
      <c r="D1663" s="36" t="s">
        <v>21681</v>
      </c>
      <c r="E1663" s="36" t="s">
        <v>21682</v>
      </c>
      <c r="F1663" s="36" t="s">
        <v>21683</v>
      </c>
      <c r="G1663" s="36" t="s">
        <v>21684</v>
      </c>
      <c r="H1663" s="36" t="s">
        <v>21685</v>
      </c>
      <c r="I1663" s="36" t="s">
        <v>21686</v>
      </c>
      <c r="J1663" s="36" t="s">
        <v>21687</v>
      </c>
      <c r="K1663" s="36" t="s">
        <v>21688</v>
      </c>
      <c r="L1663" s="36" t="s">
        <v>21689</v>
      </c>
      <c r="M1663" s="36" t="s">
        <v>21690</v>
      </c>
      <c r="N1663" s="36" t="s">
        <v>21691</v>
      </c>
      <c r="O1663" s="36" t="s">
        <v>21692</v>
      </c>
      <c r="P1663" s="36" t="s">
        <v>21679</v>
      </c>
    </row>
    <row r="1664" spans="1:16" ht="15" customHeight="1">
      <c r="A1664" s="132">
        <v>1663</v>
      </c>
      <c r="B1664" s="36" t="s">
        <v>21693</v>
      </c>
      <c r="C1664" s="36" t="s">
        <v>21694</v>
      </c>
      <c r="D1664" s="36" t="s">
        <v>21695</v>
      </c>
      <c r="E1664" s="36" t="s">
        <v>21696</v>
      </c>
      <c r="F1664" s="36" t="s">
        <v>21697</v>
      </c>
      <c r="G1664" s="36" t="s">
        <v>21698</v>
      </c>
      <c r="H1664" s="36" t="s">
        <v>21699</v>
      </c>
      <c r="I1664" s="36" t="s">
        <v>21700</v>
      </c>
      <c r="J1664" s="36" t="s">
        <v>21701</v>
      </c>
      <c r="K1664" s="36" t="s">
        <v>21702</v>
      </c>
      <c r="L1664" s="36" t="s">
        <v>21703</v>
      </c>
      <c r="M1664" s="36" t="s">
        <v>21704</v>
      </c>
      <c r="N1664" s="36" t="s">
        <v>21705</v>
      </c>
      <c r="O1664" s="36" t="s">
        <v>21706</v>
      </c>
      <c r="P1664" s="36" t="s">
        <v>21693</v>
      </c>
    </row>
    <row r="1665" spans="1:16" ht="15" customHeight="1">
      <c r="A1665" s="132">
        <v>1664</v>
      </c>
      <c r="B1665" s="36" t="s">
        <v>21707</v>
      </c>
      <c r="C1665" s="36" t="s">
        <v>21708</v>
      </c>
      <c r="D1665" s="36" t="s">
        <v>21709</v>
      </c>
      <c r="E1665" s="36" t="s">
        <v>21710</v>
      </c>
      <c r="F1665" s="36" t="s">
        <v>21711</v>
      </c>
      <c r="G1665" s="36" t="s">
        <v>21712</v>
      </c>
      <c r="H1665" s="36" t="s">
        <v>21713</v>
      </c>
      <c r="I1665" s="36" t="s">
        <v>21714</v>
      </c>
      <c r="J1665" s="36" t="s">
        <v>21715</v>
      </c>
      <c r="K1665" s="36" t="s">
        <v>21716</v>
      </c>
      <c r="L1665" s="36" t="s">
        <v>21717</v>
      </c>
      <c r="M1665" s="36" t="s">
        <v>21718</v>
      </c>
      <c r="N1665" s="36" t="s">
        <v>21719</v>
      </c>
      <c r="O1665" s="36" t="s">
        <v>21720</v>
      </c>
      <c r="P1665" s="36" t="s">
        <v>21707</v>
      </c>
    </row>
    <row r="1666" spans="1:16" ht="15" customHeight="1">
      <c r="A1666" s="132">
        <v>1665</v>
      </c>
      <c r="B1666" s="36" t="s">
        <v>21721</v>
      </c>
      <c r="C1666" s="36" t="s">
        <v>21722</v>
      </c>
      <c r="D1666" s="36" t="s">
        <v>21723</v>
      </c>
      <c r="E1666" s="36" t="s">
        <v>21724</v>
      </c>
      <c r="F1666" s="36" t="s">
        <v>21725</v>
      </c>
      <c r="G1666" s="36" t="s">
        <v>21726</v>
      </c>
      <c r="H1666" s="36" t="s">
        <v>21727</v>
      </c>
      <c r="I1666" s="36" t="s">
        <v>21728</v>
      </c>
      <c r="J1666" s="36" t="s">
        <v>21729</v>
      </c>
      <c r="K1666" s="36" t="s">
        <v>21730</v>
      </c>
      <c r="L1666" s="36" t="s">
        <v>21731</v>
      </c>
      <c r="M1666" s="36" t="s">
        <v>21732</v>
      </c>
      <c r="N1666" s="36" t="s">
        <v>21733</v>
      </c>
      <c r="O1666" s="36" t="s">
        <v>21734</v>
      </c>
      <c r="P1666" s="36" t="s">
        <v>21721</v>
      </c>
    </row>
    <row r="1667" spans="1:16" ht="15" customHeight="1">
      <c r="A1667" s="132">
        <v>1666</v>
      </c>
      <c r="B1667" s="36" t="s">
        <v>21735</v>
      </c>
      <c r="C1667" s="36" t="s">
        <v>29596</v>
      </c>
      <c r="D1667" s="36" t="s">
        <v>21736</v>
      </c>
      <c r="E1667" s="36" t="s">
        <v>21737</v>
      </c>
      <c r="F1667" s="36" t="s">
        <v>21738</v>
      </c>
      <c r="G1667" s="36" t="s">
        <v>21739</v>
      </c>
      <c r="H1667" s="36" t="s">
        <v>21740</v>
      </c>
      <c r="I1667" s="36" t="s">
        <v>21741</v>
      </c>
      <c r="J1667" s="36" t="s">
        <v>21742</v>
      </c>
      <c r="K1667" s="36" t="s">
        <v>21743</v>
      </c>
      <c r="L1667" s="36" t="s">
        <v>21744</v>
      </c>
      <c r="M1667" s="36" t="s">
        <v>21745</v>
      </c>
      <c r="N1667" s="36" t="s">
        <v>21746</v>
      </c>
      <c r="O1667" s="36" t="s">
        <v>21747</v>
      </c>
      <c r="P1667" s="36" t="s">
        <v>21735</v>
      </c>
    </row>
    <row r="1668" spans="1:16" ht="15" customHeight="1">
      <c r="A1668" s="132">
        <v>1667</v>
      </c>
      <c r="B1668" s="36" t="s">
        <v>21748</v>
      </c>
      <c r="C1668" s="36" t="s">
        <v>29597</v>
      </c>
      <c r="D1668" s="36" t="s">
        <v>21749</v>
      </c>
      <c r="E1668" s="36" t="s">
        <v>21750</v>
      </c>
      <c r="F1668" s="36" t="s">
        <v>21751</v>
      </c>
      <c r="G1668" s="36" t="s">
        <v>21752</v>
      </c>
      <c r="H1668" s="36" t="s">
        <v>21753</v>
      </c>
      <c r="I1668" s="36" t="s">
        <v>21754</v>
      </c>
      <c r="J1668" s="36" t="s">
        <v>21755</v>
      </c>
      <c r="K1668" s="36" t="s">
        <v>21756</v>
      </c>
      <c r="L1668" s="36" t="s">
        <v>21757</v>
      </c>
      <c r="M1668" s="36" t="s">
        <v>21758</v>
      </c>
      <c r="N1668" s="36" t="s">
        <v>21759</v>
      </c>
      <c r="O1668" s="36" t="s">
        <v>21760</v>
      </c>
      <c r="P1668" s="36" t="s">
        <v>21748</v>
      </c>
    </row>
    <row r="1669" spans="1:16" ht="15" customHeight="1">
      <c r="A1669" s="132">
        <v>1668</v>
      </c>
      <c r="B1669" s="36" t="s">
        <v>21761</v>
      </c>
      <c r="C1669" s="36" t="s">
        <v>21762</v>
      </c>
      <c r="D1669" s="36" t="s">
        <v>29598</v>
      </c>
      <c r="E1669" s="36" t="s">
        <v>21763</v>
      </c>
      <c r="F1669" s="36" t="s">
        <v>21764</v>
      </c>
      <c r="G1669" s="36" t="s">
        <v>21765</v>
      </c>
      <c r="H1669" s="36" t="s">
        <v>21766</v>
      </c>
      <c r="I1669" s="36" t="s">
        <v>21767</v>
      </c>
      <c r="J1669" s="36" t="s">
        <v>21768</v>
      </c>
      <c r="K1669" s="36" t="s">
        <v>21769</v>
      </c>
      <c r="L1669" s="36" t="s">
        <v>21770</v>
      </c>
      <c r="M1669" s="36" t="s">
        <v>21771</v>
      </c>
      <c r="N1669" s="36" t="s">
        <v>21772</v>
      </c>
      <c r="O1669" s="36" t="s">
        <v>21773</v>
      </c>
      <c r="P1669" s="36" t="s">
        <v>21774</v>
      </c>
    </row>
    <row r="1670" spans="1:16" ht="15" customHeight="1">
      <c r="A1670" s="132">
        <v>1669</v>
      </c>
      <c r="B1670" s="36" t="s">
        <v>21775</v>
      </c>
      <c r="C1670" s="36" t="s">
        <v>21776</v>
      </c>
      <c r="D1670" s="36" t="s">
        <v>21777</v>
      </c>
      <c r="E1670" s="36" t="s">
        <v>21778</v>
      </c>
      <c r="F1670" s="36" t="s">
        <v>21779</v>
      </c>
      <c r="G1670" s="36" t="s">
        <v>21780</v>
      </c>
      <c r="H1670" s="36" t="s">
        <v>21781</v>
      </c>
      <c r="I1670" s="36" t="s">
        <v>21782</v>
      </c>
      <c r="J1670" s="36" t="s">
        <v>21783</v>
      </c>
      <c r="K1670" s="36" t="s">
        <v>21784</v>
      </c>
      <c r="L1670" s="36" t="s">
        <v>21785</v>
      </c>
      <c r="M1670" s="36" t="s">
        <v>21786</v>
      </c>
      <c r="N1670" s="36" t="s">
        <v>21787</v>
      </c>
      <c r="O1670" s="36" t="s">
        <v>21788</v>
      </c>
      <c r="P1670" s="36" t="s">
        <v>21775</v>
      </c>
    </row>
    <row r="1671" spans="1:16" ht="15" customHeight="1">
      <c r="A1671" s="132">
        <v>1670</v>
      </c>
      <c r="B1671" s="36" t="s">
        <v>21789</v>
      </c>
      <c r="C1671" s="36" t="s">
        <v>21790</v>
      </c>
      <c r="D1671" s="36" t="s">
        <v>21791</v>
      </c>
      <c r="E1671" s="36" t="s">
        <v>21792</v>
      </c>
      <c r="F1671" s="36" t="s">
        <v>21793</v>
      </c>
      <c r="G1671" s="36" t="s">
        <v>21794</v>
      </c>
      <c r="H1671" s="36" t="s">
        <v>21795</v>
      </c>
      <c r="I1671" s="36" t="s">
        <v>21796</v>
      </c>
      <c r="J1671" s="36" t="s">
        <v>21797</v>
      </c>
      <c r="K1671" s="36" t="s">
        <v>21798</v>
      </c>
      <c r="L1671" s="36" t="s">
        <v>21799</v>
      </c>
      <c r="M1671" s="36" t="s">
        <v>21800</v>
      </c>
      <c r="N1671" s="36" t="s">
        <v>21801</v>
      </c>
      <c r="O1671" s="36" t="s">
        <v>21802</v>
      </c>
      <c r="P1671" s="36" t="s">
        <v>21803</v>
      </c>
    </row>
    <row r="1672" spans="1:16" ht="15" customHeight="1">
      <c r="A1672" s="132">
        <v>1671</v>
      </c>
      <c r="B1672" s="36" t="s">
        <v>21804</v>
      </c>
      <c r="C1672" s="36" t="s">
        <v>21805</v>
      </c>
      <c r="D1672" s="36" t="s">
        <v>21806</v>
      </c>
      <c r="E1672" s="36" t="s">
        <v>21807</v>
      </c>
      <c r="F1672" s="36" t="s">
        <v>21808</v>
      </c>
      <c r="G1672" s="36" t="s">
        <v>21809</v>
      </c>
      <c r="H1672" s="36" t="s">
        <v>21810</v>
      </c>
      <c r="I1672" s="36" t="s">
        <v>21811</v>
      </c>
      <c r="J1672" s="36" t="s">
        <v>21812</v>
      </c>
      <c r="K1672" s="36" t="s">
        <v>21813</v>
      </c>
      <c r="L1672" s="36" t="s">
        <v>21814</v>
      </c>
      <c r="M1672" s="36" t="s">
        <v>21815</v>
      </c>
      <c r="N1672" s="36" t="s">
        <v>21816</v>
      </c>
      <c r="O1672" s="36" t="s">
        <v>21817</v>
      </c>
      <c r="P1672" s="36" t="s">
        <v>21804</v>
      </c>
    </row>
    <row r="1673" spans="1:16" ht="15" customHeight="1">
      <c r="A1673" s="132">
        <v>1672</v>
      </c>
      <c r="B1673" s="36" t="s">
        <v>21818</v>
      </c>
      <c r="C1673" s="36" t="s">
        <v>21819</v>
      </c>
      <c r="D1673" s="36" t="s">
        <v>21820</v>
      </c>
      <c r="E1673" s="36" t="s">
        <v>21821</v>
      </c>
      <c r="F1673" s="36" t="s">
        <v>21822</v>
      </c>
      <c r="G1673" s="36" t="s">
        <v>21823</v>
      </c>
      <c r="H1673" s="36" t="s">
        <v>21824</v>
      </c>
      <c r="I1673" s="36" t="s">
        <v>21825</v>
      </c>
      <c r="J1673" s="36" t="s">
        <v>21826</v>
      </c>
      <c r="K1673" s="36" t="s">
        <v>21827</v>
      </c>
      <c r="L1673" s="36" t="s">
        <v>21828</v>
      </c>
      <c r="M1673" s="36" t="s">
        <v>21829</v>
      </c>
      <c r="N1673" s="36" t="s">
        <v>21830</v>
      </c>
      <c r="O1673" s="36" t="s">
        <v>21831</v>
      </c>
      <c r="P1673" s="36" t="s">
        <v>21818</v>
      </c>
    </row>
    <row r="1674" spans="1:16" ht="15" customHeight="1">
      <c r="A1674" s="132">
        <v>1673</v>
      </c>
      <c r="B1674" s="36" t="s">
        <v>21832</v>
      </c>
      <c r="C1674" s="36" t="s">
        <v>21819</v>
      </c>
      <c r="D1674" s="36" t="s">
        <v>21833</v>
      </c>
      <c r="E1674" s="36" t="s">
        <v>21834</v>
      </c>
      <c r="F1674" s="36" t="s">
        <v>21835</v>
      </c>
      <c r="G1674" s="36" t="s">
        <v>21836</v>
      </c>
      <c r="H1674" s="36" t="s">
        <v>21837</v>
      </c>
      <c r="I1674" s="36" t="s">
        <v>21838</v>
      </c>
      <c r="J1674" s="36" t="s">
        <v>21839</v>
      </c>
      <c r="K1674" s="36" t="s">
        <v>21840</v>
      </c>
      <c r="L1674" s="36" t="s">
        <v>21841</v>
      </c>
      <c r="M1674" s="36" t="s">
        <v>21842</v>
      </c>
      <c r="N1674" s="36" t="s">
        <v>21843</v>
      </c>
      <c r="O1674" s="36" t="s">
        <v>21844</v>
      </c>
      <c r="P1674" s="36" t="s">
        <v>21832</v>
      </c>
    </row>
    <row r="1675" spans="1:16" ht="15" customHeight="1">
      <c r="A1675" s="132">
        <v>1674</v>
      </c>
      <c r="B1675" s="36" t="s">
        <v>21845</v>
      </c>
      <c r="C1675" s="36" t="s">
        <v>21846</v>
      </c>
      <c r="D1675" s="36" t="s">
        <v>21847</v>
      </c>
      <c r="E1675" s="36" t="s">
        <v>21848</v>
      </c>
      <c r="F1675" s="36" t="s">
        <v>21849</v>
      </c>
      <c r="G1675" s="36" t="s">
        <v>21850</v>
      </c>
      <c r="H1675" s="36" t="s">
        <v>21851</v>
      </c>
      <c r="I1675" s="36" t="s">
        <v>21852</v>
      </c>
      <c r="J1675" s="36" t="s">
        <v>21853</v>
      </c>
      <c r="K1675" s="36" t="s">
        <v>21854</v>
      </c>
      <c r="L1675" s="36" t="s">
        <v>21855</v>
      </c>
      <c r="M1675" s="36" t="s">
        <v>21856</v>
      </c>
      <c r="N1675" s="36" t="s">
        <v>21857</v>
      </c>
      <c r="O1675" s="36" t="s">
        <v>21858</v>
      </c>
      <c r="P1675" s="36" t="s">
        <v>21845</v>
      </c>
    </row>
    <row r="1676" spans="1:16" ht="15" customHeight="1">
      <c r="A1676" s="132">
        <v>1675</v>
      </c>
      <c r="B1676" s="36" t="s">
        <v>21859</v>
      </c>
      <c r="C1676" s="36" t="s">
        <v>21860</v>
      </c>
      <c r="D1676" s="36" t="s">
        <v>21861</v>
      </c>
      <c r="E1676" s="36" t="s">
        <v>21862</v>
      </c>
      <c r="F1676" s="36" t="s">
        <v>21863</v>
      </c>
      <c r="G1676" s="36" t="s">
        <v>21864</v>
      </c>
      <c r="H1676" s="36" t="s">
        <v>21865</v>
      </c>
      <c r="I1676" s="36" t="s">
        <v>21866</v>
      </c>
      <c r="J1676" s="36" t="s">
        <v>21867</v>
      </c>
      <c r="K1676" s="36" t="s">
        <v>21868</v>
      </c>
      <c r="L1676" s="36" t="s">
        <v>21869</v>
      </c>
      <c r="M1676" s="36" t="s">
        <v>21870</v>
      </c>
      <c r="N1676" s="36" t="s">
        <v>21871</v>
      </c>
      <c r="O1676" s="36" t="s">
        <v>21872</v>
      </c>
      <c r="P1676" s="36" t="s">
        <v>21859</v>
      </c>
    </row>
    <row r="1677" spans="1:16" ht="15" customHeight="1">
      <c r="A1677" s="132">
        <v>1676</v>
      </c>
      <c r="B1677" s="36" t="s">
        <v>21873</v>
      </c>
      <c r="C1677" s="36" t="s">
        <v>21874</v>
      </c>
      <c r="D1677" s="36" t="s">
        <v>21875</v>
      </c>
      <c r="E1677" s="36" t="s">
        <v>21876</v>
      </c>
      <c r="F1677" s="36" t="s">
        <v>21877</v>
      </c>
      <c r="G1677" s="36" t="s">
        <v>21878</v>
      </c>
      <c r="H1677" s="36" t="s">
        <v>21879</v>
      </c>
      <c r="I1677" s="36" t="s">
        <v>21880</v>
      </c>
      <c r="J1677" s="36" t="s">
        <v>21881</v>
      </c>
      <c r="K1677" s="36" t="s">
        <v>21882</v>
      </c>
      <c r="L1677" s="36" t="s">
        <v>21883</v>
      </c>
      <c r="M1677" s="36" t="s">
        <v>21884</v>
      </c>
      <c r="N1677" s="36" t="s">
        <v>21885</v>
      </c>
      <c r="O1677" s="36" t="s">
        <v>21886</v>
      </c>
      <c r="P1677" s="36" t="s">
        <v>21873</v>
      </c>
    </row>
    <row r="1678" spans="1:16" ht="15" customHeight="1">
      <c r="A1678" s="132">
        <v>1677</v>
      </c>
      <c r="B1678" s="36" t="s">
        <v>21887</v>
      </c>
      <c r="C1678" s="36" t="s">
        <v>21888</v>
      </c>
      <c r="D1678" s="36" t="s">
        <v>21889</v>
      </c>
      <c r="E1678" s="36" t="s">
        <v>21890</v>
      </c>
      <c r="F1678" s="36" t="s">
        <v>21891</v>
      </c>
      <c r="G1678" s="36" t="s">
        <v>21892</v>
      </c>
      <c r="H1678" s="36" t="s">
        <v>21893</v>
      </c>
      <c r="I1678" s="36" t="s">
        <v>21894</v>
      </c>
      <c r="J1678" s="36" t="s">
        <v>21895</v>
      </c>
      <c r="K1678" s="36" t="s">
        <v>21896</v>
      </c>
      <c r="L1678" s="36" t="s">
        <v>21897</v>
      </c>
      <c r="M1678" s="36" t="s">
        <v>21898</v>
      </c>
      <c r="N1678" s="36" t="s">
        <v>21899</v>
      </c>
      <c r="O1678" s="36" t="s">
        <v>21900</v>
      </c>
      <c r="P1678" s="36" t="s">
        <v>21887</v>
      </c>
    </row>
    <row r="1679" spans="1:16" ht="15" customHeight="1">
      <c r="A1679" s="132">
        <v>1678</v>
      </c>
      <c r="B1679" s="36" t="s">
        <v>21901</v>
      </c>
      <c r="C1679" s="36" t="s">
        <v>21902</v>
      </c>
      <c r="D1679" s="36" t="s">
        <v>21903</v>
      </c>
      <c r="E1679" s="36" t="s">
        <v>21904</v>
      </c>
      <c r="F1679" s="36" t="s">
        <v>21905</v>
      </c>
      <c r="G1679" s="36" t="s">
        <v>21906</v>
      </c>
      <c r="H1679" s="36" t="s">
        <v>21907</v>
      </c>
      <c r="I1679" s="36" t="s">
        <v>21908</v>
      </c>
      <c r="J1679" s="36" t="s">
        <v>21909</v>
      </c>
      <c r="K1679" s="36" t="s">
        <v>21910</v>
      </c>
      <c r="L1679" s="36" t="s">
        <v>21911</v>
      </c>
      <c r="M1679" s="36" t="s">
        <v>21912</v>
      </c>
      <c r="N1679" s="36" t="s">
        <v>21913</v>
      </c>
      <c r="O1679" s="36" t="s">
        <v>21914</v>
      </c>
      <c r="P1679" s="36" t="s">
        <v>21901</v>
      </c>
    </row>
    <row r="1680" spans="1:16" ht="15" customHeight="1">
      <c r="A1680" s="132">
        <v>1679</v>
      </c>
      <c r="B1680" s="36" t="s">
        <v>21915</v>
      </c>
      <c r="C1680" s="36" t="s">
        <v>21916</v>
      </c>
      <c r="D1680" s="36" t="s">
        <v>21917</v>
      </c>
      <c r="E1680" s="36" t="s">
        <v>21918</v>
      </c>
      <c r="F1680" s="36" t="s">
        <v>21919</v>
      </c>
      <c r="G1680" s="36" t="s">
        <v>21920</v>
      </c>
      <c r="H1680" s="36" t="s">
        <v>21921</v>
      </c>
      <c r="I1680" s="36" t="s">
        <v>21922</v>
      </c>
      <c r="J1680" s="36" t="s">
        <v>21923</v>
      </c>
      <c r="K1680" s="36" t="s">
        <v>21924</v>
      </c>
      <c r="L1680" s="36" t="s">
        <v>21925</v>
      </c>
      <c r="M1680" s="36" t="s">
        <v>21926</v>
      </c>
      <c r="N1680" s="36" t="s">
        <v>21927</v>
      </c>
      <c r="O1680" s="36" t="s">
        <v>21928</v>
      </c>
      <c r="P1680" s="36" t="s">
        <v>21915</v>
      </c>
    </row>
    <row r="1681" spans="1:16" ht="15" customHeight="1">
      <c r="A1681" s="132">
        <v>1680</v>
      </c>
      <c r="B1681" s="36" t="s">
        <v>21929</v>
      </c>
      <c r="C1681" s="36" t="s">
        <v>21930</v>
      </c>
      <c r="D1681" s="36" t="s">
        <v>21931</v>
      </c>
      <c r="E1681" s="36" t="s">
        <v>21932</v>
      </c>
      <c r="F1681" s="36" t="s">
        <v>21933</v>
      </c>
      <c r="G1681" s="36" t="s">
        <v>21934</v>
      </c>
      <c r="H1681" s="36" t="s">
        <v>21935</v>
      </c>
      <c r="I1681" s="36" t="s">
        <v>21936</v>
      </c>
      <c r="J1681" s="36" t="s">
        <v>21937</v>
      </c>
      <c r="K1681" s="36" t="s">
        <v>21938</v>
      </c>
      <c r="L1681" s="36" t="s">
        <v>21939</v>
      </c>
      <c r="M1681" s="36" t="s">
        <v>21940</v>
      </c>
      <c r="N1681" s="36" t="s">
        <v>21941</v>
      </c>
      <c r="O1681" s="36" t="s">
        <v>21942</v>
      </c>
      <c r="P1681" s="36" t="s">
        <v>21929</v>
      </c>
    </row>
    <row r="1682" spans="1:16" ht="15" customHeight="1">
      <c r="A1682" s="132">
        <v>1681</v>
      </c>
      <c r="B1682" s="36" t="s">
        <v>21943</v>
      </c>
      <c r="C1682" s="36" t="s">
        <v>21944</v>
      </c>
      <c r="D1682" s="36" t="s">
        <v>21945</v>
      </c>
      <c r="E1682" s="36" t="s">
        <v>21946</v>
      </c>
      <c r="F1682" s="36" t="s">
        <v>21947</v>
      </c>
      <c r="G1682" s="36" t="s">
        <v>21948</v>
      </c>
      <c r="H1682" s="36" t="s">
        <v>21949</v>
      </c>
      <c r="I1682" s="36" t="s">
        <v>21950</v>
      </c>
      <c r="J1682" s="36" t="s">
        <v>21951</v>
      </c>
      <c r="K1682" s="36" t="s">
        <v>21952</v>
      </c>
      <c r="L1682" s="36" t="s">
        <v>21953</v>
      </c>
      <c r="M1682" s="36" t="s">
        <v>21954</v>
      </c>
      <c r="N1682" s="36" t="s">
        <v>21955</v>
      </c>
      <c r="O1682" s="36" t="s">
        <v>21956</v>
      </c>
      <c r="P1682" s="36" t="s">
        <v>21943</v>
      </c>
    </row>
    <row r="1683" spans="1:16" ht="15" customHeight="1">
      <c r="A1683" s="132">
        <v>1682</v>
      </c>
      <c r="B1683" s="36" t="s">
        <v>21957</v>
      </c>
      <c r="C1683" s="36" t="s">
        <v>21958</v>
      </c>
      <c r="D1683" s="36" t="s">
        <v>21959</v>
      </c>
      <c r="E1683" s="36" t="s">
        <v>21960</v>
      </c>
      <c r="F1683" s="36" t="s">
        <v>21961</v>
      </c>
      <c r="G1683" s="36" t="s">
        <v>21962</v>
      </c>
      <c r="H1683" s="36" t="s">
        <v>21963</v>
      </c>
      <c r="I1683" s="36" t="s">
        <v>21964</v>
      </c>
      <c r="J1683" s="36" t="s">
        <v>21965</v>
      </c>
      <c r="K1683" s="36" t="s">
        <v>21966</v>
      </c>
      <c r="L1683" s="36" t="s">
        <v>21967</v>
      </c>
      <c r="M1683" s="36" t="s">
        <v>21968</v>
      </c>
      <c r="N1683" s="36" t="s">
        <v>21969</v>
      </c>
      <c r="O1683" s="36" t="s">
        <v>21970</v>
      </c>
      <c r="P1683" s="36" t="s">
        <v>21957</v>
      </c>
    </row>
    <row r="1684" spans="1:16" ht="15" customHeight="1">
      <c r="A1684" s="132">
        <v>1683</v>
      </c>
      <c r="B1684" s="36" t="s">
        <v>21971</v>
      </c>
      <c r="C1684" s="36" t="s">
        <v>21972</v>
      </c>
      <c r="D1684" s="36" t="s">
        <v>21973</v>
      </c>
      <c r="E1684" s="36" t="s">
        <v>21974</v>
      </c>
      <c r="F1684" s="36" t="s">
        <v>21975</v>
      </c>
      <c r="G1684" s="36" t="s">
        <v>21976</v>
      </c>
      <c r="H1684" s="36" t="s">
        <v>21977</v>
      </c>
      <c r="I1684" s="36" t="s">
        <v>21978</v>
      </c>
      <c r="J1684" s="36" t="s">
        <v>21979</v>
      </c>
      <c r="K1684" s="36" t="s">
        <v>21980</v>
      </c>
      <c r="L1684" s="36" t="s">
        <v>21981</v>
      </c>
      <c r="M1684" s="36" t="s">
        <v>21982</v>
      </c>
      <c r="N1684" s="36" t="s">
        <v>21983</v>
      </c>
      <c r="O1684" s="36" t="s">
        <v>21984</v>
      </c>
      <c r="P1684" s="36" t="s">
        <v>21971</v>
      </c>
    </row>
    <row r="1685" spans="1:16" ht="15" customHeight="1">
      <c r="A1685" s="132">
        <v>1684</v>
      </c>
      <c r="B1685" s="36" t="s">
        <v>21985</v>
      </c>
      <c r="C1685" s="36" t="s">
        <v>21986</v>
      </c>
      <c r="D1685" s="36" t="s">
        <v>21987</v>
      </c>
      <c r="E1685" s="36" t="s">
        <v>21988</v>
      </c>
      <c r="F1685" s="36" t="s">
        <v>21989</v>
      </c>
      <c r="G1685" s="36" t="s">
        <v>21990</v>
      </c>
      <c r="H1685" s="36" t="s">
        <v>21991</v>
      </c>
      <c r="I1685" s="36" t="s">
        <v>21992</v>
      </c>
      <c r="J1685" s="36" t="s">
        <v>21993</v>
      </c>
      <c r="K1685" s="36" t="s">
        <v>21994</v>
      </c>
      <c r="L1685" s="36" t="s">
        <v>21995</v>
      </c>
      <c r="M1685" s="36" t="s">
        <v>21996</v>
      </c>
      <c r="N1685" s="36" t="s">
        <v>21997</v>
      </c>
      <c r="O1685" s="36" t="s">
        <v>21998</v>
      </c>
      <c r="P1685" s="36" t="s">
        <v>21985</v>
      </c>
    </row>
    <row r="1686" spans="1:16" ht="15" customHeight="1">
      <c r="A1686" s="132">
        <v>1685</v>
      </c>
      <c r="B1686" s="36" t="s">
        <v>29599</v>
      </c>
      <c r="C1686" s="36" t="s">
        <v>29600</v>
      </c>
      <c r="D1686" s="36" t="s">
        <v>29601</v>
      </c>
      <c r="E1686" s="36" t="s">
        <v>29602</v>
      </c>
      <c r="F1686" s="36" t="s">
        <v>29603</v>
      </c>
      <c r="G1686" s="36" t="s">
        <v>29604</v>
      </c>
      <c r="H1686" s="36" t="s">
        <v>29605</v>
      </c>
      <c r="I1686" s="36" t="s">
        <v>29606</v>
      </c>
      <c r="J1686" s="36" t="s">
        <v>29607</v>
      </c>
      <c r="K1686" s="36" t="s">
        <v>29608</v>
      </c>
      <c r="L1686" s="36" t="s">
        <v>29609</v>
      </c>
      <c r="M1686" s="36" t="s">
        <v>29610</v>
      </c>
      <c r="N1686" s="36" t="s">
        <v>29611</v>
      </c>
      <c r="O1686" s="36" t="s">
        <v>29612</v>
      </c>
      <c r="P1686" s="36" t="s">
        <v>29599</v>
      </c>
    </row>
    <row r="1687" spans="1:16" ht="15" customHeight="1">
      <c r="A1687" s="132">
        <v>1686</v>
      </c>
      <c r="B1687" s="36" t="s">
        <v>21999</v>
      </c>
      <c r="C1687" s="36" t="s">
        <v>22000</v>
      </c>
      <c r="D1687" s="36" t="s">
        <v>22001</v>
      </c>
      <c r="E1687" s="36" t="s">
        <v>22002</v>
      </c>
      <c r="F1687" s="36" t="s">
        <v>22003</v>
      </c>
      <c r="G1687" s="36" t="s">
        <v>22004</v>
      </c>
      <c r="H1687" s="36" t="s">
        <v>22005</v>
      </c>
      <c r="I1687" s="36" t="s">
        <v>22006</v>
      </c>
      <c r="J1687" s="36" t="s">
        <v>22007</v>
      </c>
      <c r="K1687" s="36" t="s">
        <v>22008</v>
      </c>
      <c r="L1687" s="36" t="s">
        <v>22009</v>
      </c>
      <c r="M1687" s="36" t="s">
        <v>22010</v>
      </c>
      <c r="N1687" s="36" t="s">
        <v>22011</v>
      </c>
      <c r="O1687" s="36" t="s">
        <v>22012</v>
      </c>
      <c r="P1687" s="36" t="s">
        <v>21999</v>
      </c>
    </row>
    <row r="1688" spans="1:16" ht="15" customHeight="1">
      <c r="A1688" s="132">
        <v>1687</v>
      </c>
      <c r="B1688" s="36" t="s">
        <v>22013</v>
      </c>
      <c r="C1688" s="36" t="s">
        <v>22014</v>
      </c>
      <c r="D1688" s="36" t="s">
        <v>22015</v>
      </c>
      <c r="E1688" s="36" t="s">
        <v>22016</v>
      </c>
      <c r="F1688" s="36" t="s">
        <v>22017</v>
      </c>
      <c r="G1688" s="36" t="s">
        <v>22018</v>
      </c>
      <c r="H1688" s="36" t="s">
        <v>22019</v>
      </c>
      <c r="I1688" s="36" t="s">
        <v>22020</v>
      </c>
      <c r="J1688" s="36" t="s">
        <v>22021</v>
      </c>
      <c r="K1688" s="36" t="s">
        <v>22022</v>
      </c>
      <c r="L1688" s="36" t="s">
        <v>22023</v>
      </c>
      <c r="M1688" s="36" t="s">
        <v>22024</v>
      </c>
      <c r="N1688" s="36" t="s">
        <v>22025</v>
      </c>
      <c r="O1688" s="36" t="s">
        <v>22026</v>
      </c>
      <c r="P1688" s="36" t="s">
        <v>22013</v>
      </c>
    </row>
    <row r="1689" spans="1:16" ht="15" customHeight="1">
      <c r="A1689" s="132">
        <v>1688</v>
      </c>
      <c r="B1689" s="36" t="s">
        <v>22027</v>
      </c>
      <c r="C1689" s="36" t="s">
        <v>22028</v>
      </c>
      <c r="D1689" s="36" t="s">
        <v>22029</v>
      </c>
      <c r="E1689" s="36" t="s">
        <v>29613</v>
      </c>
      <c r="F1689" s="36" t="s">
        <v>22030</v>
      </c>
      <c r="G1689" s="36" t="s">
        <v>22031</v>
      </c>
      <c r="H1689" s="36" t="s">
        <v>22032</v>
      </c>
      <c r="I1689" s="36" t="s">
        <v>22033</v>
      </c>
      <c r="J1689" s="36" t="s">
        <v>22034</v>
      </c>
      <c r="K1689" s="36" t="s">
        <v>22035</v>
      </c>
      <c r="L1689" s="36" t="s">
        <v>22036</v>
      </c>
      <c r="M1689" s="36" t="s">
        <v>22037</v>
      </c>
      <c r="N1689" s="36" t="s">
        <v>22038</v>
      </c>
      <c r="O1689" s="36" t="s">
        <v>22039</v>
      </c>
      <c r="P1689" s="36" t="s">
        <v>22027</v>
      </c>
    </row>
    <row r="1690" spans="1:16" ht="15" customHeight="1">
      <c r="A1690" s="132">
        <v>1689</v>
      </c>
      <c r="B1690" s="36" t="s">
        <v>22040</v>
      </c>
      <c r="C1690" s="36" t="s">
        <v>22041</v>
      </c>
      <c r="D1690" s="36" t="s">
        <v>22042</v>
      </c>
      <c r="E1690" s="36" t="s">
        <v>29614</v>
      </c>
      <c r="F1690" s="36" t="s">
        <v>22043</v>
      </c>
      <c r="G1690" s="36" t="s">
        <v>22044</v>
      </c>
      <c r="H1690" s="36" t="s">
        <v>22045</v>
      </c>
      <c r="I1690" s="36" t="s">
        <v>22046</v>
      </c>
      <c r="J1690" s="36" t="s">
        <v>22047</v>
      </c>
      <c r="K1690" s="36" t="s">
        <v>22048</v>
      </c>
      <c r="L1690" s="36" t="s">
        <v>22049</v>
      </c>
      <c r="M1690" s="36" t="s">
        <v>22050</v>
      </c>
      <c r="N1690" s="36" t="s">
        <v>22051</v>
      </c>
      <c r="O1690" s="36" t="s">
        <v>22052</v>
      </c>
      <c r="P1690" s="36" t="s">
        <v>22040</v>
      </c>
    </row>
    <row r="1691" spans="1:16" ht="15" customHeight="1">
      <c r="A1691" s="132">
        <v>1690</v>
      </c>
      <c r="B1691" s="36" t="s">
        <v>22053</v>
      </c>
      <c r="C1691" s="36" t="s">
        <v>22054</v>
      </c>
      <c r="D1691" s="36" t="s">
        <v>22055</v>
      </c>
      <c r="E1691" s="36" t="s">
        <v>29615</v>
      </c>
      <c r="F1691" s="36" t="s">
        <v>22056</v>
      </c>
      <c r="G1691" s="36" t="s">
        <v>22057</v>
      </c>
      <c r="H1691" s="36" t="s">
        <v>22058</v>
      </c>
      <c r="I1691" s="36" t="s">
        <v>22059</v>
      </c>
      <c r="J1691" s="36" t="s">
        <v>22060</v>
      </c>
      <c r="K1691" s="36" t="s">
        <v>22061</v>
      </c>
      <c r="L1691" s="36" t="s">
        <v>22062</v>
      </c>
      <c r="M1691" s="36" t="s">
        <v>22063</v>
      </c>
      <c r="N1691" s="36" t="s">
        <v>22064</v>
      </c>
      <c r="O1691" s="36" t="s">
        <v>22065</v>
      </c>
      <c r="P1691" s="36" t="s">
        <v>22053</v>
      </c>
    </row>
    <row r="1692" spans="1:16" ht="15" customHeight="1">
      <c r="A1692" s="132">
        <v>1691</v>
      </c>
      <c r="B1692" s="36" t="s">
        <v>22066</v>
      </c>
      <c r="C1692" s="36" t="s">
        <v>22067</v>
      </c>
      <c r="D1692" s="36" t="s">
        <v>22068</v>
      </c>
      <c r="E1692" s="36" t="s">
        <v>29616</v>
      </c>
      <c r="F1692" s="36" t="s">
        <v>22069</v>
      </c>
      <c r="G1692" s="36" t="s">
        <v>22070</v>
      </c>
      <c r="H1692" s="36" t="s">
        <v>22071</v>
      </c>
      <c r="I1692" s="36" t="s">
        <v>22072</v>
      </c>
      <c r="J1692" s="36" t="s">
        <v>22073</v>
      </c>
      <c r="K1692" s="36" t="s">
        <v>22074</v>
      </c>
      <c r="L1692" s="36" t="s">
        <v>22075</v>
      </c>
      <c r="M1692" s="36" t="s">
        <v>22076</v>
      </c>
      <c r="N1692" s="36" t="s">
        <v>22077</v>
      </c>
      <c r="O1692" s="36" t="s">
        <v>22078</v>
      </c>
      <c r="P1692" s="36" t="s">
        <v>22066</v>
      </c>
    </row>
    <row r="1693" spans="1:16" ht="15" customHeight="1">
      <c r="A1693" s="132">
        <v>1692</v>
      </c>
      <c r="B1693" s="36" t="s">
        <v>22079</v>
      </c>
      <c r="C1693" s="36" t="s">
        <v>22080</v>
      </c>
      <c r="D1693" s="36" t="s">
        <v>22081</v>
      </c>
      <c r="E1693" s="36" t="s">
        <v>29617</v>
      </c>
      <c r="F1693" s="36" t="s">
        <v>22082</v>
      </c>
      <c r="G1693" s="36" t="s">
        <v>22083</v>
      </c>
      <c r="H1693" s="36" t="s">
        <v>22084</v>
      </c>
      <c r="I1693" s="36" t="s">
        <v>22085</v>
      </c>
      <c r="J1693" s="36" t="s">
        <v>22086</v>
      </c>
      <c r="K1693" s="36" t="s">
        <v>22087</v>
      </c>
      <c r="L1693" s="36" t="s">
        <v>22088</v>
      </c>
      <c r="M1693" s="36" t="s">
        <v>22089</v>
      </c>
      <c r="N1693" s="36" t="s">
        <v>22090</v>
      </c>
      <c r="O1693" s="36" t="s">
        <v>22091</v>
      </c>
      <c r="P1693" s="36" t="s">
        <v>22079</v>
      </c>
    </row>
    <row r="1694" spans="1:16" ht="15" customHeight="1">
      <c r="A1694" s="132">
        <v>1693</v>
      </c>
      <c r="B1694" s="36" t="s">
        <v>22092</v>
      </c>
      <c r="C1694" s="36" t="s">
        <v>22093</v>
      </c>
      <c r="D1694" s="36" t="s">
        <v>22094</v>
      </c>
      <c r="E1694" s="36" t="s">
        <v>22095</v>
      </c>
      <c r="F1694" s="36" t="s">
        <v>22096</v>
      </c>
      <c r="G1694" s="36" t="s">
        <v>22097</v>
      </c>
      <c r="H1694" s="36" t="s">
        <v>22098</v>
      </c>
      <c r="I1694" s="36" t="s">
        <v>22099</v>
      </c>
      <c r="J1694" s="36" t="s">
        <v>22100</v>
      </c>
      <c r="K1694" s="36" t="s">
        <v>22101</v>
      </c>
      <c r="L1694" s="36" t="s">
        <v>22102</v>
      </c>
      <c r="M1694" s="36" t="s">
        <v>22103</v>
      </c>
      <c r="N1694" s="36" t="s">
        <v>22103</v>
      </c>
      <c r="O1694" s="36" t="s">
        <v>22104</v>
      </c>
      <c r="P1694" s="36" t="s">
        <v>22092</v>
      </c>
    </row>
    <row r="1695" spans="1:16" ht="15" customHeight="1">
      <c r="A1695" s="132">
        <v>1694</v>
      </c>
      <c r="B1695" s="36" t="s">
        <v>22105</v>
      </c>
      <c r="C1695" s="36" t="s">
        <v>22106</v>
      </c>
      <c r="D1695" s="36" t="s">
        <v>22107</v>
      </c>
      <c r="E1695" s="36" t="s">
        <v>22105</v>
      </c>
      <c r="F1695" s="36" t="s">
        <v>22105</v>
      </c>
      <c r="G1695" s="36" t="s">
        <v>22105</v>
      </c>
      <c r="H1695" s="36" t="s">
        <v>22105</v>
      </c>
      <c r="I1695" s="36" t="s">
        <v>22108</v>
      </c>
      <c r="J1695" s="36" t="s">
        <v>22109</v>
      </c>
      <c r="K1695" s="36" t="s">
        <v>22110</v>
      </c>
      <c r="L1695" s="36" t="s">
        <v>22110</v>
      </c>
      <c r="M1695" s="36" t="s">
        <v>22110</v>
      </c>
      <c r="N1695" s="36" t="s">
        <v>22110</v>
      </c>
      <c r="O1695" s="36" t="s">
        <v>22108</v>
      </c>
      <c r="P1695" s="36" t="s">
        <v>22105</v>
      </c>
    </row>
    <row r="1696" spans="1:16" ht="15" customHeight="1">
      <c r="A1696" s="132">
        <v>1695</v>
      </c>
      <c r="B1696" s="36" t="s">
        <v>22111</v>
      </c>
      <c r="C1696" s="36" t="s">
        <v>22112</v>
      </c>
      <c r="D1696" s="36" t="s">
        <v>22113</v>
      </c>
      <c r="E1696" s="36" t="s">
        <v>22114</v>
      </c>
      <c r="F1696" s="36" t="s">
        <v>22115</v>
      </c>
      <c r="G1696" s="36" t="s">
        <v>22116</v>
      </c>
      <c r="H1696" s="36" t="s">
        <v>22117</v>
      </c>
      <c r="I1696" s="36" t="s">
        <v>22118</v>
      </c>
      <c r="J1696" s="36" t="s">
        <v>22119</v>
      </c>
      <c r="K1696" s="36" t="s">
        <v>22120</v>
      </c>
      <c r="L1696" s="36" t="s">
        <v>22121</v>
      </c>
      <c r="M1696" s="36" t="s">
        <v>22122</v>
      </c>
      <c r="N1696" s="36" t="s">
        <v>22123</v>
      </c>
      <c r="O1696" s="36" t="s">
        <v>22124</v>
      </c>
      <c r="P1696" s="36" t="s">
        <v>22111</v>
      </c>
    </row>
    <row r="1697" spans="1:16" ht="15" customHeight="1">
      <c r="A1697" s="132">
        <v>1696</v>
      </c>
      <c r="B1697" s="36" t="s">
        <v>22125</v>
      </c>
      <c r="C1697" s="36" t="s">
        <v>22126</v>
      </c>
      <c r="D1697" s="36" t="s">
        <v>22127</v>
      </c>
      <c r="E1697" s="36" t="s">
        <v>22128</v>
      </c>
      <c r="F1697" s="36" t="s">
        <v>22129</v>
      </c>
      <c r="G1697" s="36" t="s">
        <v>22130</v>
      </c>
      <c r="H1697" s="36" t="s">
        <v>22131</v>
      </c>
      <c r="I1697" s="36" t="s">
        <v>22132</v>
      </c>
      <c r="J1697" s="36" t="s">
        <v>22133</v>
      </c>
      <c r="K1697" s="36" t="s">
        <v>22134</v>
      </c>
      <c r="L1697" s="36" t="s">
        <v>22135</v>
      </c>
      <c r="M1697" s="36" t="s">
        <v>22136</v>
      </c>
      <c r="N1697" s="36" t="s">
        <v>22137</v>
      </c>
      <c r="O1697" s="36" t="s">
        <v>22138</v>
      </c>
      <c r="P1697" s="36" t="s">
        <v>22125</v>
      </c>
    </row>
    <row r="1698" spans="1:16" ht="15" customHeight="1">
      <c r="A1698" s="132">
        <v>1697</v>
      </c>
      <c r="B1698" s="36" t="s">
        <v>22139</v>
      </c>
      <c r="C1698" s="36" t="s">
        <v>22140</v>
      </c>
      <c r="D1698" s="36" t="s">
        <v>22141</v>
      </c>
      <c r="E1698" s="36" t="s">
        <v>22142</v>
      </c>
      <c r="F1698" s="36" t="s">
        <v>22143</v>
      </c>
      <c r="G1698" s="36" t="s">
        <v>22144</v>
      </c>
      <c r="H1698" s="36" t="s">
        <v>22145</v>
      </c>
      <c r="I1698" s="36" t="s">
        <v>22146</v>
      </c>
      <c r="J1698" s="36" t="s">
        <v>22147</v>
      </c>
      <c r="K1698" s="36" t="s">
        <v>22148</v>
      </c>
      <c r="L1698" s="36" t="s">
        <v>22149</v>
      </c>
      <c r="M1698" s="36" t="s">
        <v>22150</v>
      </c>
      <c r="N1698" s="36" t="s">
        <v>22150</v>
      </c>
      <c r="O1698" s="36" t="s">
        <v>22151</v>
      </c>
      <c r="P1698" s="36" t="s">
        <v>22139</v>
      </c>
    </row>
    <row r="1699" spans="1:16" ht="15" customHeight="1">
      <c r="A1699" s="132">
        <v>1698</v>
      </c>
      <c r="B1699" s="36" t="s">
        <v>22152</v>
      </c>
      <c r="C1699" s="36" t="s">
        <v>6515</v>
      </c>
      <c r="D1699" s="36" t="s">
        <v>22153</v>
      </c>
      <c r="E1699" s="36" t="s">
        <v>6518</v>
      </c>
      <c r="F1699" s="36" t="s">
        <v>6518</v>
      </c>
      <c r="G1699" s="36" t="s">
        <v>6518</v>
      </c>
      <c r="H1699" s="36" t="s">
        <v>6517</v>
      </c>
      <c r="I1699" s="36" t="s">
        <v>6519</v>
      </c>
      <c r="J1699" s="36" t="s">
        <v>22154</v>
      </c>
      <c r="K1699" s="36" t="s">
        <v>22155</v>
      </c>
      <c r="L1699" s="36" t="s">
        <v>22156</v>
      </c>
      <c r="M1699" s="36" t="s">
        <v>6519</v>
      </c>
      <c r="N1699" s="36" t="s">
        <v>22157</v>
      </c>
      <c r="O1699" s="36" t="s">
        <v>22158</v>
      </c>
      <c r="P1699" s="36" t="s">
        <v>22152</v>
      </c>
    </row>
    <row r="1700" spans="1:16" ht="15" customHeight="1">
      <c r="A1700" s="132">
        <v>1699</v>
      </c>
      <c r="B1700" s="36" t="s">
        <v>22159</v>
      </c>
      <c r="C1700" s="36" t="s">
        <v>22160</v>
      </c>
      <c r="D1700" s="36" t="s">
        <v>22161</v>
      </c>
      <c r="E1700" s="36" t="s">
        <v>22162</v>
      </c>
      <c r="F1700" s="36" t="s">
        <v>22163</v>
      </c>
      <c r="G1700" s="36" t="s">
        <v>22164</v>
      </c>
      <c r="H1700" s="36" t="s">
        <v>22165</v>
      </c>
      <c r="I1700" s="36" t="s">
        <v>22163</v>
      </c>
      <c r="J1700" s="36" t="s">
        <v>22166</v>
      </c>
      <c r="K1700" s="36" t="s">
        <v>22167</v>
      </c>
      <c r="L1700" s="36" t="s">
        <v>22168</v>
      </c>
      <c r="M1700" s="36" t="s">
        <v>22169</v>
      </c>
      <c r="N1700" s="36" t="s">
        <v>22170</v>
      </c>
      <c r="O1700" s="36" t="s">
        <v>22171</v>
      </c>
      <c r="P1700" s="36" t="s">
        <v>22159</v>
      </c>
    </row>
    <row r="1701" spans="1:16" ht="15" customHeight="1">
      <c r="A1701" s="132">
        <v>1700</v>
      </c>
      <c r="B1701" s="36" t="s">
        <v>22172</v>
      </c>
      <c r="C1701" s="36" t="s">
        <v>22173</v>
      </c>
      <c r="D1701" s="36" t="s">
        <v>22174</v>
      </c>
      <c r="E1701" s="36" t="s">
        <v>22175</v>
      </c>
      <c r="F1701" s="36" t="s">
        <v>22176</v>
      </c>
      <c r="G1701" s="36" t="s">
        <v>22177</v>
      </c>
      <c r="H1701" s="36" t="s">
        <v>22178</v>
      </c>
      <c r="I1701" s="36" t="s">
        <v>22179</v>
      </c>
      <c r="J1701" s="36" t="s">
        <v>22180</v>
      </c>
      <c r="K1701" s="36" t="s">
        <v>22181</v>
      </c>
      <c r="L1701" s="36" t="s">
        <v>22182</v>
      </c>
      <c r="M1701" s="36" t="s">
        <v>22183</v>
      </c>
      <c r="N1701" s="36" t="s">
        <v>22184</v>
      </c>
      <c r="O1701" s="36" t="s">
        <v>22185</v>
      </c>
      <c r="P1701" s="36" t="s">
        <v>22172</v>
      </c>
    </row>
    <row r="1702" spans="1:16" ht="15" customHeight="1">
      <c r="A1702" s="132">
        <v>1701</v>
      </c>
      <c r="B1702" s="36" t="s">
        <v>22186</v>
      </c>
      <c r="C1702" s="36" t="s">
        <v>22187</v>
      </c>
      <c r="D1702" s="36" t="s">
        <v>22188</v>
      </c>
      <c r="E1702" s="36" t="s">
        <v>22189</v>
      </c>
      <c r="F1702" s="36" t="s">
        <v>22190</v>
      </c>
      <c r="G1702" s="36" t="s">
        <v>22191</v>
      </c>
      <c r="H1702" s="36" t="s">
        <v>22192</v>
      </c>
      <c r="I1702" s="36" t="s">
        <v>22193</v>
      </c>
      <c r="J1702" s="36" t="s">
        <v>22194</v>
      </c>
      <c r="K1702" s="36" t="s">
        <v>22195</v>
      </c>
      <c r="L1702" s="36" t="s">
        <v>22196</v>
      </c>
      <c r="M1702" s="36" t="s">
        <v>22197</v>
      </c>
      <c r="N1702" s="36" t="s">
        <v>22198</v>
      </c>
      <c r="O1702" s="36" t="s">
        <v>22199</v>
      </c>
      <c r="P1702" s="36" t="s">
        <v>22186</v>
      </c>
    </row>
    <row r="1703" spans="1:16" ht="15" customHeight="1">
      <c r="A1703" s="132">
        <v>1702</v>
      </c>
      <c r="B1703" s="36" t="s">
        <v>22200</v>
      </c>
      <c r="C1703" s="36" t="s">
        <v>22201</v>
      </c>
      <c r="D1703" s="36" t="s">
        <v>22202</v>
      </c>
      <c r="E1703" s="36" t="s">
        <v>22203</v>
      </c>
      <c r="F1703" s="36" t="s">
        <v>22204</v>
      </c>
      <c r="G1703" s="36" t="s">
        <v>22205</v>
      </c>
      <c r="H1703" s="36" t="s">
        <v>22206</v>
      </c>
      <c r="I1703" s="36" t="s">
        <v>22207</v>
      </c>
      <c r="J1703" s="36" t="s">
        <v>22208</v>
      </c>
      <c r="K1703" s="36" t="s">
        <v>22209</v>
      </c>
      <c r="L1703" s="36" t="s">
        <v>22210</v>
      </c>
      <c r="M1703" s="36" t="s">
        <v>22211</v>
      </c>
      <c r="N1703" s="36" t="s">
        <v>22212</v>
      </c>
      <c r="O1703" s="36" t="s">
        <v>22213</v>
      </c>
      <c r="P1703" s="36" t="s">
        <v>22200</v>
      </c>
    </row>
    <row r="1704" spans="1:16" ht="15" customHeight="1">
      <c r="A1704" s="132">
        <v>1703</v>
      </c>
      <c r="B1704" s="36" t="s">
        <v>22214</v>
      </c>
      <c r="C1704" s="36" t="s">
        <v>22215</v>
      </c>
      <c r="D1704" s="36" t="s">
        <v>22216</v>
      </c>
      <c r="E1704" s="36" t="s">
        <v>22217</v>
      </c>
      <c r="F1704" s="36" t="s">
        <v>22218</v>
      </c>
      <c r="G1704" s="36" t="s">
        <v>22219</v>
      </c>
      <c r="H1704" s="36" t="s">
        <v>22220</v>
      </c>
      <c r="I1704" s="36" t="s">
        <v>22221</v>
      </c>
      <c r="J1704" s="36" t="s">
        <v>22222</v>
      </c>
      <c r="K1704" s="36" t="s">
        <v>22223</v>
      </c>
      <c r="L1704" s="36" t="s">
        <v>22224</v>
      </c>
      <c r="M1704" s="36" t="s">
        <v>22225</v>
      </c>
      <c r="N1704" s="36" t="s">
        <v>22226</v>
      </c>
      <c r="O1704" s="36" t="s">
        <v>22227</v>
      </c>
      <c r="P1704" s="36" t="s">
        <v>22214</v>
      </c>
    </row>
    <row r="1705" spans="1:16" ht="15" customHeight="1">
      <c r="A1705" s="132">
        <v>1704</v>
      </c>
      <c r="B1705" s="36" t="s">
        <v>22228</v>
      </c>
      <c r="C1705" s="36" t="s">
        <v>22229</v>
      </c>
      <c r="D1705" s="36" t="s">
        <v>22230</v>
      </c>
      <c r="E1705" s="36" t="s">
        <v>22231</v>
      </c>
      <c r="F1705" s="36" t="s">
        <v>22232</v>
      </c>
      <c r="G1705" s="36" t="s">
        <v>22233</v>
      </c>
      <c r="H1705" s="36" t="s">
        <v>22234</v>
      </c>
      <c r="I1705" s="36" t="s">
        <v>22235</v>
      </c>
      <c r="J1705" s="36" t="s">
        <v>22236</v>
      </c>
      <c r="K1705" s="36" t="s">
        <v>22237</v>
      </c>
      <c r="L1705" s="36" t="s">
        <v>22238</v>
      </c>
      <c r="M1705" s="36" t="s">
        <v>22239</v>
      </c>
      <c r="N1705" s="36" t="s">
        <v>22240</v>
      </c>
      <c r="O1705" s="36" t="s">
        <v>22241</v>
      </c>
      <c r="P1705" s="36" t="s">
        <v>22228</v>
      </c>
    </row>
    <row r="1706" spans="1:16" ht="15" customHeight="1">
      <c r="A1706" s="132">
        <v>1705</v>
      </c>
      <c r="B1706" s="36" t="s">
        <v>22242</v>
      </c>
      <c r="C1706" s="36" t="s">
        <v>22243</v>
      </c>
      <c r="D1706" s="36" t="s">
        <v>22244</v>
      </c>
      <c r="E1706" s="36" t="s">
        <v>22245</v>
      </c>
      <c r="F1706" s="36" t="s">
        <v>22242</v>
      </c>
      <c r="G1706" s="36" t="s">
        <v>22242</v>
      </c>
      <c r="H1706" s="36" t="s">
        <v>22246</v>
      </c>
      <c r="I1706" s="36" t="s">
        <v>22242</v>
      </c>
      <c r="J1706" s="36" t="s">
        <v>22242</v>
      </c>
      <c r="K1706" s="36" t="s">
        <v>22242</v>
      </c>
      <c r="L1706" s="36" t="s">
        <v>22242</v>
      </c>
      <c r="M1706" s="36" t="s">
        <v>22242</v>
      </c>
      <c r="N1706" s="36" t="s">
        <v>22242</v>
      </c>
      <c r="O1706" s="36" t="s">
        <v>22242</v>
      </c>
      <c r="P1706" s="36" t="s">
        <v>22242</v>
      </c>
    </row>
    <row r="1707" spans="1:16" ht="15" customHeight="1">
      <c r="A1707" s="132">
        <v>1706</v>
      </c>
      <c r="B1707" s="36" t="s">
        <v>22247</v>
      </c>
      <c r="C1707" s="36" t="s">
        <v>22248</v>
      </c>
      <c r="D1707" s="36" t="s">
        <v>22249</v>
      </c>
      <c r="E1707" s="36" t="s">
        <v>22250</v>
      </c>
      <c r="F1707" s="36" t="s">
        <v>22251</v>
      </c>
      <c r="G1707" s="36" t="s">
        <v>22252</v>
      </c>
      <c r="H1707" s="36" t="s">
        <v>22253</v>
      </c>
      <c r="I1707" s="36" t="s">
        <v>22254</v>
      </c>
      <c r="J1707" s="36" t="s">
        <v>22255</v>
      </c>
      <c r="K1707" s="36" t="s">
        <v>22256</v>
      </c>
      <c r="L1707" s="36" t="s">
        <v>22257</v>
      </c>
      <c r="M1707" s="36" t="s">
        <v>22258</v>
      </c>
      <c r="N1707" s="36" t="s">
        <v>22259</v>
      </c>
      <c r="O1707" s="36" t="s">
        <v>22260</v>
      </c>
      <c r="P1707" s="36" t="s">
        <v>22247</v>
      </c>
    </row>
    <row r="1708" spans="1:16" ht="15" customHeight="1">
      <c r="A1708" s="132">
        <v>1707</v>
      </c>
      <c r="B1708" s="36" t="s">
        <v>22261</v>
      </c>
      <c r="C1708" s="36" t="s">
        <v>22262</v>
      </c>
      <c r="D1708" s="36" t="s">
        <v>22263</v>
      </c>
      <c r="E1708" s="36" t="s">
        <v>22264</v>
      </c>
      <c r="F1708" s="36" t="s">
        <v>22265</v>
      </c>
      <c r="G1708" s="36" t="s">
        <v>22261</v>
      </c>
      <c r="H1708" s="36" t="s">
        <v>22266</v>
      </c>
      <c r="I1708" s="36" t="s">
        <v>22267</v>
      </c>
      <c r="J1708" s="36" t="s">
        <v>22268</v>
      </c>
      <c r="K1708" s="36" t="s">
        <v>22269</v>
      </c>
      <c r="L1708" s="36" t="s">
        <v>22270</v>
      </c>
      <c r="M1708" s="36" t="s">
        <v>22271</v>
      </c>
      <c r="N1708" s="36" t="s">
        <v>22270</v>
      </c>
      <c r="O1708" s="36" t="s">
        <v>22272</v>
      </c>
      <c r="P1708" s="36" t="s">
        <v>22261</v>
      </c>
    </row>
    <row r="1709" spans="1:16" ht="15" customHeight="1">
      <c r="A1709" s="132">
        <v>1708</v>
      </c>
      <c r="B1709" s="36" t="s">
        <v>22273</v>
      </c>
      <c r="C1709" s="36" t="s">
        <v>22274</v>
      </c>
      <c r="D1709" s="36" t="s">
        <v>22275</v>
      </c>
      <c r="E1709" s="36" t="s">
        <v>22276</v>
      </c>
      <c r="F1709" s="36" t="s">
        <v>22277</v>
      </c>
      <c r="G1709" s="36" t="s">
        <v>22273</v>
      </c>
      <c r="H1709" s="36" t="s">
        <v>22278</v>
      </c>
      <c r="I1709" s="36" t="s">
        <v>22277</v>
      </c>
      <c r="J1709" s="36" t="s">
        <v>22279</v>
      </c>
      <c r="K1709" s="36" t="s">
        <v>22280</v>
      </c>
      <c r="L1709" s="36" t="s">
        <v>22281</v>
      </c>
      <c r="M1709" s="36" t="s">
        <v>22282</v>
      </c>
      <c r="N1709" s="36" t="s">
        <v>22282</v>
      </c>
      <c r="O1709" s="36" t="s">
        <v>22280</v>
      </c>
      <c r="P1709" s="36" t="s">
        <v>22273</v>
      </c>
    </row>
    <row r="1710" spans="1:16" ht="15" customHeight="1">
      <c r="A1710" s="132">
        <v>1709</v>
      </c>
      <c r="B1710" s="36" t="s">
        <v>22283</v>
      </c>
      <c r="C1710" s="36" t="s">
        <v>22284</v>
      </c>
      <c r="D1710" s="36" t="s">
        <v>22285</v>
      </c>
      <c r="E1710" s="36" t="s">
        <v>22276</v>
      </c>
      <c r="F1710" s="36" t="s">
        <v>22286</v>
      </c>
      <c r="G1710" s="36" t="s">
        <v>22286</v>
      </c>
      <c r="H1710" s="36" t="s">
        <v>22287</v>
      </c>
      <c r="I1710" s="36" t="s">
        <v>22288</v>
      </c>
      <c r="J1710" s="36" t="s">
        <v>22289</v>
      </c>
      <c r="K1710" s="36" t="s">
        <v>22290</v>
      </c>
      <c r="L1710" s="36" t="s">
        <v>22291</v>
      </c>
      <c r="M1710" s="36" t="s">
        <v>22292</v>
      </c>
      <c r="N1710" s="36" t="s">
        <v>22292</v>
      </c>
      <c r="O1710" s="36" t="s">
        <v>22293</v>
      </c>
      <c r="P1710" s="36" t="s">
        <v>22283</v>
      </c>
    </row>
    <row r="1711" spans="1:16" ht="15" customHeight="1">
      <c r="A1711" s="132">
        <v>1710</v>
      </c>
      <c r="B1711" s="36" t="s">
        <v>22294</v>
      </c>
      <c r="C1711" s="36" t="s">
        <v>22295</v>
      </c>
      <c r="D1711" s="36" t="s">
        <v>22296</v>
      </c>
      <c r="E1711" s="36" t="s">
        <v>22297</v>
      </c>
      <c r="F1711" s="36" t="s">
        <v>22298</v>
      </c>
      <c r="G1711" s="36" t="s">
        <v>22299</v>
      </c>
      <c r="H1711" s="36" t="s">
        <v>22300</v>
      </c>
      <c r="I1711" s="36" t="s">
        <v>22301</v>
      </c>
      <c r="J1711" s="36" t="s">
        <v>22302</v>
      </c>
      <c r="K1711" s="36" t="s">
        <v>22303</v>
      </c>
      <c r="L1711" s="36" t="s">
        <v>22304</v>
      </c>
      <c r="M1711" s="36" t="s">
        <v>22305</v>
      </c>
      <c r="N1711" s="36" t="s">
        <v>22306</v>
      </c>
      <c r="O1711" s="36" t="s">
        <v>22307</v>
      </c>
      <c r="P1711" s="36" t="s">
        <v>22294</v>
      </c>
    </row>
    <row r="1712" spans="1:16" ht="15" customHeight="1">
      <c r="A1712" s="132">
        <v>1711</v>
      </c>
      <c r="B1712" s="36" t="s">
        <v>22308</v>
      </c>
      <c r="C1712" s="36" t="s">
        <v>22309</v>
      </c>
      <c r="D1712" s="36" t="s">
        <v>22310</v>
      </c>
      <c r="E1712" s="36" t="s">
        <v>22311</v>
      </c>
      <c r="F1712" s="36" t="s">
        <v>22298</v>
      </c>
      <c r="G1712" s="36" t="s">
        <v>22312</v>
      </c>
      <c r="H1712" s="36" t="s">
        <v>22313</v>
      </c>
      <c r="I1712" s="36" t="s">
        <v>22314</v>
      </c>
      <c r="J1712" s="36" t="s">
        <v>22315</v>
      </c>
      <c r="K1712" s="36" t="s">
        <v>22316</v>
      </c>
      <c r="L1712" s="36" t="s">
        <v>22317</v>
      </c>
      <c r="M1712" s="36" t="s">
        <v>22318</v>
      </c>
      <c r="N1712" s="36" t="s">
        <v>22319</v>
      </c>
      <c r="O1712" s="36" t="s">
        <v>22320</v>
      </c>
      <c r="P1712" s="36" t="s">
        <v>22308</v>
      </c>
    </row>
    <row r="1713" spans="1:16" ht="15" customHeight="1">
      <c r="A1713" s="132">
        <v>1712</v>
      </c>
      <c r="B1713" s="36" t="s">
        <v>22321</v>
      </c>
      <c r="C1713" s="36" t="s">
        <v>22322</v>
      </c>
      <c r="D1713" s="36" t="s">
        <v>22323</v>
      </c>
      <c r="E1713" s="36" t="s">
        <v>22324</v>
      </c>
      <c r="F1713" s="36" t="s">
        <v>22325</v>
      </c>
      <c r="G1713" s="36" t="s">
        <v>22326</v>
      </c>
      <c r="H1713" s="36" t="s">
        <v>22327</v>
      </c>
      <c r="I1713" s="36" t="s">
        <v>22328</v>
      </c>
      <c r="J1713" s="36" t="s">
        <v>22329</v>
      </c>
      <c r="K1713" s="36" t="s">
        <v>22330</v>
      </c>
      <c r="L1713" s="36" t="s">
        <v>22331</v>
      </c>
      <c r="M1713" s="36" t="s">
        <v>22332</v>
      </c>
      <c r="N1713" s="36" t="s">
        <v>22333</v>
      </c>
      <c r="O1713" s="36" t="s">
        <v>22334</v>
      </c>
      <c r="P1713" s="36" t="s">
        <v>22321</v>
      </c>
    </row>
    <row r="1714" spans="1:16" ht="15" customHeight="1">
      <c r="A1714" s="132">
        <v>1713</v>
      </c>
      <c r="B1714" s="36" t="s">
        <v>22335</v>
      </c>
      <c r="C1714" s="36" t="s">
        <v>22335</v>
      </c>
      <c r="D1714" s="36" t="s">
        <v>22336</v>
      </c>
      <c r="E1714" s="36" t="s">
        <v>22337</v>
      </c>
      <c r="F1714" s="36" t="s">
        <v>22338</v>
      </c>
      <c r="G1714" s="36" t="s">
        <v>22339</v>
      </c>
      <c r="H1714" s="36" t="s">
        <v>22340</v>
      </c>
      <c r="I1714" s="36" t="s">
        <v>22341</v>
      </c>
      <c r="J1714" s="36" t="s">
        <v>22342</v>
      </c>
      <c r="K1714" s="36" t="s">
        <v>22343</v>
      </c>
      <c r="L1714" s="36" t="s">
        <v>22344</v>
      </c>
      <c r="M1714" s="36" t="s">
        <v>22345</v>
      </c>
      <c r="N1714" s="36" t="s">
        <v>22346</v>
      </c>
      <c r="O1714" s="36" t="s">
        <v>22347</v>
      </c>
      <c r="P1714" s="36" t="s">
        <v>22335</v>
      </c>
    </row>
    <row r="1715" spans="1:16" ht="15" customHeight="1">
      <c r="A1715" s="132">
        <v>1714</v>
      </c>
      <c r="B1715" s="36" t="s">
        <v>22348</v>
      </c>
      <c r="C1715" s="36" t="s">
        <v>22349</v>
      </c>
      <c r="D1715" s="36" t="s">
        <v>22350</v>
      </c>
      <c r="E1715" s="36" t="s">
        <v>22351</v>
      </c>
      <c r="F1715" s="36" t="s">
        <v>22352</v>
      </c>
      <c r="G1715" s="36" t="s">
        <v>22353</v>
      </c>
      <c r="H1715" s="36" t="s">
        <v>22354</v>
      </c>
      <c r="I1715" s="36" t="s">
        <v>22355</v>
      </c>
      <c r="J1715" s="36" t="s">
        <v>22356</v>
      </c>
      <c r="K1715" s="36" t="s">
        <v>22357</v>
      </c>
      <c r="L1715" s="36" t="s">
        <v>22358</v>
      </c>
      <c r="M1715" s="36" t="s">
        <v>22358</v>
      </c>
      <c r="N1715" s="36" t="s">
        <v>22358</v>
      </c>
      <c r="O1715" s="36" t="s">
        <v>22359</v>
      </c>
      <c r="P1715" s="36" t="s">
        <v>22348</v>
      </c>
    </row>
    <row r="1716" spans="1:16" ht="15" customHeight="1">
      <c r="A1716" s="132">
        <v>1715</v>
      </c>
      <c r="B1716" s="36" t="s">
        <v>22360</v>
      </c>
      <c r="C1716" s="36" t="s">
        <v>22361</v>
      </c>
      <c r="D1716" s="36" t="s">
        <v>22362</v>
      </c>
      <c r="E1716" s="36" t="s">
        <v>22363</v>
      </c>
      <c r="F1716" s="36" t="s">
        <v>22364</v>
      </c>
      <c r="G1716" s="36" t="s">
        <v>22365</v>
      </c>
      <c r="H1716" s="36" t="s">
        <v>22366</v>
      </c>
      <c r="I1716" s="36" t="s">
        <v>22367</v>
      </c>
      <c r="J1716" s="36" t="s">
        <v>22368</v>
      </c>
      <c r="K1716" s="36" t="s">
        <v>22369</v>
      </c>
      <c r="L1716" s="36" t="s">
        <v>22370</v>
      </c>
      <c r="M1716" s="36" t="s">
        <v>22371</v>
      </c>
      <c r="N1716" s="36" t="s">
        <v>22372</v>
      </c>
      <c r="O1716" s="36" t="s">
        <v>22373</v>
      </c>
      <c r="P1716" s="36" t="s">
        <v>22360</v>
      </c>
    </row>
    <row r="1717" spans="1:16" ht="15" customHeight="1">
      <c r="A1717" s="132">
        <v>1716</v>
      </c>
      <c r="B1717" s="36" t="s">
        <v>22374</v>
      </c>
      <c r="C1717" s="36" t="s">
        <v>22375</v>
      </c>
      <c r="D1717" s="36" t="s">
        <v>22376</v>
      </c>
      <c r="E1717" s="36" t="s">
        <v>22377</v>
      </c>
      <c r="F1717" s="36" t="s">
        <v>22378</v>
      </c>
      <c r="G1717" s="36" t="s">
        <v>22379</v>
      </c>
      <c r="H1717" s="36" t="s">
        <v>22380</v>
      </c>
      <c r="I1717" s="36" t="s">
        <v>22381</v>
      </c>
      <c r="J1717" s="36" t="s">
        <v>22382</v>
      </c>
      <c r="K1717" s="36" t="s">
        <v>22383</v>
      </c>
      <c r="L1717" s="36" t="s">
        <v>22384</v>
      </c>
      <c r="M1717" s="36" t="s">
        <v>22385</v>
      </c>
      <c r="N1717" s="36" t="s">
        <v>22386</v>
      </c>
      <c r="O1717" s="36" t="s">
        <v>22387</v>
      </c>
      <c r="P1717" s="36" t="s">
        <v>22374</v>
      </c>
    </row>
    <row r="1718" spans="1:16" ht="15" customHeight="1">
      <c r="A1718" s="132">
        <v>1717</v>
      </c>
      <c r="B1718" s="36" t="s">
        <v>22388</v>
      </c>
      <c r="C1718" s="36" t="s">
        <v>22389</v>
      </c>
      <c r="D1718" s="36" t="s">
        <v>22390</v>
      </c>
      <c r="E1718" s="36" t="s">
        <v>22391</v>
      </c>
      <c r="F1718" s="36" t="s">
        <v>22392</v>
      </c>
      <c r="G1718" s="36" t="s">
        <v>22393</v>
      </c>
      <c r="H1718" s="36" t="s">
        <v>22394</v>
      </c>
      <c r="I1718" s="36" t="s">
        <v>22395</v>
      </c>
      <c r="J1718" s="36" t="s">
        <v>22396</v>
      </c>
      <c r="K1718" s="36" t="s">
        <v>22397</v>
      </c>
      <c r="L1718" s="36" t="s">
        <v>22398</v>
      </c>
      <c r="M1718" s="36" t="s">
        <v>22399</v>
      </c>
      <c r="N1718" s="36" t="s">
        <v>22400</v>
      </c>
      <c r="O1718" s="36" t="s">
        <v>22401</v>
      </c>
      <c r="P1718" s="36" t="s">
        <v>22388</v>
      </c>
    </row>
    <row r="1719" spans="1:16" ht="15" customHeight="1">
      <c r="A1719" s="132">
        <v>1718</v>
      </c>
      <c r="B1719" s="36" t="s">
        <v>22402</v>
      </c>
      <c r="C1719" s="36" t="s">
        <v>22403</v>
      </c>
      <c r="D1719" s="36" t="s">
        <v>22404</v>
      </c>
      <c r="E1719" s="36" t="s">
        <v>22405</v>
      </c>
      <c r="F1719" s="36" t="s">
        <v>22406</v>
      </c>
      <c r="G1719" s="36" t="s">
        <v>22407</v>
      </c>
      <c r="H1719" s="36" t="s">
        <v>22408</v>
      </c>
      <c r="I1719" s="36" t="s">
        <v>22409</v>
      </c>
      <c r="J1719" s="36" t="s">
        <v>22410</v>
      </c>
      <c r="K1719" s="36" t="s">
        <v>22411</v>
      </c>
      <c r="L1719" s="36" t="s">
        <v>22412</v>
      </c>
      <c r="M1719" s="36" t="s">
        <v>22413</v>
      </c>
      <c r="N1719" s="36" t="s">
        <v>22414</v>
      </c>
      <c r="O1719" s="36" t="s">
        <v>22415</v>
      </c>
      <c r="P1719" s="36" t="s">
        <v>22402</v>
      </c>
    </row>
    <row r="1720" spans="1:16" ht="15" customHeight="1">
      <c r="A1720" s="132">
        <v>1719</v>
      </c>
      <c r="B1720" s="36" t="s">
        <v>22416</v>
      </c>
      <c r="C1720" s="36" t="s">
        <v>22417</v>
      </c>
      <c r="D1720" s="36" t="s">
        <v>22418</v>
      </c>
      <c r="E1720" s="36" t="s">
        <v>22419</v>
      </c>
      <c r="F1720" s="36" t="s">
        <v>22420</v>
      </c>
      <c r="G1720" s="36" t="s">
        <v>22421</v>
      </c>
      <c r="H1720" s="36" t="s">
        <v>22422</v>
      </c>
      <c r="I1720" s="36" t="s">
        <v>22423</v>
      </c>
      <c r="J1720" s="36" t="s">
        <v>22424</v>
      </c>
      <c r="K1720" s="36" t="s">
        <v>22425</v>
      </c>
      <c r="L1720" s="36" t="s">
        <v>22426</v>
      </c>
      <c r="M1720" s="36" t="s">
        <v>22427</v>
      </c>
      <c r="N1720" s="36" t="s">
        <v>22428</v>
      </c>
      <c r="O1720" s="36" t="s">
        <v>22429</v>
      </c>
      <c r="P1720" s="36" t="s">
        <v>22416</v>
      </c>
    </row>
    <row r="1721" spans="1:16" ht="15" customHeight="1">
      <c r="A1721" s="132">
        <v>1720</v>
      </c>
      <c r="B1721" s="36" t="s">
        <v>22430</v>
      </c>
      <c r="C1721" s="36" t="s">
        <v>22431</v>
      </c>
      <c r="D1721" s="36" t="s">
        <v>22432</v>
      </c>
      <c r="E1721" s="36" t="s">
        <v>22433</v>
      </c>
      <c r="F1721" s="36" t="s">
        <v>22434</v>
      </c>
      <c r="G1721" s="36" t="s">
        <v>22435</v>
      </c>
      <c r="H1721" s="36" t="s">
        <v>22436</v>
      </c>
      <c r="I1721" s="36" t="s">
        <v>22437</v>
      </c>
      <c r="J1721" s="36" t="s">
        <v>22438</v>
      </c>
      <c r="K1721" s="36" t="s">
        <v>22439</v>
      </c>
      <c r="L1721" s="36" t="s">
        <v>22440</v>
      </c>
      <c r="M1721" s="36" t="s">
        <v>22441</v>
      </c>
      <c r="N1721" s="36" t="s">
        <v>22442</v>
      </c>
      <c r="O1721" s="36" t="s">
        <v>22443</v>
      </c>
      <c r="P1721" s="36" t="s">
        <v>22430</v>
      </c>
    </row>
    <row r="1722" spans="1:16" ht="15" customHeight="1">
      <c r="A1722" s="132">
        <v>1721</v>
      </c>
      <c r="B1722" s="36" t="s">
        <v>22444</v>
      </c>
      <c r="C1722" s="36" t="s">
        <v>22445</v>
      </c>
      <c r="D1722" s="36" t="s">
        <v>22446</v>
      </c>
      <c r="E1722" s="36" t="s">
        <v>22447</v>
      </c>
      <c r="F1722" s="36" t="s">
        <v>22448</v>
      </c>
      <c r="G1722" s="36" t="s">
        <v>22449</v>
      </c>
      <c r="H1722" s="36" t="s">
        <v>22450</v>
      </c>
      <c r="I1722" s="36" t="s">
        <v>22451</v>
      </c>
      <c r="J1722" s="36" t="s">
        <v>22452</v>
      </c>
      <c r="K1722" s="36" t="s">
        <v>22453</v>
      </c>
      <c r="L1722" s="36" t="s">
        <v>22454</v>
      </c>
      <c r="M1722" s="36" t="s">
        <v>22455</v>
      </c>
      <c r="N1722" s="36" t="s">
        <v>22456</v>
      </c>
      <c r="O1722" s="36" t="s">
        <v>22457</v>
      </c>
      <c r="P1722" s="36" t="s">
        <v>22444</v>
      </c>
    </row>
    <row r="1723" spans="1:16" ht="15" customHeight="1">
      <c r="A1723" s="132">
        <v>1722</v>
      </c>
      <c r="B1723" s="36" t="s">
        <v>22458</v>
      </c>
      <c r="C1723" s="36" t="s">
        <v>22459</v>
      </c>
      <c r="D1723" s="36" t="s">
        <v>22460</v>
      </c>
      <c r="E1723" s="36" t="s">
        <v>22461</v>
      </c>
      <c r="F1723" s="36" t="s">
        <v>22462</v>
      </c>
      <c r="G1723" s="36" t="s">
        <v>22463</v>
      </c>
      <c r="H1723" s="36" t="s">
        <v>22464</v>
      </c>
      <c r="I1723" s="36" t="s">
        <v>22465</v>
      </c>
      <c r="J1723" s="36" t="s">
        <v>22466</v>
      </c>
      <c r="K1723" s="36" t="s">
        <v>22467</v>
      </c>
      <c r="L1723" s="36" t="s">
        <v>22468</v>
      </c>
      <c r="M1723" s="36" t="s">
        <v>22469</v>
      </c>
      <c r="N1723" s="36" t="s">
        <v>22470</v>
      </c>
      <c r="O1723" s="36" t="s">
        <v>22471</v>
      </c>
      <c r="P1723" s="36" t="s">
        <v>22458</v>
      </c>
    </row>
    <row r="1724" spans="1:16" ht="15" customHeight="1">
      <c r="A1724" s="132">
        <v>1723</v>
      </c>
      <c r="B1724" s="36" t="s">
        <v>22472</v>
      </c>
      <c r="C1724" s="36" t="s">
        <v>22473</v>
      </c>
      <c r="D1724" s="36" t="s">
        <v>22474</v>
      </c>
      <c r="E1724" s="36" t="s">
        <v>22475</v>
      </c>
      <c r="F1724" s="36" t="s">
        <v>22476</v>
      </c>
      <c r="G1724" s="36" t="s">
        <v>22477</v>
      </c>
      <c r="H1724" s="36" t="s">
        <v>22478</v>
      </c>
      <c r="I1724" s="36" t="s">
        <v>22479</v>
      </c>
      <c r="J1724" s="36" t="s">
        <v>22480</v>
      </c>
      <c r="K1724" s="36" t="s">
        <v>22481</v>
      </c>
      <c r="L1724" s="36" t="s">
        <v>22482</v>
      </c>
      <c r="M1724" s="36" t="s">
        <v>22483</v>
      </c>
      <c r="N1724" s="36" t="s">
        <v>22484</v>
      </c>
      <c r="O1724" s="36" t="s">
        <v>22485</v>
      </c>
      <c r="P1724" s="36" t="s">
        <v>22472</v>
      </c>
    </row>
    <row r="1725" spans="1:16" ht="15" customHeight="1">
      <c r="A1725" s="132">
        <v>1724</v>
      </c>
      <c r="B1725" s="36" t="s">
        <v>22486</v>
      </c>
      <c r="C1725" s="36" t="s">
        <v>22487</v>
      </c>
      <c r="D1725" s="36" t="s">
        <v>22488</v>
      </c>
      <c r="E1725" s="36" t="s">
        <v>22489</v>
      </c>
      <c r="F1725" s="36" t="s">
        <v>22490</v>
      </c>
      <c r="G1725" s="36" t="s">
        <v>22491</v>
      </c>
      <c r="H1725" s="36" t="s">
        <v>22492</v>
      </c>
      <c r="I1725" s="36" t="s">
        <v>22493</v>
      </c>
      <c r="J1725" s="36" t="s">
        <v>22494</v>
      </c>
      <c r="K1725" s="36" t="s">
        <v>22495</v>
      </c>
      <c r="L1725" s="36" t="s">
        <v>22496</v>
      </c>
      <c r="M1725" s="36" t="s">
        <v>22497</v>
      </c>
      <c r="N1725" s="36" t="s">
        <v>22498</v>
      </c>
      <c r="O1725" s="36" t="s">
        <v>22499</v>
      </c>
      <c r="P1725" s="36" t="s">
        <v>22486</v>
      </c>
    </row>
    <row r="1726" spans="1:16" ht="15" customHeight="1">
      <c r="A1726" s="132">
        <v>1725</v>
      </c>
      <c r="B1726" s="36" t="s">
        <v>29618</v>
      </c>
      <c r="C1726" s="36" t="s">
        <v>22500</v>
      </c>
      <c r="D1726" s="36" t="s">
        <v>22501</v>
      </c>
      <c r="E1726" s="36" t="s">
        <v>22502</v>
      </c>
      <c r="F1726" s="36" t="s">
        <v>22503</v>
      </c>
      <c r="G1726" s="36" t="s">
        <v>22504</v>
      </c>
      <c r="H1726" s="36" t="s">
        <v>22505</v>
      </c>
      <c r="I1726" s="36" t="s">
        <v>22506</v>
      </c>
      <c r="J1726" s="36" t="s">
        <v>22507</v>
      </c>
      <c r="K1726" s="36" t="s">
        <v>22508</v>
      </c>
      <c r="L1726" s="36" t="s">
        <v>22509</v>
      </c>
      <c r="M1726" s="36" t="s">
        <v>22510</v>
      </c>
      <c r="N1726" s="36" t="s">
        <v>22511</v>
      </c>
      <c r="O1726" s="36" t="s">
        <v>22512</v>
      </c>
      <c r="P1726" s="36" t="s">
        <v>29618</v>
      </c>
    </row>
    <row r="1727" spans="1:16" ht="15" customHeight="1">
      <c r="A1727" s="132">
        <v>1726</v>
      </c>
      <c r="B1727" s="36" t="s">
        <v>22513</v>
      </c>
      <c r="C1727" s="36" t="s">
        <v>22514</v>
      </c>
      <c r="D1727" s="36" t="s">
        <v>22515</v>
      </c>
      <c r="E1727" s="36" t="s">
        <v>22516</v>
      </c>
      <c r="F1727" s="36" t="s">
        <v>22490</v>
      </c>
      <c r="G1727" s="36" t="s">
        <v>22517</v>
      </c>
      <c r="H1727" s="36" t="s">
        <v>22518</v>
      </c>
      <c r="I1727" s="36" t="s">
        <v>22519</v>
      </c>
      <c r="J1727" s="36" t="s">
        <v>22520</v>
      </c>
      <c r="K1727" s="36" t="s">
        <v>22521</v>
      </c>
      <c r="L1727" s="36" t="s">
        <v>22522</v>
      </c>
      <c r="M1727" s="36" t="s">
        <v>22523</v>
      </c>
      <c r="N1727" s="36" t="s">
        <v>22524</v>
      </c>
      <c r="O1727" s="36" t="s">
        <v>22525</v>
      </c>
      <c r="P1727" s="36" t="s">
        <v>22513</v>
      </c>
    </row>
    <row r="1728" spans="1:16" ht="15" customHeight="1">
      <c r="A1728" s="132">
        <v>1727</v>
      </c>
      <c r="B1728" s="36" t="s">
        <v>22526</v>
      </c>
      <c r="C1728" s="36" t="s">
        <v>22527</v>
      </c>
      <c r="D1728" s="36" t="s">
        <v>22528</v>
      </c>
      <c r="E1728" s="36" t="s">
        <v>22529</v>
      </c>
      <c r="F1728" s="36" t="s">
        <v>22530</v>
      </c>
      <c r="G1728" s="36" t="s">
        <v>22531</v>
      </c>
      <c r="H1728" s="36" t="s">
        <v>22532</v>
      </c>
      <c r="I1728" s="36" t="s">
        <v>22533</v>
      </c>
      <c r="J1728" s="36" t="s">
        <v>22534</v>
      </c>
      <c r="K1728" s="36" t="s">
        <v>22535</v>
      </c>
      <c r="L1728" s="36" t="s">
        <v>22536</v>
      </c>
      <c r="M1728" s="36" t="s">
        <v>22537</v>
      </c>
      <c r="N1728" s="36" t="s">
        <v>22538</v>
      </c>
      <c r="O1728" s="36" t="s">
        <v>22539</v>
      </c>
      <c r="P1728" s="36" t="s">
        <v>22526</v>
      </c>
    </row>
    <row r="1729" spans="1:16" ht="15" customHeight="1">
      <c r="A1729" s="132">
        <v>1728</v>
      </c>
      <c r="B1729" s="36" t="s">
        <v>22540</v>
      </c>
      <c r="C1729" s="36" t="s">
        <v>22541</v>
      </c>
      <c r="D1729" s="36" t="s">
        <v>22542</v>
      </c>
      <c r="E1729" s="36" t="s">
        <v>22543</v>
      </c>
      <c r="F1729" s="36" t="s">
        <v>22544</v>
      </c>
      <c r="G1729" s="36" t="s">
        <v>22545</v>
      </c>
      <c r="H1729" s="36" t="s">
        <v>22546</v>
      </c>
      <c r="I1729" s="36" t="s">
        <v>22547</v>
      </c>
      <c r="J1729" s="36" t="s">
        <v>22548</v>
      </c>
      <c r="K1729" s="36" t="s">
        <v>22549</v>
      </c>
      <c r="L1729" s="36" t="s">
        <v>22550</v>
      </c>
      <c r="M1729" s="36" t="s">
        <v>22551</v>
      </c>
      <c r="N1729" s="36" t="s">
        <v>22552</v>
      </c>
      <c r="O1729" s="36" t="s">
        <v>22553</v>
      </c>
      <c r="P1729" s="36" t="s">
        <v>22540</v>
      </c>
    </row>
    <row r="1730" spans="1:16" ht="15" customHeight="1">
      <c r="A1730" s="132">
        <v>1729</v>
      </c>
      <c r="B1730" s="36" t="s">
        <v>22554</v>
      </c>
      <c r="C1730" s="36" t="s">
        <v>22555</v>
      </c>
      <c r="D1730" s="36" t="s">
        <v>22556</v>
      </c>
      <c r="E1730" s="36" t="s">
        <v>22557</v>
      </c>
      <c r="F1730" s="36" t="s">
        <v>22558</v>
      </c>
      <c r="G1730" s="36" t="s">
        <v>22559</v>
      </c>
      <c r="H1730" s="36" t="s">
        <v>22560</v>
      </c>
      <c r="I1730" s="36" t="s">
        <v>22561</v>
      </c>
      <c r="J1730" s="36" t="s">
        <v>22562</v>
      </c>
      <c r="K1730" s="36" t="s">
        <v>22563</v>
      </c>
      <c r="L1730" s="36" t="s">
        <v>22564</v>
      </c>
      <c r="M1730" s="36" t="s">
        <v>22565</v>
      </c>
      <c r="N1730" s="36" t="s">
        <v>22566</v>
      </c>
      <c r="O1730" s="36" t="s">
        <v>22567</v>
      </c>
      <c r="P1730" s="36" t="s">
        <v>22554</v>
      </c>
    </row>
    <row r="1731" spans="1:16" ht="15" customHeight="1">
      <c r="A1731" s="132">
        <v>1730</v>
      </c>
      <c r="B1731" s="36" t="s">
        <v>22568</v>
      </c>
      <c r="C1731" s="36" t="s">
        <v>22569</v>
      </c>
      <c r="D1731" s="36" t="s">
        <v>22570</v>
      </c>
      <c r="E1731" s="36" t="s">
        <v>22571</v>
      </c>
      <c r="F1731" s="36" t="s">
        <v>22572</v>
      </c>
      <c r="G1731" s="36" t="s">
        <v>22573</v>
      </c>
      <c r="H1731" s="36" t="s">
        <v>22574</v>
      </c>
      <c r="I1731" s="36" t="s">
        <v>22575</v>
      </c>
      <c r="J1731" s="36" t="s">
        <v>22576</v>
      </c>
      <c r="K1731" s="36" t="s">
        <v>22577</v>
      </c>
      <c r="L1731" s="36" t="s">
        <v>22578</v>
      </c>
      <c r="M1731" s="36" t="s">
        <v>22579</v>
      </c>
      <c r="N1731" s="36" t="s">
        <v>22580</v>
      </c>
      <c r="O1731" s="36" t="s">
        <v>22581</v>
      </c>
      <c r="P1731" s="36" t="s">
        <v>22568</v>
      </c>
    </row>
    <row r="1732" spans="1:16" ht="15" customHeight="1">
      <c r="A1732" s="132">
        <v>1731</v>
      </c>
      <c r="B1732" s="36" t="s">
        <v>22582</v>
      </c>
      <c r="C1732" s="36" t="s">
        <v>22583</v>
      </c>
      <c r="D1732" s="36" t="s">
        <v>22584</v>
      </c>
      <c r="E1732" s="36" t="s">
        <v>22585</v>
      </c>
      <c r="F1732" s="36" t="s">
        <v>22586</v>
      </c>
      <c r="G1732" s="36" t="s">
        <v>22587</v>
      </c>
      <c r="H1732" s="36" t="s">
        <v>22588</v>
      </c>
      <c r="I1732" s="36" t="s">
        <v>22589</v>
      </c>
      <c r="J1732" s="36" t="s">
        <v>22590</v>
      </c>
      <c r="K1732" s="36" t="s">
        <v>22591</v>
      </c>
      <c r="L1732" s="36" t="s">
        <v>22592</v>
      </c>
      <c r="M1732" s="36" t="s">
        <v>22593</v>
      </c>
      <c r="N1732" s="36" t="s">
        <v>22593</v>
      </c>
      <c r="O1732" s="36" t="s">
        <v>22594</v>
      </c>
      <c r="P1732" s="36" t="s">
        <v>22582</v>
      </c>
    </row>
    <row r="1733" spans="1:16" ht="15" customHeight="1">
      <c r="A1733" s="132">
        <v>1732</v>
      </c>
      <c r="B1733" s="36" t="s">
        <v>22595</v>
      </c>
      <c r="C1733" s="36" t="s">
        <v>22596</v>
      </c>
      <c r="D1733" s="36" t="s">
        <v>22597</v>
      </c>
      <c r="E1733" s="36" t="s">
        <v>22598</v>
      </c>
      <c r="F1733" s="36" t="s">
        <v>22599</v>
      </c>
      <c r="G1733" s="36" t="s">
        <v>22600</v>
      </c>
      <c r="H1733" s="36" t="s">
        <v>22601</v>
      </c>
      <c r="I1733" s="36" t="s">
        <v>22602</v>
      </c>
      <c r="J1733" s="36" t="s">
        <v>22603</v>
      </c>
      <c r="K1733" s="36" t="s">
        <v>22604</v>
      </c>
      <c r="L1733" s="36" t="s">
        <v>22605</v>
      </c>
      <c r="M1733" s="36" t="s">
        <v>22606</v>
      </c>
      <c r="N1733" s="36" t="s">
        <v>22607</v>
      </c>
      <c r="O1733" s="36" t="s">
        <v>22608</v>
      </c>
      <c r="P1733" s="36" t="s">
        <v>22595</v>
      </c>
    </row>
    <row r="1734" spans="1:16" ht="15" customHeight="1">
      <c r="A1734" s="132">
        <v>1733</v>
      </c>
      <c r="B1734" s="36" t="s">
        <v>22609</v>
      </c>
      <c r="C1734" s="36" t="s">
        <v>22610</v>
      </c>
      <c r="D1734" s="36" t="s">
        <v>22611</v>
      </c>
      <c r="E1734" s="36" t="s">
        <v>22612</v>
      </c>
      <c r="F1734" s="36" t="s">
        <v>22613</v>
      </c>
      <c r="G1734" s="36" t="s">
        <v>22614</v>
      </c>
      <c r="H1734" s="36" t="s">
        <v>22615</v>
      </c>
      <c r="I1734" s="36" t="s">
        <v>22616</v>
      </c>
      <c r="J1734" s="36" t="s">
        <v>22617</v>
      </c>
      <c r="K1734" s="36" t="s">
        <v>22618</v>
      </c>
      <c r="L1734" s="36" t="s">
        <v>22619</v>
      </c>
      <c r="M1734" s="36" t="s">
        <v>22620</v>
      </c>
      <c r="N1734" s="36" t="s">
        <v>22621</v>
      </c>
      <c r="O1734" s="36" t="s">
        <v>22622</v>
      </c>
      <c r="P1734" s="36" t="s">
        <v>22609</v>
      </c>
    </row>
    <row r="1735" spans="1:16" ht="15" customHeight="1">
      <c r="A1735" s="132">
        <v>1734</v>
      </c>
      <c r="B1735" s="36" t="s">
        <v>22623</v>
      </c>
      <c r="C1735" s="36" t="s">
        <v>22624</v>
      </c>
      <c r="D1735" s="36" t="s">
        <v>22625</v>
      </c>
      <c r="E1735" s="36" t="s">
        <v>22626</v>
      </c>
      <c r="F1735" s="36" t="s">
        <v>22627</v>
      </c>
      <c r="G1735" s="36" t="s">
        <v>22628</v>
      </c>
      <c r="H1735" s="36" t="s">
        <v>22629</v>
      </c>
      <c r="I1735" s="36" t="s">
        <v>22630</v>
      </c>
      <c r="J1735" s="36" t="s">
        <v>22631</v>
      </c>
      <c r="K1735" s="36" t="s">
        <v>22632</v>
      </c>
      <c r="L1735" s="36" t="s">
        <v>22633</v>
      </c>
      <c r="M1735" s="36" t="s">
        <v>22634</v>
      </c>
      <c r="N1735" s="36" t="s">
        <v>22635</v>
      </c>
      <c r="O1735" s="36" t="s">
        <v>22636</v>
      </c>
      <c r="P1735" s="36" t="s">
        <v>22623</v>
      </c>
    </row>
    <row r="1736" spans="1:16" ht="15" customHeight="1">
      <c r="A1736" s="132">
        <v>1735</v>
      </c>
      <c r="B1736" s="36" t="s">
        <v>22637</v>
      </c>
      <c r="C1736" s="36" t="s">
        <v>22638</v>
      </c>
      <c r="D1736" s="36" t="s">
        <v>22639</v>
      </c>
      <c r="E1736" s="36" t="s">
        <v>22640</v>
      </c>
      <c r="F1736" s="36" t="s">
        <v>22641</v>
      </c>
      <c r="G1736" s="36" t="s">
        <v>22642</v>
      </c>
      <c r="H1736" s="36" t="s">
        <v>22643</v>
      </c>
      <c r="I1736" s="36" t="s">
        <v>22644</v>
      </c>
      <c r="J1736" s="36" t="s">
        <v>22645</v>
      </c>
      <c r="K1736" s="36" t="s">
        <v>22646</v>
      </c>
      <c r="L1736" s="36" t="s">
        <v>22647</v>
      </c>
      <c r="M1736" s="36" t="s">
        <v>22648</v>
      </c>
      <c r="N1736" s="36" t="s">
        <v>22648</v>
      </c>
      <c r="O1736" s="36" t="s">
        <v>22649</v>
      </c>
      <c r="P1736" s="36" t="s">
        <v>22637</v>
      </c>
    </row>
    <row r="1737" spans="1:16" ht="15" customHeight="1">
      <c r="A1737" s="132">
        <v>1736</v>
      </c>
      <c r="B1737" s="36" t="s">
        <v>22650</v>
      </c>
      <c r="C1737" s="36" t="s">
        <v>22651</v>
      </c>
      <c r="D1737" s="36" t="s">
        <v>22652</v>
      </c>
      <c r="E1737" s="36" t="s">
        <v>22653</v>
      </c>
      <c r="F1737" s="36" t="s">
        <v>22654</v>
      </c>
      <c r="G1737" s="36" t="s">
        <v>22655</v>
      </c>
      <c r="H1737" s="36" t="s">
        <v>22656</v>
      </c>
      <c r="I1737" s="36" t="s">
        <v>22657</v>
      </c>
      <c r="J1737" s="36" t="s">
        <v>22658</v>
      </c>
      <c r="K1737" s="36" t="s">
        <v>22659</v>
      </c>
      <c r="L1737" s="36" t="s">
        <v>22660</v>
      </c>
      <c r="M1737" s="36" t="s">
        <v>22661</v>
      </c>
      <c r="N1737" s="36" t="s">
        <v>22662</v>
      </c>
      <c r="O1737" s="36" t="s">
        <v>22663</v>
      </c>
      <c r="P1737" s="36" t="s">
        <v>22650</v>
      </c>
    </row>
    <row r="1738" spans="1:16" ht="15" customHeight="1">
      <c r="A1738" s="132">
        <v>1737</v>
      </c>
      <c r="B1738" s="36" t="s">
        <v>22664</v>
      </c>
      <c r="C1738" s="36" t="s">
        <v>22665</v>
      </c>
      <c r="D1738" s="36" t="s">
        <v>22666</v>
      </c>
      <c r="E1738" s="36" t="s">
        <v>22667</v>
      </c>
      <c r="F1738" s="36" t="s">
        <v>22668</v>
      </c>
      <c r="G1738" s="36" t="s">
        <v>22669</v>
      </c>
      <c r="H1738" s="36" t="s">
        <v>22670</v>
      </c>
      <c r="I1738" s="36" t="s">
        <v>22671</v>
      </c>
      <c r="J1738" s="36" t="s">
        <v>22672</v>
      </c>
      <c r="K1738" s="36" t="s">
        <v>22673</v>
      </c>
      <c r="L1738" s="36" t="s">
        <v>22674</v>
      </c>
      <c r="M1738" s="36" t="s">
        <v>22675</v>
      </c>
      <c r="N1738" s="36" t="s">
        <v>22676</v>
      </c>
      <c r="O1738" s="36" t="s">
        <v>22677</v>
      </c>
      <c r="P1738" s="36" t="s">
        <v>22664</v>
      </c>
    </row>
    <row r="1739" spans="1:16" ht="15" customHeight="1">
      <c r="A1739" s="132">
        <v>1738</v>
      </c>
      <c r="B1739" s="36" t="s">
        <v>22678</v>
      </c>
      <c r="C1739" s="36" t="s">
        <v>22679</v>
      </c>
      <c r="D1739" s="36" t="s">
        <v>22680</v>
      </c>
      <c r="E1739" s="36" t="s">
        <v>22681</v>
      </c>
      <c r="F1739" s="36" t="s">
        <v>22682</v>
      </c>
      <c r="G1739" s="36" t="s">
        <v>22683</v>
      </c>
      <c r="H1739" s="36" t="s">
        <v>22684</v>
      </c>
      <c r="I1739" s="36" t="s">
        <v>22685</v>
      </c>
      <c r="J1739" s="36" t="s">
        <v>22686</v>
      </c>
      <c r="K1739" s="36" t="s">
        <v>22687</v>
      </c>
      <c r="L1739" s="36" t="s">
        <v>22688</v>
      </c>
      <c r="M1739" s="36" t="s">
        <v>22689</v>
      </c>
      <c r="N1739" s="36" t="s">
        <v>22690</v>
      </c>
      <c r="O1739" s="36" t="s">
        <v>22691</v>
      </c>
      <c r="P1739" s="36" t="s">
        <v>22678</v>
      </c>
    </row>
    <row r="1740" spans="1:16" ht="15" customHeight="1">
      <c r="A1740" s="132">
        <v>1739</v>
      </c>
      <c r="B1740" s="36" t="s">
        <v>22692</v>
      </c>
      <c r="C1740" s="36" t="s">
        <v>22693</v>
      </c>
      <c r="D1740" s="36" t="s">
        <v>22694</v>
      </c>
      <c r="E1740" s="36" t="s">
        <v>29619</v>
      </c>
      <c r="F1740" s="36" t="s">
        <v>22695</v>
      </c>
      <c r="G1740" s="36" t="s">
        <v>22696</v>
      </c>
      <c r="H1740" s="36" t="s">
        <v>22697</v>
      </c>
      <c r="I1740" s="36" t="s">
        <v>22698</v>
      </c>
      <c r="J1740" s="36" t="s">
        <v>22699</v>
      </c>
      <c r="K1740" s="36" t="s">
        <v>22700</v>
      </c>
      <c r="L1740" s="36" t="s">
        <v>22701</v>
      </c>
      <c r="M1740" s="36" t="s">
        <v>22702</v>
      </c>
      <c r="N1740" s="36" t="s">
        <v>22703</v>
      </c>
      <c r="O1740" s="36" t="s">
        <v>22704</v>
      </c>
      <c r="P1740" s="36" t="s">
        <v>22692</v>
      </c>
    </row>
    <row r="1741" spans="1:16" ht="15" customHeight="1">
      <c r="A1741" s="132">
        <v>1740</v>
      </c>
      <c r="B1741" s="36" t="s">
        <v>22705</v>
      </c>
      <c r="C1741" s="36" t="s">
        <v>22705</v>
      </c>
      <c r="D1741" s="36" t="s">
        <v>22706</v>
      </c>
      <c r="E1741" s="36" t="s">
        <v>22707</v>
      </c>
      <c r="F1741" s="36" t="s">
        <v>22705</v>
      </c>
      <c r="G1741" s="36" t="s">
        <v>22705</v>
      </c>
      <c r="H1741" s="36" t="s">
        <v>22708</v>
      </c>
      <c r="I1741" s="36" t="s">
        <v>22705</v>
      </c>
      <c r="J1741" s="36" t="s">
        <v>22705</v>
      </c>
      <c r="K1741" s="36" t="s">
        <v>22705</v>
      </c>
      <c r="L1741" s="36" t="s">
        <v>22705</v>
      </c>
      <c r="M1741" s="36" t="s">
        <v>22705</v>
      </c>
      <c r="N1741" s="36" t="s">
        <v>22705</v>
      </c>
      <c r="O1741" s="36" t="s">
        <v>22705</v>
      </c>
      <c r="P1741" s="36" t="s">
        <v>22705</v>
      </c>
    </row>
    <row r="1742" spans="1:16" ht="15" customHeight="1">
      <c r="A1742" s="132">
        <v>1741</v>
      </c>
      <c r="B1742" s="36" t="s">
        <v>22709</v>
      </c>
      <c r="C1742" s="36" t="s">
        <v>22710</v>
      </c>
      <c r="D1742" s="36" t="s">
        <v>22711</v>
      </c>
      <c r="E1742" s="36" t="s">
        <v>22712</v>
      </c>
      <c r="F1742" s="36" t="s">
        <v>22713</v>
      </c>
      <c r="G1742" s="36" t="s">
        <v>22714</v>
      </c>
      <c r="H1742" s="36" t="s">
        <v>22715</v>
      </c>
      <c r="I1742" s="36" t="s">
        <v>22716</v>
      </c>
      <c r="J1742" s="36" t="s">
        <v>22717</v>
      </c>
      <c r="K1742" s="36" t="s">
        <v>22718</v>
      </c>
      <c r="L1742" s="36" t="s">
        <v>22719</v>
      </c>
      <c r="M1742" s="36" t="s">
        <v>22709</v>
      </c>
      <c r="N1742" s="36" t="s">
        <v>22720</v>
      </c>
      <c r="O1742" s="36" t="s">
        <v>22718</v>
      </c>
      <c r="P1742" s="36" t="s">
        <v>22709</v>
      </c>
    </row>
    <row r="1743" spans="1:16" ht="15" customHeight="1">
      <c r="A1743" s="132">
        <v>1742</v>
      </c>
      <c r="B1743" s="36" t="s">
        <v>22721</v>
      </c>
      <c r="C1743" s="36" t="s">
        <v>22722</v>
      </c>
      <c r="D1743" s="36" t="s">
        <v>22723</v>
      </c>
      <c r="E1743" s="36" t="s">
        <v>22724</v>
      </c>
      <c r="F1743" s="36" t="s">
        <v>22725</v>
      </c>
      <c r="G1743" s="36" t="s">
        <v>22726</v>
      </c>
      <c r="H1743" s="36" t="s">
        <v>22727</v>
      </c>
      <c r="I1743" s="36" t="s">
        <v>22728</v>
      </c>
      <c r="J1743" s="36" t="s">
        <v>22729</v>
      </c>
      <c r="K1743" s="36" t="s">
        <v>22730</v>
      </c>
      <c r="L1743" s="36" t="s">
        <v>22731</v>
      </c>
      <c r="M1743" s="36" t="s">
        <v>22731</v>
      </c>
      <c r="N1743" s="36" t="s">
        <v>22731</v>
      </c>
      <c r="O1743" s="36" t="s">
        <v>22732</v>
      </c>
      <c r="P1743" s="36" t="s">
        <v>22721</v>
      </c>
    </row>
    <row r="1744" spans="1:16" ht="15" customHeight="1">
      <c r="A1744" s="132">
        <v>1743</v>
      </c>
      <c r="B1744" s="36" t="s">
        <v>22733</v>
      </c>
      <c r="C1744" s="36" t="s">
        <v>22733</v>
      </c>
      <c r="D1744" s="36" t="s">
        <v>22733</v>
      </c>
      <c r="E1744" s="36" t="s">
        <v>22733</v>
      </c>
      <c r="F1744" s="36" t="s">
        <v>22733</v>
      </c>
      <c r="G1744" s="36" t="s">
        <v>22733</v>
      </c>
      <c r="H1744" s="36" t="s">
        <v>22733</v>
      </c>
      <c r="I1744" s="36" t="s">
        <v>22733</v>
      </c>
      <c r="J1744" s="36" t="s">
        <v>22733</v>
      </c>
      <c r="K1744" s="36" t="s">
        <v>22733</v>
      </c>
      <c r="L1744" s="36" t="s">
        <v>22733</v>
      </c>
      <c r="M1744" s="36" t="s">
        <v>22733</v>
      </c>
      <c r="N1744" s="36" t="s">
        <v>22733</v>
      </c>
      <c r="O1744" s="36" t="s">
        <v>22733</v>
      </c>
      <c r="P1744" s="36" t="s">
        <v>22733</v>
      </c>
    </row>
    <row r="1745" spans="1:16" ht="15" customHeight="1">
      <c r="A1745" s="132">
        <v>1744</v>
      </c>
      <c r="B1745" s="36" t="s">
        <v>22734</v>
      </c>
      <c r="C1745" s="36" t="s">
        <v>22735</v>
      </c>
      <c r="D1745" s="36" t="s">
        <v>22736</v>
      </c>
      <c r="E1745" s="36" t="s">
        <v>22737</v>
      </c>
      <c r="F1745" s="36" t="s">
        <v>22738</v>
      </c>
      <c r="G1745" s="36" t="s">
        <v>22739</v>
      </c>
      <c r="H1745" s="36" t="s">
        <v>22740</v>
      </c>
      <c r="I1745" s="36" t="s">
        <v>22738</v>
      </c>
      <c r="J1745" s="36" t="s">
        <v>22741</v>
      </c>
      <c r="K1745" s="36" t="s">
        <v>22742</v>
      </c>
      <c r="L1745" s="36" t="s">
        <v>22743</v>
      </c>
      <c r="M1745" s="36" t="s">
        <v>22744</v>
      </c>
      <c r="N1745" s="36" t="s">
        <v>22745</v>
      </c>
      <c r="O1745" s="36" t="s">
        <v>22746</v>
      </c>
      <c r="P1745" s="36" t="s">
        <v>22734</v>
      </c>
    </row>
    <row r="1746" spans="1:16" ht="15" customHeight="1">
      <c r="A1746" s="132">
        <v>1745</v>
      </c>
      <c r="B1746" s="36" t="s">
        <v>22747</v>
      </c>
      <c r="C1746" s="36" t="s">
        <v>22747</v>
      </c>
      <c r="D1746" s="36" t="s">
        <v>22747</v>
      </c>
      <c r="E1746" s="36" t="s">
        <v>22747</v>
      </c>
      <c r="F1746" s="36" t="s">
        <v>22747</v>
      </c>
      <c r="G1746" s="36" t="s">
        <v>22747</v>
      </c>
      <c r="H1746" s="36" t="s">
        <v>22747</v>
      </c>
      <c r="I1746" s="36" t="s">
        <v>22747</v>
      </c>
      <c r="J1746" s="36" t="s">
        <v>22747</v>
      </c>
      <c r="K1746" s="36" t="s">
        <v>22747</v>
      </c>
      <c r="L1746" s="36" t="s">
        <v>22747</v>
      </c>
      <c r="M1746" s="36" t="s">
        <v>22747</v>
      </c>
      <c r="N1746" s="36" t="s">
        <v>22747</v>
      </c>
      <c r="O1746" s="36" t="s">
        <v>22747</v>
      </c>
      <c r="P1746" s="36" t="s">
        <v>22747</v>
      </c>
    </row>
    <row r="1747" spans="1:16" ht="15" customHeight="1">
      <c r="A1747" s="132">
        <v>1746</v>
      </c>
      <c r="B1747" s="36" t="s">
        <v>22748</v>
      </c>
      <c r="C1747" s="36" t="s">
        <v>22749</v>
      </c>
      <c r="D1747" s="36" t="s">
        <v>22750</v>
      </c>
      <c r="E1747" s="36" t="s">
        <v>22751</v>
      </c>
      <c r="F1747" s="36" t="s">
        <v>22752</v>
      </c>
      <c r="G1747" s="36" t="s">
        <v>22753</v>
      </c>
      <c r="H1747" s="36" t="s">
        <v>22754</v>
      </c>
      <c r="I1747" s="36" t="s">
        <v>22755</v>
      </c>
      <c r="J1747" s="36" t="s">
        <v>22756</v>
      </c>
      <c r="K1747" s="36" t="s">
        <v>22757</v>
      </c>
      <c r="L1747" s="36" t="s">
        <v>22758</v>
      </c>
      <c r="M1747" s="36" t="s">
        <v>22759</v>
      </c>
      <c r="N1747" s="36" t="s">
        <v>22760</v>
      </c>
      <c r="O1747" s="36" t="s">
        <v>22761</v>
      </c>
      <c r="P1747" s="36" t="s">
        <v>22748</v>
      </c>
    </row>
    <row r="1748" spans="1:16" ht="15" customHeight="1">
      <c r="A1748" s="132">
        <v>1747</v>
      </c>
      <c r="B1748" s="36" t="s">
        <v>22762</v>
      </c>
      <c r="C1748" s="36" t="s">
        <v>22763</v>
      </c>
      <c r="D1748" s="36" t="s">
        <v>22764</v>
      </c>
      <c r="E1748" s="36" t="s">
        <v>22765</v>
      </c>
      <c r="F1748" s="36" t="s">
        <v>22766</v>
      </c>
      <c r="G1748" s="36" t="s">
        <v>22767</v>
      </c>
      <c r="H1748" s="36" t="s">
        <v>22768</v>
      </c>
      <c r="I1748" s="36" t="s">
        <v>22769</v>
      </c>
      <c r="J1748" s="36" t="s">
        <v>22770</v>
      </c>
      <c r="K1748" s="36" t="s">
        <v>22771</v>
      </c>
      <c r="L1748" s="36" t="s">
        <v>22772</v>
      </c>
      <c r="M1748" s="36" t="s">
        <v>22772</v>
      </c>
      <c r="N1748" s="36" t="s">
        <v>22773</v>
      </c>
      <c r="O1748" s="36" t="s">
        <v>22774</v>
      </c>
      <c r="P1748" s="36" t="s">
        <v>22762</v>
      </c>
    </row>
    <row r="1749" spans="1:16" ht="15" customHeight="1">
      <c r="A1749" s="132">
        <v>1748</v>
      </c>
      <c r="B1749" s="36" t="s">
        <v>22775</v>
      </c>
      <c r="C1749" s="36" t="s">
        <v>22776</v>
      </c>
      <c r="D1749" s="36" t="s">
        <v>22777</v>
      </c>
      <c r="E1749" s="36" t="s">
        <v>22778</v>
      </c>
      <c r="F1749" s="36" t="s">
        <v>22779</v>
      </c>
      <c r="G1749" s="36" t="s">
        <v>22780</v>
      </c>
      <c r="H1749" s="36" t="s">
        <v>22781</v>
      </c>
      <c r="I1749" s="36" t="s">
        <v>22782</v>
      </c>
      <c r="J1749" s="36" t="s">
        <v>22783</v>
      </c>
      <c r="K1749" s="36" t="s">
        <v>22784</v>
      </c>
      <c r="L1749" s="36" t="s">
        <v>22785</v>
      </c>
      <c r="M1749" s="36" t="s">
        <v>22786</v>
      </c>
      <c r="N1749" s="36" t="s">
        <v>22787</v>
      </c>
      <c r="O1749" s="36" t="s">
        <v>22788</v>
      </c>
      <c r="P1749" s="36" t="s">
        <v>22775</v>
      </c>
    </row>
    <row r="1750" spans="1:16" ht="15" customHeight="1">
      <c r="A1750" s="132">
        <v>1749</v>
      </c>
      <c r="B1750" s="36" t="s">
        <v>4148</v>
      </c>
      <c r="C1750" s="36" t="s">
        <v>22789</v>
      </c>
      <c r="D1750" s="36" t="s">
        <v>22790</v>
      </c>
      <c r="E1750" s="36" t="s">
        <v>4142</v>
      </c>
      <c r="F1750" s="36" t="s">
        <v>4143</v>
      </c>
      <c r="G1750" s="36" t="s">
        <v>19505</v>
      </c>
      <c r="H1750" s="36" t="s">
        <v>22791</v>
      </c>
      <c r="I1750" s="36" t="s">
        <v>19506</v>
      </c>
      <c r="J1750" s="36" t="s">
        <v>4146</v>
      </c>
      <c r="K1750" s="36" t="s">
        <v>19507</v>
      </c>
      <c r="L1750" s="36" t="s">
        <v>4148</v>
      </c>
      <c r="M1750" s="36" t="s">
        <v>4148</v>
      </c>
      <c r="N1750" s="36" t="s">
        <v>4148</v>
      </c>
      <c r="O1750" s="36" t="s">
        <v>4149</v>
      </c>
      <c r="P1750" s="36" t="s">
        <v>4148</v>
      </c>
    </row>
    <row r="1751" spans="1:16" ht="15" customHeight="1">
      <c r="A1751" s="132">
        <v>1750</v>
      </c>
      <c r="B1751" s="36" t="s">
        <v>22792</v>
      </c>
      <c r="C1751" s="36" t="s">
        <v>22793</v>
      </c>
      <c r="D1751" s="36" t="s">
        <v>22794</v>
      </c>
      <c r="E1751" s="36" t="s">
        <v>22795</v>
      </c>
      <c r="F1751" s="36" t="s">
        <v>22796</v>
      </c>
      <c r="G1751" s="36" t="s">
        <v>22797</v>
      </c>
      <c r="H1751" s="36" t="s">
        <v>22798</v>
      </c>
      <c r="I1751" s="36" t="s">
        <v>22799</v>
      </c>
      <c r="J1751" s="36" t="s">
        <v>22800</v>
      </c>
      <c r="K1751" s="36" t="s">
        <v>22801</v>
      </c>
      <c r="L1751" s="36" t="s">
        <v>22802</v>
      </c>
      <c r="M1751" s="36" t="s">
        <v>22803</v>
      </c>
      <c r="N1751" s="36" t="s">
        <v>22803</v>
      </c>
      <c r="O1751" s="36" t="s">
        <v>22804</v>
      </c>
      <c r="P1751" s="36" t="s">
        <v>22792</v>
      </c>
    </row>
    <row r="1752" spans="1:16" ht="15" customHeight="1">
      <c r="A1752" s="132">
        <v>1751</v>
      </c>
      <c r="B1752" s="36" t="s">
        <v>22805</v>
      </c>
      <c r="C1752" s="36" t="s">
        <v>22806</v>
      </c>
      <c r="D1752" s="36" t="s">
        <v>22807</v>
      </c>
      <c r="E1752" s="36" t="s">
        <v>22808</v>
      </c>
      <c r="F1752" s="36" t="s">
        <v>22809</v>
      </c>
      <c r="G1752" s="36" t="s">
        <v>22810</v>
      </c>
      <c r="H1752" s="36" t="s">
        <v>22811</v>
      </c>
      <c r="I1752" s="36" t="s">
        <v>22812</v>
      </c>
      <c r="J1752" s="36" t="s">
        <v>22813</v>
      </c>
      <c r="K1752" s="36" t="s">
        <v>22814</v>
      </c>
      <c r="L1752" s="36" t="s">
        <v>22815</v>
      </c>
      <c r="M1752" s="36" t="s">
        <v>22816</v>
      </c>
      <c r="N1752" s="36" t="s">
        <v>22817</v>
      </c>
      <c r="O1752" s="36" t="s">
        <v>22818</v>
      </c>
      <c r="P1752" s="36" t="s">
        <v>22805</v>
      </c>
    </row>
    <row r="1753" spans="1:16" ht="15" customHeight="1">
      <c r="A1753" s="132">
        <v>1752</v>
      </c>
      <c r="B1753" s="36" t="s">
        <v>22819</v>
      </c>
      <c r="C1753" s="36" t="s">
        <v>22820</v>
      </c>
      <c r="D1753" s="36" t="s">
        <v>22821</v>
      </c>
      <c r="E1753" s="36" t="s">
        <v>22822</v>
      </c>
      <c r="F1753" s="36" t="s">
        <v>22823</v>
      </c>
      <c r="G1753" s="36" t="s">
        <v>22824</v>
      </c>
      <c r="H1753" s="36" t="s">
        <v>22825</v>
      </c>
      <c r="I1753" s="36" t="s">
        <v>22826</v>
      </c>
      <c r="J1753" s="36" t="s">
        <v>22827</v>
      </c>
      <c r="K1753" s="36" t="s">
        <v>22828</v>
      </c>
      <c r="L1753" s="36" t="s">
        <v>22829</v>
      </c>
      <c r="M1753" s="36" t="s">
        <v>22830</v>
      </c>
      <c r="N1753" s="36" t="s">
        <v>22831</v>
      </c>
      <c r="O1753" s="36" t="s">
        <v>22832</v>
      </c>
      <c r="P1753" s="36" t="s">
        <v>22819</v>
      </c>
    </row>
    <row r="1754" spans="1:16" ht="15" customHeight="1">
      <c r="A1754" s="132">
        <v>1753</v>
      </c>
      <c r="B1754" s="36" t="s">
        <v>29620</v>
      </c>
      <c r="C1754" s="36" t="s">
        <v>22833</v>
      </c>
      <c r="D1754" s="36" t="s">
        <v>22834</v>
      </c>
      <c r="E1754" s="36" t="s">
        <v>22835</v>
      </c>
      <c r="F1754" s="36" t="s">
        <v>22836</v>
      </c>
      <c r="G1754" s="36" t="s">
        <v>22837</v>
      </c>
      <c r="H1754" s="36" t="s">
        <v>22838</v>
      </c>
      <c r="I1754" s="36" t="s">
        <v>22839</v>
      </c>
      <c r="J1754" s="36" t="s">
        <v>22840</v>
      </c>
      <c r="K1754" s="36" t="s">
        <v>22841</v>
      </c>
      <c r="L1754" s="36" t="s">
        <v>22842</v>
      </c>
      <c r="M1754" s="36" t="s">
        <v>22843</v>
      </c>
      <c r="N1754" s="36" t="s">
        <v>22844</v>
      </c>
      <c r="O1754" s="36" t="s">
        <v>22845</v>
      </c>
      <c r="P1754" s="36" t="s">
        <v>29620</v>
      </c>
    </row>
    <row r="1755" spans="1:16" ht="15" customHeight="1">
      <c r="A1755" s="132">
        <v>1754</v>
      </c>
      <c r="B1755" s="36" t="s">
        <v>22846</v>
      </c>
      <c r="C1755" s="36" t="s">
        <v>22847</v>
      </c>
      <c r="D1755" s="36" t="s">
        <v>22848</v>
      </c>
      <c r="E1755" s="36" t="s">
        <v>22849</v>
      </c>
      <c r="F1755" s="36" t="s">
        <v>22850</v>
      </c>
      <c r="G1755" s="36" t="s">
        <v>22851</v>
      </c>
      <c r="H1755" s="36" t="s">
        <v>22852</v>
      </c>
      <c r="I1755" s="36" t="s">
        <v>22853</v>
      </c>
      <c r="J1755" s="36" t="s">
        <v>22854</v>
      </c>
      <c r="K1755" s="36" t="s">
        <v>22855</v>
      </c>
      <c r="L1755" s="36" t="s">
        <v>22856</v>
      </c>
      <c r="M1755" s="36" t="s">
        <v>22857</v>
      </c>
      <c r="N1755" s="36" t="s">
        <v>22858</v>
      </c>
      <c r="O1755" s="36" t="s">
        <v>22859</v>
      </c>
      <c r="P1755" s="36" t="s">
        <v>22846</v>
      </c>
    </row>
    <row r="1756" spans="1:16" ht="15" customHeight="1">
      <c r="A1756" s="132">
        <v>1755</v>
      </c>
      <c r="B1756" s="36" t="s">
        <v>22860</v>
      </c>
      <c r="C1756" s="36" t="s">
        <v>22861</v>
      </c>
      <c r="D1756" s="36" t="s">
        <v>22862</v>
      </c>
      <c r="E1756" s="36" t="s">
        <v>22863</v>
      </c>
      <c r="F1756" s="36" t="s">
        <v>22864</v>
      </c>
      <c r="G1756" s="36" t="s">
        <v>22865</v>
      </c>
      <c r="H1756" s="36" t="s">
        <v>22866</v>
      </c>
      <c r="I1756" s="36" t="s">
        <v>22867</v>
      </c>
      <c r="J1756" s="36" t="s">
        <v>22860</v>
      </c>
      <c r="K1756" s="36" t="s">
        <v>22868</v>
      </c>
      <c r="L1756" s="36" t="s">
        <v>22869</v>
      </c>
      <c r="M1756" s="36" t="s">
        <v>22870</v>
      </c>
      <c r="N1756" s="36" t="s">
        <v>22870</v>
      </c>
      <c r="O1756" s="36" t="s">
        <v>22871</v>
      </c>
      <c r="P1756" s="36" t="s">
        <v>22860</v>
      </c>
    </row>
    <row r="1757" spans="1:16" ht="15" customHeight="1">
      <c r="A1757" s="132">
        <v>1756</v>
      </c>
      <c r="B1757" s="36" t="s">
        <v>22872</v>
      </c>
      <c r="C1757" s="36" t="s">
        <v>22872</v>
      </c>
      <c r="D1757" s="36" t="s">
        <v>22872</v>
      </c>
      <c r="E1757" s="36" t="s">
        <v>22872</v>
      </c>
      <c r="F1757" s="36" t="s">
        <v>22872</v>
      </c>
      <c r="G1757" s="36" t="s">
        <v>22872</v>
      </c>
      <c r="H1757" s="36" t="s">
        <v>22872</v>
      </c>
      <c r="I1757" s="36" t="s">
        <v>22872</v>
      </c>
      <c r="J1757" s="36" t="s">
        <v>22872</v>
      </c>
      <c r="K1757" s="36" t="s">
        <v>22872</v>
      </c>
      <c r="L1757" s="36" t="s">
        <v>22872</v>
      </c>
      <c r="M1757" s="36" t="s">
        <v>22873</v>
      </c>
      <c r="N1757" s="36" t="s">
        <v>22872</v>
      </c>
      <c r="O1757" s="36" t="s">
        <v>22872</v>
      </c>
      <c r="P1757" s="36" t="s">
        <v>22872</v>
      </c>
    </row>
    <row r="1758" spans="1:16" ht="15" customHeight="1">
      <c r="A1758" s="132">
        <v>1757</v>
      </c>
      <c r="B1758" s="36" t="s">
        <v>22874</v>
      </c>
      <c r="C1758" s="36" t="s">
        <v>22875</v>
      </c>
      <c r="D1758" s="36" t="s">
        <v>22876</v>
      </c>
      <c r="E1758" s="36" t="s">
        <v>22877</v>
      </c>
      <c r="F1758" s="36" t="s">
        <v>22878</v>
      </c>
      <c r="G1758" s="36" t="s">
        <v>22879</v>
      </c>
      <c r="H1758" s="36" t="s">
        <v>22880</v>
      </c>
      <c r="I1758" s="36" t="s">
        <v>22881</v>
      </c>
      <c r="J1758" s="36" t="s">
        <v>22882</v>
      </c>
      <c r="K1758" s="36" t="s">
        <v>22883</v>
      </c>
      <c r="L1758" s="36" t="s">
        <v>22884</v>
      </c>
      <c r="M1758" s="36" t="s">
        <v>22885</v>
      </c>
      <c r="N1758" s="36" t="s">
        <v>22884</v>
      </c>
      <c r="O1758" s="36" t="s">
        <v>22886</v>
      </c>
      <c r="P1758" s="36" t="s">
        <v>22874</v>
      </c>
    </row>
    <row r="1759" spans="1:16" ht="15" customHeight="1">
      <c r="A1759" s="132">
        <v>1758</v>
      </c>
      <c r="B1759" s="36" t="s">
        <v>22887</v>
      </c>
      <c r="C1759" s="36" t="s">
        <v>22888</v>
      </c>
      <c r="D1759" s="36" t="s">
        <v>22889</v>
      </c>
      <c r="E1759" s="36" t="s">
        <v>22890</v>
      </c>
      <c r="F1759" s="36" t="s">
        <v>22891</v>
      </c>
      <c r="G1759" s="36" t="s">
        <v>22892</v>
      </c>
      <c r="H1759" s="36" t="s">
        <v>22893</v>
      </c>
      <c r="I1759" s="36" t="s">
        <v>22894</v>
      </c>
      <c r="J1759" s="36" t="s">
        <v>22895</v>
      </c>
      <c r="K1759" s="36" t="s">
        <v>22896</v>
      </c>
      <c r="L1759" s="36" t="s">
        <v>22897</v>
      </c>
      <c r="M1759" s="36" t="s">
        <v>22898</v>
      </c>
      <c r="N1759" s="36" t="s">
        <v>22899</v>
      </c>
      <c r="O1759" s="36" t="s">
        <v>22900</v>
      </c>
      <c r="P1759" s="36" t="s">
        <v>22887</v>
      </c>
    </row>
    <row r="1760" spans="1:16" ht="15" customHeight="1">
      <c r="A1760" s="132">
        <v>1759</v>
      </c>
      <c r="B1760" s="36" t="s">
        <v>22901</v>
      </c>
      <c r="C1760" s="36" t="s">
        <v>22902</v>
      </c>
      <c r="D1760" s="36" t="s">
        <v>22903</v>
      </c>
      <c r="E1760" s="36" t="s">
        <v>22904</v>
      </c>
      <c r="F1760" s="36" t="s">
        <v>22905</v>
      </c>
      <c r="G1760" s="36" t="s">
        <v>22906</v>
      </c>
      <c r="H1760" s="36" t="s">
        <v>22907</v>
      </c>
      <c r="I1760" s="36" t="s">
        <v>22908</v>
      </c>
      <c r="J1760" s="36" t="s">
        <v>22909</v>
      </c>
      <c r="K1760" s="36" t="s">
        <v>22910</v>
      </c>
      <c r="L1760" s="36" t="s">
        <v>22911</v>
      </c>
      <c r="M1760" s="36" t="s">
        <v>22912</v>
      </c>
      <c r="N1760" s="36" t="s">
        <v>22913</v>
      </c>
      <c r="O1760" s="36" t="s">
        <v>22914</v>
      </c>
      <c r="P1760" s="36" t="s">
        <v>22901</v>
      </c>
    </row>
    <row r="1761" spans="1:16" ht="15" customHeight="1">
      <c r="A1761" s="132">
        <v>1760</v>
      </c>
      <c r="B1761" s="36" t="s">
        <v>22915</v>
      </c>
      <c r="C1761" s="36" t="s">
        <v>22916</v>
      </c>
      <c r="D1761" s="36" t="s">
        <v>22917</v>
      </c>
      <c r="E1761" s="36" t="s">
        <v>22918</v>
      </c>
      <c r="F1761" s="36" t="s">
        <v>22919</v>
      </c>
      <c r="G1761" s="36" t="s">
        <v>22920</v>
      </c>
      <c r="H1761" s="36" t="s">
        <v>22921</v>
      </c>
      <c r="I1761" s="36" t="s">
        <v>22922</v>
      </c>
      <c r="J1761" s="36" t="s">
        <v>22923</v>
      </c>
      <c r="K1761" s="36" t="s">
        <v>22924</v>
      </c>
      <c r="L1761" s="36" t="s">
        <v>22925</v>
      </c>
      <c r="M1761" s="36" t="s">
        <v>22926</v>
      </c>
      <c r="N1761" s="36" t="s">
        <v>22927</v>
      </c>
      <c r="O1761" s="36" t="s">
        <v>22928</v>
      </c>
      <c r="P1761" s="36" t="s">
        <v>22915</v>
      </c>
    </row>
    <row r="1762" spans="1:16" ht="15" customHeight="1">
      <c r="A1762" s="132">
        <v>1761</v>
      </c>
      <c r="B1762" s="36" t="s">
        <v>22929</v>
      </c>
      <c r="C1762" s="36" t="s">
        <v>22930</v>
      </c>
      <c r="D1762" s="36" t="s">
        <v>22931</v>
      </c>
      <c r="E1762" s="36" t="s">
        <v>22932</v>
      </c>
      <c r="F1762" s="36" t="s">
        <v>22933</v>
      </c>
      <c r="G1762" s="36" t="s">
        <v>22934</v>
      </c>
      <c r="H1762" s="36" t="s">
        <v>22935</v>
      </c>
      <c r="I1762" s="36" t="s">
        <v>22936</v>
      </c>
      <c r="J1762" s="36" t="s">
        <v>22937</v>
      </c>
      <c r="K1762" s="36" t="s">
        <v>22938</v>
      </c>
      <c r="L1762" s="36" t="s">
        <v>22939</v>
      </c>
      <c r="M1762" s="36" t="s">
        <v>22940</v>
      </c>
      <c r="N1762" s="36" t="s">
        <v>22941</v>
      </c>
      <c r="O1762" s="36" t="s">
        <v>22942</v>
      </c>
      <c r="P1762" s="36" t="s">
        <v>22929</v>
      </c>
    </row>
    <row r="1763" spans="1:16" ht="15" customHeight="1">
      <c r="A1763" s="132">
        <v>1762</v>
      </c>
      <c r="B1763" s="36" t="s">
        <v>22943</v>
      </c>
      <c r="C1763" s="36" t="s">
        <v>22944</v>
      </c>
      <c r="D1763" s="36" t="s">
        <v>22945</v>
      </c>
      <c r="E1763" s="36" t="s">
        <v>22946</v>
      </c>
      <c r="F1763" s="36" t="s">
        <v>22947</v>
      </c>
      <c r="G1763" s="36" t="s">
        <v>22948</v>
      </c>
      <c r="H1763" s="36" t="s">
        <v>22949</v>
      </c>
      <c r="I1763" s="36" t="s">
        <v>22950</v>
      </c>
      <c r="J1763" s="36" t="s">
        <v>22951</v>
      </c>
      <c r="K1763" s="36" t="s">
        <v>22952</v>
      </c>
      <c r="L1763" s="36" t="s">
        <v>22953</v>
      </c>
      <c r="M1763" s="36" t="s">
        <v>22954</v>
      </c>
      <c r="N1763" s="36" t="s">
        <v>22955</v>
      </c>
      <c r="O1763" s="36" t="s">
        <v>22956</v>
      </c>
      <c r="P1763" s="36" t="s">
        <v>22943</v>
      </c>
    </row>
    <row r="1764" spans="1:16" ht="15" customHeight="1">
      <c r="A1764" s="132">
        <v>1763</v>
      </c>
      <c r="B1764" s="36" t="s">
        <v>22957</v>
      </c>
      <c r="C1764" s="36" t="s">
        <v>22958</v>
      </c>
      <c r="D1764" s="36" t="s">
        <v>22959</v>
      </c>
      <c r="E1764" s="36" t="s">
        <v>22960</v>
      </c>
      <c r="F1764" s="36" t="s">
        <v>22961</v>
      </c>
      <c r="G1764" s="36" t="s">
        <v>22962</v>
      </c>
      <c r="H1764" s="36" t="s">
        <v>22963</v>
      </c>
      <c r="I1764" s="36" t="s">
        <v>22964</v>
      </c>
      <c r="J1764" s="36" t="s">
        <v>22965</v>
      </c>
      <c r="K1764" s="36" t="s">
        <v>22966</v>
      </c>
      <c r="L1764" s="36" t="s">
        <v>22967</v>
      </c>
      <c r="M1764" s="36" t="s">
        <v>22968</v>
      </c>
      <c r="N1764" s="36" t="s">
        <v>22969</v>
      </c>
      <c r="O1764" s="36" t="s">
        <v>22970</v>
      </c>
      <c r="P1764" s="36" t="s">
        <v>22957</v>
      </c>
    </row>
    <row r="1765" spans="1:16" ht="15" customHeight="1">
      <c r="A1765" s="132">
        <v>1764</v>
      </c>
      <c r="B1765" s="36" t="s">
        <v>22971</v>
      </c>
      <c r="C1765" s="36" t="s">
        <v>22972</v>
      </c>
      <c r="D1765" s="36" t="s">
        <v>22973</v>
      </c>
      <c r="E1765" s="36" t="s">
        <v>22974</v>
      </c>
      <c r="F1765" s="36" t="s">
        <v>22975</v>
      </c>
      <c r="G1765" s="36" t="s">
        <v>22976</v>
      </c>
      <c r="H1765" s="36" t="s">
        <v>22977</v>
      </c>
      <c r="I1765" s="36" t="s">
        <v>22978</v>
      </c>
      <c r="J1765" s="36" t="s">
        <v>22979</v>
      </c>
      <c r="K1765" s="36" t="s">
        <v>22980</v>
      </c>
      <c r="L1765" s="36" t="s">
        <v>22981</v>
      </c>
      <c r="M1765" s="36" t="s">
        <v>22982</v>
      </c>
      <c r="N1765" s="36" t="s">
        <v>22983</v>
      </c>
      <c r="O1765" s="36" t="s">
        <v>22984</v>
      </c>
      <c r="P1765" s="36" t="s">
        <v>22971</v>
      </c>
    </row>
    <row r="1766" spans="1:16" ht="15" customHeight="1">
      <c r="A1766" s="132">
        <v>1765</v>
      </c>
      <c r="B1766" s="36" t="s">
        <v>22985</v>
      </c>
      <c r="C1766" s="36" t="s">
        <v>22986</v>
      </c>
      <c r="D1766" s="36" t="s">
        <v>22987</v>
      </c>
      <c r="E1766" s="36" t="s">
        <v>22988</v>
      </c>
      <c r="F1766" s="36" t="s">
        <v>22989</v>
      </c>
      <c r="G1766" s="36" t="s">
        <v>22990</v>
      </c>
      <c r="H1766" s="36" t="s">
        <v>22991</v>
      </c>
      <c r="I1766" s="36" t="s">
        <v>22992</v>
      </c>
      <c r="J1766" s="36" t="s">
        <v>22993</v>
      </c>
      <c r="K1766" s="36" t="s">
        <v>22994</v>
      </c>
      <c r="L1766" s="36" t="s">
        <v>22995</v>
      </c>
      <c r="M1766" s="36" t="s">
        <v>22996</v>
      </c>
      <c r="N1766" s="36" t="s">
        <v>22997</v>
      </c>
      <c r="O1766" s="36" t="s">
        <v>22998</v>
      </c>
      <c r="P1766" s="36" t="s">
        <v>22985</v>
      </c>
    </row>
    <row r="1767" spans="1:16" ht="15" customHeight="1">
      <c r="A1767" s="132">
        <v>1766</v>
      </c>
      <c r="B1767" s="36" t="s">
        <v>22999</v>
      </c>
      <c r="C1767" s="36" t="s">
        <v>23000</v>
      </c>
      <c r="D1767" s="36" t="s">
        <v>23001</v>
      </c>
      <c r="E1767" s="36" t="s">
        <v>23002</v>
      </c>
      <c r="F1767" s="36" t="s">
        <v>23003</v>
      </c>
      <c r="G1767" s="36" t="s">
        <v>23004</v>
      </c>
      <c r="H1767" s="36" t="s">
        <v>23005</v>
      </c>
      <c r="I1767" s="36" t="s">
        <v>23006</v>
      </c>
      <c r="J1767" s="36" t="s">
        <v>23007</v>
      </c>
      <c r="K1767" s="36" t="s">
        <v>23008</v>
      </c>
      <c r="L1767" s="36" t="s">
        <v>23009</v>
      </c>
      <c r="M1767" s="36" t="s">
        <v>23010</v>
      </c>
      <c r="N1767" s="36" t="s">
        <v>23011</v>
      </c>
      <c r="O1767" s="36" t="s">
        <v>23012</v>
      </c>
      <c r="P1767" s="36" t="s">
        <v>22999</v>
      </c>
    </row>
    <row r="1768" spans="1:16" ht="15" customHeight="1">
      <c r="A1768" s="132">
        <v>1767</v>
      </c>
      <c r="B1768" s="36" t="s">
        <v>23013</v>
      </c>
      <c r="C1768" s="36" t="s">
        <v>23014</v>
      </c>
      <c r="D1768" s="36" t="s">
        <v>23013</v>
      </c>
      <c r="E1768" s="36" t="s">
        <v>23015</v>
      </c>
      <c r="F1768" s="36" t="s">
        <v>23013</v>
      </c>
      <c r="G1768" s="36" t="s">
        <v>23016</v>
      </c>
      <c r="H1768" s="36" t="s">
        <v>23017</v>
      </c>
      <c r="I1768" s="36" t="s">
        <v>23013</v>
      </c>
      <c r="J1768" s="36" t="s">
        <v>23013</v>
      </c>
      <c r="K1768" s="36" t="s">
        <v>23013</v>
      </c>
      <c r="L1768" s="36" t="s">
        <v>23013</v>
      </c>
      <c r="M1768" s="36" t="s">
        <v>23013</v>
      </c>
      <c r="N1768" s="36" t="s">
        <v>23013</v>
      </c>
      <c r="O1768" s="36" t="s">
        <v>23013</v>
      </c>
      <c r="P1768" s="36" t="s">
        <v>23013</v>
      </c>
    </row>
    <row r="1769" spans="1:16" ht="15" customHeight="1">
      <c r="A1769" s="132">
        <v>1768</v>
      </c>
      <c r="B1769" s="36" t="s">
        <v>23018</v>
      </c>
      <c r="C1769" s="36" t="s">
        <v>23019</v>
      </c>
      <c r="D1769" s="36" t="s">
        <v>23020</v>
      </c>
      <c r="E1769" s="36" t="s">
        <v>23021</v>
      </c>
      <c r="F1769" s="36" t="s">
        <v>23022</v>
      </c>
      <c r="G1769" s="36" t="s">
        <v>23023</v>
      </c>
      <c r="H1769" s="36" t="s">
        <v>23024</v>
      </c>
      <c r="I1769" s="36" t="s">
        <v>23025</v>
      </c>
      <c r="J1769" s="36" t="s">
        <v>23026</v>
      </c>
      <c r="K1769" s="36" t="s">
        <v>23027</v>
      </c>
      <c r="L1769" s="36" t="s">
        <v>23028</v>
      </c>
      <c r="M1769" s="36" t="s">
        <v>23029</v>
      </c>
      <c r="N1769" s="36" t="s">
        <v>23030</v>
      </c>
      <c r="O1769" s="36" t="s">
        <v>23031</v>
      </c>
      <c r="P1769" s="36" t="s">
        <v>23018</v>
      </c>
    </row>
    <row r="1770" spans="1:16" ht="15" customHeight="1">
      <c r="A1770" s="132">
        <v>1769</v>
      </c>
      <c r="B1770" s="36" t="s">
        <v>23032</v>
      </c>
      <c r="C1770" s="36" t="s">
        <v>23033</v>
      </c>
      <c r="D1770" s="36" t="s">
        <v>23034</v>
      </c>
      <c r="E1770" s="36" t="s">
        <v>23035</v>
      </c>
      <c r="F1770" s="36" t="s">
        <v>23036</v>
      </c>
      <c r="G1770" s="36" t="s">
        <v>23037</v>
      </c>
      <c r="H1770" s="36" t="s">
        <v>23038</v>
      </c>
      <c r="I1770" s="36" t="s">
        <v>23039</v>
      </c>
      <c r="J1770" s="36" t="s">
        <v>23040</v>
      </c>
      <c r="K1770" s="36" t="s">
        <v>23041</v>
      </c>
      <c r="L1770" s="36" t="s">
        <v>23042</v>
      </c>
      <c r="M1770" s="36" t="s">
        <v>23043</v>
      </c>
      <c r="N1770" s="36" t="s">
        <v>23044</v>
      </c>
      <c r="O1770" s="36" t="s">
        <v>23045</v>
      </c>
      <c r="P1770" s="36" t="s">
        <v>23032</v>
      </c>
    </row>
    <row r="1771" spans="1:16" ht="15" customHeight="1">
      <c r="A1771" s="132">
        <v>1770</v>
      </c>
      <c r="B1771" s="36" t="s">
        <v>23046</v>
      </c>
      <c r="C1771" s="36" t="s">
        <v>23047</v>
      </c>
      <c r="D1771" s="36" t="s">
        <v>23048</v>
      </c>
      <c r="E1771" s="36" t="s">
        <v>23049</v>
      </c>
      <c r="F1771" s="36" t="s">
        <v>23050</v>
      </c>
      <c r="G1771" s="36" t="s">
        <v>23051</v>
      </c>
      <c r="H1771" s="36" t="s">
        <v>23052</v>
      </c>
      <c r="I1771" s="36" t="s">
        <v>23053</v>
      </c>
      <c r="J1771" s="36" t="s">
        <v>23054</v>
      </c>
      <c r="K1771" s="36" t="s">
        <v>23055</v>
      </c>
      <c r="L1771" s="36" t="s">
        <v>23056</v>
      </c>
      <c r="M1771" s="36" t="s">
        <v>23057</v>
      </c>
      <c r="N1771" s="36" t="s">
        <v>23057</v>
      </c>
      <c r="O1771" s="36" t="s">
        <v>23058</v>
      </c>
      <c r="P1771" s="36" t="s">
        <v>23046</v>
      </c>
    </row>
    <row r="1772" spans="1:16" ht="15" customHeight="1">
      <c r="A1772" s="132">
        <v>1771</v>
      </c>
      <c r="B1772" s="36" t="s">
        <v>23059</v>
      </c>
      <c r="C1772" s="36" t="s">
        <v>23060</v>
      </c>
      <c r="D1772" s="36" t="s">
        <v>23061</v>
      </c>
      <c r="E1772" s="36" t="s">
        <v>23062</v>
      </c>
      <c r="F1772" s="36" t="s">
        <v>23063</v>
      </c>
      <c r="G1772" s="36" t="s">
        <v>23064</v>
      </c>
      <c r="H1772" s="36" t="s">
        <v>23065</v>
      </c>
      <c r="I1772" s="36" t="s">
        <v>23066</v>
      </c>
      <c r="J1772" s="36" t="s">
        <v>23067</v>
      </c>
      <c r="K1772" s="36" t="s">
        <v>23059</v>
      </c>
      <c r="L1772" s="36" t="s">
        <v>23059</v>
      </c>
      <c r="M1772" s="36" t="s">
        <v>23059</v>
      </c>
      <c r="N1772" s="36" t="s">
        <v>23059</v>
      </c>
      <c r="O1772" s="36" t="s">
        <v>23059</v>
      </c>
      <c r="P1772" s="36" t="s">
        <v>23059</v>
      </c>
    </row>
    <row r="1773" spans="1:16" ht="15" customHeight="1">
      <c r="A1773" s="132">
        <v>1772</v>
      </c>
      <c r="B1773" s="36" t="s">
        <v>23068</v>
      </c>
      <c r="C1773" s="36" t="s">
        <v>23069</v>
      </c>
      <c r="D1773" s="36" t="s">
        <v>23070</v>
      </c>
      <c r="E1773" s="36" t="s">
        <v>23071</v>
      </c>
      <c r="F1773" s="36" t="s">
        <v>23072</v>
      </c>
      <c r="G1773" s="36" t="s">
        <v>23073</v>
      </c>
      <c r="H1773" s="36" t="s">
        <v>23074</v>
      </c>
      <c r="I1773" s="36" t="s">
        <v>23075</v>
      </c>
      <c r="J1773" s="36" t="s">
        <v>23076</v>
      </c>
      <c r="K1773" s="36" t="s">
        <v>23077</v>
      </c>
      <c r="L1773" s="36" t="s">
        <v>23078</v>
      </c>
      <c r="M1773" s="36" t="s">
        <v>23079</v>
      </c>
      <c r="N1773" s="36" t="s">
        <v>23080</v>
      </c>
      <c r="O1773" s="36" t="s">
        <v>23081</v>
      </c>
      <c r="P1773" s="36" t="s">
        <v>23068</v>
      </c>
    </row>
    <row r="1774" spans="1:16" ht="15" customHeight="1">
      <c r="A1774" s="132">
        <v>1773</v>
      </c>
      <c r="B1774" s="36" t="s">
        <v>23082</v>
      </c>
      <c r="C1774" s="36" t="s">
        <v>23083</v>
      </c>
      <c r="D1774" s="36" t="s">
        <v>23084</v>
      </c>
      <c r="E1774" s="36" t="s">
        <v>23085</v>
      </c>
      <c r="F1774" s="36" t="s">
        <v>23086</v>
      </c>
      <c r="G1774" s="36" t="s">
        <v>23087</v>
      </c>
      <c r="H1774" s="36" t="s">
        <v>23088</v>
      </c>
      <c r="I1774" s="36" t="s">
        <v>23089</v>
      </c>
      <c r="J1774" s="36" t="s">
        <v>23090</v>
      </c>
      <c r="K1774" s="36" t="s">
        <v>23091</v>
      </c>
      <c r="L1774" s="36" t="s">
        <v>23092</v>
      </c>
      <c r="M1774" s="36" t="s">
        <v>23093</v>
      </c>
      <c r="N1774" s="36" t="s">
        <v>23094</v>
      </c>
      <c r="O1774" s="36" t="s">
        <v>23095</v>
      </c>
      <c r="P1774" s="36" t="s">
        <v>23082</v>
      </c>
    </row>
    <row r="1775" spans="1:16" ht="15" customHeight="1">
      <c r="A1775" s="132">
        <v>1774</v>
      </c>
      <c r="B1775" s="36" t="s">
        <v>23096</v>
      </c>
      <c r="C1775" s="36" t="s">
        <v>23097</v>
      </c>
      <c r="D1775" s="36" t="s">
        <v>23098</v>
      </c>
      <c r="E1775" s="36" t="s">
        <v>29621</v>
      </c>
      <c r="F1775" s="36" t="s">
        <v>23099</v>
      </c>
      <c r="G1775" s="36" t="s">
        <v>23100</v>
      </c>
      <c r="H1775" s="36" t="s">
        <v>23101</v>
      </c>
      <c r="I1775" s="36" t="s">
        <v>23102</v>
      </c>
      <c r="J1775" s="36" t="s">
        <v>23103</v>
      </c>
      <c r="K1775" s="36" t="s">
        <v>23104</v>
      </c>
      <c r="L1775" s="36" t="s">
        <v>23105</v>
      </c>
      <c r="M1775" s="36" t="s">
        <v>23106</v>
      </c>
      <c r="N1775" s="36" t="s">
        <v>23107</v>
      </c>
      <c r="O1775" s="36" t="s">
        <v>23108</v>
      </c>
      <c r="P1775" s="36" t="s">
        <v>23096</v>
      </c>
    </row>
    <row r="1776" spans="1:16" ht="15" customHeight="1">
      <c r="A1776" s="132">
        <v>1775</v>
      </c>
      <c r="B1776" s="36" t="s">
        <v>23109</v>
      </c>
      <c r="C1776" s="36" t="s">
        <v>23110</v>
      </c>
      <c r="D1776" s="36" t="s">
        <v>23111</v>
      </c>
      <c r="E1776" s="36" t="s">
        <v>23112</v>
      </c>
      <c r="F1776" s="36" t="s">
        <v>23113</v>
      </c>
      <c r="G1776" s="36" t="s">
        <v>23114</v>
      </c>
      <c r="H1776" s="36" t="s">
        <v>23115</v>
      </c>
      <c r="I1776" s="36" t="s">
        <v>23113</v>
      </c>
      <c r="J1776" s="36" t="s">
        <v>23116</v>
      </c>
      <c r="K1776" s="36" t="s">
        <v>23117</v>
      </c>
      <c r="L1776" s="36" t="s">
        <v>23118</v>
      </c>
      <c r="M1776" s="36" t="s">
        <v>23119</v>
      </c>
      <c r="N1776" s="36" t="s">
        <v>23120</v>
      </c>
      <c r="O1776" s="36" t="s">
        <v>23121</v>
      </c>
      <c r="P1776" s="36" t="s">
        <v>23109</v>
      </c>
    </row>
    <row r="1777" spans="1:16" ht="15" customHeight="1">
      <c r="A1777" s="132">
        <v>1776</v>
      </c>
      <c r="B1777" s="36" t="s">
        <v>23122</v>
      </c>
      <c r="C1777" s="36" t="s">
        <v>23123</v>
      </c>
      <c r="D1777" s="36" t="s">
        <v>23124</v>
      </c>
      <c r="E1777" s="36" t="s">
        <v>23125</v>
      </c>
      <c r="F1777" s="36" t="s">
        <v>23126</v>
      </c>
      <c r="G1777" s="36" t="s">
        <v>23127</v>
      </c>
      <c r="H1777" s="36" t="s">
        <v>23128</v>
      </c>
      <c r="I1777" s="36" t="s">
        <v>23129</v>
      </c>
      <c r="J1777" s="36" t="s">
        <v>23130</v>
      </c>
      <c r="K1777" s="36" t="s">
        <v>23131</v>
      </c>
      <c r="L1777" s="36" t="s">
        <v>23132</v>
      </c>
      <c r="M1777" s="36" t="s">
        <v>23133</v>
      </c>
      <c r="N1777" s="36" t="s">
        <v>23134</v>
      </c>
      <c r="O1777" s="36" t="s">
        <v>23135</v>
      </c>
      <c r="P1777" s="36" t="s">
        <v>23136</v>
      </c>
    </row>
    <row r="1778" spans="1:16" ht="15" customHeight="1">
      <c r="A1778" s="132">
        <v>1777</v>
      </c>
      <c r="B1778" s="36" t="s">
        <v>23137</v>
      </c>
      <c r="C1778" s="36" t="s">
        <v>23137</v>
      </c>
      <c r="D1778" s="36" t="s">
        <v>23137</v>
      </c>
      <c r="E1778" s="36" t="s">
        <v>23137</v>
      </c>
      <c r="F1778" s="36" t="s">
        <v>23137</v>
      </c>
      <c r="G1778" s="36" t="s">
        <v>23137</v>
      </c>
      <c r="H1778" s="36" t="s">
        <v>23137</v>
      </c>
      <c r="I1778" s="36" t="s">
        <v>23137</v>
      </c>
      <c r="J1778" s="36" t="s">
        <v>23137</v>
      </c>
      <c r="K1778" s="36" t="s">
        <v>23137</v>
      </c>
      <c r="L1778" s="36" t="s">
        <v>23137</v>
      </c>
      <c r="M1778" s="36" t="s">
        <v>23137</v>
      </c>
      <c r="N1778" s="36" t="s">
        <v>23137</v>
      </c>
      <c r="O1778" s="36" t="s">
        <v>23137</v>
      </c>
      <c r="P1778" s="36" t="s">
        <v>23137</v>
      </c>
    </row>
    <row r="1779" spans="1:16" ht="15" customHeight="1">
      <c r="A1779" s="132">
        <v>1778</v>
      </c>
      <c r="B1779" s="36" t="s">
        <v>23138</v>
      </c>
      <c r="C1779" s="36" t="s">
        <v>23139</v>
      </c>
      <c r="D1779" s="36" t="s">
        <v>23140</v>
      </c>
      <c r="E1779" s="36" t="s">
        <v>23141</v>
      </c>
      <c r="F1779" s="36" t="s">
        <v>23142</v>
      </c>
      <c r="G1779" s="36" t="s">
        <v>23143</v>
      </c>
      <c r="H1779" s="36" t="s">
        <v>23144</v>
      </c>
      <c r="I1779" s="36" t="s">
        <v>23145</v>
      </c>
      <c r="J1779" s="36" t="s">
        <v>23146</v>
      </c>
      <c r="K1779" s="36" t="s">
        <v>23147</v>
      </c>
      <c r="L1779" s="36" t="s">
        <v>23148</v>
      </c>
      <c r="M1779" s="36" t="s">
        <v>23149</v>
      </c>
      <c r="N1779" s="36" t="s">
        <v>23150</v>
      </c>
      <c r="O1779" s="36" t="s">
        <v>23151</v>
      </c>
      <c r="P1779" s="36" t="s">
        <v>23138</v>
      </c>
    </row>
    <row r="1780" spans="1:16" ht="15" customHeight="1">
      <c r="A1780" s="132">
        <v>1779</v>
      </c>
      <c r="B1780" s="36" t="s">
        <v>23152</v>
      </c>
      <c r="C1780" s="36" t="s">
        <v>23153</v>
      </c>
      <c r="D1780" s="36" t="s">
        <v>23154</v>
      </c>
      <c r="E1780" s="36" t="s">
        <v>23155</v>
      </c>
      <c r="F1780" s="36" t="s">
        <v>23156</v>
      </c>
      <c r="G1780" s="36" t="s">
        <v>23157</v>
      </c>
      <c r="H1780" s="36" t="s">
        <v>23158</v>
      </c>
      <c r="I1780" s="36" t="s">
        <v>23159</v>
      </c>
      <c r="J1780" s="36" t="s">
        <v>23160</v>
      </c>
      <c r="K1780" s="36" t="s">
        <v>23161</v>
      </c>
      <c r="L1780" s="36" t="s">
        <v>23162</v>
      </c>
      <c r="M1780" s="36" t="s">
        <v>23163</v>
      </c>
      <c r="N1780" s="36" t="s">
        <v>23164</v>
      </c>
      <c r="O1780" s="36" t="s">
        <v>23165</v>
      </c>
      <c r="P1780" s="36" t="s">
        <v>23166</v>
      </c>
    </row>
    <row r="1781" spans="1:16" ht="15" customHeight="1">
      <c r="A1781" s="132">
        <v>1780</v>
      </c>
      <c r="B1781" s="36" t="s">
        <v>23167</v>
      </c>
      <c r="C1781" s="36" t="s">
        <v>23168</v>
      </c>
      <c r="D1781" s="36" t="s">
        <v>23169</v>
      </c>
      <c r="E1781" s="36" t="s">
        <v>23170</v>
      </c>
      <c r="F1781" s="36" t="s">
        <v>23171</v>
      </c>
      <c r="G1781" s="36" t="s">
        <v>23172</v>
      </c>
      <c r="H1781" s="36" t="s">
        <v>23173</v>
      </c>
      <c r="I1781" s="36" t="s">
        <v>23174</v>
      </c>
      <c r="J1781" s="36" t="s">
        <v>23175</v>
      </c>
      <c r="K1781" s="36" t="s">
        <v>23176</v>
      </c>
      <c r="L1781" s="36" t="s">
        <v>23177</v>
      </c>
      <c r="M1781" s="36" t="s">
        <v>23178</v>
      </c>
      <c r="N1781" s="36" t="s">
        <v>23179</v>
      </c>
      <c r="O1781" s="36" t="s">
        <v>23180</v>
      </c>
      <c r="P1781" s="36" t="s">
        <v>23181</v>
      </c>
    </row>
    <row r="1782" spans="1:16" ht="15" customHeight="1">
      <c r="A1782" s="132">
        <v>1781</v>
      </c>
      <c r="B1782" s="36" t="s">
        <v>23182</v>
      </c>
      <c r="C1782" s="36" t="s">
        <v>23183</v>
      </c>
      <c r="D1782" s="36" t="s">
        <v>23184</v>
      </c>
      <c r="E1782" s="36" t="s">
        <v>23185</v>
      </c>
      <c r="F1782" s="36" t="s">
        <v>23186</v>
      </c>
      <c r="G1782" s="36" t="s">
        <v>23187</v>
      </c>
      <c r="H1782" s="36" t="s">
        <v>23188</v>
      </c>
      <c r="I1782" s="36" t="s">
        <v>23189</v>
      </c>
      <c r="J1782" s="36" t="s">
        <v>23190</v>
      </c>
      <c r="K1782" s="36" t="s">
        <v>23191</v>
      </c>
      <c r="L1782" s="36" t="s">
        <v>23192</v>
      </c>
      <c r="M1782" s="36" t="s">
        <v>23193</v>
      </c>
      <c r="N1782" s="36" t="s">
        <v>23194</v>
      </c>
      <c r="O1782" s="36" t="s">
        <v>23195</v>
      </c>
      <c r="P1782" s="36" t="s">
        <v>23196</v>
      </c>
    </row>
    <row r="1783" spans="1:16" ht="15" customHeight="1">
      <c r="A1783" s="132">
        <v>1782</v>
      </c>
      <c r="B1783" s="36" t="s">
        <v>23197</v>
      </c>
      <c r="C1783" s="36" t="s">
        <v>23198</v>
      </c>
      <c r="D1783" s="36" t="s">
        <v>23199</v>
      </c>
      <c r="E1783" s="36" t="s">
        <v>23200</v>
      </c>
      <c r="F1783" s="36" t="s">
        <v>23186</v>
      </c>
      <c r="G1783" s="36" t="s">
        <v>23201</v>
      </c>
      <c r="H1783" s="36" t="s">
        <v>23202</v>
      </c>
      <c r="I1783" s="36" t="s">
        <v>23203</v>
      </c>
      <c r="J1783" s="36" t="s">
        <v>23204</v>
      </c>
      <c r="K1783" s="36" t="s">
        <v>23205</v>
      </c>
      <c r="L1783" s="36" t="s">
        <v>23206</v>
      </c>
      <c r="M1783" s="36" t="s">
        <v>23207</v>
      </c>
      <c r="N1783" s="36" t="s">
        <v>23208</v>
      </c>
      <c r="O1783" s="36" t="s">
        <v>23209</v>
      </c>
      <c r="P1783" s="36" t="s">
        <v>23210</v>
      </c>
    </row>
    <row r="1784" spans="1:16" ht="15" customHeight="1">
      <c r="A1784" s="132">
        <v>1783</v>
      </c>
      <c r="B1784" s="36" t="s">
        <v>23211</v>
      </c>
      <c r="C1784" s="36" t="s">
        <v>23212</v>
      </c>
      <c r="D1784" s="36" t="s">
        <v>23213</v>
      </c>
      <c r="E1784" s="36" t="s">
        <v>23214</v>
      </c>
      <c r="F1784" s="36" t="s">
        <v>23215</v>
      </c>
      <c r="G1784" s="36" t="s">
        <v>23216</v>
      </c>
      <c r="H1784" s="36" t="s">
        <v>23217</v>
      </c>
      <c r="I1784" s="36" t="s">
        <v>23218</v>
      </c>
      <c r="J1784" s="36" t="s">
        <v>23219</v>
      </c>
      <c r="K1784" s="36" t="s">
        <v>23220</v>
      </c>
      <c r="L1784" s="36" t="s">
        <v>23221</v>
      </c>
      <c r="M1784" s="36" t="s">
        <v>23222</v>
      </c>
      <c r="N1784" s="36" t="s">
        <v>23223</v>
      </c>
      <c r="O1784" s="36" t="s">
        <v>23224</v>
      </c>
      <c r="P1784" s="36" t="s">
        <v>23225</v>
      </c>
    </row>
    <row r="1785" spans="1:16" ht="15" customHeight="1">
      <c r="A1785" s="132">
        <v>1784</v>
      </c>
      <c r="B1785" s="36" t="s">
        <v>23226</v>
      </c>
      <c r="C1785" s="36" t="s">
        <v>23227</v>
      </c>
      <c r="D1785" s="36" t="s">
        <v>23228</v>
      </c>
      <c r="E1785" s="36" t="s">
        <v>23229</v>
      </c>
      <c r="F1785" s="36" t="s">
        <v>23230</v>
      </c>
      <c r="G1785" s="36" t="s">
        <v>23231</v>
      </c>
      <c r="H1785" s="36" t="s">
        <v>23232</v>
      </c>
      <c r="I1785" s="36" t="s">
        <v>23233</v>
      </c>
      <c r="J1785" s="36" t="s">
        <v>23234</v>
      </c>
      <c r="K1785" s="36" t="s">
        <v>23235</v>
      </c>
      <c r="L1785" s="36" t="s">
        <v>23236</v>
      </c>
      <c r="M1785" s="36" t="s">
        <v>23237</v>
      </c>
      <c r="N1785" s="36" t="s">
        <v>23238</v>
      </c>
      <c r="O1785" s="36" t="s">
        <v>23239</v>
      </c>
      <c r="P1785" s="36" t="s">
        <v>23240</v>
      </c>
    </row>
    <row r="1786" spans="1:16" ht="15" customHeight="1">
      <c r="A1786" s="132">
        <v>1785</v>
      </c>
      <c r="B1786" s="36" t="s">
        <v>23241</v>
      </c>
      <c r="C1786" s="36" t="s">
        <v>23242</v>
      </c>
      <c r="D1786" s="36" t="s">
        <v>23243</v>
      </c>
      <c r="E1786" s="36" t="s">
        <v>23244</v>
      </c>
      <c r="F1786" s="36" t="s">
        <v>23245</v>
      </c>
      <c r="G1786" s="36" t="s">
        <v>23246</v>
      </c>
      <c r="H1786" s="36" t="s">
        <v>23247</v>
      </c>
      <c r="I1786" s="36" t="s">
        <v>23248</v>
      </c>
      <c r="J1786" s="36" t="s">
        <v>23249</v>
      </c>
      <c r="K1786" s="36" t="s">
        <v>23250</v>
      </c>
      <c r="L1786" s="36" t="s">
        <v>23251</v>
      </c>
      <c r="M1786" s="36" t="s">
        <v>23252</v>
      </c>
      <c r="N1786" s="36" t="s">
        <v>23253</v>
      </c>
      <c r="O1786" s="36" t="s">
        <v>23254</v>
      </c>
      <c r="P1786" s="36" t="s">
        <v>23255</v>
      </c>
    </row>
    <row r="1787" spans="1:16" ht="15" customHeight="1">
      <c r="A1787" s="132">
        <v>1786</v>
      </c>
      <c r="B1787" s="36" t="s">
        <v>29</v>
      </c>
      <c r="C1787" s="36" t="s">
        <v>29</v>
      </c>
      <c r="D1787" s="36" t="s">
        <v>23256</v>
      </c>
      <c r="E1787" s="36" t="s">
        <v>29</v>
      </c>
      <c r="F1787" s="36" t="s">
        <v>23257</v>
      </c>
      <c r="G1787" s="36" t="s">
        <v>29</v>
      </c>
      <c r="H1787" s="36" t="s">
        <v>23258</v>
      </c>
      <c r="I1787" s="36" t="s">
        <v>29</v>
      </c>
      <c r="J1787" s="36" t="s">
        <v>29</v>
      </c>
      <c r="K1787" s="36" t="s">
        <v>29</v>
      </c>
      <c r="L1787" s="36" t="s">
        <v>29</v>
      </c>
      <c r="M1787" s="36" t="s">
        <v>29</v>
      </c>
      <c r="N1787" s="36" t="s">
        <v>29</v>
      </c>
      <c r="O1787" s="36" t="s">
        <v>29</v>
      </c>
      <c r="P1787" s="36" t="s">
        <v>29</v>
      </c>
    </row>
    <row r="1788" spans="1:16" ht="15" customHeight="1">
      <c r="A1788" s="132">
        <v>1787</v>
      </c>
      <c r="B1788" s="36" t="s">
        <v>23259</v>
      </c>
      <c r="C1788" s="36" t="s">
        <v>23260</v>
      </c>
      <c r="D1788" s="36" t="s">
        <v>23261</v>
      </c>
      <c r="E1788" s="36" t="s">
        <v>23262</v>
      </c>
      <c r="F1788" s="36" t="s">
        <v>23263</v>
      </c>
      <c r="G1788" s="36" t="s">
        <v>23264</v>
      </c>
      <c r="H1788" s="36" t="s">
        <v>23265</v>
      </c>
      <c r="I1788" s="36" t="s">
        <v>23266</v>
      </c>
      <c r="J1788" s="36" t="s">
        <v>23267</v>
      </c>
      <c r="K1788" s="36" t="s">
        <v>23268</v>
      </c>
      <c r="L1788" s="36" t="s">
        <v>23269</v>
      </c>
      <c r="M1788" s="36" t="s">
        <v>23270</v>
      </c>
      <c r="N1788" s="36" t="s">
        <v>23271</v>
      </c>
      <c r="O1788" s="36" t="s">
        <v>23272</v>
      </c>
      <c r="P1788" s="36" t="s">
        <v>23259</v>
      </c>
    </row>
    <row r="1789" spans="1:16" ht="15" customHeight="1">
      <c r="A1789" s="132">
        <v>1788</v>
      </c>
      <c r="B1789" s="36" t="s">
        <v>23273</v>
      </c>
      <c r="C1789" s="36" t="s">
        <v>23274</v>
      </c>
      <c r="D1789" s="36" t="s">
        <v>23275</v>
      </c>
      <c r="E1789" s="36" t="s">
        <v>23276</v>
      </c>
      <c r="F1789" s="36" t="s">
        <v>23277</v>
      </c>
      <c r="G1789" s="36" t="s">
        <v>23278</v>
      </c>
      <c r="H1789" s="36" t="s">
        <v>23279</v>
      </c>
      <c r="I1789" s="36" t="s">
        <v>23280</v>
      </c>
      <c r="J1789" s="36" t="s">
        <v>23281</v>
      </c>
      <c r="K1789" s="36" t="s">
        <v>23282</v>
      </c>
      <c r="L1789" s="36" t="s">
        <v>23283</v>
      </c>
      <c r="M1789" s="36" t="s">
        <v>23284</v>
      </c>
      <c r="N1789" s="36" t="s">
        <v>23285</v>
      </c>
      <c r="O1789" s="36" t="s">
        <v>23286</v>
      </c>
      <c r="P1789" s="36" t="s">
        <v>23273</v>
      </c>
    </row>
    <row r="1790" spans="1:16" ht="15" customHeight="1">
      <c r="A1790" s="132">
        <v>1789</v>
      </c>
      <c r="B1790" s="36" t="s">
        <v>23287</v>
      </c>
      <c r="C1790" s="36" t="s">
        <v>23288</v>
      </c>
      <c r="D1790" s="36" t="s">
        <v>23289</v>
      </c>
      <c r="E1790" s="36" t="s">
        <v>23290</v>
      </c>
      <c r="F1790" s="36" t="s">
        <v>23291</v>
      </c>
      <c r="G1790" s="36" t="s">
        <v>23292</v>
      </c>
      <c r="H1790" s="36" t="s">
        <v>23293</v>
      </c>
      <c r="I1790" s="36" t="s">
        <v>23294</v>
      </c>
      <c r="J1790" s="36" t="s">
        <v>23295</v>
      </c>
      <c r="K1790" s="36" t="s">
        <v>23296</v>
      </c>
      <c r="L1790" s="36" t="s">
        <v>23297</v>
      </c>
      <c r="M1790" s="36" t="s">
        <v>23298</v>
      </c>
      <c r="N1790" s="36" t="s">
        <v>23299</v>
      </c>
      <c r="O1790" s="36" t="s">
        <v>23300</v>
      </c>
      <c r="P1790" s="36" t="s">
        <v>23287</v>
      </c>
    </row>
    <row r="1791" spans="1:16" ht="15" customHeight="1">
      <c r="A1791" s="132">
        <v>1790</v>
      </c>
      <c r="B1791" s="36" t="s">
        <v>23301</v>
      </c>
      <c r="C1791" s="36" t="s">
        <v>23302</v>
      </c>
      <c r="D1791" s="36" t="s">
        <v>23303</v>
      </c>
      <c r="E1791" s="36" t="s">
        <v>23304</v>
      </c>
      <c r="F1791" s="36" t="s">
        <v>23305</v>
      </c>
      <c r="G1791" s="36" t="s">
        <v>23305</v>
      </c>
      <c r="H1791" s="36" t="s">
        <v>23306</v>
      </c>
      <c r="I1791" s="36" t="s">
        <v>23307</v>
      </c>
      <c r="J1791" s="36" t="s">
        <v>23308</v>
      </c>
      <c r="K1791" s="36" t="s">
        <v>23309</v>
      </c>
      <c r="L1791" s="36" t="s">
        <v>23301</v>
      </c>
      <c r="M1791" s="36" t="s">
        <v>23310</v>
      </c>
      <c r="N1791" s="36" t="s">
        <v>23301</v>
      </c>
      <c r="O1791" s="36" t="s">
        <v>23310</v>
      </c>
      <c r="P1791" s="36" t="s">
        <v>23301</v>
      </c>
    </row>
    <row r="1792" spans="1:16" ht="15" customHeight="1">
      <c r="A1792" s="132">
        <v>1791</v>
      </c>
      <c r="B1792" s="36" t="s">
        <v>23311</v>
      </c>
      <c r="C1792" s="36" t="s">
        <v>23312</v>
      </c>
      <c r="D1792" s="36" t="s">
        <v>23313</v>
      </c>
      <c r="E1792" s="36" t="s">
        <v>23314</v>
      </c>
      <c r="F1792" s="36" t="s">
        <v>23315</v>
      </c>
      <c r="G1792" s="36" t="s">
        <v>23316</v>
      </c>
      <c r="H1792" s="36" t="s">
        <v>23317</v>
      </c>
      <c r="I1792" s="36" t="s">
        <v>23318</v>
      </c>
      <c r="J1792" s="36" t="s">
        <v>23319</v>
      </c>
      <c r="K1792" s="36" t="s">
        <v>23320</v>
      </c>
      <c r="L1792" s="36" t="s">
        <v>23321</v>
      </c>
      <c r="M1792" s="36" t="s">
        <v>23322</v>
      </c>
      <c r="N1792" s="36" t="s">
        <v>23323</v>
      </c>
      <c r="O1792" s="36" t="s">
        <v>23324</v>
      </c>
      <c r="P1792" s="36" t="s">
        <v>23325</v>
      </c>
    </row>
    <row r="1793" spans="1:16" ht="15" customHeight="1">
      <c r="A1793" s="132">
        <v>1792</v>
      </c>
      <c r="B1793" s="36" t="s">
        <v>23326</v>
      </c>
      <c r="C1793" s="36" t="s">
        <v>23327</v>
      </c>
      <c r="D1793" s="36" t="s">
        <v>23328</v>
      </c>
      <c r="E1793" s="36" t="s">
        <v>23329</v>
      </c>
      <c r="F1793" s="36" t="s">
        <v>23330</v>
      </c>
      <c r="G1793" s="36" t="s">
        <v>23331</v>
      </c>
      <c r="H1793" s="36" t="s">
        <v>23332</v>
      </c>
      <c r="I1793" s="36" t="s">
        <v>23333</v>
      </c>
      <c r="J1793" s="36" t="s">
        <v>23326</v>
      </c>
      <c r="K1793" s="36" t="s">
        <v>23334</v>
      </c>
      <c r="L1793" s="36" t="s">
        <v>23335</v>
      </c>
      <c r="M1793" s="36" t="s">
        <v>23336</v>
      </c>
      <c r="N1793" s="36" t="s">
        <v>23337</v>
      </c>
      <c r="O1793" s="36" t="s">
        <v>23334</v>
      </c>
      <c r="P1793" s="36" t="s">
        <v>23326</v>
      </c>
    </row>
    <row r="1794" spans="1:16" ht="15" customHeight="1">
      <c r="A1794" s="132">
        <v>1793</v>
      </c>
      <c r="B1794" s="36" t="s">
        <v>23338</v>
      </c>
      <c r="C1794" s="36" t="s">
        <v>23339</v>
      </c>
      <c r="D1794" s="36" t="s">
        <v>23340</v>
      </c>
      <c r="E1794" s="36" t="s">
        <v>23341</v>
      </c>
      <c r="F1794" s="36" t="s">
        <v>23342</v>
      </c>
      <c r="G1794" s="36" t="s">
        <v>23343</v>
      </c>
      <c r="H1794" s="36" t="s">
        <v>23344</v>
      </c>
      <c r="I1794" s="36" t="s">
        <v>23342</v>
      </c>
      <c r="J1794" s="36" t="s">
        <v>23345</v>
      </c>
      <c r="K1794" s="36" t="s">
        <v>23346</v>
      </c>
      <c r="L1794" s="36" t="s">
        <v>23338</v>
      </c>
      <c r="M1794" s="36" t="s">
        <v>23347</v>
      </c>
      <c r="N1794" s="36" t="s">
        <v>23338</v>
      </c>
      <c r="O1794" s="36" t="s">
        <v>23348</v>
      </c>
      <c r="P1794" s="36" t="s">
        <v>23338</v>
      </c>
    </row>
    <row r="1795" spans="1:16" ht="15" customHeight="1">
      <c r="A1795" s="132">
        <v>1794</v>
      </c>
      <c r="B1795" s="36" t="s">
        <v>23349</v>
      </c>
      <c r="C1795" s="36" t="s">
        <v>23350</v>
      </c>
      <c r="D1795" s="36" t="s">
        <v>23351</v>
      </c>
      <c r="E1795" s="36" t="s">
        <v>23352</v>
      </c>
      <c r="F1795" s="36" t="s">
        <v>23353</v>
      </c>
      <c r="G1795" s="36" t="s">
        <v>23354</v>
      </c>
      <c r="H1795" s="36" t="s">
        <v>23355</v>
      </c>
      <c r="I1795" s="36" t="s">
        <v>23356</v>
      </c>
      <c r="J1795" s="36" t="s">
        <v>23357</v>
      </c>
      <c r="K1795" s="36" t="s">
        <v>23358</v>
      </c>
      <c r="L1795" s="36" t="s">
        <v>23359</v>
      </c>
      <c r="M1795" s="36" t="s">
        <v>23360</v>
      </c>
      <c r="N1795" s="36" t="s">
        <v>23361</v>
      </c>
      <c r="O1795" s="36" t="s">
        <v>23362</v>
      </c>
      <c r="P1795" s="36" t="s">
        <v>23349</v>
      </c>
    </row>
    <row r="1796" spans="1:16" ht="15" customHeight="1">
      <c r="A1796" s="132">
        <v>1795</v>
      </c>
      <c r="B1796" s="36" t="s">
        <v>23363</v>
      </c>
      <c r="C1796" s="36" t="s">
        <v>23364</v>
      </c>
      <c r="D1796" s="36" t="s">
        <v>23365</v>
      </c>
      <c r="E1796" s="36" t="s">
        <v>23366</v>
      </c>
      <c r="F1796" s="36" t="s">
        <v>23367</v>
      </c>
      <c r="G1796" s="36" t="s">
        <v>23368</v>
      </c>
      <c r="H1796" s="36" t="s">
        <v>23369</v>
      </c>
      <c r="I1796" s="36" t="s">
        <v>23370</v>
      </c>
      <c r="J1796" s="36" t="s">
        <v>23371</v>
      </c>
      <c r="K1796" s="36" t="s">
        <v>23372</v>
      </c>
      <c r="L1796" s="36" t="s">
        <v>23373</v>
      </c>
      <c r="M1796" s="36" t="s">
        <v>23374</v>
      </c>
      <c r="N1796" s="36" t="s">
        <v>23375</v>
      </c>
      <c r="O1796" s="36" t="s">
        <v>23376</v>
      </c>
      <c r="P1796" s="36" t="s">
        <v>23363</v>
      </c>
    </row>
    <row r="1797" spans="1:16" ht="15" customHeight="1">
      <c r="A1797" s="132">
        <v>1796</v>
      </c>
      <c r="B1797" s="36" t="s">
        <v>23377</v>
      </c>
      <c r="C1797" s="36" t="s">
        <v>23378</v>
      </c>
      <c r="D1797" s="36" t="s">
        <v>23379</v>
      </c>
      <c r="E1797" s="36" t="s">
        <v>23380</v>
      </c>
      <c r="F1797" s="36" t="s">
        <v>23381</v>
      </c>
      <c r="G1797" s="36" t="s">
        <v>23382</v>
      </c>
      <c r="H1797" s="36" t="s">
        <v>23383</v>
      </c>
      <c r="I1797" s="36" t="s">
        <v>23384</v>
      </c>
      <c r="J1797" s="36" t="s">
        <v>23385</v>
      </c>
      <c r="K1797" s="36" t="s">
        <v>23386</v>
      </c>
      <c r="L1797" s="36" t="s">
        <v>23387</v>
      </c>
      <c r="M1797" s="36" t="s">
        <v>23388</v>
      </c>
      <c r="N1797" s="36" t="s">
        <v>23389</v>
      </c>
      <c r="O1797" s="36" t="s">
        <v>23390</v>
      </c>
      <c r="P1797" s="36" t="s">
        <v>23377</v>
      </c>
    </row>
    <row r="1798" spans="1:16" ht="15" customHeight="1">
      <c r="A1798" s="132">
        <v>1797</v>
      </c>
      <c r="B1798" s="36" t="s">
        <v>23391</v>
      </c>
      <c r="C1798" s="36" t="s">
        <v>23392</v>
      </c>
      <c r="D1798" s="36" t="s">
        <v>23393</v>
      </c>
      <c r="E1798" s="36" t="s">
        <v>23394</v>
      </c>
      <c r="F1798" s="36" t="s">
        <v>23395</v>
      </c>
      <c r="G1798" s="36" t="s">
        <v>23396</v>
      </c>
      <c r="H1798" s="36" t="s">
        <v>23397</v>
      </c>
      <c r="I1798" s="36" t="s">
        <v>23398</v>
      </c>
      <c r="J1798" s="36" t="s">
        <v>23399</v>
      </c>
      <c r="K1798" s="36" t="s">
        <v>23400</v>
      </c>
      <c r="L1798" s="36" t="s">
        <v>23401</v>
      </c>
      <c r="M1798" s="36" t="s">
        <v>23402</v>
      </c>
      <c r="N1798" s="36" t="s">
        <v>23403</v>
      </c>
      <c r="O1798" s="36" t="s">
        <v>23404</v>
      </c>
      <c r="P1798" s="36" t="s">
        <v>23391</v>
      </c>
    </row>
    <row r="1799" spans="1:16" ht="15" customHeight="1">
      <c r="A1799" s="132">
        <v>1798</v>
      </c>
      <c r="B1799" s="36" t="s">
        <v>23405</v>
      </c>
      <c r="C1799" s="36" t="s">
        <v>23406</v>
      </c>
      <c r="D1799" s="36" t="s">
        <v>23407</v>
      </c>
      <c r="E1799" s="36" t="s">
        <v>23408</v>
      </c>
      <c r="F1799" s="36" t="s">
        <v>23409</v>
      </c>
      <c r="G1799" s="36" t="s">
        <v>23410</v>
      </c>
      <c r="H1799" s="36" t="s">
        <v>23411</v>
      </c>
      <c r="I1799" s="36" t="s">
        <v>23412</v>
      </c>
      <c r="J1799" s="36" t="s">
        <v>23413</v>
      </c>
      <c r="K1799" s="36" t="s">
        <v>23414</v>
      </c>
      <c r="L1799" s="36" t="s">
        <v>23415</v>
      </c>
      <c r="M1799" s="36" t="s">
        <v>23416</v>
      </c>
      <c r="N1799" s="36" t="s">
        <v>23417</v>
      </c>
      <c r="O1799" s="36" t="s">
        <v>23418</v>
      </c>
      <c r="P1799" s="36" t="s">
        <v>23405</v>
      </c>
    </row>
    <row r="1800" spans="1:16" ht="15" customHeight="1">
      <c r="A1800" s="132">
        <v>1799</v>
      </c>
      <c r="B1800" s="36" t="s">
        <v>23419</v>
      </c>
      <c r="C1800" s="36" t="s">
        <v>23420</v>
      </c>
      <c r="D1800" s="36" t="s">
        <v>23421</v>
      </c>
      <c r="E1800" s="36" t="s">
        <v>23422</v>
      </c>
      <c r="F1800" s="36" t="s">
        <v>23423</v>
      </c>
      <c r="G1800" s="36" t="s">
        <v>23424</v>
      </c>
      <c r="H1800" s="36" t="s">
        <v>23425</v>
      </c>
      <c r="I1800" s="36" t="s">
        <v>23426</v>
      </c>
      <c r="J1800" s="36" t="s">
        <v>23427</v>
      </c>
      <c r="K1800" s="36" t="s">
        <v>23428</v>
      </c>
      <c r="L1800" s="36" t="s">
        <v>23429</v>
      </c>
      <c r="M1800" s="36" t="s">
        <v>23430</v>
      </c>
      <c r="N1800" s="36" t="s">
        <v>23431</v>
      </c>
      <c r="O1800" s="36" t="s">
        <v>23432</v>
      </c>
      <c r="P1800" s="36" t="s">
        <v>23419</v>
      </c>
    </row>
    <row r="1801" spans="1:16" ht="15" customHeight="1">
      <c r="A1801" s="132">
        <v>1800</v>
      </c>
      <c r="B1801" s="36" t="s">
        <v>23433</v>
      </c>
      <c r="C1801" s="36" t="s">
        <v>23434</v>
      </c>
      <c r="D1801" s="36" t="s">
        <v>23435</v>
      </c>
      <c r="E1801" s="36" t="s">
        <v>23436</v>
      </c>
      <c r="F1801" s="36" t="s">
        <v>23437</v>
      </c>
      <c r="G1801" s="36" t="s">
        <v>23438</v>
      </c>
      <c r="H1801" s="36" t="s">
        <v>23439</v>
      </c>
      <c r="I1801" s="36" t="s">
        <v>23440</v>
      </c>
      <c r="J1801" s="36" t="s">
        <v>23441</v>
      </c>
      <c r="K1801" s="36" t="s">
        <v>23442</v>
      </c>
      <c r="L1801" s="36" t="s">
        <v>23443</v>
      </c>
      <c r="M1801" s="36" t="s">
        <v>23444</v>
      </c>
      <c r="N1801" s="36" t="s">
        <v>23445</v>
      </c>
      <c r="O1801" s="36" t="s">
        <v>23446</v>
      </c>
      <c r="P1801" s="36" t="s">
        <v>23433</v>
      </c>
    </row>
    <row r="1802" spans="1:16" ht="15" customHeight="1">
      <c r="A1802" s="132">
        <v>1801</v>
      </c>
      <c r="B1802" s="36" t="s">
        <v>23447</v>
      </c>
      <c r="C1802" s="36" t="s">
        <v>23448</v>
      </c>
      <c r="D1802" s="36" t="s">
        <v>23449</v>
      </c>
      <c r="E1802" s="36" t="s">
        <v>23450</v>
      </c>
      <c r="F1802" s="36" t="s">
        <v>23451</v>
      </c>
      <c r="G1802" s="36" t="s">
        <v>23452</v>
      </c>
      <c r="H1802" s="36" t="s">
        <v>23453</v>
      </c>
      <c r="I1802" s="36" t="s">
        <v>23454</v>
      </c>
      <c r="J1802" s="36" t="s">
        <v>23455</v>
      </c>
      <c r="K1802" s="36" t="s">
        <v>23456</v>
      </c>
      <c r="L1802" s="36" t="s">
        <v>23457</v>
      </c>
      <c r="M1802" s="36" t="s">
        <v>23458</v>
      </c>
      <c r="N1802" s="36" t="s">
        <v>23459</v>
      </c>
      <c r="O1802" s="36" t="s">
        <v>23460</v>
      </c>
      <c r="P1802" s="36" t="s">
        <v>23447</v>
      </c>
    </row>
    <row r="1803" spans="1:16" ht="15" customHeight="1">
      <c r="A1803" s="132">
        <v>1802</v>
      </c>
      <c r="B1803" s="36" t="s">
        <v>23461</v>
      </c>
      <c r="C1803" s="36" t="s">
        <v>23462</v>
      </c>
      <c r="D1803" s="36" t="s">
        <v>23463</v>
      </c>
      <c r="E1803" s="36" t="s">
        <v>23464</v>
      </c>
      <c r="F1803" s="36" t="s">
        <v>23465</v>
      </c>
      <c r="G1803" s="36" t="s">
        <v>23466</v>
      </c>
      <c r="H1803" s="36" t="s">
        <v>23467</v>
      </c>
      <c r="I1803" s="36" t="s">
        <v>23468</v>
      </c>
      <c r="J1803" s="36" t="s">
        <v>23469</v>
      </c>
      <c r="K1803" s="36" t="s">
        <v>23470</v>
      </c>
      <c r="L1803" s="36" t="s">
        <v>23471</v>
      </c>
      <c r="M1803" s="36" t="s">
        <v>23472</v>
      </c>
      <c r="N1803" s="36" t="s">
        <v>23473</v>
      </c>
      <c r="O1803" s="36" t="s">
        <v>23474</v>
      </c>
      <c r="P1803" s="36" t="s">
        <v>23461</v>
      </c>
    </row>
    <row r="1804" spans="1:16" ht="15" customHeight="1">
      <c r="A1804" s="132">
        <v>1803</v>
      </c>
      <c r="B1804" s="36" t="s">
        <v>23475</v>
      </c>
      <c r="C1804" s="36" t="s">
        <v>23476</v>
      </c>
      <c r="D1804" s="36" t="s">
        <v>23477</v>
      </c>
      <c r="E1804" s="36" t="s">
        <v>23478</v>
      </c>
      <c r="F1804" s="36" t="s">
        <v>23479</v>
      </c>
      <c r="G1804" s="36" t="s">
        <v>23480</v>
      </c>
      <c r="H1804" s="36" t="s">
        <v>23481</v>
      </c>
      <c r="I1804" s="36" t="s">
        <v>23482</v>
      </c>
      <c r="J1804" s="36" t="s">
        <v>23483</v>
      </c>
      <c r="K1804" s="36" t="s">
        <v>23484</v>
      </c>
      <c r="L1804" s="36" t="s">
        <v>23485</v>
      </c>
      <c r="M1804" s="36" t="s">
        <v>23486</v>
      </c>
      <c r="N1804" s="36" t="s">
        <v>23487</v>
      </c>
      <c r="O1804" s="36" t="s">
        <v>23488</v>
      </c>
      <c r="P1804" s="36" t="s">
        <v>23475</v>
      </c>
    </row>
    <row r="1805" spans="1:16" ht="15" customHeight="1">
      <c r="A1805" s="132">
        <v>1804</v>
      </c>
      <c r="B1805" s="36" t="s">
        <v>23489</v>
      </c>
      <c r="C1805" s="36" t="s">
        <v>23490</v>
      </c>
      <c r="D1805" s="36" t="s">
        <v>23491</v>
      </c>
      <c r="E1805" s="36" t="s">
        <v>23492</v>
      </c>
      <c r="F1805" s="36" t="s">
        <v>23493</v>
      </c>
      <c r="G1805" s="36" t="s">
        <v>23494</v>
      </c>
      <c r="H1805" s="36" t="s">
        <v>23495</v>
      </c>
      <c r="I1805" s="36" t="s">
        <v>23496</v>
      </c>
      <c r="J1805" s="36" t="s">
        <v>23497</v>
      </c>
      <c r="K1805" s="36" t="s">
        <v>23498</v>
      </c>
      <c r="L1805" s="36" t="s">
        <v>23499</v>
      </c>
      <c r="M1805" s="36" t="s">
        <v>23500</v>
      </c>
      <c r="N1805" s="36" t="s">
        <v>23501</v>
      </c>
      <c r="O1805" s="36" t="s">
        <v>23502</v>
      </c>
      <c r="P1805" s="36" t="s">
        <v>23489</v>
      </c>
    </row>
    <row r="1806" spans="1:16" ht="15" customHeight="1">
      <c r="A1806" s="132">
        <v>1805</v>
      </c>
      <c r="B1806" s="36" t="s">
        <v>23503</v>
      </c>
      <c r="C1806" s="36" t="s">
        <v>23504</v>
      </c>
      <c r="D1806" s="36" t="s">
        <v>23505</v>
      </c>
      <c r="E1806" s="36" t="s">
        <v>23506</v>
      </c>
      <c r="F1806" s="36" t="s">
        <v>23507</v>
      </c>
      <c r="G1806" s="36" t="s">
        <v>23508</v>
      </c>
      <c r="H1806" s="36" t="s">
        <v>23509</v>
      </c>
      <c r="I1806" s="36" t="s">
        <v>23510</v>
      </c>
      <c r="J1806" s="36" t="s">
        <v>23511</v>
      </c>
      <c r="K1806" s="36" t="s">
        <v>23512</v>
      </c>
      <c r="L1806" s="36" t="s">
        <v>23513</v>
      </c>
      <c r="M1806" s="36" t="s">
        <v>23514</v>
      </c>
      <c r="N1806" s="36" t="s">
        <v>23515</v>
      </c>
      <c r="O1806" s="36" t="s">
        <v>23516</v>
      </c>
      <c r="P1806" s="36" t="s">
        <v>23503</v>
      </c>
    </row>
    <row r="1807" spans="1:16" ht="15" customHeight="1">
      <c r="A1807" s="132">
        <v>1806</v>
      </c>
      <c r="B1807" s="36" t="s">
        <v>23517</v>
      </c>
      <c r="C1807" s="36" t="s">
        <v>23518</v>
      </c>
      <c r="D1807" s="36" t="s">
        <v>23519</v>
      </c>
      <c r="E1807" s="36" t="s">
        <v>23520</v>
      </c>
      <c r="F1807" s="36" t="s">
        <v>23521</v>
      </c>
      <c r="G1807" s="36" t="s">
        <v>23522</v>
      </c>
      <c r="H1807" s="36" t="s">
        <v>23523</v>
      </c>
      <c r="I1807" s="36" t="s">
        <v>23524</v>
      </c>
      <c r="J1807" s="36" t="s">
        <v>23525</v>
      </c>
      <c r="K1807" s="36" t="s">
        <v>23526</v>
      </c>
      <c r="L1807" s="36" t="s">
        <v>23527</v>
      </c>
      <c r="M1807" s="36" t="s">
        <v>23528</v>
      </c>
      <c r="N1807" s="36" t="s">
        <v>23529</v>
      </c>
      <c r="O1807" s="36" t="s">
        <v>23530</v>
      </c>
      <c r="P1807" s="36" t="s">
        <v>23517</v>
      </c>
    </row>
    <row r="1808" spans="1:16" ht="15" customHeight="1">
      <c r="A1808" s="132">
        <v>1807</v>
      </c>
      <c r="B1808" s="36" t="s">
        <v>23531</v>
      </c>
      <c r="C1808" s="36" t="s">
        <v>23532</v>
      </c>
      <c r="D1808" s="36" t="s">
        <v>23533</v>
      </c>
      <c r="E1808" s="36" t="s">
        <v>23534</v>
      </c>
      <c r="F1808" s="36" t="s">
        <v>23535</v>
      </c>
      <c r="G1808" s="36" t="s">
        <v>23536</v>
      </c>
      <c r="H1808" s="36" t="s">
        <v>23537</v>
      </c>
      <c r="I1808" s="36" t="s">
        <v>23538</v>
      </c>
      <c r="J1808" s="36" t="s">
        <v>23539</v>
      </c>
      <c r="K1808" s="36" t="s">
        <v>23540</v>
      </c>
      <c r="L1808" s="36" t="s">
        <v>23541</v>
      </c>
      <c r="M1808" s="36" t="s">
        <v>23542</v>
      </c>
      <c r="N1808" s="36" t="s">
        <v>23543</v>
      </c>
      <c r="O1808" s="36" t="s">
        <v>23544</v>
      </c>
      <c r="P1808" s="36" t="s">
        <v>23531</v>
      </c>
    </row>
    <row r="1809" spans="1:16" ht="15" customHeight="1">
      <c r="A1809" s="132">
        <v>1808</v>
      </c>
      <c r="B1809" s="36" t="s">
        <v>23545</v>
      </c>
      <c r="C1809" s="36" t="s">
        <v>23546</v>
      </c>
      <c r="D1809" s="36" t="s">
        <v>23547</v>
      </c>
      <c r="E1809" s="36" t="s">
        <v>23548</v>
      </c>
      <c r="F1809" s="36" t="s">
        <v>23549</v>
      </c>
      <c r="G1809" s="36" t="s">
        <v>23550</v>
      </c>
      <c r="H1809" s="36" t="s">
        <v>23551</v>
      </c>
      <c r="I1809" s="36" t="s">
        <v>23549</v>
      </c>
      <c r="J1809" s="36" t="s">
        <v>23552</v>
      </c>
      <c r="K1809" s="36" t="s">
        <v>23553</v>
      </c>
      <c r="L1809" s="36" t="s">
        <v>23545</v>
      </c>
      <c r="M1809" s="36" t="s">
        <v>23554</v>
      </c>
      <c r="N1809" s="36" t="s">
        <v>23545</v>
      </c>
      <c r="O1809" s="36" t="s">
        <v>23555</v>
      </c>
      <c r="P1809" s="36" t="s">
        <v>23545</v>
      </c>
    </row>
    <row r="1810" spans="1:16" ht="15" customHeight="1">
      <c r="A1810" s="132">
        <v>1809</v>
      </c>
      <c r="B1810" s="36" t="s">
        <v>23556</v>
      </c>
      <c r="C1810" s="36" t="s">
        <v>23557</v>
      </c>
      <c r="D1810" s="36" t="s">
        <v>23558</v>
      </c>
      <c r="E1810" s="36" t="s">
        <v>23559</v>
      </c>
      <c r="F1810" s="36" t="s">
        <v>23560</v>
      </c>
      <c r="G1810" s="36" t="s">
        <v>23561</v>
      </c>
      <c r="H1810" s="36" t="s">
        <v>23562</v>
      </c>
      <c r="I1810" s="36" t="s">
        <v>23563</v>
      </c>
      <c r="J1810" s="36" t="s">
        <v>23564</v>
      </c>
      <c r="K1810" s="36" t="s">
        <v>23565</v>
      </c>
      <c r="L1810" s="36" t="s">
        <v>23566</v>
      </c>
      <c r="M1810" s="36" t="s">
        <v>23567</v>
      </c>
      <c r="N1810" s="36" t="s">
        <v>23566</v>
      </c>
      <c r="O1810" s="36" t="s">
        <v>23568</v>
      </c>
      <c r="P1810" s="36" t="s">
        <v>23556</v>
      </c>
    </row>
    <row r="1811" spans="1:16" ht="15" customHeight="1">
      <c r="A1811" s="132">
        <v>1810</v>
      </c>
      <c r="B1811" s="36" t="s">
        <v>23569</v>
      </c>
      <c r="C1811" s="36" t="s">
        <v>23570</v>
      </c>
      <c r="D1811" s="36" t="s">
        <v>23571</v>
      </c>
      <c r="E1811" s="36" t="s">
        <v>23572</v>
      </c>
      <c r="F1811" s="36" t="s">
        <v>23573</v>
      </c>
      <c r="G1811" s="36" t="s">
        <v>23574</v>
      </c>
      <c r="H1811" s="36" t="s">
        <v>23575</v>
      </c>
      <c r="I1811" s="36" t="s">
        <v>23576</v>
      </c>
      <c r="J1811" s="36" t="s">
        <v>23577</v>
      </c>
      <c r="K1811" s="36" t="s">
        <v>23578</v>
      </c>
      <c r="L1811" s="36" t="s">
        <v>23569</v>
      </c>
      <c r="M1811" s="36" t="s">
        <v>23579</v>
      </c>
      <c r="N1811" s="36" t="s">
        <v>23569</v>
      </c>
      <c r="O1811" s="36" t="s">
        <v>23580</v>
      </c>
      <c r="P1811" s="36" t="s">
        <v>23569</v>
      </c>
    </row>
    <row r="1812" spans="1:16" ht="15" customHeight="1">
      <c r="A1812" s="132">
        <v>1811</v>
      </c>
      <c r="B1812" s="36" t="s">
        <v>29622</v>
      </c>
      <c r="C1812" s="36" t="s">
        <v>23581</v>
      </c>
      <c r="D1812" s="36" t="s">
        <v>23582</v>
      </c>
      <c r="E1812" s="36" t="s">
        <v>23583</v>
      </c>
      <c r="F1812" s="36" t="s">
        <v>23584</v>
      </c>
      <c r="G1812" s="36" t="s">
        <v>23585</v>
      </c>
      <c r="H1812" s="36" t="s">
        <v>23586</v>
      </c>
      <c r="I1812" s="36" t="s">
        <v>23587</v>
      </c>
      <c r="J1812" s="36" t="s">
        <v>23588</v>
      </c>
      <c r="K1812" s="36" t="s">
        <v>23589</v>
      </c>
      <c r="L1812" s="36" t="s">
        <v>23590</v>
      </c>
      <c r="M1812" s="36" t="s">
        <v>23591</v>
      </c>
      <c r="N1812" s="36" t="s">
        <v>23592</v>
      </c>
      <c r="O1812" s="36" t="s">
        <v>23593</v>
      </c>
      <c r="P1812" s="36" t="s">
        <v>29622</v>
      </c>
    </row>
    <row r="1813" spans="1:16" ht="15" customHeight="1">
      <c r="A1813" s="132">
        <v>1812</v>
      </c>
      <c r="B1813" s="36" t="s">
        <v>23594</v>
      </c>
      <c r="C1813" s="36" t="s">
        <v>23595</v>
      </c>
      <c r="D1813" s="36" t="s">
        <v>23596</v>
      </c>
      <c r="E1813" s="36" t="s">
        <v>23597</v>
      </c>
      <c r="F1813" s="36" t="s">
        <v>23598</v>
      </c>
      <c r="G1813" s="36" t="s">
        <v>23599</v>
      </c>
      <c r="H1813" s="36" t="s">
        <v>23600</v>
      </c>
      <c r="I1813" s="36" t="s">
        <v>23601</v>
      </c>
      <c r="J1813" s="36" t="s">
        <v>23602</v>
      </c>
      <c r="K1813" s="36" t="s">
        <v>23603</v>
      </c>
      <c r="L1813" s="36" t="s">
        <v>23604</v>
      </c>
      <c r="M1813" s="36" t="s">
        <v>23605</v>
      </c>
      <c r="N1813" s="36" t="s">
        <v>23606</v>
      </c>
      <c r="O1813" s="36" t="s">
        <v>23607</v>
      </c>
      <c r="P1813" s="36" t="s">
        <v>23594</v>
      </c>
    </row>
    <row r="1814" spans="1:16" ht="15" customHeight="1">
      <c r="A1814" s="132">
        <v>1813</v>
      </c>
      <c r="B1814" s="36" t="s">
        <v>23608</v>
      </c>
      <c r="C1814" s="36" t="s">
        <v>23609</v>
      </c>
      <c r="D1814" s="36" t="s">
        <v>23610</v>
      </c>
      <c r="E1814" s="36" t="s">
        <v>23611</v>
      </c>
      <c r="F1814" s="36" t="s">
        <v>23612</v>
      </c>
      <c r="G1814" s="36" t="s">
        <v>23613</v>
      </c>
      <c r="H1814" s="36" t="s">
        <v>23614</v>
      </c>
      <c r="I1814" s="36" t="s">
        <v>23615</v>
      </c>
      <c r="J1814" s="36" t="s">
        <v>23616</v>
      </c>
      <c r="K1814" s="36" t="s">
        <v>23617</v>
      </c>
      <c r="L1814" s="36" t="s">
        <v>23618</v>
      </c>
      <c r="M1814" s="36" t="s">
        <v>23619</v>
      </c>
      <c r="N1814" s="36" t="s">
        <v>23620</v>
      </c>
      <c r="O1814" s="36" t="s">
        <v>23621</v>
      </c>
      <c r="P1814" s="36" t="s">
        <v>23608</v>
      </c>
    </row>
    <row r="1815" spans="1:16" ht="15" customHeight="1">
      <c r="A1815" s="132">
        <v>1814</v>
      </c>
      <c r="B1815" s="36" t="s">
        <v>23622</v>
      </c>
      <c r="C1815" s="36" t="s">
        <v>23623</v>
      </c>
      <c r="D1815" s="36" t="s">
        <v>23624</v>
      </c>
      <c r="E1815" s="36" t="s">
        <v>23625</v>
      </c>
      <c r="F1815" s="36" t="s">
        <v>23626</v>
      </c>
      <c r="G1815" s="36" t="s">
        <v>23627</v>
      </c>
      <c r="H1815" s="36" t="s">
        <v>23628</v>
      </c>
      <c r="I1815" s="36" t="s">
        <v>23629</v>
      </c>
      <c r="J1815" s="36" t="s">
        <v>23630</v>
      </c>
      <c r="K1815" s="36" t="s">
        <v>23631</v>
      </c>
      <c r="L1815" s="36" t="s">
        <v>23632</v>
      </c>
      <c r="M1815" s="36" t="s">
        <v>23633</v>
      </c>
      <c r="N1815" s="36" t="s">
        <v>23634</v>
      </c>
      <c r="O1815" s="36" t="s">
        <v>23635</v>
      </c>
      <c r="P1815" s="36" t="s">
        <v>23622</v>
      </c>
    </row>
    <row r="1816" spans="1:16" ht="15" customHeight="1">
      <c r="A1816" s="132">
        <v>1815</v>
      </c>
      <c r="B1816" s="36" t="s">
        <v>23636</v>
      </c>
      <c r="C1816" s="36" t="s">
        <v>23637</v>
      </c>
      <c r="D1816" s="36" t="s">
        <v>23638</v>
      </c>
      <c r="E1816" s="36" t="s">
        <v>23639</v>
      </c>
      <c r="F1816" s="36" t="s">
        <v>23640</v>
      </c>
      <c r="G1816" s="36" t="s">
        <v>23641</v>
      </c>
      <c r="H1816" s="36" t="s">
        <v>23642</v>
      </c>
      <c r="I1816" s="36" t="s">
        <v>23643</v>
      </c>
      <c r="J1816" s="36" t="s">
        <v>23644</v>
      </c>
      <c r="K1816" s="36" t="s">
        <v>23645</v>
      </c>
      <c r="L1816" s="36" t="s">
        <v>23646</v>
      </c>
      <c r="M1816" s="36" t="s">
        <v>23647</v>
      </c>
      <c r="N1816" s="36" t="s">
        <v>23648</v>
      </c>
      <c r="O1816" s="36" t="s">
        <v>23649</v>
      </c>
      <c r="P1816" s="36" t="s">
        <v>23636</v>
      </c>
    </row>
    <row r="1817" spans="1:16" ht="15" customHeight="1">
      <c r="A1817" s="132">
        <v>1816</v>
      </c>
      <c r="B1817" s="36" t="s">
        <v>23650</v>
      </c>
      <c r="C1817" s="36" t="s">
        <v>23651</v>
      </c>
      <c r="D1817" s="36" t="s">
        <v>23652</v>
      </c>
      <c r="E1817" s="36" t="s">
        <v>23653</v>
      </c>
      <c r="F1817" s="36" t="s">
        <v>23654</v>
      </c>
      <c r="G1817" s="36" t="s">
        <v>23655</v>
      </c>
      <c r="H1817" s="36" t="s">
        <v>23656</v>
      </c>
      <c r="I1817" s="36" t="s">
        <v>23657</v>
      </c>
      <c r="J1817" s="36" t="s">
        <v>23658</v>
      </c>
      <c r="K1817" s="36" t="s">
        <v>23659</v>
      </c>
      <c r="L1817" s="36" t="s">
        <v>23660</v>
      </c>
      <c r="M1817" s="36" t="s">
        <v>23661</v>
      </c>
      <c r="N1817" s="36" t="s">
        <v>23662</v>
      </c>
      <c r="O1817" s="36" t="s">
        <v>23663</v>
      </c>
      <c r="P1817" s="36" t="s">
        <v>23650</v>
      </c>
    </row>
    <row r="1818" spans="1:16" ht="15" customHeight="1">
      <c r="A1818" s="132">
        <v>1817</v>
      </c>
      <c r="B1818" s="36" t="s">
        <v>23664</v>
      </c>
      <c r="C1818" s="36" t="s">
        <v>23665</v>
      </c>
      <c r="D1818" s="36" t="s">
        <v>23666</v>
      </c>
      <c r="E1818" s="36" t="s">
        <v>23667</v>
      </c>
      <c r="F1818" s="36" t="s">
        <v>23668</v>
      </c>
      <c r="G1818" s="36" t="s">
        <v>23669</v>
      </c>
      <c r="H1818" s="36" t="s">
        <v>23670</v>
      </c>
      <c r="I1818" s="36" t="s">
        <v>23671</v>
      </c>
      <c r="J1818" s="36" t="s">
        <v>23672</v>
      </c>
      <c r="K1818" s="36" t="s">
        <v>23673</v>
      </c>
      <c r="L1818" s="36" t="s">
        <v>23674</v>
      </c>
      <c r="M1818" s="36" t="s">
        <v>23675</v>
      </c>
      <c r="N1818" s="36" t="s">
        <v>23676</v>
      </c>
      <c r="O1818" s="36" t="s">
        <v>23677</v>
      </c>
      <c r="P1818" s="36" t="s">
        <v>23678</v>
      </c>
    </row>
    <row r="1819" spans="1:16" ht="15" customHeight="1">
      <c r="A1819" s="132">
        <v>1818</v>
      </c>
      <c r="B1819" s="36" t="s">
        <v>23679</v>
      </c>
      <c r="C1819" s="36" t="s">
        <v>23680</v>
      </c>
      <c r="D1819" s="36" t="s">
        <v>23681</v>
      </c>
      <c r="E1819" s="36" t="s">
        <v>23682</v>
      </c>
      <c r="F1819" s="36" t="s">
        <v>23683</v>
      </c>
      <c r="G1819" s="36" t="s">
        <v>23684</v>
      </c>
      <c r="H1819" s="36" t="s">
        <v>23685</v>
      </c>
      <c r="I1819" s="36" t="s">
        <v>23686</v>
      </c>
      <c r="J1819" s="36" t="s">
        <v>23687</v>
      </c>
      <c r="K1819" s="36" t="s">
        <v>23688</v>
      </c>
      <c r="L1819" s="36" t="s">
        <v>23689</v>
      </c>
      <c r="M1819" s="36" t="s">
        <v>23690</v>
      </c>
      <c r="N1819" s="36" t="s">
        <v>23691</v>
      </c>
      <c r="O1819" s="36" t="s">
        <v>23692</v>
      </c>
      <c r="P1819" s="36" t="s">
        <v>23693</v>
      </c>
    </row>
    <row r="1820" spans="1:16" ht="15" customHeight="1">
      <c r="A1820" s="132">
        <v>1819</v>
      </c>
      <c r="B1820" s="36" t="s">
        <v>23694</v>
      </c>
      <c r="C1820" s="36" t="s">
        <v>23695</v>
      </c>
      <c r="D1820" s="36" t="s">
        <v>23696</v>
      </c>
      <c r="E1820" s="36" t="s">
        <v>23697</v>
      </c>
      <c r="F1820" s="36" t="s">
        <v>23698</v>
      </c>
      <c r="G1820" s="36" t="s">
        <v>23699</v>
      </c>
      <c r="H1820" s="36" t="s">
        <v>23700</v>
      </c>
      <c r="I1820" s="36" t="s">
        <v>23701</v>
      </c>
      <c r="J1820" s="36" t="s">
        <v>23702</v>
      </c>
      <c r="K1820" s="36" t="s">
        <v>23703</v>
      </c>
      <c r="L1820" s="36" t="s">
        <v>23704</v>
      </c>
      <c r="M1820" s="36" t="s">
        <v>23705</v>
      </c>
      <c r="N1820" s="36" t="s">
        <v>23706</v>
      </c>
      <c r="O1820" s="36" t="s">
        <v>23707</v>
      </c>
      <c r="P1820" s="36" t="s">
        <v>23694</v>
      </c>
    </row>
    <row r="1821" spans="1:16" ht="15" customHeight="1">
      <c r="A1821" s="132">
        <v>1820</v>
      </c>
      <c r="B1821" s="36" t="s">
        <v>23708</v>
      </c>
      <c r="C1821" s="36" t="s">
        <v>23709</v>
      </c>
      <c r="D1821" s="36" t="s">
        <v>23710</v>
      </c>
      <c r="E1821" s="36" t="s">
        <v>23711</v>
      </c>
      <c r="F1821" s="36" t="s">
        <v>23712</v>
      </c>
      <c r="G1821" s="36" t="s">
        <v>23713</v>
      </c>
      <c r="H1821" s="36" t="s">
        <v>23714</v>
      </c>
      <c r="I1821" s="36" t="s">
        <v>23715</v>
      </c>
      <c r="J1821" s="36" t="s">
        <v>23716</v>
      </c>
      <c r="K1821" s="36" t="s">
        <v>23717</v>
      </c>
      <c r="L1821" s="36" t="s">
        <v>23718</v>
      </c>
      <c r="M1821" s="36" t="s">
        <v>23719</v>
      </c>
      <c r="N1821" s="36" t="s">
        <v>23720</v>
      </c>
      <c r="O1821" s="36" t="s">
        <v>23721</v>
      </c>
      <c r="P1821" s="36" t="s">
        <v>23708</v>
      </c>
    </row>
    <row r="1822" spans="1:16" ht="15" customHeight="1">
      <c r="A1822" s="132">
        <v>1821</v>
      </c>
      <c r="B1822" s="36" t="s">
        <v>23722</v>
      </c>
      <c r="C1822" s="36" t="s">
        <v>23723</v>
      </c>
      <c r="D1822" s="36" t="s">
        <v>23724</v>
      </c>
      <c r="E1822" s="36" t="s">
        <v>23725</v>
      </c>
      <c r="F1822" s="36" t="s">
        <v>23726</v>
      </c>
      <c r="G1822" s="36" t="s">
        <v>23727</v>
      </c>
      <c r="H1822" s="36" t="s">
        <v>23728</v>
      </c>
      <c r="I1822" s="36" t="s">
        <v>23729</v>
      </c>
      <c r="J1822" s="36" t="s">
        <v>23730</v>
      </c>
      <c r="K1822" s="36" t="s">
        <v>23731</v>
      </c>
      <c r="L1822" s="36" t="s">
        <v>23732</v>
      </c>
      <c r="M1822" s="36" t="s">
        <v>23733</v>
      </c>
      <c r="N1822" s="36" t="s">
        <v>23734</v>
      </c>
      <c r="O1822" s="36" t="s">
        <v>23735</v>
      </c>
      <c r="P1822" s="36" t="s">
        <v>23722</v>
      </c>
    </row>
    <row r="1823" spans="1:16" ht="15" customHeight="1">
      <c r="A1823" s="132">
        <v>1822</v>
      </c>
      <c r="B1823" s="36" t="s">
        <v>23736</v>
      </c>
      <c r="C1823" s="36" t="s">
        <v>23737</v>
      </c>
      <c r="D1823" s="36" t="s">
        <v>23738</v>
      </c>
      <c r="E1823" s="36" t="s">
        <v>23739</v>
      </c>
      <c r="F1823" s="36" t="s">
        <v>23740</v>
      </c>
      <c r="G1823" s="36" t="s">
        <v>23741</v>
      </c>
      <c r="H1823" s="36" t="s">
        <v>23742</v>
      </c>
      <c r="I1823" s="36" t="s">
        <v>23743</v>
      </c>
      <c r="J1823" s="36" t="s">
        <v>23744</v>
      </c>
      <c r="K1823" s="36" t="s">
        <v>23745</v>
      </c>
      <c r="L1823" s="36" t="s">
        <v>23746</v>
      </c>
      <c r="M1823" s="36" t="s">
        <v>23747</v>
      </c>
      <c r="N1823" s="36" t="s">
        <v>23748</v>
      </c>
      <c r="O1823" s="36" t="s">
        <v>23749</v>
      </c>
      <c r="P1823" s="36" t="s">
        <v>23736</v>
      </c>
    </row>
    <row r="1824" spans="1:16" ht="15" customHeight="1">
      <c r="A1824" s="132">
        <v>1823</v>
      </c>
      <c r="B1824" s="36" t="s">
        <v>23750</v>
      </c>
      <c r="C1824" s="36" t="s">
        <v>23751</v>
      </c>
      <c r="D1824" s="36" t="s">
        <v>23752</v>
      </c>
      <c r="E1824" s="36" t="s">
        <v>23753</v>
      </c>
      <c r="F1824" s="36" t="s">
        <v>23754</v>
      </c>
      <c r="G1824" s="36" t="s">
        <v>23755</v>
      </c>
      <c r="H1824" s="36" t="s">
        <v>23756</v>
      </c>
      <c r="I1824" s="36" t="s">
        <v>23757</v>
      </c>
      <c r="J1824" s="36" t="s">
        <v>23758</v>
      </c>
      <c r="K1824" s="36" t="s">
        <v>23759</v>
      </c>
      <c r="L1824" s="36" t="s">
        <v>23760</v>
      </c>
      <c r="M1824" s="36" t="s">
        <v>23761</v>
      </c>
      <c r="N1824" s="36" t="s">
        <v>23762</v>
      </c>
      <c r="O1824" s="36" t="s">
        <v>23763</v>
      </c>
      <c r="P1824" s="36" t="s">
        <v>23750</v>
      </c>
    </row>
    <row r="1825" spans="1:16" ht="15" customHeight="1">
      <c r="A1825" s="132">
        <v>1824</v>
      </c>
      <c r="B1825" s="36" t="s">
        <v>23764</v>
      </c>
      <c r="C1825" s="36" t="s">
        <v>23765</v>
      </c>
      <c r="D1825" s="36" t="s">
        <v>23766</v>
      </c>
      <c r="E1825" s="36" t="s">
        <v>23767</v>
      </c>
      <c r="F1825" s="36" t="s">
        <v>23768</v>
      </c>
      <c r="G1825" s="36" t="s">
        <v>23769</v>
      </c>
      <c r="H1825" s="36" t="s">
        <v>23770</v>
      </c>
      <c r="I1825" s="36" t="s">
        <v>23771</v>
      </c>
      <c r="J1825" s="36" t="s">
        <v>23772</v>
      </c>
      <c r="K1825" s="36" t="s">
        <v>23773</v>
      </c>
      <c r="L1825" s="36" t="s">
        <v>23774</v>
      </c>
      <c r="M1825" s="36" t="s">
        <v>23775</v>
      </c>
      <c r="N1825" s="36" t="s">
        <v>23776</v>
      </c>
      <c r="O1825" s="36" t="s">
        <v>23777</v>
      </c>
      <c r="P1825" s="36" t="s">
        <v>23764</v>
      </c>
    </row>
    <row r="1826" spans="1:16" ht="15" customHeight="1">
      <c r="A1826" s="132">
        <v>1825</v>
      </c>
      <c r="B1826" s="36" t="s">
        <v>23778</v>
      </c>
      <c r="C1826" s="36" t="s">
        <v>23723</v>
      </c>
      <c r="D1826" s="36" t="s">
        <v>23724</v>
      </c>
      <c r="E1826" s="36" t="s">
        <v>23725</v>
      </c>
      <c r="F1826" s="36" t="s">
        <v>23726</v>
      </c>
      <c r="G1826" s="36" t="s">
        <v>23779</v>
      </c>
      <c r="H1826" s="36" t="s">
        <v>23728</v>
      </c>
      <c r="I1826" s="36" t="s">
        <v>23729</v>
      </c>
      <c r="J1826" s="36" t="s">
        <v>23730</v>
      </c>
      <c r="K1826" s="36" t="s">
        <v>23731</v>
      </c>
      <c r="L1826" s="36" t="s">
        <v>23780</v>
      </c>
      <c r="M1826" s="36" t="s">
        <v>23733</v>
      </c>
      <c r="N1826" s="36" t="s">
        <v>23781</v>
      </c>
      <c r="O1826" s="36" t="s">
        <v>23735</v>
      </c>
      <c r="P1826" s="36" t="s">
        <v>23778</v>
      </c>
    </row>
    <row r="1827" spans="1:16" ht="15" customHeight="1">
      <c r="A1827" s="132">
        <v>1826</v>
      </c>
      <c r="B1827" s="36" t="s">
        <v>23782</v>
      </c>
      <c r="C1827" s="36" t="s">
        <v>23783</v>
      </c>
      <c r="D1827" s="36" t="s">
        <v>23784</v>
      </c>
      <c r="E1827" s="36" t="s">
        <v>23785</v>
      </c>
      <c r="F1827" s="36" t="s">
        <v>23786</v>
      </c>
      <c r="G1827" s="36" t="s">
        <v>23787</v>
      </c>
      <c r="H1827" s="36" t="s">
        <v>23788</v>
      </c>
      <c r="I1827" s="36" t="s">
        <v>23789</v>
      </c>
      <c r="J1827" s="36" t="s">
        <v>23790</v>
      </c>
      <c r="K1827" s="36" t="s">
        <v>23791</v>
      </c>
      <c r="L1827" s="36" t="s">
        <v>23792</v>
      </c>
      <c r="M1827" s="36" t="s">
        <v>23793</v>
      </c>
      <c r="N1827" s="36" t="s">
        <v>23794</v>
      </c>
      <c r="O1827" s="36" t="s">
        <v>23795</v>
      </c>
      <c r="P1827" s="36" t="s">
        <v>23782</v>
      </c>
    </row>
    <row r="1828" spans="1:16" ht="15" customHeight="1">
      <c r="A1828" s="132">
        <v>1827</v>
      </c>
      <c r="B1828" s="36" t="s">
        <v>23796</v>
      </c>
      <c r="C1828" s="36" t="s">
        <v>23797</v>
      </c>
      <c r="D1828" s="36" t="s">
        <v>23798</v>
      </c>
      <c r="E1828" s="36" t="s">
        <v>23799</v>
      </c>
      <c r="F1828" s="36" t="s">
        <v>23800</v>
      </c>
      <c r="G1828" s="36" t="s">
        <v>23801</v>
      </c>
      <c r="H1828" s="36" t="s">
        <v>23802</v>
      </c>
      <c r="I1828" s="36" t="s">
        <v>23803</v>
      </c>
      <c r="J1828" s="36" t="s">
        <v>23804</v>
      </c>
      <c r="K1828" s="36" t="s">
        <v>23805</v>
      </c>
      <c r="L1828" s="36" t="s">
        <v>23806</v>
      </c>
      <c r="M1828" s="36" t="s">
        <v>23807</v>
      </c>
      <c r="N1828" s="36" t="s">
        <v>23808</v>
      </c>
      <c r="O1828" s="36" t="s">
        <v>23809</v>
      </c>
      <c r="P1828" s="36" t="s">
        <v>23796</v>
      </c>
    </row>
    <row r="1829" spans="1:16" ht="15" customHeight="1">
      <c r="A1829" s="132">
        <v>1828</v>
      </c>
      <c r="B1829" s="36" t="s">
        <v>23810</v>
      </c>
      <c r="C1829" s="36" t="s">
        <v>23811</v>
      </c>
      <c r="D1829" s="36" t="s">
        <v>23812</v>
      </c>
      <c r="E1829" s="36" t="s">
        <v>23813</v>
      </c>
      <c r="F1829" s="36" t="s">
        <v>23814</v>
      </c>
      <c r="G1829" s="36" t="s">
        <v>23815</v>
      </c>
      <c r="H1829" s="36" t="s">
        <v>23814</v>
      </c>
      <c r="I1829" s="36" t="s">
        <v>23814</v>
      </c>
      <c r="J1829" s="36" t="s">
        <v>23816</v>
      </c>
      <c r="K1829" s="36" t="s">
        <v>23814</v>
      </c>
      <c r="L1829" s="36" t="s">
        <v>23817</v>
      </c>
      <c r="M1829" s="36" t="s">
        <v>23817</v>
      </c>
      <c r="N1829" s="36" t="s">
        <v>23818</v>
      </c>
      <c r="O1829" s="36" t="s">
        <v>23814</v>
      </c>
      <c r="P1829" s="36" t="s">
        <v>23810</v>
      </c>
    </row>
    <row r="1830" spans="1:16" ht="15" customHeight="1">
      <c r="A1830" s="132">
        <v>1829</v>
      </c>
      <c r="B1830" s="36" t="s">
        <v>23819</v>
      </c>
      <c r="C1830" s="36" t="s">
        <v>23820</v>
      </c>
      <c r="D1830" s="36" t="s">
        <v>23821</v>
      </c>
      <c r="E1830" s="36" t="s">
        <v>23822</v>
      </c>
      <c r="F1830" s="36" t="s">
        <v>23823</v>
      </c>
      <c r="G1830" s="36" t="s">
        <v>23824</v>
      </c>
      <c r="H1830" s="36" t="s">
        <v>23825</v>
      </c>
      <c r="I1830" s="36" t="s">
        <v>23826</v>
      </c>
      <c r="J1830" s="36" t="s">
        <v>23827</v>
      </c>
      <c r="K1830" s="36" t="s">
        <v>23828</v>
      </c>
      <c r="L1830" s="36" t="s">
        <v>23829</v>
      </c>
      <c r="M1830" s="36" t="s">
        <v>23830</v>
      </c>
      <c r="N1830" s="36" t="s">
        <v>23831</v>
      </c>
      <c r="O1830" s="36" t="s">
        <v>23832</v>
      </c>
      <c r="P1830" s="36" t="s">
        <v>23819</v>
      </c>
    </row>
    <row r="1831" spans="1:16" ht="15" customHeight="1">
      <c r="A1831" s="132">
        <v>1830</v>
      </c>
      <c r="B1831" s="36" t="s">
        <v>23833</v>
      </c>
      <c r="C1831" s="36" t="s">
        <v>23834</v>
      </c>
      <c r="D1831" s="36" t="s">
        <v>23835</v>
      </c>
      <c r="E1831" s="36" t="s">
        <v>23836</v>
      </c>
      <c r="F1831" s="36" t="s">
        <v>23837</v>
      </c>
      <c r="G1831" s="36" t="s">
        <v>23838</v>
      </c>
      <c r="H1831" s="36" t="s">
        <v>23839</v>
      </c>
      <c r="I1831" s="36" t="s">
        <v>23840</v>
      </c>
      <c r="J1831" s="36" t="s">
        <v>23841</v>
      </c>
      <c r="K1831" s="36" t="s">
        <v>23842</v>
      </c>
      <c r="L1831" s="36" t="s">
        <v>23843</v>
      </c>
      <c r="M1831" s="36" t="s">
        <v>23844</v>
      </c>
      <c r="N1831" s="36" t="s">
        <v>23845</v>
      </c>
      <c r="O1831" s="36" t="s">
        <v>23846</v>
      </c>
      <c r="P1831" s="36" t="s">
        <v>23833</v>
      </c>
    </row>
    <row r="1832" spans="1:16" ht="15" customHeight="1">
      <c r="A1832" s="132">
        <v>1831</v>
      </c>
      <c r="B1832" s="36" t="s">
        <v>23847</v>
      </c>
      <c r="C1832" s="36" t="s">
        <v>23848</v>
      </c>
      <c r="D1832" s="36" t="s">
        <v>23849</v>
      </c>
      <c r="E1832" s="36" t="s">
        <v>29623</v>
      </c>
      <c r="F1832" s="36" t="s">
        <v>23850</v>
      </c>
      <c r="G1832" s="36" t="s">
        <v>23851</v>
      </c>
      <c r="H1832" s="36" t="s">
        <v>23852</v>
      </c>
      <c r="I1832" s="36" t="s">
        <v>23853</v>
      </c>
      <c r="J1832" s="36" t="s">
        <v>23854</v>
      </c>
      <c r="K1832" s="36" t="s">
        <v>23855</v>
      </c>
      <c r="L1832" s="36" t="s">
        <v>23856</v>
      </c>
      <c r="M1832" s="36" t="s">
        <v>23857</v>
      </c>
      <c r="N1832" s="36" t="s">
        <v>23858</v>
      </c>
      <c r="O1832" s="36" t="s">
        <v>23859</v>
      </c>
      <c r="P1832" s="36" t="s">
        <v>23847</v>
      </c>
    </row>
    <row r="1833" spans="1:16" ht="15" customHeight="1">
      <c r="A1833" s="132">
        <v>1832</v>
      </c>
      <c r="B1833" s="36" t="s">
        <v>23860</v>
      </c>
      <c r="C1833" s="36" t="s">
        <v>23861</v>
      </c>
      <c r="D1833" s="36" t="s">
        <v>23862</v>
      </c>
      <c r="E1833" s="36" t="s">
        <v>29624</v>
      </c>
      <c r="F1833" s="36" t="s">
        <v>23863</v>
      </c>
      <c r="G1833" s="36" t="s">
        <v>23864</v>
      </c>
      <c r="H1833" s="36" t="s">
        <v>23865</v>
      </c>
      <c r="I1833" s="36" t="s">
        <v>23866</v>
      </c>
      <c r="J1833" s="36" t="s">
        <v>23867</v>
      </c>
      <c r="K1833" s="36" t="s">
        <v>23868</v>
      </c>
      <c r="L1833" s="36" t="s">
        <v>23869</v>
      </c>
      <c r="M1833" s="36" t="s">
        <v>23870</v>
      </c>
      <c r="N1833" s="36" t="s">
        <v>23871</v>
      </c>
      <c r="O1833" s="36" t="s">
        <v>23872</v>
      </c>
      <c r="P1833" s="36" t="s">
        <v>23860</v>
      </c>
    </row>
    <row r="1834" spans="1:16" ht="15" customHeight="1">
      <c r="A1834" s="132">
        <v>1833</v>
      </c>
      <c r="B1834" s="36" t="s">
        <v>23873</v>
      </c>
      <c r="C1834" s="36" t="s">
        <v>23874</v>
      </c>
      <c r="D1834" s="36" t="s">
        <v>23875</v>
      </c>
      <c r="E1834" s="36" t="s">
        <v>23876</v>
      </c>
      <c r="F1834" s="36" t="s">
        <v>23877</v>
      </c>
      <c r="G1834" s="36" t="s">
        <v>23878</v>
      </c>
      <c r="H1834" s="36" t="s">
        <v>23879</v>
      </c>
      <c r="I1834" s="36" t="s">
        <v>23880</v>
      </c>
      <c r="J1834" s="36" t="s">
        <v>23881</v>
      </c>
      <c r="K1834" s="36" t="s">
        <v>23882</v>
      </c>
      <c r="L1834" s="36" t="s">
        <v>23883</v>
      </c>
      <c r="M1834" s="36" t="s">
        <v>23884</v>
      </c>
      <c r="N1834" s="36" t="s">
        <v>23884</v>
      </c>
      <c r="O1834" s="36" t="s">
        <v>23885</v>
      </c>
      <c r="P1834" s="36" t="s">
        <v>23873</v>
      </c>
    </row>
    <row r="1835" spans="1:16" ht="15" customHeight="1">
      <c r="A1835" s="132">
        <v>1834</v>
      </c>
      <c r="B1835" s="36" t="s">
        <v>23886</v>
      </c>
      <c r="C1835" s="36" t="s">
        <v>23887</v>
      </c>
      <c r="D1835" s="36" t="s">
        <v>23888</v>
      </c>
      <c r="E1835" s="36" t="s">
        <v>23889</v>
      </c>
      <c r="F1835" s="36" t="s">
        <v>23890</v>
      </c>
      <c r="G1835" s="36" t="s">
        <v>23891</v>
      </c>
      <c r="H1835" s="36" t="s">
        <v>23892</v>
      </c>
      <c r="I1835" s="36" t="s">
        <v>23893</v>
      </c>
      <c r="J1835" s="36" t="s">
        <v>23894</v>
      </c>
      <c r="K1835" s="36" t="s">
        <v>23895</v>
      </c>
      <c r="L1835" s="36" t="s">
        <v>23896</v>
      </c>
      <c r="M1835" s="36" t="s">
        <v>23897</v>
      </c>
      <c r="N1835" s="36" t="s">
        <v>23898</v>
      </c>
      <c r="O1835" s="36" t="s">
        <v>23899</v>
      </c>
      <c r="P1835" s="36" t="s">
        <v>23886</v>
      </c>
    </row>
    <row r="1836" spans="1:16" ht="15" customHeight="1">
      <c r="A1836" s="132">
        <v>1835</v>
      </c>
      <c r="B1836" s="36" t="s">
        <v>23900</v>
      </c>
      <c r="C1836" s="36" t="s">
        <v>23901</v>
      </c>
      <c r="D1836" s="36" t="s">
        <v>23902</v>
      </c>
      <c r="E1836" s="36" t="s">
        <v>23903</v>
      </c>
      <c r="F1836" s="36" t="s">
        <v>23904</v>
      </c>
      <c r="G1836" s="36" t="s">
        <v>23905</v>
      </c>
      <c r="H1836" s="36" t="s">
        <v>23906</v>
      </c>
      <c r="I1836" s="36" t="s">
        <v>23907</v>
      </c>
      <c r="J1836" s="36" t="s">
        <v>23908</v>
      </c>
      <c r="K1836" s="36" t="s">
        <v>23909</v>
      </c>
      <c r="L1836" s="36" t="s">
        <v>23910</v>
      </c>
      <c r="M1836" s="36" t="s">
        <v>23911</v>
      </c>
      <c r="N1836" s="36" t="s">
        <v>13563</v>
      </c>
      <c r="O1836" s="36" t="s">
        <v>23912</v>
      </c>
      <c r="P1836" s="36" t="s">
        <v>23900</v>
      </c>
    </row>
    <row r="1837" spans="1:16" ht="15" customHeight="1">
      <c r="A1837" s="132">
        <v>1836</v>
      </c>
      <c r="B1837" s="36" t="s">
        <v>23913</v>
      </c>
      <c r="C1837" s="36" t="s">
        <v>23914</v>
      </c>
      <c r="D1837" s="36" t="s">
        <v>23915</v>
      </c>
      <c r="E1837" s="36" t="s">
        <v>23916</v>
      </c>
      <c r="F1837" s="36" t="s">
        <v>23917</v>
      </c>
      <c r="G1837" s="36" t="s">
        <v>23918</v>
      </c>
      <c r="H1837" s="36" t="s">
        <v>23919</v>
      </c>
      <c r="I1837" s="36" t="s">
        <v>23920</v>
      </c>
      <c r="J1837" s="36" t="s">
        <v>23921</v>
      </c>
      <c r="K1837" s="36" t="s">
        <v>23922</v>
      </c>
      <c r="L1837" s="36" t="s">
        <v>23923</v>
      </c>
      <c r="M1837" s="36" t="s">
        <v>23924</v>
      </c>
      <c r="N1837" s="36" t="s">
        <v>23925</v>
      </c>
      <c r="O1837" s="36" t="s">
        <v>23926</v>
      </c>
      <c r="P1837" s="36" t="s">
        <v>23913</v>
      </c>
    </row>
    <row r="1838" spans="1:16" ht="15" customHeight="1">
      <c r="A1838" s="132">
        <v>1837</v>
      </c>
      <c r="B1838" s="36" t="s">
        <v>23927</v>
      </c>
      <c r="C1838" s="36" t="s">
        <v>23928</v>
      </c>
      <c r="D1838" s="36" t="s">
        <v>23928</v>
      </c>
      <c r="E1838" s="36" t="s">
        <v>23929</v>
      </c>
      <c r="F1838" s="36" t="s">
        <v>13369</v>
      </c>
      <c r="G1838" s="36" t="s">
        <v>13367</v>
      </c>
      <c r="H1838" s="36" t="s">
        <v>23930</v>
      </c>
      <c r="I1838" s="36" t="s">
        <v>13369</v>
      </c>
      <c r="J1838" s="36" t="s">
        <v>23931</v>
      </c>
      <c r="K1838" s="36" t="s">
        <v>23932</v>
      </c>
      <c r="L1838" s="36" t="s">
        <v>23933</v>
      </c>
      <c r="M1838" s="36" t="s">
        <v>13363</v>
      </c>
      <c r="N1838" s="36" t="s">
        <v>13363</v>
      </c>
      <c r="O1838" s="36" t="s">
        <v>23934</v>
      </c>
      <c r="P1838" s="36" t="s">
        <v>23927</v>
      </c>
    </row>
    <row r="1839" spans="1:16" ht="15" customHeight="1">
      <c r="A1839" s="132">
        <v>1838</v>
      </c>
      <c r="B1839" s="36" t="s">
        <v>23935</v>
      </c>
      <c r="C1839" s="36" t="s">
        <v>23936</v>
      </c>
      <c r="D1839" s="36" t="s">
        <v>23937</v>
      </c>
      <c r="E1839" s="36" t="s">
        <v>23938</v>
      </c>
      <c r="F1839" s="36" t="s">
        <v>23939</v>
      </c>
      <c r="G1839" s="36" t="s">
        <v>23935</v>
      </c>
      <c r="H1839" s="36" t="s">
        <v>23940</v>
      </c>
      <c r="I1839" s="36" t="s">
        <v>23941</v>
      </c>
      <c r="J1839" s="36" t="s">
        <v>23942</v>
      </c>
      <c r="K1839" s="36" t="s">
        <v>23943</v>
      </c>
      <c r="L1839" s="36" t="s">
        <v>23944</v>
      </c>
      <c r="M1839" s="36" t="s">
        <v>23945</v>
      </c>
      <c r="N1839" s="36" t="s">
        <v>23946</v>
      </c>
      <c r="O1839" s="36" t="s">
        <v>23947</v>
      </c>
      <c r="P1839" s="36" t="s">
        <v>23935</v>
      </c>
    </row>
    <row r="1840" spans="1:16" ht="15" customHeight="1">
      <c r="A1840" s="132">
        <v>1839</v>
      </c>
      <c r="B1840" s="36" t="s">
        <v>23948</v>
      </c>
      <c r="C1840" s="36" t="s">
        <v>9711</v>
      </c>
      <c r="D1840" s="36" t="s">
        <v>23949</v>
      </c>
      <c r="E1840" s="36" t="s">
        <v>23929</v>
      </c>
      <c r="F1840" s="36" t="s">
        <v>23950</v>
      </c>
      <c r="G1840" s="36" t="s">
        <v>23951</v>
      </c>
      <c r="H1840" s="36" t="s">
        <v>23952</v>
      </c>
      <c r="I1840" s="36" t="s">
        <v>23953</v>
      </c>
      <c r="J1840" s="36" t="s">
        <v>23931</v>
      </c>
      <c r="K1840" s="36" t="s">
        <v>23932</v>
      </c>
      <c r="L1840" s="36" t="s">
        <v>23954</v>
      </c>
      <c r="M1840" s="36" t="s">
        <v>23955</v>
      </c>
      <c r="N1840" s="36" t="s">
        <v>23956</v>
      </c>
      <c r="O1840" s="36" t="s">
        <v>23957</v>
      </c>
      <c r="P1840" s="36" t="s">
        <v>23948</v>
      </c>
    </row>
    <row r="1841" spans="1:16" ht="15" customHeight="1">
      <c r="A1841" s="132">
        <v>1840</v>
      </c>
      <c r="B1841" s="36" t="s">
        <v>23958</v>
      </c>
      <c r="C1841" s="36" t="s">
        <v>23959</v>
      </c>
      <c r="D1841" s="36" t="s">
        <v>23960</v>
      </c>
      <c r="E1841" s="36" t="s">
        <v>23961</v>
      </c>
      <c r="F1841" s="36" t="s">
        <v>23962</v>
      </c>
      <c r="G1841" s="36" t="s">
        <v>23963</v>
      </c>
      <c r="H1841" s="36" t="s">
        <v>23964</v>
      </c>
      <c r="I1841" s="36" t="s">
        <v>23965</v>
      </c>
      <c r="J1841" s="36" t="s">
        <v>23966</v>
      </c>
      <c r="K1841" s="36" t="s">
        <v>23967</v>
      </c>
      <c r="L1841" s="36" t="s">
        <v>23968</v>
      </c>
      <c r="M1841" s="36" t="s">
        <v>23969</v>
      </c>
      <c r="N1841" s="36" t="s">
        <v>23970</v>
      </c>
      <c r="O1841" s="36" t="s">
        <v>23971</v>
      </c>
      <c r="P1841" s="36" t="s">
        <v>23958</v>
      </c>
    </row>
    <row r="1842" spans="1:16" ht="15" customHeight="1">
      <c r="A1842" s="132">
        <v>1841</v>
      </c>
      <c r="B1842" s="36" t="s">
        <v>23972</v>
      </c>
      <c r="C1842" s="36" t="s">
        <v>23973</v>
      </c>
      <c r="D1842" s="36" t="s">
        <v>23974</v>
      </c>
      <c r="E1842" s="36" t="s">
        <v>23975</v>
      </c>
      <c r="F1842" s="36" t="s">
        <v>23976</v>
      </c>
      <c r="G1842" s="36" t="s">
        <v>23977</v>
      </c>
      <c r="H1842" s="36" t="s">
        <v>23978</v>
      </c>
      <c r="I1842" s="36" t="s">
        <v>23979</v>
      </c>
      <c r="J1842" s="36" t="s">
        <v>23980</v>
      </c>
      <c r="K1842" s="36" t="s">
        <v>23981</v>
      </c>
      <c r="L1842" s="36" t="s">
        <v>23982</v>
      </c>
      <c r="M1842" s="36" t="s">
        <v>23983</v>
      </c>
      <c r="N1842" s="36" t="s">
        <v>23984</v>
      </c>
      <c r="O1842" s="36" t="s">
        <v>23985</v>
      </c>
      <c r="P1842" s="36" t="s">
        <v>23972</v>
      </c>
    </row>
    <row r="1843" spans="1:16" ht="15" customHeight="1">
      <c r="A1843" s="132">
        <v>1842</v>
      </c>
      <c r="B1843" s="36" t="s">
        <v>23986</v>
      </c>
      <c r="C1843" s="36" t="s">
        <v>23987</v>
      </c>
      <c r="D1843" s="36" t="s">
        <v>23988</v>
      </c>
      <c r="E1843" s="36" t="s">
        <v>23989</v>
      </c>
      <c r="F1843" s="36" t="s">
        <v>23990</v>
      </c>
      <c r="G1843" s="36" t="s">
        <v>23991</v>
      </c>
      <c r="H1843" s="36" t="s">
        <v>23992</v>
      </c>
      <c r="I1843" s="36" t="s">
        <v>23993</v>
      </c>
      <c r="J1843" s="36" t="s">
        <v>23994</v>
      </c>
      <c r="K1843" s="36" t="s">
        <v>23995</v>
      </c>
      <c r="L1843" s="36" t="s">
        <v>23996</v>
      </c>
      <c r="M1843" s="36" t="s">
        <v>23997</v>
      </c>
      <c r="N1843" s="36" t="s">
        <v>23998</v>
      </c>
      <c r="O1843" s="36" t="s">
        <v>23999</v>
      </c>
      <c r="P1843" s="36" t="s">
        <v>23986</v>
      </c>
    </row>
    <row r="1844" spans="1:16" ht="15" customHeight="1">
      <c r="A1844" s="132">
        <v>1843</v>
      </c>
      <c r="B1844" s="36" t="s">
        <v>24000</v>
      </c>
      <c r="C1844" s="36" t="s">
        <v>24001</v>
      </c>
      <c r="D1844" s="36" t="s">
        <v>24002</v>
      </c>
      <c r="E1844" s="36" t="s">
        <v>24003</v>
      </c>
      <c r="F1844" s="36" t="s">
        <v>24004</v>
      </c>
      <c r="G1844" s="36" t="s">
        <v>24005</v>
      </c>
      <c r="H1844" s="36" t="s">
        <v>24006</v>
      </c>
      <c r="I1844" s="36" t="s">
        <v>24007</v>
      </c>
      <c r="J1844" s="36" t="s">
        <v>24008</v>
      </c>
      <c r="K1844" s="36" t="s">
        <v>24009</v>
      </c>
      <c r="L1844" s="36" t="s">
        <v>24010</v>
      </c>
      <c r="M1844" s="36" t="s">
        <v>24011</v>
      </c>
      <c r="N1844" s="36" t="s">
        <v>24012</v>
      </c>
      <c r="O1844" s="36" t="s">
        <v>24013</v>
      </c>
      <c r="P1844" s="36" t="s">
        <v>24000</v>
      </c>
    </row>
    <row r="1845" spans="1:16" ht="15" customHeight="1">
      <c r="A1845" s="132">
        <v>1844</v>
      </c>
      <c r="B1845" s="36" t="s">
        <v>24014</v>
      </c>
      <c r="C1845" s="36" t="s">
        <v>24014</v>
      </c>
      <c r="D1845" s="36" t="s">
        <v>24015</v>
      </c>
      <c r="E1845" s="36" t="s">
        <v>24016</v>
      </c>
      <c r="F1845" s="36" t="s">
        <v>24017</v>
      </c>
      <c r="G1845" s="36" t="s">
        <v>24014</v>
      </c>
      <c r="H1845" s="36" t="s">
        <v>24018</v>
      </c>
      <c r="I1845" s="36" t="s">
        <v>24019</v>
      </c>
      <c r="J1845" s="36" t="s">
        <v>24020</v>
      </c>
      <c r="K1845" s="36" t="s">
        <v>24021</v>
      </c>
      <c r="L1845" s="36" t="s">
        <v>24014</v>
      </c>
      <c r="M1845" s="36" t="s">
        <v>24014</v>
      </c>
      <c r="N1845" s="36" t="s">
        <v>24014</v>
      </c>
      <c r="O1845" s="36" t="s">
        <v>24022</v>
      </c>
      <c r="P1845" s="36" t="s">
        <v>24014</v>
      </c>
    </row>
    <row r="1846" spans="1:16" ht="15" customHeight="1">
      <c r="A1846" s="132">
        <v>1845</v>
      </c>
      <c r="B1846" s="36" t="s">
        <v>24023</v>
      </c>
      <c r="C1846" s="36" t="s">
        <v>24023</v>
      </c>
      <c r="D1846" s="36" t="s">
        <v>24024</v>
      </c>
      <c r="E1846" s="36" t="s">
        <v>24025</v>
      </c>
      <c r="F1846" s="36" t="s">
        <v>24026</v>
      </c>
      <c r="G1846" s="36" t="s">
        <v>24023</v>
      </c>
      <c r="H1846" s="36" t="s">
        <v>24027</v>
      </c>
      <c r="I1846" s="36" t="s">
        <v>24028</v>
      </c>
      <c r="J1846" s="36" t="s">
        <v>24029</v>
      </c>
      <c r="K1846" s="36" t="s">
        <v>24030</v>
      </c>
      <c r="L1846" s="36" t="s">
        <v>24023</v>
      </c>
      <c r="M1846" s="36" t="s">
        <v>24023</v>
      </c>
      <c r="N1846" s="36" t="s">
        <v>24023</v>
      </c>
      <c r="O1846" s="36" t="s">
        <v>24031</v>
      </c>
      <c r="P1846" s="36" t="s">
        <v>24023</v>
      </c>
    </row>
    <row r="1847" spans="1:16" ht="15" customHeight="1">
      <c r="A1847" s="132">
        <v>1846</v>
      </c>
      <c r="B1847" s="36" t="s">
        <v>24032</v>
      </c>
      <c r="C1847" s="36" t="s">
        <v>24032</v>
      </c>
      <c r="D1847" s="36" t="s">
        <v>24033</v>
      </c>
      <c r="E1847" s="36" t="s">
        <v>24034</v>
      </c>
      <c r="F1847" s="36" t="s">
        <v>24035</v>
      </c>
      <c r="G1847" s="36" t="s">
        <v>24032</v>
      </c>
      <c r="H1847" s="36" t="s">
        <v>24036</v>
      </c>
      <c r="I1847" s="36" t="s">
        <v>24037</v>
      </c>
      <c r="J1847" s="36" t="s">
        <v>24038</v>
      </c>
      <c r="K1847" s="36" t="s">
        <v>24039</v>
      </c>
      <c r="L1847" s="36" t="s">
        <v>24032</v>
      </c>
      <c r="M1847" s="36" t="s">
        <v>24032</v>
      </c>
      <c r="N1847" s="36" t="s">
        <v>24032</v>
      </c>
      <c r="O1847" s="36" t="s">
        <v>24040</v>
      </c>
      <c r="P1847" s="36" t="s">
        <v>24032</v>
      </c>
    </row>
    <row r="1848" spans="1:16" ht="15" customHeight="1">
      <c r="A1848" s="132">
        <v>1847</v>
      </c>
      <c r="B1848" s="36" t="s">
        <v>24041</v>
      </c>
      <c r="C1848" s="36" t="s">
        <v>24041</v>
      </c>
      <c r="D1848" s="36" t="s">
        <v>24042</v>
      </c>
      <c r="E1848" s="36" t="s">
        <v>24043</v>
      </c>
      <c r="F1848" s="36" t="s">
        <v>24044</v>
      </c>
      <c r="G1848" s="36" t="s">
        <v>24041</v>
      </c>
      <c r="H1848" s="36" t="s">
        <v>24045</v>
      </c>
      <c r="I1848" s="36" t="s">
        <v>24046</v>
      </c>
      <c r="J1848" s="36" t="s">
        <v>24047</v>
      </c>
      <c r="K1848" s="36" t="s">
        <v>24048</v>
      </c>
      <c r="L1848" s="36" t="s">
        <v>24041</v>
      </c>
      <c r="M1848" s="36" t="s">
        <v>24041</v>
      </c>
      <c r="N1848" s="36" t="s">
        <v>24041</v>
      </c>
      <c r="O1848" s="36" t="s">
        <v>24049</v>
      </c>
      <c r="P1848" s="36" t="s">
        <v>24041</v>
      </c>
    </row>
    <row r="1849" spans="1:16" ht="15" customHeight="1">
      <c r="A1849" s="132">
        <v>1848</v>
      </c>
      <c r="B1849" s="36" t="s">
        <v>24050</v>
      </c>
      <c r="C1849" s="36" t="s">
        <v>24050</v>
      </c>
      <c r="D1849" s="36" t="s">
        <v>24050</v>
      </c>
      <c r="E1849" s="36" t="s">
        <v>24050</v>
      </c>
      <c r="F1849" s="36" t="s">
        <v>24050</v>
      </c>
      <c r="G1849" s="36" t="s">
        <v>24050</v>
      </c>
      <c r="H1849" s="36" t="s">
        <v>24050</v>
      </c>
      <c r="I1849" s="36" t="s">
        <v>24051</v>
      </c>
      <c r="J1849" s="36" t="s">
        <v>24050</v>
      </c>
      <c r="K1849" s="36" t="s">
        <v>24050</v>
      </c>
      <c r="L1849" s="36" t="s">
        <v>24050</v>
      </c>
      <c r="M1849" s="36" t="s">
        <v>24050</v>
      </c>
      <c r="N1849" s="36" t="s">
        <v>24050</v>
      </c>
      <c r="O1849" s="36" t="s">
        <v>24050</v>
      </c>
      <c r="P1849" s="36" t="s">
        <v>24050</v>
      </c>
    </row>
    <row r="1850" spans="1:16" ht="15" customHeight="1">
      <c r="A1850" s="132">
        <v>1849</v>
      </c>
      <c r="B1850" s="36" t="s">
        <v>24052</v>
      </c>
      <c r="C1850" s="36" t="s">
        <v>24053</v>
      </c>
      <c r="D1850" s="36" t="s">
        <v>24054</v>
      </c>
      <c r="E1850" s="36" t="s">
        <v>24055</v>
      </c>
      <c r="F1850" s="36" t="s">
        <v>24056</v>
      </c>
      <c r="G1850" s="36" t="s">
        <v>24057</v>
      </c>
      <c r="H1850" s="36" t="s">
        <v>24058</v>
      </c>
      <c r="I1850" s="36" t="s">
        <v>24059</v>
      </c>
      <c r="J1850" s="36" t="s">
        <v>24060</v>
      </c>
      <c r="K1850" s="36" t="s">
        <v>24057</v>
      </c>
      <c r="L1850" s="36" t="s">
        <v>24061</v>
      </c>
      <c r="M1850" s="36" t="s">
        <v>24062</v>
      </c>
      <c r="N1850" s="36" t="s">
        <v>24063</v>
      </c>
      <c r="O1850" s="36" t="s">
        <v>24064</v>
      </c>
      <c r="P1850" s="36" t="s">
        <v>24052</v>
      </c>
    </row>
    <row r="1851" spans="1:16" ht="15" customHeight="1">
      <c r="A1851" s="132">
        <v>1850</v>
      </c>
      <c r="B1851" s="36" t="s">
        <v>24065</v>
      </c>
      <c r="C1851" s="36" t="s">
        <v>24066</v>
      </c>
      <c r="D1851" s="36" t="s">
        <v>24067</v>
      </c>
      <c r="E1851" s="36" t="s">
        <v>24068</v>
      </c>
      <c r="F1851" s="36" t="s">
        <v>24069</v>
      </c>
      <c r="G1851" s="36" t="s">
        <v>24070</v>
      </c>
      <c r="H1851" s="36" t="s">
        <v>24071</v>
      </c>
      <c r="I1851" s="36" t="s">
        <v>24072</v>
      </c>
      <c r="J1851" s="36" t="s">
        <v>24073</v>
      </c>
      <c r="K1851" s="36" t="s">
        <v>24074</v>
      </c>
      <c r="L1851" s="36" t="s">
        <v>24075</v>
      </c>
      <c r="M1851" s="36" t="s">
        <v>24076</v>
      </c>
      <c r="N1851" s="36" t="s">
        <v>24077</v>
      </c>
      <c r="O1851" s="36" t="s">
        <v>24078</v>
      </c>
      <c r="P1851" s="36" t="s">
        <v>24065</v>
      </c>
    </row>
    <row r="1852" spans="1:16" ht="15" customHeight="1">
      <c r="A1852" s="132">
        <v>1851</v>
      </c>
      <c r="B1852" s="36" t="s">
        <v>24079</v>
      </c>
      <c r="C1852" s="36" t="s">
        <v>24080</v>
      </c>
      <c r="D1852" s="36" t="s">
        <v>24081</v>
      </c>
      <c r="E1852" s="36" t="s">
        <v>24082</v>
      </c>
      <c r="F1852" s="36" t="s">
        <v>24083</v>
      </c>
      <c r="G1852" s="36" t="s">
        <v>24084</v>
      </c>
      <c r="H1852" s="36" t="s">
        <v>24085</v>
      </c>
      <c r="I1852" s="36" t="s">
        <v>24086</v>
      </c>
      <c r="J1852" s="36" t="s">
        <v>24087</v>
      </c>
      <c r="K1852" s="36" t="s">
        <v>24088</v>
      </c>
      <c r="L1852" s="36" t="s">
        <v>24089</v>
      </c>
      <c r="M1852" s="36" t="s">
        <v>24090</v>
      </c>
      <c r="N1852" s="36" t="s">
        <v>24091</v>
      </c>
      <c r="O1852" s="36" t="s">
        <v>24092</v>
      </c>
      <c r="P1852" s="36" t="s">
        <v>24079</v>
      </c>
    </row>
    <row r="1853" spans="1:16" ht="15" customHeight="1">
      <c r="A1853" s="132">
        <v>1852</v>
      </c>
      <c r="B1853" s="36" t="s">
        <v>24093</v>
      </c>
      <c r="C1853" s="36" t="s">
        <v>24094</v>
      </c>
      <c r="D1853" s="36" t="s">
        <v>24095</v>
      </c>
      <c r="E1853" s="36" t="s">
        <v>24096</v>
      </c>
      <c r="F1853" s="36" t="s">
        <v>24097</v>
      </c>
      <c r="G1853" s="36" t="s">
        <v>24098</v>
      </c>
      <c r="H1853" s="36" t="s">
        <v>24099</v>
      </c>
      <c r="I1853" s="36" t="s">
        <v>24100</v>
      </c>
      <c r="J1853" s="36" t="s">
        <v>24101</v>
      </c>
      <c r="K1853" s="36" t="s">
        <v>24102</v>
      </c>
      <c r="L1853" s="36" t="s">
        <v>24103</v>
      </c>
      <c r="M1853" s="36" t="s">
        <v>24104</v>
      </c>
      <c r="N1853" s="36" t="s">
        <v>24105</v>
      </c>
      <c r="O1853" s="36" t="s">
        <v>24106</v>
      </c>
      <c r="P1853" s="36" t="s">
        <v>24093</v>
      </c>
    </row>
    <row r="1854" spans="1:16" ht="15" customHeight="1">
      <c r="A1854" s="132">
        <v>1853</v>
      </c>
      <c r="B1854" s="36" t="s">
        <v>24107</v>
      </c>
      <c r="C1854" s="36" t="s">
        <v>24094</v>
      </c>
      <c r="D1854" s="36" t="s">
        <v>24095</v>
      </c>
      <c r="E1854" s="36" t="s">
        <v>29625</v>
      </c>
      <c r="F1854" s="36" t="s">
        <v>24097</v>
      </c>
      <c r="G1854" s="36" t="s">
        <v>24098</v>
      </c>
      <c r="H1854" s="36" t="s">
        <v>24099</v>
      </c>
      <c r="I1854" s="36" t="s">
        <v>24100</v>
      </c>
      <c r="J1854" s="36" t="s">
        <v>24101</v>
      </c>
      <c r="K1854" s="36" t="s">
        <v>24102</v>
      </c>
      <c r="L1854" s="36" t="s">
        <v>24103</v>
      </c>
      <c r="M1854" s="36" t="s">
        <v>24104</v>
      </c>
      <c r="N1854" s="36" t="s">
        <v>24105</v>
      </c>
      <c r="O1854" s="36" t="s">
        <v>24106</v>
      </c>
      <c r="P1854" s="36" t="s">
        <v>24107</v>
      </c>
    </row>
    <row r="1855" spans="1:16" ht="15" customHeight="1">
      <c r="A1855" s="132">
        <v>1854</v>
      </c>
      <c r="B1855" s="36" t="s">
        <v>24108</v>
      </c>
      <c r="C1855" s="36" t="s">
        <v>24109</v>
      </c>
      <c r="D1855" s="36" t="s">
        <v>24110</v>
      </c>
      <c r="E1855" s="36" t="s">
        <v>24111</v>
      </c>
      <c r="F1855" s="36" t="s">
        <v>24112</v>
      </c>
      <c r="G1855" s="36" t="s">
        <v>24113</v>
      </c>
      <c r="H1855" s="36" t="s">
        <v>24114</v>
      </c>
      <c r="I1855" s="36" t="s">
        <v>24115</v>
      </c>
      <c r="J1855" s="36" t="s">
        <v>24116</v>
      </c>
      <c r="K1855" s="36" t="s">
        <v>24117</v>
      </c>
      <c r="L1855" s="36" t="s">
        <v>22939</v>
      </c>
      <c r="M1855" s="36" t="s">
        <v>24118</v>
      </c>
      <c r="N1855" s="36" t="s">
        <v>24119</v>
      </c>
      <c r="O1855" s="36" t="s">
        <v>24117</v>
      </c>
      <c r="P1855" s="36" t="s">
        <v>24108</v>
      </c>
    </row>
    <row r="1856" spans="1:16" ht="15" customHeight="1">
      <c r="A1856" s="132">
        <v>1855</v>
      </c>
      <c r="B1856" s="36" t="s">
        <v>24120</v>
      </c>
      <c r="C1856" s="36" t="s">
        <v>24121</v>
      </c>
      <c r="D1856" s="36" t="s">
        <v>24122</v>
      </c>
      <c r="E1856" s="36" t="s">
        <v>24123</v>
      </c>
      <c r="F1856" s="36" t="s">
        <v>24124</v>
      </c>
      <c r="G1856" s="36" t="s">
        <v>24125</v>
      </c>
      <c r="H1856" s="36" t="s">
        <v>24126</v>
      </c>
      <c r="I1856" s="36" t="s">
        <v>24127</v>
      </c>
      <c r="J1856" s="36" t="s">
        <v>24128</v>
      </c>
      <c r="K1856" s="36" t="s">
        <v>24129</v>
      </c>
      <c r="L1856" s="36" t="s">
        <v>24130</v>
      </c>
      <c r="M1856" s="36" t="s">
        <v>24131</v>
      </c>
      <c r="N1856" s="36" t="s">
        <v>24132</v>
      </c>
      <c r="O1856" s="36" t="s">
        <v>24133</v>
      </c>
      <c r="P1856" s="36" t="s">
        <v>24120</v>
      </c>
    </row>
    <row r="1857" spans="1:16" ht="15" customHeight="1">
      <c r="A1857" s="132">
        <v>1856</v>
      </c>
      <c r="B1857" s="36" t="s">
        <v>24134</v>
      </c>
      <c r="C1857" s="36" t="s">
        <v>24135</v>
      </c>
      <c r="D1857" s="36" t="s">
        <v>24136</v>
      </c>
      <c r="E1857" s="36" t="s">
        <v>24137</v>
      </c>
      <c r="F1857" s="36" t="s">
        <v>24138</v>
      </c>
      <c r="G1857" s="36" t="s">
        <v>24139</v>
      </c>
      <c r="H1857" s="36" t="s">
        <v>24140</v>
      </c>
      <c r="I1857" s="36" t="s">
        <v>24141</v>
      </c>
      <c r="J1857" s="36" t="s">
        <v>24142</v>
      </c>
      <c r="K1857" s="36" t="s">
        <v>24143</v>
      </c>
      <c r="L1857" s="36" t="s">
        <v>24144</v>
      </c>
      <c r="M1857" s="36" t="s">
        <v>24145</v>
      </c>
      <c r="N1857" s="36" t="s">
        <v>24146</v>
      </c>
      <c r="O1857" s="36" t="s">
        <v>24147</v>
      </c>
      <c r="P1857" s="36" t="s">
        <v>24134</v>
      </c>
    </row>
    <row r="1858" spans="1:16" ht="15" customHeight="1">
      <c r="A1858" s="132">
        <v>1857</v>
      </c>
      <c r="B1858" s="36" t="s">
        <v>24148</v>
      </c>
      <c r="C1858" s="36" t="s">
        <v>24149</v>
      </c>
      <c r="D1858" s="36" t="s">
        <v>24150</v>
      </c>
      <c r="E1858" s="36" t="s">
        <v>24151</v>
      </c>
      <c r="F1858" s="36" t="s">
        <v>24152</v>
      </c>
      <c r="G1858" s="36" t="s">
        <v>24153</v>
      </c>
      <c r="H1858" s="36" t="s">
        <v>24154</v>
      </c>
      <c r="I1858" s="36" t="s">
        <v>24155</v>
      </c>
      <c r="J1858" s="36" t="s">
        <v>24156</v>
      </c>
      <c r="K1858" s="36" t="s">
        <v>24157</v>
      </c>
      <c r="L1858" s="36" t="s">
        <v>24158</v>
      </c>
      <c r="M1858" s="36" t="s">
        <v>24159</v>
      </c>
      <c r="N1858" s="36" t="s">
        <v>24160</v>
      </c>
      <c r="O1858" s="36" t="s">
        <v>24161</v>
      </c>
      <c r="P1858" s="36" t="s">
        <v>24148</v>
      </c>
    </row>
    <row r="1859" spans="1:16" ht="15" customHeight="1">
      <c r="A1859" s="132">
        <v>1858</v>
      </c>
      <c r="B1859" s="36" t="s">
        <v>24162</v>
      </c>
      <c r="C1859" s="36" t="s">
        <v>24163</v>
      </c>
      <c r="D1859" s="36" t="s">
        <v>24164</v>
      </c>
      <c r="E1859" s="36" t="s">
        <v>24165</v>
      </c>
      <c r="F1859" s="36" t="s">
        <v>24166</v>
      </c>
      <c r="G1859" s="36" t="s">
        <v>24167</v>
      </c>
      <c r="H1859" s="36" t="s">
        <v>24168</v>
      </c>
      <c r="I1859" s="36" t="s">
        <v>24169</v>
      </c>
      <c r="J1859" s="36" t="s">
        <v>24170</v>
      </c>
      <c r="K1859" s="36" t="s">
        <v>24171</v>
      </c>
      <c r="L1859" s="36" t="s">
        <v>24172</v>
      </c>
      <c r="M1859" s="36" t="s">
        <v>24173</v>
      </c>
      <c r="N1859" s="36" t="s">
        <v>24174</v>
      </c>
      <c r="O1859" s="36" t="s">
        <v>24175</v>
      </c>
      <c r="P1859" s="36" t="s">
        <v>24162</v>
      </c>
    </row>
    <row r="1860" spans="1:16" ht="15" customHeight="1">
      <c r="A1860" s="132">
        <v>1859</v>
      </c>
      <c r="B1860" s="36" t="s">
        <v>24176</v>
      </c>
      <c r="C1860" s="36" t="s">
        <v>24177</v>
      </c>
      <c r="D1860" s="36" t="s">
        <v>24178</v>
      </c>
      <c r="E1860" s="36" t="s">
        <v>24179</v>
      </c>
      <c r="F1860" s="36" t="s">
        <v>24180</v>
      </c>
      <c r="G1860" s="36" t="s">
        <v>24181</v>
      </c>
      <c r="H1860" s="36" t="s">
        <v>24182</v>
      </c>
      <c r="I1860" s="36" t="s">
        <v>24183</v>
      </c>
      <c r="J1860" s="36" t="s">
        <v>24184</v>
      </c>
      <c r="K1860" s="36" t="s">
        <v>24185</v>
      </c>
      <c r="L1860" s="36" t="s">
        <v>24186</v>
      </c>
      <c r="M1860" s="36" t="s">
        <v>24187</v>
      </c>
      <c r="N1860" s="36" t="s">
        <v>24188</v>
      </c>
      <c r="O1860" s="36" t="s">
        <v>24189</v>
      </c>
      <c r="P1860" s="36" t="s">
        <v>24176</v>
      </c>
    </row>
    <row r="1861" spans="1:16" ht="15" customHeight="1">
      <c r="A1861" s="132">
        <v>1860</v>
      </c>
      <c r="B1861" s="36" t="s">
        <v>24190</v>
      </c>
      <c r="C1861" s="36" t="s">
        <v>24191</v>
      </c>
      <c r="D1861" s="36" t="s">
        <v>24192</v>
      </c>
      <c r="E1861" s="36" t="s">
        <v>24193</v>
      </c>
      <c r="F1861" s="36" t="s">
        <v>24194</v>
      </c>
      <c r="G1861" s="36" t="s">
        <v>24195</v>
      </c>
      <c r="H1861" s="36" t="s">
        <v>24196</v>
      </c>
      <c r="I1861" s="36" t="s">
        <v>24197</v>
      </c>
      <c r="J1861" s="36" t="s">
        <v>24198</v>
      </c>
      <c r="K1861" s="36" t="s">
        <v>24199</v>
      </c>
      <c r="L1861" s="36" t="s">
        <v>24200</v>
      </c>
      <c r="M1861" s="36" t="s">
        <v>24201</v>
      </c>
      <c r="N1861" s="36" t="s">
        <v>24202</v>
      </c>
      <c r="O1861" s="36" t="s">
        <v>24203</v>
      </c>
      <c r="P1861" s="36" t="s">
        <v>24190</v>
      </c>
    </row>
    <row r="1862" spans="1:16" ht="15" customHeight="1">
      <c r="A1862" s="132">
        <v>1861</v>
      </c>
      <c r="B1862" s="36" t="s">
        <v>24204</v>
      </c>
      <c r="C1862" s="36" t="s">
        <v>24205</v>
      </c>
      <c r="D1862" s="36" t="s">
        <v>24206</v>
      </c>
      <c r="E1862" s="36" t="s">
        <v>24207</v>
      </c>
      <c r="F1862" s="36" t="s">
        <v>24208</v>
      </c>
      <c r="G1862" s="36" t="s">
        <v>24209</v>
      </c>
      <c r="H1862" s="36" t="s">
        <v>24210</v>
      </c>
      <c r="I1862" s="36" t="s">
        <v>24211</v>
      </c>
      <c r="J1862" s="36" t="s">
        <v>24212</v>
      </c>
      <c r="K1862" s="36" t="s">
        <v>24213</v>
      </c>
      <c r="L1862" s="36" t="s">
        <v>24214</v>
      </c>
      <c r="M1862" s="36" t="s">
        <v>24215</v>
      </c>
      <c r="N1862" s="36" t="s">
        <v>24216</v>
      </c>
      <c r="O1862" s="36" t="s">
        <v>24217</v>
      </c>
      <c r="P1862" s="36" t="s">
        <v>24204</v>
      </c>
    </row>
    <row r="1863" spans="1:16" ht="15" customHeight="1">
      <c r="A1863" s="132">
        <v>1862</v>
      </c>
      <c r="B1863" s="36" t="s">
        <v>24218</v>
      </c>
      <c r="C1863" s="36" t="s">
        <v>24219</v>
      </c>
      <c r="D1863" s="36" t="s">
        <v>24220</v>
      </c>
      <c r="E1863" s="36" t="s">
        <v>24221</v>
      </c>
      <c r="F1863" s="36" t="s">
        <v>24222</v>
      </c>
      <c r="G1863" s="36" t="s">
        <v>24223</v>
      </c>
      <c r="H1863" s="36" t="s">
        <v>24224</v>
      </c>
      <c r="I1863" s="36" t="s">
        <v>24225</v>
      </c>
      <c r="J1863" s="36" t="s">
        <v>24226</v>
      </c>
      <c r="K1863" s="36" t="s">
        <v>24227</v>
      </c>
      <c r="L1863" s="36" t="s">
        <v>24228</v>
      </c>
      <c r="M1863" s="36" t="s">
        <v>24229</v>
      </c>
      <c r="N1863" s="36" t="s">
        <v>24230</v>
      </c>
      <c r="O1863" s="36" t="s">
        <v>24231</v>
      </c>
      <c r="P1863" s="36" t="s">
        <v>24218</v>
      </c>
    </row>
    <row r="1864" spans="1:16" ht="15" customHeight="1">
      <c r="A1864" s="132">
        <v>1863</v>
      </c>
      <c r="B1864" s="36" t="s">
        <v>24232</v>
      </c>
      <c r="C1864" s="36" t="s">
        <v>24233</v>
      </c>
      <c r="D1864" s="36" t="s">
        <v>24234</v>
      </c>
      <c r="E1864" s="36" t="s">
        <v>24235</v>
      </c>
      <c r="F1864" s="36" t="s">
        <v>24236</v>
      </c>
      <c r="G1864" s="36" t="s">
        <v>24237</v>
      </c>
      <c r="H1864" s="36" t="s">
        <v>24238</v>
      </c>
      <c r="I1864" s="36" t="s">
        <v>24239</v>
      </c>
      <c r="J1864" s="36" t="s">
        <v>24240</v>
      </c>
      <c r="K1864" s="36" t="s">
        <v>24241</v>
      </c>
      <c r="L1864" s="36" t="s">
        <v>24242</v>
      </c>
      <c r="M1864" s="36" t="s">
        <v>24243</v>
      </c>
      <c r="N1864" s="36" t="s">
        <v>24244</v>
      </c>
      <c r="O1864" s="36" t="s">
        <v>24245</v>
      </c>
      <c r="P1864" s="36" t="s">
        <v>24232</v>
      </c>
    </row>
    <row r="1865" spans="1:16" ht="15" customHeight="1">
      <c r="A1865" s="132">
        <v>1864</v>
      </c>
      <c r="B1865" s="36" t="s">
        <v>24246</v>
      </c>
      <c r="C1865" s="36" t="s">
        <v>24247</v>
      </c>
      <c r="D1865" s="36" t="s">
        <v>24248</v>
      </c>
      <c r="E1865" s="36" t="s">
        <v>24249</v>
      </c>
      <c r="F1865" s="36" t="s">
        <v>24250</v>
      </c>
      <c r="G1865" s="36" t="s">
        <v>24251</v>
      </c>
      <c r="H1865" s="36" t="s">
        <v>24252</v>
      </c>
      <c r="I1865" s="36" t="s">
        <v>24253</v>
      </c>
      <c r="J1865" s="36" t="s">
        <v>24254</v>
      </c>
      <c r="K1865" s="36" t="s">
        <v>24255</v>
      </c>
      <c r="L1865" s="36" t="s">
        <v>24256</v>
      </c>
      <c r="M1865" s="36" t="s">
        <v>24257</v>
      </c>
      <c r="N1865" s="36" t="s">
        <v>24258</v>
      </c>
      <c r="O1865" s="36" t="s">
        <v>24259</v>
      </c>
      <c r="P1865" s="36" t="s">
        <v>24246</v>
      </c>
    </row>
    <row r="1866" spans="1:16" ht="15" customHeight="1">
      <c r="A1866" s="132">
        <v>1865</v>
      </c>
      <c r="B1866" s="36" t="s">
        <v>13089</v>
      </c>
      <c r="C1866" s="36" t="s">
        <v>13089</v>
      </c>
      <c r="D1866" s="36" t="s">
        <v>13090</v>
      </c>
      <c r="E1866" s="36" t="s">
        <v>24260</v>
      </c>
      <c r="F1866" s="36" t="s">
        <v>24261</v>
      </c>
      <c r="G1866" s="36" t="s">
        <v>13089</v>
      </c>
      <c r="H1866" s="36" t="s">
        <v>24262</v>
      </c>
      <c r="I1866" s="36" t="s">
        <v>24263</v>
      </c>
      <c r="J1866" s="36" t="s">
        <v>13095</v>
      </c>
      <c r="K1866" s="36" t="s">
        <v>13096</v>
      </c>
      <c r="L1866" s="36" t="s">
        <v>13089</v>
      </c>
      <c r="M1866" s="36" t="s">
        <v>13089</v>
      </c>
      <c r="N1866" s="36" t="s">
        <v>24264</v>
      </c>
      <c r="O1866" s="36" t="s">
        <v>13109</v>
      </c>
      <c r="P1866" s="36" t="s">
        <v>13089</v>
      </c>
    </row>
    <row r="1867" spans="1:16" ht="15" customHeight="1">
      <c r="A1867" s="132">
        <v>1866</v>
      </c>
      <c r="B1867" s="36" t="s">
        <v>24265</v>
      </c>
      <c r="C1867" s="36" t="s">
        <v>24266</v>
      </c>
      <c r="D1867" s="36" t="s">
        <v>24267</v>
      </c>
      <c r="E1867" s="36" t="s">
        <v>24268</v>
      </c>
      <c r="F1867" s="36" t="s">
        <v>24269</v>
      </c>
      <c r="G1867" s="36" t="s">
        <v>24270</v>
      </c>
      <c r="H1867" s="36" t="s">
        <v>24271</v>
      </c>
      <c r="I1867" s="36" t="s">
        <v>24272</v>
      </c>
      <c r="J1867" s="36" t="s">
        <v>24273</v>
      </c>
      <c r="K1867" s="36" t="s">
        <v>24274</v>
      </c>
      <c r="L1867" s="36" t="s">
        <v>24275</v>
      </c>
      <c r="M1867" s="36" t="s">
        <v>24276</v>
      </c>
      <c r="N1867" s="36" t="s">
        <v>24277</v>
      </c>
      <c r="O1867" s="36" t="s">
        <v>24278</v>
      </c>
      <c r="P1867" s="36" t="s">
        <v>24265</v>
      </c>
    </row>
    <row r="1868" spans="1:16" ht="15" customHeight="1">
      <c r="A1868" s="132">
        <v>1867</v>
      </c>
      <c r="B1868" s="36" t="s">
        <v>24279</v>
      </c>
      <c r="C1868" s="36" t="s">
        <v>24280</v>
      </c>
      <c r="D1868" s="36" t="s">
        <v>24281</v>
      </c>
      <c r="E1868" s="36" t="s">
        <v>24282</v>
      </c>
      <c r="F1868" s="36" t="s">
        <v>24283</v>
      </c>
      <c r="G1868" s="36" t="s">
        <v>24284</v>
      </c>
      <c r="H1868" s="36" t="s">
        <v>24285</v>
      </c>
      <c r="I1868" s="36" t="s">
        <v>24286</v>
      </c>
      <c r="J1868" s="36" t="s">
        <v>24287</v>
      </c>
      <c r="K1868" s="36" t="s">
        <v>24288</v>
      </c>
      <c r="L1868" s="36" t="s">
        <v>24289</v>
      </c>
      <c r="M1868" s="36" t="s">
        <v>24290</v>
      </c>
      <c r="N1868" s="36" t="s">
        <v>24291</v>
      </c>
      <c r="O1868" s="36" t="s">
        <v>24292</v>
      </c>
      <c r="P1868" s="36" t="s">
        <v>24279</v>
      </c>
    </row>
    <row r="1869" spans="1:16" ht="15" customHeight="1">
      <c r="A1869" s="132">
        <v>1868</v>
      </c>
      <c r="B1869" s="36" t="s">
        <v>24293</v>
      </c>
      <c r="C1869" s="36" t="s">
        <v>24294</v>
      </c>
      <c r="D1869" s="36" t="s">
        <v>24295</v>
      </c>
      <c r="E1869" s="36" t="s">
        <v>24296</v>
      </c>
      <c r="F1869" s="36" t="s">
        <v>24297</v>
      </c>
      <c r="G1869" s="36" t="s">
        <v>24298</v>
      </c>
      <c r="H1869" s="36" t="s">
        <v>24299</v>
      </c>
      <c r="I1869" s="36" t="s">
        <v>24300</v>
      </c>
      <c r="J1869" s="36" t="s">
        <v>24301</v>
      </c>
      <c r="K1869" s="36" t="s">
        <v>24302</v>
      </c>
      <c r="L1869" s="36" t="s">
        <v>24303</v>
      </c>
      <c r="M1869" s="36" t="s">
        <v>24304</v>
      </c>
      <c r="N1869" s="36" t="s">
        <v>24305</v>
      </c>
      <c r="O1869" s="36" t="s">
        <v>24306</v>
      </c>
      <c r="P1869" s="36" t="s">
        <v>24293</v>
      </c>
    </row>
    <row r="1870" spans="1:16" ht="15" customHeight="1">
      <c r="A1870" s="132">
        <v>1869</v>
      </c>
      <c r="B1870" s="36" t="s">
        <v>24307</v>
      </c>
      <c r="C1870" s="36" t="s">
        <v>24308</v>
      </c>
      <c r="D1870" s="36" t="s">
        <v>24309</v>
      </c>
      <c r="E1870" s="36" t="s">
        <v>24310</v>
      </c>
      <c r="F1870" s="36" t="s">
        <v>24311</v>
      </c>
      <c r="G1870" s="36" t="s">
        <v>24312</v>
      </c>
      <c r="H1870" s="36" t="s">
        <v>24313</v>
      </c>
      <c r="I1870" s="36" t="s">
        <v>24314</v>
      </c>
      <c r="J1870" s="36" t="s">
        <v>24315</v>
      </c>
      <c r="K1870" s="36" t="s">
        <v>24316</v>
      </c>
      <c r="L1870" s="36" t="s">
        <v>24317</v>
      </c>
      <c r="M1870" s="36" t="s">
        <v>24318</v>
      </c>
      <c r="N1870" s="36" t="s">
        <v>24319</v>
      </c>
      <c r="O1870" s="36" t="s">
        <v>24320</v>
      </c>
      <c r="P1870" s="36" t="s">
        <v>24307</v>
      </c>
    </row>
    <row r="1871" spans="1:16" ht="15" customHeight="1">
      <c r="A1871" s="132">
        <v>1870</v>
      </c>
      <c r="B1871" s="36" t="s">
        <v>24321</v>
      </c>
      <c r="C1871" s="36" t="s">
        <v>24322</v>
      </c>
      <c r="D1871" s="36" t="s">
        <v>24323</v>
      </c>
      <c r="E1871" s="36" t="s">
        <v>24324</v>
      </c>
      <c r="F1871" s="36" t="s">
        <v>24325</v>
      </c>
      <c r="G1871" s="36" t="s">
        <v>24326</v>
      </c>
      <c r="H1871" s="36" t="s">
        <v>24327</v>
      </c>
      <c r="I1871" s="36" t="s">
        <v>24328</v>
      </c>
      <c r="J1871" s="36" t="s">
        <v>24329</v>
      </c>
      <c r="K1871" s="36" t="s">
        <v>24330</v>
      </c>
      <c r="L1871" s="36" t="s">
        <v>24331</v>
      </c>
      <c r="M1871" s="36" t="s">
        <v>24332</v>
      </c>
      <c r="N1871" s="36" t="s">
        <v>24333</v>
      </c>
      <c r="O1871" s="36" t="s">
        <v>24334</v>
      </c>
      <c r="P1871" s="36" t="s">
        <v>24321</v>
      </c>
    </row>
    <row r="1872" spans="1:16" ht="15" customHeight="1">
      <c r="A1872" s="132">
        <v>1871</v>
      </c>
      <c r="B1872" s="36" t="s">
        <v>24335</v>
      </c>
      <c r="C1872" s="36" t="s">
        <v>24336</v>
      </c>
      <c r="D1872" s="36" t="s">
        <v>24337</v>
      </c>
      <c r="E1872" s="36" t="s">
        <v>24338</v>
      </c>
      <c r="F1872" s="36" t="s">
        <v>24339</v>
      </c>
      <c r="G1872" s="36" t="s">
        <v>24340</v>
      </c>
      <c r="H1872" s="36" t="s">
        <v>24341</v>
      </c>
      <c r="I1872" s="36" t="s">
        <v>24342</v>
      </c>
      <c r="J1872" s="36" t="s">
        <v>24343</v>
      </c>
      <c r="K1872" s="36" t="s">
        <v>24344</v>
      </c>
      <c r="L1872" s="36" t="s">
        <v>24345</v>
      </c>
      <c r="M1872" s="36" t="s">
        <v>24346</v>
      </c>
      <c r="N1872" s="36" t="s">
        <v>24347</v>
      </c>
      <c r="O1872" s="36" t="s">
        <v>24348</v>
      </c>
      <c r="P1872" s="36" t="s">
        <v>24335</v>
      </c>
    </row>
    <row r="1873" spans="1:16" ht="15" customHeight="1">
      <c r="A1873" s="132">
        <v>1872</v>
      </c>
      <c r="B1873" s="36" t="s">
        <v>24349</v>
      </c>
      <c r="C1873" s="36" t="s">
        <v>24350</v>
      </c>
      <c r="D1873" s="36" t="s">
        <v>24351</v>
      </c>
      <c r="E1873" s="36" t="s">
        <v>24352</v>
      </c>
      <c r="F1873" s="36" t="s">
        <v>24353</v>
      </c>
      <c r="G1873" s="36" t="s">
        <v>24354</v>
      </c>
      <c r="H1873" s="36" t="s">
        <v>24355</v>
      </c>
      <c r="I1873" s="36" t="s">
        <v>24356</v>
      </c>
      <c r="J1873" s="36" t="s">
        <v>24357</v>
      </c>
      <c r="K1873" s="36" t="s">
        <v>24358</v>
      </c>
      <c r="L1873" s="36" t="s">
        <v>24359</v>
      </c>
      <c r="M1873" s="36" t="s">
        <v>24360</v>
      </c>
      <c r="N1873" s="36" t="s">
        <v>24360</v>
      </c>
      <c r="O1873" s="36" t="s">
        <v>24361</v>
      </c>
      <c r="P1873" s="36" t="s">
        <v>24349</v>
      </c>
    </row>
    <row r="1874" spans="1:16" ht="15" customHeight="1">
      <c r="A1874" s="132">
        <v>1873</v>
      </c>
      <c r="B1874" s="36" t="s">
        <v>24362</v>
      </c>
      <c r="C1874" s="36" t="s">
        <v>24363</v>
      </c>
      <c r="D1874" s="36" t="s">
        <v>24364</v>
      </c>
      <c r="E1874" s="36" t="s">
        <v>24365</v>
      </c>
      <c r="F1874" s="36" t="s">
        <v>24366</v>
      </c>
      <c r="G1874" s="36" t="s">
        <v>24367</v>
      </c>
      <c r="H1874" s="36" t="s">
        <v>24368</v>
      </c>
      <c r="I1874" s="36" t="s">
        <v>24369</v>
      </c>
      <c r="J1874" s="36" t="s">
        <v>24370</v>
      </c>
      <c r="K1874" s="36" t="s">
        <v>24371</v>
      </c>
      <c r="L1874" s="36" t="s">
        <v>24372</v>
      </c>
      <c r="M1874" s="36" t="s">
        <v>24363</v>
      </c>
      <c r="N1874" s="36" t="s">
        <v>24363</v>
      </c>
      <c r="O1874" s="36" t="s">
        <v>24373</v>
      </c>
      <c r="P1874" s="36" t="s">
        <v>24362</v>
      </c>
    </row>
    <row r="1875" spans="1:16" ht="15" customHeight="1">
      <c r="A1875" s="132">
        <v>1874</v>
      </c>
      <c r="B1875" s="36" t="s">
        <v>24374</v>
      </c>
      <c r="C1875" s="36" t="s">
        <v>24375</v>
      </c>
      <c r="D1875" s="36" t="s">
        <v>24376</v>
      </c>
      <c r="E1875" s="36" t="s">
        <v>24377</v>
      </c>
      <c r="F1875" s="36" t="s">
        <v>24378</v>
      </c>
      <c r="G1875" s="36" t="s">
        <v>24379</v>
      </c>
      <c r="H1875" s="36" t="s">
        <v>24380</v>
      </c>
      <c r="I1875" s="36" t="s">
        <v>24381</v>
      </c>
      <c r="J1875" s="36" t="s">
        <v>24382</v>
      </c>
      <c r="K1875" s="36" t="s">
        <v>24383</v>
      </c>
      <c r="L1875" s="36" t="s">
        <v>24384</v>
      </c>
      <c r="M1875" s="36" t="s">
        <v>24385</v>
      </c>
      <c r="N1875" s="36" t="s">
        <v>24386</v>
      </c>
      <c r="O1875" s="36" t="s">
        <v>24387</v>
      </c>
      <c r="P1875" s="36" t="s">
        <v>24374</v>
      </c>
    </row>
    <row r="1876" spans="1:16" ht="15" customHeight="1">
      <c r="A1876" s="132">
        <v>1875</v>
      </c>
      <c r="B1876" s="36" t="s">
        <v>24388</v>
      </c>
      <c r="C1876" s="36" t="s">
        <v>24389</v>
      </c>
      <c r="D1876" s="36" t="s">
        <v>24390</v>
      </c>
      <c r="E1876" s="36" t="s">
        <v>24391</v>
      </c>
      <c r="F1876" s="36" t="s">
        <v>24392</v>
      </c>
      <c r="G1876" s="36" t="s">
        <v>24393</v>
      </c>
      <c r="H1876" s="36" t="s">
        <v>24394</v>
      </c>
      <c r="I1876" s="36" t="s">
        <v>24395</v>
      </c>
      <c r="J1876" s="36" t="s">
        <v>24396</v>
      </c>
      <c r="K1876" s="36" t="s">
        <v>24397</v>
      </c>
      <c r="L1876" s="36" t="s">
        <v>24398</v>
      </c>
      <c r="M1876" s="36" t="s">
        <v>24399</v>
      </c>
      <c r="N1876" s="36" t="s">
        <v>24400</v>
      </c>
      <c r="O1876" s="36" t="s">
        <v>24401</v>
      </c>
      <c r="P1876" s="36" t="s">
        <v>24388</v>
      </c>
    </row>
    <row r="1877" spans="1:16" ht="15" customHeight="1">
      <c r="A1877" s="132">
        <v>1876</v>
      </c>
      <c r="B1877" s="36" t="s">
        <v>24402</v>
      </c>
      <c r="C1877" s="36" t="s">
        <v>24403</v>
      </c>
      <c r="D1877" s="36" t="s">
        <v>24404</v>
      </c>
      <c r="E1877" s="36" t="s">
        <v>24405</v>
      </c>
      <c r="F1877" s="36" t="s">
        <v>24406</v>
      </c>
      <c r="G1877" s="36" t="s">
        <v>24407</v>
      </c>
      <c r="H1877" s="36" t="s">
        <v>24408</v>
      </c>
      <c r="I1877" s="36" t="s">
        <v>24409</v>
      </c>
      <c r="J1877" s="36" t="s">
        <v>24410</v>
      </c>
      <c r="K1877" s="36" t="s">
        <v>24411</v>
      </c>
      <c r="L1877" s="36" t="s">
        <v>24412</v>
      </c>
      <c r="M1877" s="36" t="s">
        <v>24413</v>
      </c>
      <c r="N1877" s="36" t="s">
        <v>24414</v>
      </c>
      <c r="O1877" s="36" t="s">
        <v>24415</v>
      </c>
      <c r="P1877" s="36" t="s">
        <v>24402</v>
      </c>
    </row>
    <row r="1878" spans="1:16" ht="15" customHeight="1">
      <c r="A1878" s="132">
        <v>1877</v>
      </c>
      <c r="B1878" s="36" t="s">
        <v>24416</v>
      </c>
      <c r="C1878" s="36" t="s">
        <v>24417</v>
      </c>
      <c r="D1878" s="36" t="s">
        <v>24418</v>
      </c>
      <c r="E1878" s="36" t="s">
        <v>24419</v>
      </c>
      <c r="F1878" s="36" t="s">
        <v>24420</v>
      </c>
      <c r="G1878" s="36" t="s">
        <v>24421</v>
      </c>
      <c r="H1878" s="36" t="s">
        <v>24422</v>
      </c>
      <c r="I1878" s="36" t="s">
        <v>24423</v>
      </c>
      <c r="J1878" s="36" t="s">
        <v>24424</v>
      </c>
      <c r="K1878" s="36" t="s">
        <v>24425</v>
      </c>
      <c r="L1878" s="36" t="s">
        <v>24426</v>
      </c>
      <c r="M1878" s="36" t="s">
        <v>24427</v>
      </c>
      <c r="N1878" s="36" t="s">
        <v>24428</v>
      </c>
      <c r="O1878" s="36" t="s">
        <v>24429</v>
      </c>
      <c r="P1878" s="36" t="s">
        <v>24416</v>
      </c>
    </row>
    <row r="1879" spans="1:16" ht="15" customHeight="1">
      <c r="A1879" s="132">
        <v>1878</v>
      </c>
      <c r="B1879" s="36" t="s">
        <v>24430</v>
      </c>
      <c r="C1879" s="36" t="s">
        <v>24431</v>
      </c>
      <c r="D1879" s="36" t="s">
        <v>24431</v>
      </c>
      <c r="E1879" s="36" t="s">
        <v>24430</v>
      </c>
      <c r="F1879" s="36" t="s">
        <v>24430</v>
      </c>
      <c r="G1879" s="36" t="s">
        <v>24430</v>
      </c>
      <c r="H1879" s="36" t="s">
        <v>24430</v>
      </c>
      <c r="I1879" s="36" t="s">
        <v>24431</v>
      </c>
      <c r="J1879" s="36" t="s">
        <v>24430</v>
      </c>
      <c r="K1879" s="36" t="s">
        <v>24430</v>
      </c>
      <c r="L1879" s="36" t="s">
        <v>24430</v>
      </c>
      <c r="M1879" s="36" t="s">
        <v>24430</v>
      </c>
      <c r="N1879" s="36" t="s">
        <v>24430</v>
      </c>
      <c r="O1879" s="36" t="s">
        <v>24430</v>
      </c>
      <c r="P1879" s="36" t="s">
        <v>24430</v>
      </c>
    </row>
    <row r="1880" spans="1:16" ht="15" customHeight="1">
      <c r="A1880" s="132">
        <v>1879</v>
      </c>
      <c r="B1880" s="36" t="s">
        <v>24432</v>
      </c>
      <c r="C1880" s="36" t="s">
        <v>24433</v>
      </c>
      <c r="D1880" s="36" t="s">
        <v>24434</v>
      </c>
      <c r="E1880" s="36" t="s">
        <v>24435</v>
      </c>
      <c r="F1880" s="36" t="s">
        <v>24436</v>
      </c>
      <c r="G1880" s="36" t="s">
        <v>24437</v>
      </c>
      <c r="H1880" s="36" t="s">
        <v>24438</v>
      </c>
      <c r="I1880" s="36" t="s">
        <v>24439</v>
      </c>
      <c r="J1880" s="36" t="s">
        <v>24440</v>
      </c>
      <c r="K1880" s="36" t="s">
        <v>24441</v>
      </c>
      <c r="L1880" s="36" t="s">
        <v>24442</v>
      </c>
      <c r="M1880" s="36" t="s">
        <v>24443</v>
      </c>
      <c r="N1880" s="36" t="s">
        <v>24444</v>
      </c>
      <c r="O1880" s="36" t="s">
        <v>24445</v>
      </c>
      <c r="P1880" s="36" t="s">
        <v>24432</v>
      </c>
    </row>
    <row r="1881" spans="1:16" ht="15" customHeight="1">
      <c r="A1881" s="132">
        <v>1880</v>
      </c>
      <c r="B1881" s="36" t="s">
        <v>24446</v>
      </c>
      <c r="C1881" s="36" t="s">
        <v>24447</v>
      </c>
      <c r="D1881" s="36" t="s">
        <v>24447</v>
      </c>
      <c r="E1881" s="36" t="s">
        <v>24446</v>
      </c>
      <c r="F1881" s="36" t="s">
        <v>24446</v>
      </c>
      <c r="G1881" s="36" t="s">
        <v>24446</v>
      </c>
      <c r="H1881" s="36" t="s">
        <v>24446</v>
      </c>
      <c r="I1881" s="36" t="s">
        <v>24447</v>
      </c>
      <c r="J1881" s="36" t="s">
        <v>24446</v>
      </c>
      <c r="K1881" s="36" t="s">
        <v>24446</v>
      </c>
      <c r="L1881" s="36" t="s">
        <v>24446</v>
      </c>
      <c r="M1881" s="36" t="s">
        <v>24446</v>
      </c>
      <c r="N1881" s="36" t="s">
        <v>24446</v>
      </c>
      <c r="O1881" s="36" t="s">
        <v>24446</v>
      </c>
      <c r="P1881" s="36" t="s">
        <v>24446</v>
      </c>
    </row>
    <row r="1882" spans="1:16" ht="15" customHeight="1">
      <c r="A1882" s="132">
        <v>1881</v>
      </c>
      <c r="B1882" s="36" t="s">
        <v>24448</v>
      </c>
      <c r="C1882" s="36" t="s">
        <v>24449</v>
      </c>
      <c r="D1882" s="36" t="s">
        <v>24450</v>
      </c>
      <c r="E1882" s="36" t="s">
        <v>24451</v>
      </c>
      <c r="F1882" s="36" t="s">
        <v>24452</v>
      </c>
      <c r="G1882" s="36" t="s">
        <v>24453</v>
      </c>
      <c r="H1882" s="36" t="s">
        <v>24454</v>
      </c>
      <c r="I1882" s="36" t="s">
        <v>24455</v>
      </c>
      <c r="J1882" s="36" t="s">
        <v>24456</v>
      </c>
      <c r="K1882" s="36" t="s">
        <v>24457</v>
      </c>
      <c r="L1882" s="36" t="s">
        <v>24458</v>
      </c>
      <c r="M1882" s="36" t="s">
        <v>24459</v>
      </c>
      <c r="N1882" s="36" t="s">
        <v>24460</v>
      </c>
      <c r="O1882" s="36" t="s">
        <v>24461</v>
      </c>
      <c r="P1882" s="36" t="s">
        <v>24448</v>
      </c>
    </row>
    <row r="1883" spans="1:16" ht="15" customHeight="1">
      <c r="A1883" s="132">
        <v>1882</v>
      </c>
      <c r="B1883" s="36" t="s">
        <v>24462</v>
      </c>
      <c r="C1883" s="36" t="s">
        <v>24463</v>
      </c>
      <c r="D1883" s="36" t="s">
        <v>24464</v>
      </c>
      <c r="E1883" s="36" t="s">
        <v>24465</v>
      </c>
      <c r="F1883" s="36" t="s">
        <v>24466</v>
      </c>
      <c r="G1883" s="36" t="s">
        <v>24467</v>
      </c>
      <c r="H1883" s="36" t="s">
        <v>24468</v>
      </c>
      <c r="I1883" s="36" t="s">
        <v>24469</v>
      </c>
      <c r="J1883" s="36" t="s">
        <v>24470</v>
      </c>
      <c r="K1883" s="36" t="s">
        <v>24471</v>
      </c>
      <c r="L1883" s="36" t="s">
        <v>24472</v>
      </c>
      <c r="M1883" s="36" t="s">
        <v>24473</v>
      </c>
      <c r="N1883" s="36" t="s">
        <v>24474</v>
      </c>
      <c r="O1883" s="36" t="s">
        <v>24475</v>
      </c>
      <c r="P1883" s="36" t="s">
        <v>24462</v>
      </c>
    </row>
    <row r="1884" spans="1:16" ht="15" customHeight="1">
      <c r="A1884" s="132">
        <v>1883</v>
      </c>
      <c r="B1884" s="36" t="s">
        <v>24476</v>
      </c>
      <c r="C1884" s="36" t="s">
        <v>24477</v>
      </c>
      <c r="D1884" s="36" t="s">
        <v>24478</v>
      </c>
      <c r="E1884" s="36" t="s">
        <v>24479</v>
      </c>
      <c r="F1884" s="36" t="s">
        <v>24480</v>
      </c>
      <c r="G1884" s="36" t="s">
        <v>24481</v>
      </c>
      <c r="H1884" s="36" t="s">
        <v>24482</v>
      </c>
      <c r="I1884" s="36" t="s">
        <v>24483</v>
      </c>
      <c r="J1884" s="36" t="s">
        <v>24484</v>
      </c>
      <c r="K1884" s="36" t="s">
        <v>24485</v>
      </c>
      <c r="L1884" s="36" t="s">
        <v>24486</v>
      </c>
      <c r="M1884" s="36" t="s">
        <v>24487</v>
      </c>
      <c r="N1884" s="36" t="s">
        <v>24488</v>
      </c>
      <c r="O1884" s="36" t="s">
        <v>24489</v>
      </c>
      <c r="P1884" s="36" t="s">
        <v>24476</v>
      </c>
    </row>
    <row r="1885" spans="1:16" ht="15" customHeight="1">
      <c r="A1885" s="132">
        <v>1884</v>
      </c>
      <c r="B1885" s="36" t="s">
        <v>24490</v>
      </c>
      <c r="C1885" s="36" t="s">
        <v>24491</v>
      </c>
      <c r="D1885" s="36" t="s">
        <v>24492</v>
      </c>
      <c r="E1885" s="36" t="s">
        <v>24493</v>
      </c>
      <c r="F1885" s="36" t="s">
        <v>24494</v>
      </c>
      <c r="G1885" s="36" t="s">
        <v>24495</v>
      </c>
      <c r="H1885" s="36" t="s">
        <v>24496</v>
      </c>
      <c r="I1885" s="36" t="s">
        <v>24497</v>
      </c>
      <c r="J1885" s="36" t="s">
        <v>24498</v>
      </c>
      <c r="K1885" s="36" t="s">
        <v>24499</v>
      </c>
      <c r="L1885" s="36" t="s">
        <v>24500</v>
      </c>
      <c r="M1885" s="36" t="s">
        <v>24501</v>
      </c>
      <c r="N1885" s="36" t="s">
        <v>24502</v>
      </c>
      <c r="O1885" s="36" t="s">
        <v>24503</v>
      </c>
      <c r="P1885" s="36" t="s">
        <v>24490</v>
      </c>
    </row>
    <row r="1886" spans="1:16" ht="15" customHeight="1">
      <c r="A1886" s="132">
        <v>1885</v>
      </c>
      <c r="B1886" s="36" t="s">
        <v>24504</v>
      </c>
      <c r="C1886" s="36" t="s">
        <v>24505</v>
      </c>
      <c r="D1886" s="36" t="s">
        <v>24506</v>
      </c>
      <c r="E1886" s="36" t="s">
        <v>24507</v>
      </c>
      <c r="F1886" s="36" t="s">
        <v>24508</v>
      </c>
      <c r="G1886" s="36" t="s">
        <v>24509</v>
      </c>
      <c r="H1886" s="36" t="s">
        <v>24510</v>
      </c>
      <c r="I1886" s="36" t="s">
        <v>24511</v>
      </c>
      <c r="J1886" s="36" t="s">
        <v>24512</v>
      </c>
      <c r="K1886" s="36" t="s">
        <v>24513</v>
      </c>
      <c r="L1886" s="36" t="s">
        <v>24514</v>
      </c>
      <c r="M1886" s="36" t="s">
        <v>24515</v>
      </c>
      <c r="N1886" s="36" t="s">
        <v>24516</v>
      </c>
      <c r="O1886" s="36" t="s">
        <v>24517</v>
      </c>
      <c r="P1886" s="36" t="s">
        <v>24504</v>
      </c>
    </row>
    <row r="1887" spans="1:16" ht="15" customHeight="1">
      <c r="A1887" s="132">
        <v>1886</v>
      </c>
      <c r="B1887" s="36" t="s">
        <v>24518</v>
      </c>
      <c r="C1887" s="36" t="s">
        <v>24519</v>
      </c>
      <c r="D1887" s="36" t="s">
        <v>24520</v>
      </c>
      <c r="E1887" s="36" t="s">
        <v>24521</v>
      </c>
      <c r="F1887" s="36" t="s">
        <v>24522</v>
      </c>
      <c r="G1887" s="36" t="s">
        <v>24523</v>
      </c>
      <c r="H1887" s="36" t="s">
        <v>24524</v>
      </c>
      <c r="I1887" s="36" t="s">
        <v>24525</v>
      </c>
      <c r="J1887" s="36" t="s">
        <v>24526</v>
      </c>
      <c r="K1887" s="36" t="s">
        <v>24527</v>
      </c>
      <c r="L1887" s="36" t="s">
        <v>24528</v>
      </c>
      <c r="M1887" s="36" t="s">
        <v>24529</v>
      </c>
      <c r="N1887" s="36" t="s">
        <v>24530</v>
      </c>
      <c r="O1887" s="36" t="s">
        <v>24531</v>
      </c>
      <c r="P1887" s="36" t="s">
        <v>24518</v>
      </c>
    </row>
    <row r="1888" spans="1:16" ht="15" customHeight="1">
      <c r="A1888" s="132">
        <v>1887</v>
      </c>
      <c r="B1888" s="36" t="s">
        <v>24532</v>
      </c>
      <c r="C1888" s="36" t="s">
        <v>24533</v>
      </c>
      <c r="D1888" s="36" t="s">
        <v>24534</v>
      </c>
      <c r="E1888" s="36" t="s">
        <v>24535</v>
      </c>
      <c r="F1888" s="36" t="s">
        <v>24536</v>
      </c>
      <c r="G1888" s="36" t="s">
        <v>24537</v>
      </c>
      <c r="H1888" s="36" t="s">
        <v>24538</v>
      </c>
      <c r="I1888" s="36" t="s">
        <v>24539</v>
      </c>
      <c r="J1888" s="36" t="s">
        <v>24540</v>
      </c>
      <c r="K1888" s="36" t="s">
        <v>24541</v>
      </c>
      <c r="L1888" s="36" t="s">
        <v>24542</v>
      </c>
      <c r="M1888" s="36" t="s">
        <v>24543</v>
      </c>
      <c r="N1888" s="36" t="s">
        <v>24544</v>
      </c>
      <c r="O1888" s="36" t="s">
        <v>24545</v>
      </c>
      <c r="P1888" s="36" t="s">
        <v>24532</v>
      </c>
    </row>
    <row r="1889" spans="1:16" ht="15" customHeight="1">
      <c r="A1889" s="132">
        <v>1888</v>
      </c>
      <c r="B1889" s="36" t="s">
        <v>24546</v>
      </c>
      <c r="C1889" s="36" t="s">
        <v>24547</v>
      </c>
      <c r="D1889" s="36" t="s">
        <v>24548</v>
      </c>
      <c r="E1889" s="36" t="s">
        <v>24549</v>
      </c>
      <c r="F1889" s="36" t="s">
        <v>24550</v>
      </c>
      <c r="G1889" s="36" t="s">
        <v>24551</v>
      </c>
      <c r="H1889" s="36" t="s">
        <v>24552</v>
      </c>
      <c r="I1889" s="36" t="s">
        <v>24553</v>
      </c>
      <c r="J1889" s="36" t="s">
        <v>24554</v>
      </c>
      <c r="K1889" s="36" t="s">
        <v>24555</v>
      </c>
      <c r="L1889" s="36" t="s">
        <v>24556</v>
      </c>
      <c r="M1889" s="36" t="s">
        <v>24557</v>
      </c>
      <c r="N1889" s="36" t="s">
        <v>24558</v>
      </c>
      <c r="O1889" s="36" t="s">
        <v>24559</v>
      </c>
      <c r="P1889" s="36" t="s">
        <v>24546</v>
      </c>
    </row>
    <row r="1890" spans="1:16" ht="15" customHeight="1">
      <c r="A1890" s="132">
        <v>1889</v>
      </c>
      <c r="B1890" s="36" t="s">
        <v>24560</v>
      </c>
      <c r="C1890" s="36" t="s">
        <v>24561</v>
      </c>
      <c r="D1890" s="36" t="s">
        <v>24562</v>
      </c>
      <c r="E1890" s="36" t="s">
        <v>24563</v>
      </c>
      <c r="F1890" s="36" t="s">
        <v>24564</v>
      </c>
      <c r="G1890" s="36" t="s">
        <v>24565</v>
      </c>
      <c r="H1890" s="36" t="s">
        <v>24566</v>
      </c>
      <c r="I1890" s="36" t="s">
        <v>24567</v>
      </c>
      <c r="J1890" s="36" t="s">
        <v>24568</v>
      </c>
      <c r="K1890" s="36" t="s">
        <v>24569</v>
      </c>
      <c r="L1890" s="36" t="s">
        <v>24570</v>
      </c>
      <c r="M1890" s="36" t="s">
        <v>24571</v>
      </c>
      <c r="N1890" s="36" t="s">
        <v>24572</v>
      </c>
      <c r="O1890" s="36" t="s">
        <v>24573</v>
      </c>
      <c r="P1890" s="36" t="s">
        <v>24560</v>
      </c>
    </row>
    <row r="1891" spans="1:16" ht="15" customHeight="1">
      <c r="A1891" s="132">
        <v>1890</v>
      </c>
      <c r="B1891" s="36" t="s">
        <v>24574</v>
      </c>
      <c r="C1891" s="36" t="s">
        <v>24575</v>
      </c>
      <c r="D1891" s="36" t="s">
        <v>24576</v>
      </c>
      <c r="E1891" s="36" t="s">
        <v>24577</v>
      </c>
      <c r="F1891" s="36" t="s">
        <v>24578</v>
      </c>
      <c r="G1891" s="36" t="s">
        <v>24579</v>
      </c>
      <c r="H1891" s="36" t="s">
        <v>24580</v>
      </c>
      <c r="I1891" s="36" t="s">
        <v>24581</v>
      </c>
      <c r="J1891" s="36" t="s">
        <v>24582</v>
      </c>
      <c r="K1891" s="36" t="s">
        <v>24583</v>
      </c>
      <c r="L1891" s="36" t="s">
        <v>24584</v>
      </c>
      <c r="M1891" s="36" t="s">
        <v>24585</v>
      </c>
      <c r="N1891" s="36" t="s">
        <v>24586</v>
      </c>
      <c r="O1891" s="36" t="s">
        <v>24587</v>
      </c>
      <c r="P1891" s="36" t="s">
        <v>24574</v>
      </c>
    </row>
    <row r="1892" spans="1:16" ht="15" customHeight="1">
      <c r="A1892" s="132">
        <v>1891</v>
      </c>
      <c r="B1892" s="36" t="s">
        <v>24588</v>
      </c>
      <c r="C1892" s="36" t="s">
        <v>24589</v>
      </c>
      <c r="D1892" s="36" t="s">
        <v>24590</v>
      </c>
      <c r="E1892" s="36" t="s">
        <v>24591</v>
      </c>
      <c r="F1892" s="36" t="s">
        <v>24592</v>
      </c>
      <c r="G1892" s="36" t="s">
        <v>24593</v>
      </c>
      <c r="H1892" s="36" t="s">
        <v>24594</v>
      </c>
      <c r="I1892" s="36" t="s">
        <v>24595</v>
      </c>
      <c r="J1892" s="36" t="s">
        <v>24596</v>
      </c>
      <c r="K1892" s="36" t="s">
        <v>24597</v>
      </c>
      <c r="L1892" s="36" t="s">
        <v>24598</v>
      </c>
      <c r="M1892" s="36" t="s">
        <v>24599</v>
      </c>
      <c r="N1892" s="36" t="s">
        <v>24600</v>
      </c>
      <c r="O1892" s="36" t="s">
        <v>24601</v>
      </c>
      <c r="P1892" s="36" t="s">
        <v>24588</v>
      </c>
    </row>
    <row r="1893" spans="1:16" ht="15" customHeight="1">
      <c r="A1893" s="132">
        <v>1892</v>
      </c>
      <c r="B1893" s="36" t="s">
        <v>24602</v>
      </c>
      <c r="C1893" s="36" t="s">
        <v>24603</v>
      </c>
      <c r="D1893" s="36" t="s">
        <v>24604</v>
      </c>
      <c r="E1893" s="36" t="s">
        <v>24605</v>
      </c>
      <c r="F1893" s="36" t="s">
        <v>24606</v>
      </c>
      <c r="G1893" s="36" t="s">
        <v>24607</v>
      </c>
      <c r="H1893" s="36" t="s">
        <v>24608</v>
      </c>
      <c r="I1893" s="36" t="s">
        <v>24609</v>
      </c>
      <c r="J1893" s="36" t="s">
        <v>24610</v>
      </c>
      <c r="K1893" s="36" t="s">
        <v>24611</v>
      </c>
      <c r="L1893" s="36" t="s">
        <v>24612</v>
      </c>
      <c r="M1893" s="36" t="s">
        <v>24613</v>
      </c>
      <c r="N1893" s="36" t="s">
        <v>24614</v>
      </c>
      <c r="O1893" s="36" t="s">
        <v>24615</v>
      </c>
      <c r="P1893" s="36" t="s">
        <v>24602</v>
      </c>
    </row>
    <row r="1894" spans="1:16" ht="15" customHeight="1">
      <c r="A1894" s="132">
        <v>1893</v>
      </c>
      <c r="B1894" s="36" t="s">
        <v>24616</v>
      </c>
      <c r="C1894" s="36" t="s">
        <v>24617</v>
      </c>
      <c r="D1894" s="36" t="s">
        <v>24618</v>
      </c>
      <c r="E1894" s="36" t="s">
        <v>24619</v>
      </c>
      <c r="F1894" s="36" t="s">
        <v>24620</v>
      </c>
      <c r="G1894" s="36" t="s">
        <v>24621</v>
      </c>
      <c r="H1894" s="36" t="s">
        <v>24622</v>
      </c>
      <c r="I1894" s="36" t="s">
        <v>24623</v>
      </c>
      <c r="J1894" s="36" t="s">
        <v>24624</v>
      </c>
      <c r="K1894" s="36" t="s">
        <v>24625</v>
      </c>
      <c r="L1894" s="36" t="s">
        <v>24626</v>
      </c>
      <c r="M1894" s="36" t="s">
        <v>24627</v>
      </c>
      <c r="N1894" s="36" t="s">
        <v>24628</v>
      </c>
      <c r="O1894" s="36" t="s">
        <v>24629</v>
      </c>
      <c r="P1894" s="36" t="s">
        <v>24616</v>
      </c>
    </row>
    <row r="1895" spans="1:16" ht="15" customHeight="1">
      <c r="A1895" s="132">
        <v>1894</v>
      </c>
      <c r="B1895" s="36" t="s">
        <v>24630</v>
      </c>
      <c r="C1895" s="36" t="s">
        <v>24631</v>
      </c>
      <c r="D1895" s="36" t="s">
        <v>24632</v>
      </c>
      <c r="E1895" s="36" t="s">
        <v>24633</v>
      </c>
      <c r="F1895" s="36" t="s">
        <v>24634</v>
      </c>
      <c r="G1895" s="36" t="s">
        <v>24635</v>
      </c>
      <c r="H1895" s="36" t="s">
        <v>24636</v>
      </c>
      <c r="I1895" s="36" t="s">
        <v>24637</v>
      </c>
      <c r="J1895" s="36" t="s">
        <v>24638</v>
      </c>
      <c r="K1895" s="36" t="s">
        <v>24639</v>
      </c>
      <c r="L1895" s="36" t="s">
        <v>24640</v>
      </c>
      <c r="M1895" s="36" t="s">
        <v>24641</v>
      </c>
      <c r="N1895" s="36" t="s">
        <v>24642</v>
      </c>
      <c r="O1895" s="36" t="s">
        <v>24643</v>
      </c>
      <c r="P1895" s="36" t="s">
        <v>24630</v>
      </c>
    </row>
    <row r="1896" spans="1:16" ht="15" customHeight="1">
      <c r="A1896" s="132">
        <v>1895</v>
      </c>
      <c r="B1896" s="36" t="s">
        <v>24644</v>
      </c>
      <c r="C1896" s="36" t="s">
        <v>24645</v>
      </c>
      <c r="D1896" s="36" t="s">
        <v>24646</v>
      </c>
      <c r="E1896" s="36" t="s">
        <v>24647</v>
      </c>
      <c r="F1896" s="36" t="s">
        <v>24648</v>
      </c>
      <c r="G1896" s="36" t="s">
        <v>24649</v>
      </c>
      <c r="H1896" s="36" t="s">
        <v>24650</v>
      </c>
      <c r="I1896" s="36" t="s">
        <v>24651</v>
      </c>
      <c r="J1896" s="36" t="s">
        <v>24652</v>
      </c>
      <c r="K1896" s="36" t="s">
        <v>24653</v>
      </c>
      <c r="L1896" s="36" t="s">
        <v>24654</v>
      </c>
      <c r="M1896" s="36" t="s">
        <v>24655</v>
      </c>
      <c r="N1896" s="36" t="s">
        <v>24656</v>
      </c>
      <c r="O1896" s="36" t="s">
        <v>24657</v>
      </c>
      <c r="P1896" s="36" t="s">
        <v>24644</v>
      </c>
    </row>
    <row r="1897" spans="1:16" ht="15" customHeight="1">
      <c r="A1897" s="132">
        <v>1896</v>
      </c>
      <c r="B1897" s="36" t="s">
        <v>24658</v>
      </c>
      <c r="C1897" s="36" t="s">
        <v>24659</v>
      </c>
      <c r="D1897" s="36" t="s">
        <v>24660</v>
      </c>
      <c r="E1897" s="36" t="s">
        <v>24661</v>
      </c>
      <c r="F1897" s="36" t="s">
        <v>24662</v>
      </c>
      <c r="G1897" s="36" t="s">
        <v>24663</v>
      </c>
      <c r="H1897" s="36" t="s">
        <v>24664</v>
      </c>
      <c r="I1897" s="36" t="s">
        <v>24665</v>
      </c>
      <c r="J1897" s="36" t="s">
        <v>24666</v>
      </c>
      <c r="K1897" s="36" t="s">
        <v>24667</v>
      </c>
      <c r="L1897" s="36" t="s">
        <v>24668</v>
      </c>
      <c r="M1897" s="36" t="s">
        <v>24669</v>
      </c>
      <c r="N1897" s="36" t="s">
        <v>24670</v>
      </c>
      <c r="O1897" s="36" t="s">
        <v>24671</v>
      </c>
      <c r="P1897" s="36" t="s">
        <v>24658</v>
      </c>
    </row>
    <row r="1898" spans="1:16" ht="15" customHeight="1">
      <c r="A1898" s="132">
        <v>1897</v>
      </c>
      <c r="B1898" s="36" t="s">
        <v>24672</v>
      </c>
      <c r="C1898" s="36" t="s">
        <v>24673</v>
      </c>
      <c r="D1898" s="36" t="s">
        <v>24674</v>
      </c>
      <c r="E1898" s="36" t="s">
        <v>24675</v>
      </c>
      <c r="F1898" s="36" t="s">
        <v>24676</v>
      </c>
      <c r="G1898" s="36" t="s">
        <v>24677</v>
      </c>
      <c r="H1898" s="36" t="s">
        <v>24678</v>
      </c>
      <c r="I1898" s="36" t="s">
        <v>24679</v>
      </c>
      <c r="J1898" s="36" t="s">
        <v>24680</v>
      </c>
      <c r="K1898" s="36" t="s">
        <v>24681</v>
      </c>
      <c r="L1898" s="36" t="s">
        <v>24682</v>
      </c>
      <c r="M1898" s="36" t="s">
        <v>24683</v>
      </c>
      <c r="N1898" s="36" t="s">
        <v>24684</v>
      </c>
      <c r="O1898" s="36" t="s">
        <v>24685</v>
      </c>
      <c r="P1898" s="36" t="s">
        <v>24672</v>
      </c>
    </row>
    <row r="1899" spans="1:16" ht="15" customHeight="1">
      <c r="A1899" s="132">
        <v>1898</v>
      </c>
      <c r="B1899" s="36" t="s">
        <v>24686</v>
      </c>
      <c r="C1899" s="36" t="s">
        <v>24687</v>
      </c>
      <c r="D1899" s="36" t="s">
        <v>24688</v>
      </c>
      <c r="E1899" s="36" t="s">
        <v>24689</v>
      </c>
      <c r="F1899" s="36" t="s">
        <v>24690</v>
      </c>
      <c r="G1899" s="36" t="s">
        <v>24691</v>
      </c>
      <c r="H1899" s="36" t="s">
        <v>24692</v>
      </c>
      <c r="I1899" s="36" t="s">
        <v>24693</v>
      </c>
      <c r="J1899" s="36" t="s">
        <v>24694</v>
      </c>
      <c r="K1899" s="36" t="s">
        <v>24695</v>
      </c>
      <c r="L1899" s="36" t="s">
        <v>24696</v>
      </c>
      <c r="M1899" s="36" t="s">
        <v>24697</v>
      </c>
      <c r="N1899" s="36" t="s">
        <v>24698</v>
      </c>
      <c r="O1899" s="36" t="s">
        <v>24699</v>
      </c>
      <c r="P1899" s="36" t="s">
        <v>24686</v>
      </c>
    </row>
    <row r="1900" spans="1:16" ht="15" customHeight="1">
      <c r="A1900" s="132">
        <v>1899</v>
      </c>
      <c r="B1900" s="36" t="s">
        <v>24700</v>
      </c>
      <c r="C1900" s="36" t="s">
        <v>24701</v>
      </c>
      <c r="D1900" s="36" t="s">
        <v>24702</v>
      </c>
      <c r="E1900" s="36" t="s">
        <v>24703</v>
      </c>
      <c r="F1900" s="36" t="s">
        <v>24704</v>
      </c>
      <c r="G1900" s="36" t="s">
        <v>24705</v>
      </c>
      <c r="H1900" s="36" t="s">
        <v>24706</v>
      </c>
      <c r="I1900" s="36" t="s">
        <v>24707</v>
      </c>
      <c r="J1900" s="36" t="s">
        <v>24708</v>
      </c>
      <c r="K1900" s="36" t="s">
        <v>24709</v>
      </c>
      <c r="L1900" s="36" t="s">
        <v>24710</v>
      </c>
      <c r="M1900" s="36" t="s">
        <v>24711</v>
      </c>
      <c r="N1900" s="36" t="s">
        <v>24712</v>
      </c>
      <c r="O1900" s="36" t="s">
        <v>24713</v>
      </c>
      <c r="P1900" s="36" t="s">
        <v>24700</v>
      </c>
    </row>
    <row r="1901" spans="1:16" ht="15" customHeight="1">
      <c r="A1901" s="132">
        <v>1900</v>
      </c>
      <c r="B1901" s="36" t="s">
        <v>24714</v>
      </c>
      <c r="C1901" s="36" t="s">
        <v>24715</v>
      </c>
      <c r="D1901" s="36" t="s">
        <v>24716</v>
      </c>
      <c r="E1901" s="36" t="s">
        <v>24717</v>
      </c>
      <c r="F1901" s="36" t="s">
        <v>24718</v>
      </c>
      <c r="G1901" s="36" t="s">
        <v>24719</v>
      </c>
      <c r="H1901" s="36" t="s">
        <v>24720</v>
      </c>
      <c r="I1901" s="36" t="s">
        <v>24721</v>
      </c>
      <c r="J1901" s="36" t="s">
        <v>24722</v>
      </c>
      <c r="K1901" s="36" t="s">
        <v>24723</v>
      </c>
      <c r="L1901" s="36" t="s">
        <v>24724</v>
      </c>
      <c r="M1901" s="36" t="s">
        <v>24725</v>
      </c>
      <c r="N1901" s="36" t="s">
        <v>24726</v>
      </c>
      <c r="O1901" s="36" t="s">
        <v>24727</v>
      </c>
      <c r="P1901" s="36" t="s">
        <v>24728</v>
      </c>
    </row>
    <row r="1902" spans="1:16" ht="15" customHeight="1">
      <c r="A1902" s="132">
        <v>1901</v>
      </c>
      <c r="B1902" s="36" t="s">
        <v>24729</v>
      </c>
      <c r="C1902" s="36" t="s">
        <v>24730</v>
      </c>
      <c r="D1902" s="36" t="s">
        <v>24731</v>
      </c>
      <c r="E1902" s="36" t="s">
        <v>24732</v>
      </c>
      <c r="F1902" s="36" t="s">
        <v>24733</v>
      </c>
      <c r="G1902" s="36" t="s">
        <v>24734</v>
      </c>
      <c r="H1902" s="36" t="s">
        <v>24735</v>
      </c>
      <c r="I1902" s="36" t="s">
        <v>24736</v>
      </c>
      <c r="J1902" s="36" t="s">
        <v>24737</v>
      </c>
      <c r="K1902" s="36" t="s">
        <v>24738</v>
      </c>
      <c r="L1902" s="36" t="s">
        <v>24739</v>
      </c>
      <c r="M1902" s="36" t="s">
        <v>24740</v>
      </c>
      <c r="N1902" s="36" t="s">
        <v>24741</v>
      </c>
      <c r="O1902" s="36" t="s">
        <v>24742</v>
      </c>
      <c r="P1902" s="36" t="s">
        <v>24729</v>
      </c>
    </row>
    <row r="1903" spans="1:16" ht="15" customHeight="1">
      <c r="A1903" s="132">
        <v>1902</v>
      </c>
      <c r="B1903" s="36" t="s">
        <v>24743</v>
      </c>
      <c r="C1903" s="36" t="s">
        <v>24744</v>
      </c>
      <c r="D1903" s="36" t="s">
        <v>24745</v>
      </c>
      <c r="E1903" s="36" t="s">
        <v>24746</v>
      </c>
      <c r="F1903" s="36" t="s">
        <v>24747</v>
      </c>
      <c r="G1903" s="36" t="s">
        <v>24748</v>
      </c>
      <c r="H1903" s="36" t="s">
        <v>24749</v>
      </c>
      <c r="I1903" s="36" t="s">
        <v>24750</v>
      </c>
      <c r="J1903" s="36" t="s">
        <v>24751</v>
      </c>
      <c r="K1903" s="36" t="s">
        <v>24752</v>
      </c>
      <c r="L1903" s="36" t="s">
        <v>24753</v>
      </c>
      <c r="M1903" s="36" t="s">
        <v>24754</v>
      </c>
      <c r="N1903" s="36" t="s">
        <v>24755</v>
      </c>
      <c r="O1903" s="36" t="s">
        <v>24756</v>
      </c>
      <c r="P1903" s="36" t="s">
        <v>24743</v>
      </c>
    </row>
    <row r="1904" spans="1:16" ht="15" customHeight="1">
      <c r="A1904" s="132">
        <v>1903</v>
      </c>
      <c r="B1904" s="36" t="s">
        <v>24757</v>
      </c>
      <c r="C1904" s="36" t="s">
        <v>24744</v>
      </c>
      <c r="D1904" s="36" t="s">
        <v>24758</v>
      </c>
      <c r="E1904" s="36" t="s">
        <v>24759</v>
      </c>
      <c r="F1904" s="36" t="s">
        <v>24760</v>
      </c>
      <c r="G1904" s="36" t="s">
        <v>24761</v>
      </c>
      <c r="H1904" s="36" t="s">
        <v>24762</v>
      </c>
      <c r="I1904" s="36" t="s">
        <v>24763</v>
      </c>
      <c r="J1904" s="36" t="s">
        <v>24764</v>
      </c>
      <c r="K1904" s="36" t="s">
        <v>24765</v>
      </c>
      <c r="L1904" s="36" t="s">
        <v>24766</v>
      </c>
      <c r="M1904" s="36" t="s">
        <v>24767</v>
      </c>
      <c r="N1904" s="36" t="s">
        <v>24768</v>
      </c>
      <c r="O1904" s="36" t="s">
        <v>24769</v>
      </c>
      <c r="P1904" s="36" t="s">
        <v>24757</v>
      </c>
    </row>
    <row r="1905" spans="1:16" ht="15" customHeight="1">
      <c r="A1905" s="132">
        <v>1904</v>
      </c>
      <c r="B1905" s="36" t="s">
        <v>24770</v>
      </c>
      <c r="C1905" s="36" t="s">
        <v>24771</v>
      </c>
      <c r="D1905" s="36" t="s">
        <v>24772</v>
      </c>
      <c r="E1905" s="36" t="s">
        <v>24773</v>
      </c>
      <c r="F1905" s="36" t="s">
        <v>24774</v>
      </c>
      <c r="G1905" s="36" t="s">
        <v>24775</v>
      </c>
      <c r="H1905" s="36" t="s">
        <v>24776</v>
      </c>
      <c r="I1905" s="36" t="s">
        <v>24777</v>
      </c>
      <c r="J1905" s="36" t="s">
        <v>24778</v>
      </c>
      <c r="K1905" s="36" t="s">
        <v>24779</v>
      </c>
      <c r="L1905" s="36" t="s">
        <v>24780</v>
      </c>
      <c r="M1905" s="36" t="s">
        <v>24781</v>
      </c>
      <c r="N1905" s="36" t="s">
        <v>24782</v>
      </c>
      <c r="O1905" s="36" t="s">
        <v>24783</v>
      </c>
      <c r="P1905" s="36" t="s">
        <v>24770</v>
      </c>
    </row>
    <row r="1906" spans="1:16" ht="15" customHeight="1">
      <c r="A1906" s="132">
        <v>1905</v>
      </c>
      <c r="B1906" s="36" t="s">
        <v>24686</v>
      </c>
      <c r="C1906" s="36" t="s">
        <v>24687</v>
      </c>
      <c r="D1906" s="36" t="s">
        <v>24688</v>
      </c>
      <c r="E1906" s="36" t="s">
        <v>24689</v>
      </c>
      <c r="F1906" s="36" t="s">
        <v>24690</v>
      </c>
      <c r="G1906" s="36" t="s">
        <v>24691</v>
      </c>
      <c r="H1906" s="36" t="s">
        <v>24692</v>
      </c>
      <c r="I1906" s="36" t="s">
        <v>24693</v>
      </c>
      <c r="J1906" s="36" t="s">
        <v>24694</v>
      </c>
      <c r="K1906" s="36" t="s">
        <v>24695</v>
      </c>
      <c r="L1906" s="36" t="s">
        <v>24696</v>
      </c>
      <c r="M1906" s="36" t="s">
        <v>24697</v>
      </c>
      <c r="N1906" s="36" t="s">
        <v>24698</v>
      </c>
      <c r="O1906" s="36" t="s">
        <v>24699</v>
      </c>
      <c r="P1906" s="36" t="s">
        <v>24686</v>
      </c>
    </row>
    <row r="1907" spans="1:16" ht="15" customHeight="1">
      <c r="A1907" s="132">
        <v>1906</v>
      </c>
      <c r="B1907" s="36" t="s">
        <v>24700</v>
      </c>
      <c r="C1907" s="36" t="s">
        <v>24701</v>
      </c>
      <c r="D1907" s="36" t="s">
        <v>24702</v>
      </c>
      <c r="E1907" s="36" t="s">
        <v>24703</v>
      </c>
      <c r="F1907" s="36" t="s">
        <v>24704</v>
      </c>
      <c r="G1907" s="36" t="s">
        <v>24705</v>
      </c>
      <c r="H1907" s="36" t="s">
        <v>24706</v>
      </c>
      <c r="I1907" s="36" t="s">
        <v>24707</v>
      </c>
      <c r="J1907" s="36" t="s">
        <v>24708</v>
      </c>
      <c r="K1907" s="36" t="s">
        <v>24709</v>
      </c>
      <c r="L1907" s="36" t="s">
        <v>24710</v>
      </c>
      <c r="M1907" s="36" t="s">
        <v>24711</v>
      </c>
      <c r="N1907" s="36" t="s">
        <v>24712</v>
      </c>
      <c r="O1907" s="36" t="s">
        <v>24713</v>
      </c>
      <c r="P1907" s="36" t="s">
        <v>24700</v>
      </c>
    </row>
    <row r="1908" spans="1:16" ht="15" customHeight="1">
      <c r="A1908" s="132">
        <v>1907</v>
      </c>
      <c r="B1908" s="36" t="s">
        <v>24784</v>
      </c>
      <c r="C1908" s="36" t="s">
        <v>24785</v>
      </c>
      <c r="D1908" s="36" t="s">
        <v>24786</v>
      </c>
      <c r="E1908" s="36" t="s">
        <v>24787</v>
      </c>
      <c r="F1908" s="36" t="s">
        <v>24788</v>
      </c>
      <c r="G1908" s="36" t="s">
        <v>24789</v>
      </c>
      <c r="H1908" s="36" t="s">
        <v>24790</v>
      </c>
      <c r="I1908" s="36" t="s">
        <v>24791</v>
      </c>
      <c r="J1908" s="36" t="s">
        <v>24792</v>
      </c>
      <c r="K1908" s="36" t="s">
        <v>24793</v>
      </c>
      <c r="L1908" s="36" t="s">
        <v>24794</v>
      </c>
      <c r="M1908" s="36" t="s">
        <v>24795</v>
      </c>
      <c r="N1908" s="36" t="s">
        <v>24796</v>
      </c>
      <c r="O1908" s="36" t="s">
        <v>24797</v>
      </c>
      <c r="P1908" s="36" t="s">
        <v>24784</v>
      </c>
    </row>
    <row r="1909" spans="1:16" ht="15" customHeight="1">
      <c r="A1909" s="132">
        <v>1908</v>
      </c>
      <c r="B1909" s="36" t="s">
        <v>24798</v>
      </c>
      <c r="C1909" s="36" t="s">
        <v>24799</v>
      </c>
      <c r="D1909" s="36" t="s">
        <v>24800</v>
      </c>
      <c r="E1909" s="36" t="s">
        <v>24801</v>
      </c>
      <c r="F1909" s="36" t="s">
        <v>24802</v>
      </c>
      <c r="G1909" s="36" t="s">
        <v>24803</v>
      </c>
      <c r="H1909" s="36" t="s">
        <v>24804</v>
      </c>
      <c r="I1909" s="36" t="s">
        <v>24805</v>
      </c>
      <c r="J1909" s="36" t="s">
        <v>24806</v>
      </c>
      <c r="K1909" s="36" t="s">
        <v>24807</v>
      </c>
      <c r="L1909" s="36" t="s">
        <v>24808</v>
      </c>
      <c r="M1909" s="36" t="s">
        <v>24809</v>
      </c>
      <c r="N1909" s="36" t="s">
        <v>24810</v>
      </c>
      <c r="O1909" s="36" t="s">
        <v>24811</v>
      </c>
      <c r="P1909" s="36" t="s">
        <v>24798</v>
      </c>
    </row>
    <row r="1910" spans="1:16" ht="15" customHeight="1">
      <c r="A1910" s="132">
        <v>1909</v>
      </c>
      <c r="B1910" s="36" t="s">
        <v>24812</v>
      </c>
      <c r="C1910" s="36" t="s">
        <v>24813</v>
      </c>
      <c r="D1910" s="36" t="s">
        <v>24814</v>
      </c>
      <c r="E1910" s="36" t="s">
        <v>24815</v>
      </c>
      <c r="F1910" s="36" t="s">
        <v>24816</v>
      </c>
      <c r="G1910" s="36" t="s">
        <v>24817</v>
      </c>
      <c r="H1910" s="36" t="s">
        <v>24818</v>
      </c>
      <c r="I1910" s="36" t="s">
        <v>24819</v>
      </c>
      <c r="J1910" s="36" t="s">
        <v>24820</v>
      </c>
      <c r="K1910" s="36" t="s">
        <v>24821</v>
      </c>
      <c r="L1910" s="36" t="s">
        <v>24822</v>
      </c>
      <c r="M1910" s="36" t="s">
        <v>24823</v>
      </c>
      <c r="N1910" s="36" t="s">
        <v>24823</v>
      </c>
      <c r="O1910" s="36" t="s">
        <v>24824</v>
      </c>
      <c r="P1910" s="36" t="s">
        <v>24812</v>
      </c>
    </row>
    <row r="1911" spans="1:16" ht="15" customHeight="1">
      <c r="A1911" s="132">
        <v>1910</v>
      </c>
      <c r="B1911" s="36" t="s">
        <v>24825</v>
      </c>
      <c r="C1911" s="36" t="s">
        <v>24826</v>
      </c>
      <c r="D1911" s="36" t="s">
        <v>24827</v>
      </c>
      <c r="E1911" s="36" t="s">
        <v>24828</v>
      </c>
      <c r="F1911" s="36" t="s">
        <v>24829</v>
      </c>
      <c r="G1911" s="36" t="s">
        <v>24830</v>
      </c>
      <c r="H1911" s="36" t="s">
        <v>24831</v>
      </c>
      <c r="I1911" s="36" t="s">
        <v>24832</v>
      </c>
      <c r="J1911" s="36" t="s">
        <v>24833</v>
      </c>
      <c r="K1911" s="36" t="s">
        <v>24834</v>
      </c>
      <c r="L1911" s="36" t="s">
        <v>24835</v>
      </c>
      <c r="M1911" s="36" t="s">
        <v>24836</v>
      </c>
      <c r="N1911" s="36" t="s">
        <v>24836</v>
      </c>
      <c r="O1911" s="36" t="s">
        <v>24837</v>
      </c>
      <c r="P1911" s="36" t="s">
        <v>24825</v>
      </c>
    </row>
    <row r="1912" spans="1:16" ht="15" customHeight="1">
      <c r="A1912" s="132">
        <v>1911</v>
      </c>
      <c r="B1912" s="36" t="s">
        <v>24838</v>
      </c>
      <c r="C1912" s="36" t="s">
        <v>24839</v>
      </c>
      <c r="D1912" s="36" t="s">
        <v>24840</v>
      </c>
      <c r="E1912" s="36" t="s">
        <v>24841</v>
      </c>
      <c r="F1912" s="36" t="s">
        <v>24842</v>
      </c>
      <c r="G1912" s="36" t="s">
        <v>24843</v>
      </c>
      <c r="H1912" s="36" t="s">
        <v>24844</v>
      </c>
      <c r="I1912" s="36" t="s">
        <v>24845</v>
      </c>
      <c r="J1912" s="36" t="s">
        <v>24846</v>
      </c>
      <c r="K1912" s="36" t="s">
        <v>24847</v>
      </c>
      <c r="L1912" s="36" t="s">
        <v>24848</v>
      </c>
      <c r="M1912" s="36" t="s">
        <v>24849</v>
      </c>
      <c r="N1912" s="36" t="s">
        <v>24850</v>
      </c>
      <c r="O1912" s="36" t="s">
        <v>24851</v>
      </c>
      <c r="P1912" s="36" t="s">
        <v>24838</v>
      </c>
    </row>
    <row r="1913" spans="1:16" ht="15" customHeight="1">
      <c r="A1913" s="132">
        <v>1912</v>
      </c>
      <c r="B1913" s="36" t="s">
        <v>24852</v>
      </c>
      <c r="C1913" s="36" t="s">
        <v>24853</v>
      </c>
      <c r="D1913" s="36" t="s">
        <v>24854</v>
      </c>
      <c r="E1913" s="36" t="s">
        <v>24855</v>
      </c>
      <c r="F1913" s="36" t="s">
        <v>24856</v>
      </c>
      <c r="G1913" s="36" t="s">
        <v>24857</v>
      </c>
      <c r="H1913" s="36" t="s">
        <v>24858</v>
      </c>
      <c r="I1913" s="36" t="s">
        <v>24859</v>
      </c>
      <c r="J1913" s="36" t="s">
        <v>24860</v>
      </c>
      <c r="K1913" s="36" t="s">
        <v>24861</v>
      </c>
      <c r="L1913" s="36" t="s">
        <v>24862</v>
      </c>
      <c r="M1913" s="36" t="s">
        <v>24863</v>
      </c>
      <c r="N1913" s="36" t="s">
        <v>24864</v>
      </c>
      <c r="O1913" s="36" t="s">
        <v>24865</v>
      </c>
      <c r="P1913" s="36" t="s">
        <v>24852</v>
      </c>
    </row>
    <row r="1914" spans="1:16" ht="15" customHeight="1">
      <c r="A1914" s="132">
        <v>1913</v>
      </c>
      <c r="B1914" s="36" t="s">
        <v>24866</v>
      </c>
      <c r="C1914" s="36" t="s">
        <v>24867</v>
      </c>
      <c r="D1914" s="36" t="s">
        <v>24868</v>
      </c>
      <c r="E1914" s="36" t="s">
        <v>24869</v>
      </c>
      <c r="F1914" s="36" t="s">
        <v>24870</v>
      </c>
      <c r="G1914" s="36" t="s">
        <v>24871</v>
      </c>
      <c r="H1914" s="36" t="s">
        <v>24872</v>
      </c>
      <c r="I1914" s="36" t="s">
        <v>24873</v>
      </c>
      <c r="J1914" s="36" t="s">
        <v>24874</v>
      </c>
      <c r="K1914" s="36" t="s">
        <v>24875</v>
      </c>
      <c r="L1914" s="36" t="s">
        <v>24876</v>
      </c>
      <c r="M1914" s="36" t="s">
        <v>24877</v>
      </c>
      <c r="N1914" s="36" t="s">
        <v>24878</v>
      </c>
      <c r="O1914" s="36" t="s">
        <v>24879</v>
      </c>
      <c r="P1914" s="36" t="s">
        <v>24866</v>
      </c>
    </row>
    <row r="1915" spans="1:16" ht="15" customHeight="1">
      <c r="A1915" s="132">
        <v>1914</v>
      </c>
      <c r="B1915" s="36" t="s">
        <v>24880</v>
      </c>
      <c r="C1915" s="36" t="s">
        <v>24881</v>
      </c>
      <c r="D1915" s="36" t="s">
        <v>24882</v>
      </c>
      <c r="E1915" s="36" t="s">
        <v>24883</v>
      </c>
      <c r="F1915" s="36" t="s">
        <v>24884</v>
      </c>
      <c r="G1915" s="36" t="s">
        <v>24885</v>
      </c>
      <c r="H1915" s="36" t="s">
        <v>24886</v>
      </c>
      <c r="I1915" s="36" t="s">
        <v>24887</v>
      </c>
      <c r="J1915" s="36" t="s">
        <v>24888</v>
      </c>
      <c r="K1915" s="36" t="s">
        <v>24880</v>
      </c>
      <c r="L1915" s="36" t="s">
        <v>24889</v>
      </c>
      <c r="M1915" s="36" t="s">
        <v>24880</v>
      </c>
      <c r="N1915" s="36" t="s">
        <v>24880</v>
      </c>
      <c r="O1915" s="36" t="s">
        <v>24886</v>
      </c>
      <c r="P1915" s="36" t="s">
        <v>24880</v>
      </c>
    </row>
    <row r="1916" spans="1:16" ht="15" customHeight="1">
      <c r="A1916" s="132">
        <v>1915</v>
      </c>
      <c r="B1916" s="36" t="s">
        <v>24890</v>
      </c>
      <c r="C1916" s="36" t="s">
        <v>24891</v>
      </c>
      <c r="D1916" s="36" t="s">
        <v>24892</v>
      </c>
      <c r="E1916" s="36" t="s">
        <v>24893</v>
      </c>
      <c r="F1916" s="36" t="s">
        <v>24894</v>
      </c>
      <c r="G1916" s="36" t="s">
        <v>24895</v>
      </c>
      <c r="H1916" s="36" t="s">
        <v>24896</v>
      </c>
      <c r="I1916" s="36" t="s">
        <v>24897</v>
      </c>
      <c r="J1916" s="36" t="s">
        <v>24898</v>
      </c>
      <c r="K1916" s="36" t="s">
        <v>24890</v>
      </c>
      <c r="L1916" s="36" t="s">
        <v>24899</v>
      </c>
      <c r="M1916" s="36" t="s">
        <v>24890</v>
      </c>
      <c r="N1916" s="36" t="s">
        <v>24890</v>
      </c>
      <c r="O1916" s="36" t="s">
        <v>24896</v>
      </c>
      <c r="P1916" s="36" t="s">
        <v>24890</v>
      </c>
    </row>
    <row r="1917" spans="1:16" ht="15" customHeight="1">
      <c r="A1917" s="132">
        <v>1916</v>
      </c>
      <c r="B1917" s="36" t="s">
        <v>24900</v>
      </c>
      <c r="C1917" s="36" t="s">
        <v>24901</v>
      </c>
      <c r="D1917" s="36" t="s">
        <v>24902</v>
      </c>
      <c r="E1917" s="36" t="s">
        <v>24903</v>
      </c>
      <c r="F1917" s="36" t="s">
        <v>24904</v>
      </c>
      <c r="G1917" s="36" t="s">
        <v>24905</v>
      </c>
      <c r="H1917" s="36" t="s">
        <v>24906</v>
      </c>
      <c r="I1917" s="36" t="s">
        <v>24907</v>
      </c>
      <c r="J1917" s="36" t="s">
        <v>24908</v>
      </c>
      <c r="K1917" s="36" t="s">
        <v>24909</v>
      </c>
      <c r="L1917" s="36" t="s">
        <v>24910</v>
      </c>
      <c r="M1917" s="36" t="s">
        <v>24911</v>
      </c>
      <c r="N1917" s="36" t="s">
        <v>24912</v>
      </c>
      <c r="O1917" s="36" t="s">
        <v>24913</v>
      </c>
      <c r="P1917" s="36" t="s">
        <v>24900</v>
      </c>
    </row>
    <row r="1918" spans="1:16">
      <c r="A1918" s="132">
        <v>1917</v>
      </c>
      <c r="B1918" s="36" t="s">
        <v>24914</v>
      </c>
      <c r="C1918" s="36" t="s">
        <v>24915</v>
      </c>
      <c r="D1918" s="36" t="s">
        <v>24916</v>
      </c>
      <c r="E1918" s="36" t="s">
        <v>24917</v>
      </c>
      <c r="F1918" s="36" t="s">
        <v>24918</v>
      </c>
      <c r="G1918" s="36" t="s">
        <v>24919</v>
      </c>
      <c r="H1918" s="36" t="s">
        <v>24920</v>
      </c>
      <c r="I1918" s="36" t="s">
        <v>24921</v>
      </c>
      <c r="J1918" s="36" t="s">
        <v>24922</v>
      </c>
      <c r="K1918" s="36" t="s">
        <v>24923</v>
      </c>
      <c r="L1918" s="36" t="s">
        <v>24924</v>
      </c>
      <c r="M1918" s="36" t="s">
        <v>24925</v>
      </c>
      <c r="N1918" s="36" t="s">
        <v>24926</v>
      </c>
      <c r="O1918" s="36" t="s">
        <v>24927</v>
      </c>
      <c r="P1918" s="36" t="s">
        <v>24914</v>
      </c>
    </row>
    <row r="1919" spans="1:16" ht="15" customHeight="1">
      <c r="A1919" s="132">
        <v>1918</v>
      </c>
      <c r="B1919" s="36" t="s">
        <v>24928</v>
      </c>
      <c r="C1919" s="488" t="s">
        <v>24929</v>
      </c>
      <c r="D1919" s="488" t="s">
        <v>24930</v>
      </c>
      <c r="E1919" s="36" t="s">
        <v>24931</v>
      </c>
      <c r="F1919" s="36" t="s">
        <v>24932</v>
      </c>
      <c r="G1919" s="489" t="s">
        <v>29626</v>
      </c>
      <c r="H1919" s="36" t="s">
        <v>24933</v>
      </c>
      <c r="I1919" s="489" t="s">
        <v>29627</v>
      </c>
      <c r="J1919" s="489" t="s">
        <v>29628</v>
      </c>
      <c r="K1919" s="489" t="s">
        <v>29629</v>
      </c>
      <c r="L1919" s="489" t="s">
        <v>29630</v>
      </c>
      <c r="M1919" s="489" t="s">
        <v>29631</v>
      </c>
      <c r="N1919" s="487" t="s">
        <v>29632</v>
      </c>
      <c r="O1919" s="489" t="s">
        <v>29629</v>
      </c>
      <c r="P1919" s="36" t="s">
        <v>24928</v>
      </c>
    </row>
    <row r="1920" spans="1:16" ht="15" customHeight="1">
      <c r="A1920" s="132">
        <v>1919</v>
      </c>
      <c r="B1920" s="36" t="s">
        <v>24934</v>
      </c>
      <c r="C1920" s="36" t="s">
        <v>24935</v>
      </c>
      <c r="D1920" s="488" t="s">
        <v>24936</v>
      </c>
      <c r="E1920" s="36" t="s">
        <v>24937</v>
      </c>
      <c r="F1920" s="36" t="s">
        <v>24938</v>
      </c>
      <c r="G1920" s="489" t="s">
        <v>29633</v>
      </c>
      <c r="H1920" s="36" t="s">
        <v>24939</v>
      </c>
      <c r="I1920" s="489" t="s">
        <v>29634</v>
      </c>
      <c r="J1920" s="489" t="s">
        <v>29635</v>
      </c>
      <c r="K1920" s="489" t="s">
        <v>29636</v>
      </c>
      <c r="L1920" s="489" t="s">
        <v>29637</v>
      </c>
      <c r="M1920" s="487" t="s">
        <v>29638</v>
      </c>
      <c r="N1920" s="487" t="s">
        <v>29639</v>
      </c>
      <c r="O1920" s="487" t="s">
        <v>29640</v>
      </c>
      <c r="P1920" s="36" t="s">
        <v>24934</v>
      </c>
    </row>
    <row r="1921" spans="1:16" ht="15" customHeight="1">
      <c r="A1921" s="132">
        <v>1920</v>
      </c>
      <c r="B1921" s="36" t="s">
        <v>24940</v>
      </c>
      <c r="C1921" s="488" t="s">
        <v>24941</v>
      </c>
      <c r="D1921" s="488" t="s">
        <v>24942</v>
      </c>
      <c r="E1921" s="36" t="s">
        <v>24943</v>
      </c>
      <c r="F1921" s="36" t="s">
        <v>24944</v>
      </c>
      <c r="G1921" s="489" t="s">
        <v>29641</v>
      </c>
      <c r="H1921" s="36" t="s">
        <v>24945</v>
      </c>
      <c r="I1921" s="489" t="s">
        <v>29642</v>
      </c>
      <c r="J1921" s="489" t="s">
        <v>29643</v>
      </c>
      <c r="K1921" s="487" t="s">
        <v>29644</v>
      </c>
      <c r="L1921" s="489" t="s">
        <v>29645</v>
      </c>
      <c r="M1921" s="487" t="s">
        <v>29646</v>
      </c>
      <c r="N1921" s="487" t="s">
        <v>29647</v>
      </c>
      <c r="O1921" s="489" t="s">
        <v>29648</v>
      </c>
      <c r="P1921" s="36" t="s">
        <v>24940</v>
      </c>
    </row>
    <row r="1922" spans="1:16" ht="15" customHeight="1">
      <c r="A1922" s="132">
        <v>1921</v>
      </c>
      <c r="B1922" s="36" t="s">
        <v>11396</v>
      </c>
      <c r="C1922" s="488" t="s">
        <v>24946</v>
      </c>
      <c r="D1922" s="488" t="s">
        <v>24947</v>
      </c>
      <c r="E1922" s="36" t="s">
        <v>24948</v>
      </c>
      <c r="F1922" s="36" t="s">
        <v>24949</v>
      </c>
      <c r="G1922" s="487" t="s">
        <v>29649</v>
      </c>
      <c r="H1922" s="36" t="s">
        <v>24950</v>
      </c>
      <c r="I1922" s="487" t="s">
        <v>29650</v>
      </c>
      <c r="J1922" s="487" t="s">
        <v>11403</v>
      </c>
      <c r="K1922" s="487" t="s">
        <v>29651</v>
      </c>
      <c r="L1922" s="487" t="s">
        <v>29652</v>
      </c>
      <c r="M1922" s="487" t="s">
        <v>29653</v>
      </c>
      <c r="N1922" s="487" t="s">
        <v>29654</v>
      </c>
      <c r="O1922" s="487" t="s">
        <v>29655</v>
      </c>
      <c r="P1922" s="36" t="s">
        <v>11396</v>
      </c>
    </row>
    <row r="1923" spans="1:16" ht="15" customHeight="1">
      <c r="A1923" s="132">
        <v>1922</v>
      </c>
      <c r="B1923" s="36" t="s">
        <v>14991</v>
      </c>
      <c r="C1923" s="488" t="s">
        <v>24951</v>
      </c>
      <c r="D1923" s="488" t="s">
        <v>24952</v>
      </c>
      <c r="E1923" s="36" t="s">
        <v>24953</v>
      </c>
      <c r="F1923" s="36" t="s">
        <v>24954</v>
      </c>
      <c r="G1923" s="489" t="s">
        <v>29656</v>
      </c>
      <c r="H1923" s="36" t="s">
        <v>24955</v>
      </c>
      <c r="I1923" s="487" t="s">
        <v>29657</v>
      </c>
      <c r="J1923" s="487" t="s">
        <v>14999</v>
      </c>
      <c r="K1923" s="487" t="s">
        <v>29658</v>
      </c>
      <c r="L1923" s="487" t="s">
        <v>29659</v>
      </c>
      <c r="M1923" s="487" t="s">
        <v>15002</v>
      </c>
      <c r="N1923" s="487" t="s">
        <v>29660</v>
      </c>
      <c r="O1923" s="487" t="s">
        <v>29661</v>
      </c>
      <c r="P1923" s="36" t="s">
        <v>14991</v>
      </c>
    </row>
    <row r="1924" spans="1:16" ht="15" customHeight="1">
      <c r="A1924" s="132">
        <v>1923</v>
      </c>
      <c r="B1924" s="36" t="s">
        <v>24956</v>
      </c>
      <c r="C1924" s="488" t="s">
        <v>24957</v>
      </c>
      <c r="D1924" s="488" t="s">
        <v>24958</v>
      </c>
      <c r="E1924" s="36" t="s">
        <v>24959</v>
      </c>
      <c r="F1924" s="36" t="s">
        <v>24960</v>
      </c>
      <c r="G1924" s="490" t="s">
        <v>29662</v>
      </c>
      <c r="H1924" s="36" t="s">
        <v>24961</v>
      </c>
      <c r="I1924" s="490" t="s">
        <v>29663</v>
      </c>
      <c r="J1924" s="490" t="s">
        <v>29664</v>
      </c>
      <c r="K1924" s="490" t="s">
        <v>29665</v>
      </c>
      <c r="L1924" s="490" t="s">
        <v>29666</v>
      </c>
      <c r="M1924" s="490" t="s">
        <v>29667</v>
      </c>
      <c r="N1924" s="490" t="s">
        <v>29668</v>
      </c>
      <c r="O1924" s="490" t="s">
        <v>29669</v>
      </c>
      <c r="P1924" s="36" t="s">
        <v>24956</v>
      </c>
    </row>
    <row r="1925" spans="1:16" ht="15" customHeight="1">
      <c r="A1925" s="132">
        <v>1924</v>
      </c>
      <c r="B1925" s="36" t="s">
        <v>24962</v>
      </c>
      <c r="C1925" s="488" t="s">
        <v>24963</v>
      </c>
      <c r="D1925" s="488" t="s">
        <v>24964</v>
      </c>
      <c r="E1925" s="36" t="s">
        <v>24965</v>
      </c>
      <c r="F1925" s="36" t="s">
        <v>24966</v>
      </c>
      <c r="G1925" s="490" t="s">
        <v>29670</v>
      </c>
      <c r="H1925" s="36" t="s">
        <v>24967</v>
      </c>
      <c r="I1925" s="490" t="s">
        <v>29671</v>
      </c>
      <c r="J1925" s="490" t="s">
        <v>29672</v>
      </c>
      <c r="K1925" s="490" t="s">
        <v>29673</v>
      </c>
      <c r="L1925" s="490" t="s">
        <v>29674</v>
      </c>
      <c r="M1925" s="490" t="s">
        <v>29675</v>
      </c>
      <c r="N1925" s="490" t="s">
        <v>29676</v>
      </c>
      <c r="O1925" s="490" t="s">
        <v>29677</v>
      </c>
      <c r="P1925" s="36" t="s">
        <v>24962</v>
      </c>
    </row>
    <row r="1926" spans="1:16" ht="15" customHeight="1">
      <c r="A1926" s="132">
        <v>1925</v>
      </c>
      <c r="B1926" s="36" t="s">
        <v>24968</v>
      </c>
      <c r="C1926" s="488" t="s">
        <v>24969</v>
      </c>
      <c r="D1926" s="488" t="s">
        <v>24970</v>
      </c>
      <c r="E1926" s="36" t="s">
        <v>24971</v>
      </c>
      <c r="F1926" s="36" t="s">
        <v>24972</v>
      </c>
      <c r="G1926" s="490" t="s">
        <v>29678</v>
      </c>
      <c r="H1926" s="36" t="s">
        <v>24973</v>
      </c>
      <c r="I1926" s="490" t="s">
        <v>29679</v>
      </c>
      <c r="J1926" s="490" t="s">
        <v>29680</v>
      </c>
      <c r="K1926" s="490" t="s">
        <v>29681</v>
      </c>
      <c r="L1926" s="490" t="s">
        <v>29682</v>
      </c>
      <c r="M1926" s="490" t="s">
        <v>29683</v>
      </c>
      <c r="N1926" s="490" t="s">
        <v>29684</v>
      </c>
      <c r="O1926" s="490" t="s">
        <v>29685</v>
      </c>
      <c r="P1926" s="36" t="s">
        <v>24968</v>
      </c>
    </row>
    <row r="1927" spans="1:16" ht="15" customHeight="1">
      <c r="A1927" s="132">
        <v>1926</v>
      </c>
      <c r="B1927" s="36" t="s">
        <v>24974</v>
      </c>
      <c r="C1927" s="488" t="s">
        <v>24975</v>
      </c>
      <c r="D1927" s="488" t="s">
        <v>24976</v>
      </c>
      <c r="E1927" s="36" t="s">
        <v>24977</v>
      </c>
      <c r="F1927" s="36" t="s">
        <v>24978</v>
      </c>
      <c r="G1927" s="490" t="s">
        <v>29686</v>
      </c>
      <c r="H1927" s="36" t="s">
        <v>24979</v>
      </c>
      <c r="I1927" s="490" t="s">
        <v>29687</v>
      </c>
      <c r="J1927" s="490" t="s">
        <v>29688</v>
      </c>
      <c r="K1927" s="490" t="s">
        <v>29689</v>
      </c>
      <c r="L1927" s="490" t="s">
        <v>29690</v>
      </c>
      <c r="M1927" s="490" t="s">
        <v>29691</v>
      </c>
      <c r="N1927" s="490" t="s">
        <v>29692</v>
      </c>
      <c r="O1927" s="490" t="s">
        <v>29693</v>
      </c>
      <c r="P1927" s="36" t="s">
        <v>24974</v>
      </c>
    </row>
    <row r="1928" spans="1:16" ht="15" customHeight="1">
      <c r="A1928" s="132">
        <v>1927</v>
      </c>
      <c r="B1928" s="36" t="s">
        <v>24980</v>
      </c>
      <c r="C1928" s="488" t="s">
        <v>24981</v>
      </c>
      <c r="D1928" s="488" t="s">
        <v>24982</v>
      </c>
      <c r="E1928" s="36" t="s">
        <v>24983</v>
      </c>
      <c r="F1928" s="36" t="s">
        <v>24984</v>
      </c>
      <c r="G1928" s="490" t="s">
        <v>29694</v>
      </c>
      <c r="H1928" s="36" t="s">
        <v>24985</v>
      </c>
      <c r="I1928" s="490" t="s">
        <v>29695</v>
      </c>
      <c r="J1928" s="490" t="s">
        <v>29696</v>
      </c>
      <c r="K1928" s="490" t="s">
        <v>29697</v>
      </c>
      <c r="L1928" s="490" t="s">
        <v>29698</v>
      </c>
      <c r="M1928" s="490" t="s">
        <v>29699</v>
      </c>
      <c r="N1928" s="490" t="s">
        <v>29700</v>
      </c>
      <c r="O1928" s="490" t="s">
        <v>29701</v>
      </c>
      <c r="P1928" s="36" t="s">
        <v>24980</v>
      </c>
    </row>
    <row r="1929" spans="1:16" ht="15" customHeight="1">
      <c r="A1929" s="132">
        <v>1928</v>
      </c>
      <c r="B1929" s="36" t="s">
        <v>24986</v>
      </c>
      <c r="C1929" s="36" t="s">
        <v>24987</v>
      </c>
      <c r="D1929" s="36" t="s">
        <v>24988</v>
      </c>
      <c r="E1929" s="36" t="s">
        <v>24989</v>
      </c>
      <c r="F1929" s="36" t="s">
        <v>24984</v>
      </c>
      <c r="G1929" s="490" t="s">
        <v>29702</v>
      </c>
      <c r="H1929" s="36" t="s">
        <v>24990</v>
      </c>
      <c r="I1929" s="490" t="s">
        <v>29703</v>
      </c>
      <c r="J1929" s="490" t="s">
        <v>29704</v>
      </c>
      <c r="K1929" s="490" t="s">
        <v>29705</v>
      </c>
      <c r="L1929" s="490" t="s">
        <v>29706</v>
      </c>
      <c r="M1929" s="490" t="s">
        <v>29707</v>
      </c>
      <c r="N1929" s="490" t="s">
        <v>29708</v>
      </c>
      <c r="O1929" s="490" t="s">
        <v>29709</v>
      </c>
      <c r="P1929" s="36" t="s">
        <v>24986</v>
      </c>
    </row>
    <row r="1930" spans="1:16" ht="15" customHeight="1">
      <c r="A1930" s="132">
        <v>1929</v>
      </c>
      <c r="B1930" s="36" t="s">
        <v>24991</v>
      </c>
      <c r="C1930" s="36" t="s">
        <v>24992</v>
      </c>
      <c r="D1930" s="36" t="s">
        <v>24993</v>
      </c>
      <c r="E1930" s="36" t="s">
        <v>24994</v>
      </c>
      <c r="F1930" s="36" t="s">
        <v>24995</v>
      </c>
      <c r="G1930" s="490" t="s">
        <v>29710</v>
      </c>
      <c r="H1930" s="36" t="s">
        <v>24996</v>
      </c>
      <c r="I1930" s="490" t="s">
        <v>29711</v>
      </c>
      <c r="J1930" s="490" t="s">
        <v>29712</v>
      </c>
      <c r="K1930" s="490" t="s">
        <v>29713</v>
      </c>
      <c r="L1930" s="490" t="s">
        <v>29714</v>
      </c>
      <c r="M1930" s="490" t="s">
        <v>29715</v>
      </c>
      <c r="N1930" s="490" t="s">
        <v>29716</v>
      </c>
      <c r="O1930" s="490" t="s">
        <v>29717</v>
      </c>
      <c r="P1930" s="36" t="s">
        <v>24991</v>
      </c>
    </row>
    <row r="1931" spans="1:16" ht="13.95" customHeight="1">
      <c r="A1931" s="132">
        <v>1930</v>
      </c>
      <c r="B1931" s="36" t="s">
        <v>24997</v>
      </c>
      <c r="C1931" s="36" t="s">
        <v>24998</v>
      </c>
      <c r="D1931" s="36" t="s">
        <v>24999</v>
      </c>
      <c r="E1931" s="36" t="s">
        <v>25000</v>
      </c>
      <c r="F1931" s="36" t="s">
        <v>25001</v>
      </c>
      <c r="G1931" s="488" t="s">
        <v>25002</v>
      </c>
      <c r="H1931" s="36" t="s">
        <v>25003</v>
      </c>
      <c r="I1931" s="488" t="s">
        <v>25004</v>
      </c>
      <c r="J1931" s="488" t="s">
        <v>25005</v>
      </c>
      <c r="K1931" s="488" t="s">
        <v>25006</v>
      </c>
      <c r="L1931" s="488" t="s">
        <v>25007</v>
      </c>
      <c r="M1931" s="488" t="s">
        <v>25008</v>
      </c>
      <c r="N1931" s="488" t="s">
        <v>25009</v>
      </c>
      <c r="O1931" s="488" t="s">
        <v>25010</v>
      </c>
      <c r="P1931" s="36" t="s">
        <v>24997</v>
      </c>
    </row>
    <row r="1932" spans="1:16">
      <c r="A1932" s="132">
        <v>1931</v>
      </c>
      <c r="B1932" s="36" t="s">
        <v>25011</v>
      </c>
      <c r="C1932" s="36" t="s">
        <v>25012</v>
      </c>
      <c r="D1932" s="36" t="s">
        <v>25013</v>
      </c>
      <c r="E1932" s="36" t="s">
        <v>25014</v>
      </c>
      <c r="F1932" s="36" t="s">
        <v>25015</v>
      </c>
      <c r="G1932" s="490" t="s">
        <v>29718</v>
      </c>
      <c r="H1932" s="36" t="s">
        <v>25016</v>
      </c>
      <c r="I1932" s="490" t="s">
        <v>29719</v>
      </c>
      <c r="J1932" s="490" t="s">
        <v>29720</v>
      </c>
      <c r="K1932" s="490" t="s">
        <v>29721</v>
      </c>
      <c r="L1932" s="490" t="s">
        <v>29722</v>
      </c>
      <c r="M1932" s="490" t="s">
        <v>29723</v>
      </c>
      <c r="N1932" s="490" t="s">
        <v>29724</v>
      </c>
      <c r="O1932" s="490" t="s">
        <v>29725</v>
      </c>
      <c r="P1932" s="36" t="s">
        <v>25011</v>
      </c>
    </row>
    <row r="1933" spans="1:16">
      <c r="A1933" s="132">
        <v>1932</v>
      </c>
      <c r="B1933" s="36" t="s">
        <v>25017</v>
      </c>
      <c r="C1933" s="36" t="s">
        <v>25018</v>
      </c>
      <c r="D1933" s="36" t="s">
        <v>25019</v>
      </c>
      <c r="E1933" s="36" t="s">
        <v>25020</v>
      </c>
      <c r="F1933" s="36" t="s">
        <v>25021</v>
      </c>
      <c r="G1933" s="490" t="s">
        <v>29726</v>
      </c>
      <c r="H1933" s="36" t="s">
        <v>25022</v>
      </c>
      <c r="I1933" s="490" t="s">
        <v>29727</v>
      </c>
      <c r="J1933" s="490" t="s">
        <v>29728</v>
      </c>
      <c r="K1933" s="490" t="s">
        <v>29729</v>
      </c>
      <c r="L1933" s="490" t="s">
        <v>29730</v>
      </c>
      <c r="M1933" s="490" t="s">
        <v>29731</v>
      </c>
      <c r="N1933" s="490" t="s">
        <v>29732</v>
      </c>
      <c r="O1933" s="490" t="s">
        <v>29733</v>
      </c>
      <c r="P1933" s="36" t="s">
        <v>25017</v>
      </c>
    </row>
    <row r="1934" spans="1:16" ht="15" customHeight="1">
      <c r="A1934" s="132">
        <v>1933</v>
      </c>
      <c r="B1934" s="36" t="s">
        <v>25023</v>
      </c>
      <c r="C1934" s="36" t="s">
        <v>25024</v>
      </c>
      <c r="D1934" s="36" t="s">
        <v>25025</v>
      </c>
      <c r="E1934" s="36" t="s">
        <v>25026</v>
      </c>
      <c r="F1934" s="36" t="s">
        <v>25027</v>
      </c>
      <c r="G1934" s="490" t="s">
        <v>29734</v>
      </c>
      <c r="H1934" s="36" t="s">
        <v>25028</v>
      </c>
      <c r="I1934" s="490" t="s">
        <v>29735</v>
      </c>
      <c r="J1934" s="490" t="s">
        <v>29736</v>
      </c>
      <c r="K1934" s="490" t="s">
        <v>29737</v>
      </c>
      <c r="L1934" s="490" t="s">
        <v>29738</v>
      </c>
      <c r="M1934" s="490" t="s">
        <v>29739</v>
      </c>
      <c r="N1934" s="490" t="s">
        <v>29739</v>
      </c>
      <c r="O1934" s="490" t="s">
        <v>29740</v>
      </c>
      <c r="P1934" s="36" t="s">
        <v>25023</v>
      </c>
    </row>
    <row r="1935" spans="1:16" ht="15" customHeight="1">
      <c r="A1935" s="132">
        <v>1934</v>
      </c>
      <c r="B1935" s="36" t="s">
        <v>25029</v>
      </c>
      <c r="C1935" s="36" t="s">
        <v>25030</v>
      </c>
      <c r="D1935" s="36" t="s">
        <v>25031</v>
      </c>
      <c r="E1935" s="36" t="s">
        <v>25032</v>
      </c>
      <c r="F1935" s="36" t="s">
        <v>25033</v>
      </c>
      <c r="G1935" s="490" t="s">
        <v>29741</v>
      </c>
      <c r="H1935" s="36" t="s">
        <v>25034</v>
      </c>
      <c r="I1935" s="490" t="s">
        <v>29742</v>
      </c>
      <c r="J1935" s="490" t="s">
        <v>29743</v>
      </c>
      <c r="K1935" s="490" t="s">
        <v>29744</v>
      </c>
      <c r="L1935" s="490" t="s">
        <v>29745</v>
      </c>
      <c r="M1935" s="490" t="s">
        <v>29746</v>
      </c>
      <c r="N1935" s="490" t="s">
        <v>29747</v>
      </c>
      <c r="O1935" s="490" t="s">
        <v>29748</v>
      </c>
      <c r="P1935" s="36" t="s">
        <v>25029</v>
      </c>
    </row>
    <row r="1936" spans="1:16" ht="15" customHeight="1">
      <c r="A1936" s="132">
        <v>1935</v>
      </c>
      <c r="B1936" s="36" t="s">
        <v>25035</v>
      </c>
      <c r="C1936" s="36" t="s">
        <v>25036</v>
      </c>
      <c r="D1936" s="36" t="s">
        <v>25037</v>
      </c>
      <c r="E1936" s="36" t="s">
        <v>25038</v>
      </c>
      <c r="F1936" s="36" t="s">
        <v>25039</v>
      </c>
      <c r="G1936" s="490" t="s">
        <v>29749</v>
      </c>
      <c r="H1936" s="36" t="s">
        <v>25040</v>
      </c>
      <c r="I1936" s="490" t="s">
        <v>29750</v>
      </c>
      <c r="J1936" s="36" t="s">
        <v>25041</v>
      </c>
      <c r="K1936" s="490" t="s">
        <v>29751</v>
      </c>
      <c r="L1936" s="36" t="s">
        <v>25042</v>
      </c>
      <c r="M1936" s="36" t="s">
        <v>25043</v>
      </c>
      <c r="N1936" s="36" t="s">
        <v>25044</v>
      </c>
      <c r="O1936" s="490" t="s">
        <v>29752</v>
      </c>
      <c r="P1936" s="36" t="s">
        <v>25035</v>
      </c>
    </row>
    <row r="1937" spans="1:16" ht="15" customHeight="1">
      <c r="A1937" s="132">
        <v>1936</v>
      </c>
      <c r="B1937" s="488" t="s">
        <v>25045</v>
      </c>
      <c r="C1937" s="488" t="s">
        <v>25046</v>
      </c>
      <c r="D1937" s="488" t="s">
        <v>25047</v>
      </c>
      <c r="E1937" s="36" t="s">
        <v>25048</v>
      </c>
      <c r="F1937" s="36" t="s">
        <v>25049</v>
      </c>
      <c r="G1937" s="490" t="s">
        <v>29753</v>
      </c>
      <c r="H1937" s="488" t="s">
        <v>25050</v>
      </c>
      <c r="I1937" s="490" t="s">
        <v>29754</v>
      </c>
      <c r="J1937" s="490" t="s">
        <v>29755</v>
      </c>
      <c r="K1937" s="490" t="s">
        <v>29756</v>
      </c>
      <c r="L1937" s="490" t="s">
        <v>29757</v>
      </c>
      <c r="M1937" s="490" t="s">
        <v>29758</v>
      </c>
      <c r="N1937" s="490" t="s">
        <v>29759</v>
      </c>
      <c r="O1937" s="490" t="s">
        <v>29760</v>
      </c>
      <c r="P1937" s="488" t="s">
        <v>25045</v>
      </c>
    </row>
    <row r="1938" spans="1:16" ht="15" customHeight="1">
      <c r="A1938" s="132">
        <v>1937</v>
      </c>
      <c r="B1938" s="488" t="s">
        <v>19880</v>
      </c>
      <c r="C1938" s="488" t="s">
        <v>25051</v>
      </c>
      <c r="D1938" s="488" t="s">
        <v>19882</v>
      </c>
      <c r="E1938" s="36" t="s">
        <v>19883</v>
      </c>
      <c r="F1938" s="36" t="s">
        <v>19884</v>
      </c>
      <c r="G1938" s="490" t="s">
        <v>19885</v>
      </c>
      <c r="H1938" s="488" t="s">
        <v>25052</v>
      </c>
      <c r="I1938" s="490" t="s">
        <v>29761</v>
      </c>
      <c r="J1938" s="490" t="s">
        <v>19888</v>
      </c>
      <c r="K1938" s="490" t="s">
        <v>4485</v>
      </c>
      <c r="L1938" s="490" t="s">
        <v>29762</v>
      </c>
      <c r="M1938" s="490" t="s">
        <v>19890</v>
      </c>
      <c r="N1938" s="490" t="s">
        <v>19890</v>
      </c>
      <c r="O1938" s="490" t="s">
        <v>4485</v>
      </c>
      <c r="P1938" s="488" t="s">
        <v>19880</v>
      </c>
    </row>
    <row r="1939" spans="1:16" ht="15" customHeight="1">
      <c r="A1939" s="132">
        <v>1938</v>
      </c>
      <c r="B1939" s="36" t="s">
        <v>25053</v>
      </c>
      <c r="C1939" s="36" t="s">
        <v>25054</v>
      </c>
      <c r="D1939" s="36" t="s">
        <v>25054</v>
      </c>
      <c r="E1939" s="36" t="s">
        <v>25055</v>
      </c>
      <c r="F1939" s="36" t="s">
        <v>25056</v>
      </c>
      <c r="G1939" s="490" t="s">
        <v>29763</v>
      </c>
      <c r="H1939" s="36" t="s">
        <v>25057</v>
      </c>
      <c r="I1939" s="490" t="s">
        <v>29764</v>
      </c>
      <c r="J1939" s="490" t="s">
        <v>29765</v>
      </c>
      <c r="K1939" s="490" t="s">
        <v>29766</v>
      </c>
      <c r="L1939" s="490" t="s">
        <v>29767</v>
      </c>
      <c r="M1939" s="490" t="s">
        <v>29765</v>
      </c>
      <c r="N1939" s="490" t="s">
        <v>29768</v>
      </c>
      <c r="O1939" s="490" t="s">
        <v>29769</v>
      </c>
      <c r="P1939" s="36" t="s">
        <v>25053</v>
      </c>
    </row>
    <row r="1940" spans="1:16" ht="15" customHeight="1">
      <c r="A1940" s="132">
        <v>1939</v>
      </c>
      <c r="B1940" s="36" t="s">
        <v>25058</v>
      </c>
      <c r="C1940" s="36" t="s">
        <v>25059</v>
      </c>
      <c r="D1940" s="36" t="s">
        <v>3863</v>
      </c>
      <c r="E1940" s="36" t="s">
        <v>3864</v>
      </c>
      <c r="F1940" s="490" t="s">
        <v>29770</v>
      </c>
      <c r="G1940" s="490" t="s">
        <v>29771</v>
      </c>
      <c r="H1940" s="36" t="s">
        <v>25060</v>
      </c>
      <c r="I1940" s="490" t="s">
        <v>29772</v>
      </c>
      <c r="J1940" s="490" t="s">
        <v>29773</v>
      </c>
      <c r="K1940" s="490" t="s">
        <v>29774</v>
      </c>
      <c r="L1940" s="490" t="s">
        <v>25058</v>
      </c>
      <c r="M1940" s="490" t="s">
        <v>25058</v>
      </c>
      <c r="N1940" s="490" t="s">
        <v>29775</v>
      </c>
      <c r="O1940" s="490" t="s">
        <v>29774</v>
      </c>
      <c r="P1940" s="36" t="s">
        <v>25058</v>
      </c>
    </row>
    <row r="1941" spans="1:16" ht="15" customHeight="1">
      <c r="A1941" s="132">
        <v>1940</v>
      </c>
      <c r="B1941" s="36" t="s">
        <v>25061</v>
      </c>
      <c r="C1941" s="36" t="s">
        <v>25062</v>
      </c>
      <c r="D1941" s="36" t="s">
        <v>25063</v>
      </c>
      <c r="E1941" s="36" t="s">
        <v>25064</v>
      </c>
      <c r="F1941" s="36" t="s">
        <v>25065</v>
      </c>
      <c r="G1941" s="490" t="s">
        <v>29776</v>
      </c>
      <c r="H1941" s="36" t="s">
        <v>25066</v>
      </c>
      <c r="I1941" s="490" t="s">
        <v>29777</v>
      </c>
      <c r="J1941" s="490" t="s">
        <v>29778</v>
      </c>
      <c r="K1941" s="490" t="s">
        <v>29779</v>
      </c>
      <c r="L1941" s="490" t="s">
        <v>29780</v>
      </c>
      <c r="M1941" s="490" t="s">
        <v>29781</v>
      </c>
      <c r="N1941" s="490" t="s">
        <v>29782</v>
      </c>
      <c r="O1941" s="490" t="s">
        <v>29783</v>
      </c>
      <c r="P1941" s="36" t="s">
        <v>25061</v>
      </c>
    </row>
    <row r="1942" spans="1:16" ht="15" customHeight="1">
      <c r="A1942" s="132">
        <v>1941</v>
      </c>
      <c r="B1942" s="36" t="s">
        <v>25067</v>
      </c>
      <c r="C1942" s="36" t="s">
        <v>25068</v>
      </c>
      <c r="D1942" s="36" t="s">
        <v>25069</v>
      </c>
      <c r="E1942" s="36" t="s">
        <v>25070</v>
      </c>
      <c r="F1942" s="36" t="s">
        <v>25071</v>
      </c>
      <c r="G1942" s="490" t="s">
        <v>29784</v>
      </c>
      <c r="H1942" s="36" t="s">
        <v>25072</v>
      </c>
      <c r="I1942" s="490" t="s">
        <v>29785</v>
      </c>
      <c r="J1942" s="490" t="s">
        <v>29786</v>
      </c>
      <c r="K1942" s="490" t="s">
        <v>29787</v>
      </c>
      <c r="L1942" s="490" t="s">
        <v>29788</v>
      </c>
      <c r="M1942" s="490" t="s">
        <v>29789</v>
      </c>
      <c r="N1942" s="490" t="s">
        <v>29790</v>
      </c>
      <c r="O1942" s="490" t="s">
        <v>29791</v>
      </c>
      <c r="P1942" s="36" t="s">
        <v>25067</v>
      </c>
    </row>
    <row r="1943" spans="1:16" ht="15" customHeight="1">
      <c r="A1943" s="132">
        <v>1942</v>
      </c>
      <c r="B1943" s="36" t="s">
        <v>25073</v>
      </c>
      <c r="C1943" s="36" t="s">
        <v>25074</v>
      </c>
      <c r="D1943" s="36" t="s">
        <v>25075</v>
      </c>
      <c r="E1943" s="36" t="s">
        <v>25076</v>
      </c>
      <c r="F1943" s="36" t="s">
        <v>25077</v>
      </c>
      <c r="G1943" s="490" t="s">
        <v>29792</v>
      </c>
      <c r="H1943" s="36" t="s">
        <v>25078</v>
      </c>
      <c r="I1943" s="490" t="s">
        <v>29793</v>
      </c>
      <c r="J1943" s="490" t="s">
        <v>29794</v>
      </c>
      <c r="K1943" s="490" t="s">
        <v>29795</v>
      </c>
      <c r="L1943" s="490" t="s">
        <v>29796</v>
      </c>
      <c r="M1943" s="490" t="s">
        <v>29797</v>
      </c>
      <c r="N1943" s="490" t="s">
        <v>29798</v>
      </c>
      <c r="O1943" s="490" t="s">
        <v>29799</v>
      </c>
      <c r="P1943" s="36" t="s">
        <v>25079</v>
      </c>
    </row>
    <row r="1944" spans="1:16" ht="15" customHeight="1">
      <c r="A1944" s="132">
        <v>1943</v>
      </c>
      <c r="B1944" s="36" t="s">
        <v>25080</v>
      </c>
      <c r="C1944" s="36" t="s">
        <v>25081</v>
      </c>
      <c r="D1944" s="487" t="s">
        <v>29800</v>
      </c>
      <c r="E1944" s="36" t="s">
        <v>25082</v>
      </c>
      <c r="F1944" s="36" t="s">
        <v>25083</v>
      </c>
      <c r="G1944" s="487" t="s">
        <v>29801</v>
      </c>
      <c r="H1944" s="36" t="s">
        <v>25084</v>
      </c>
      <c r="I1944" s="490" t="s">
        <v>29802</v>
      </c>
      <c r="J1944" s="490" t="s">
        <v>29803</v>
      </c>
      <c r="K1944" s="490" t="s">
        <v>29804</v>
      </c>
      <c r="L1944" s="490" t="s">
        <v>29805</v>
      </c>
      <c r="M1944" s="490" t="s">
        <v>29806</v>
      </c>
      <c r="N1944" s="491" t="s">
        <v>29807</v>
      </c>
      <c r="O1944" s="490" t="s">
        <v>29808</v>
      </c>
      <c r="P1944" s="36" t="s">
        <v>25080</v>
      </c>
    </row>
    <row r="1945" spans="1:16" ht="15" customHeight="1">
      <c r="A1945" s="132">
        <v>1944</v>
      </c>
      <c r="B1945" s="36" t="s">
        <v>25085</v>
      </c>
      <c r="C1945" s="36" t="s">
        <v>25086</v>
      </c>
      <c r="D1945" s="36" t="s">
        <v>25087</v>
      </c>
      <c r="E1945" s="36" t="s">
        <v>25088</v>
      </c>
      <c r="F1945" s="36" t="s">
        <v>25088</v>
      </c>
      <c r="G1945" s="490" t="s">
        <v>29809</v>
      </c>
      <c r="H1945" s="36" t="s">
        <v>25088</v>
      </c>
      <c r="I1945" s="490" t="s">
        <v>25088</v>
      </c>
      <c r="J1945" s="490" t="s">
        <v>25088</v>
      </c>
      <c r="K1945" s="490" t="s">
        <v>25088</v>
      </c>
      <c r="L1945" s="490" t="s">
        <v>25088</v>
      </c>
      <c r="M1945" s="490" t="s">
        <v>25088</v>
      </c>
      <c r="N1945" s="490" t="s">
        <v>25088</v>
      </c>
      <c r="O1945" s="490" t="s">
        <v>25088</v>
      </c>
      <c r="P1945" s="36" t="s">
        <v>25085</v>
      </c>
    </row>
    <row r="1946" spans="1:16" ht="15" customHeight="1">
      <c r="A1946" s="132">
        <v>1945</v>
      </c>
      <c r="B1946" s="36" t="s">
        <v>25089</v>
      </c>
      <c r="C1946" s="36" t="s">
        <v>25090</v>
      </c>
      <c r="D1946" s="36" t="s">
        <v>25091</v>
      </c>
      <c r="E1946" s="36" t="s">
        <v>25092</v>
      </c>
      <c r="F1946" s="490" t="s">
        <v>29810</v>
      </c>
      <c r="G1946" s="36" t="s">
        <v>25093</v>
      </c>
      <c r="H1946" s="490" t="s">
        <v>29811</v>
      </c>
      <c r="I1946" s="490" t="s">
        <v>29812</v>
      </c>
      <c r="J1946" s="490" t="s">
        <v>29813</v>
      </c>
      <c r="K1946" s="490" t="s">
        <v>29814</v>
      </c>
      <c r="L1946" s="490" t="s">
        <v>29815</v>
      </c>
      <c r="M1946" s="490" t="s">
        <v>29816</v>
      </c>
      <c r="N1946" s="490" t="s">
        <v>29817</v>
      </c>
      <c r="O1946" s="490" t="s">
        <v>29818</v>
      </c>
      <c r="P1946" s="36" t="s">
        <v>25089</v>
      </c>
    </row>
    <row r="1947" spans="1:16" ht="15" customHeight="1">
      <c r="A1947" s="132">
        <v>1946</v>
      </c>
      <c r="B1947" s="36" t="s">
        <v>25094</v>
      </c>
      <c r="C1947" s="36" t="s">
        <v>25095</v>
      </c>
      <c r="D1947" s="36" t="s">
        <v>25096</v>
      </c>
      <c r="E1947" s="36" t="s">
        <v>25097</v>
      </c>
      <c r="F1947" s="490" t="s">
        <v>29819</v>
      </c>
      <c r="G1947" s="36" t="s">
        <v>25098</v>
      </c>
      <c r="H1947" s="490" t="s">
        <v>29820</v>
      </c>
      <c r="I1947" s="490" t="s">
        <v>29821</v>
      </c>
      <c r="J1947" s="490" t="s">
        <v>29822</v>
      </c>
      <c r="K1947" s="490" t="s">
        <v>29823</v>
      </c>
      <c r="L1947" s="490" t="s">
        <v>29824</v>
      </c>
      <c r="M1947" s="490" t="s">
        <v>29825</v>
      </c>
      <c r="N1947" s="490" t="s">
        <v>29826</v>
      </c>
      <c r="O1947" s="490" t="s">
        <v>29827</v>
      </c>
      <c r="P1947" s="36" t="s">
        <v>25094</v>
      </c>
    </row>
    <row r="1948" spans="1:16" ht="15" customHeight="1">
      <c r="A1948" s="132">
        <v>1947</v>
      </c>
      <c r="B1948" s="36" t="s">
        <v>25099</v>
      </c>
      <c r="C1948" s="36" t="s">
        <v>25100</v>
      </c>
      <c r="D1948" s="36" t="s">
        <v>25101</v>
      </c>
      <c r="E1948" s="36" t="s">
        <v>25102</v>
      </c>
      <c r="F1948" s="490" t="s">
        <v>29828</v>
      </c>
      <c r="G1948" s="36" t="s">
        <v>25103</v>
      </c>
      <c r="H1948" s="490" t="s">
        <v>29829</v>
      </c>
      <c r="I1948" s="490" t="s">
        <v>29830</v>
      </c>
      <c r="J1948" s="490" t="s">
        <v>29831</v>
      </c>
      <c r="K1948" s="490" t="s">
        <v>29832</v>
      </c>
      <c r="L1948" s="490" t="s">
        <v>29833</v>
      </c>
      <c r="M1948" s="490" t="s">
        <v>29834</v>
      </c>
      <c r="N1948" s="490" t="s">
        <v>29835</v>
      </c>
      <c r="O1948" s="490" t="s">
        <v>29836</v>
      </c>
      <c r="P1948" s="36" t="s">
        <v>25099</v>
      </c>
    </row>
    <row r="1949" spans="1:16" ht="15" customHeight="1">
      <c r="A1949" s="132">
        <v>1948</v>
      </c>
      <c r="B1949" s="36" t="s">
        <v>25104</v>
      </c>
      <c r="C1949" s="36" t="s">
        <v>25105</v>
      </c>
      <c r="D1949" s="36" t="s">
        <v>25106</v>
      </c>
      <c r="E1949" s="36" t="s">
        <v>25107</v>
      </c>
      <c r="F1949" s="490" t="s">
        <v>29837</v>
      </c>
      <c r="G1949" s="36" t="s">
        <v>25108</v>
      </c>
      <c r="H1949" s="490" t="s">
        <v>29838</v>
      </c>
      <c r="I1949" s="490" t="s">
        <v>29839</v>
      </c>
      <c r="J1949" s="490" t="s">
        <v>29840</v>
      </c>
      <c r="K1949" s="490" t="s">
        <v>29841</v>
      </c>
      <c r="L1949" s="490" t="s">
        <v>29842</v>
      </c>
      <c r="M1949" s="490" t="s">
        <v>29843</v>
      </c>
      <c r="N1949" s="490" t="s">
        <v>29844</v>
      </c>
      <c r="O1949" s="490" t="s">
        <v>29845</v>
      </c>
      <c r="P1949" s="36" t="s">
        <v>25104</v>
      </c>
    </row>
    <row r="1950" spans="1:16" ht="15" customHeight="1">
      <c r="A1950" s="132">
        <v>1949</v>
      </c>
      <c r="B1950" s="36" t="s">
        <v>25109</v>
      </c>
      <c r="C1950" s="36" t="s">
        <v>25110</v>
      </c>
      <c r="D1950" s="36" t="s">
        <v>25111</v>
      </c>
      <c r="E1950" s="490" t="s">
        <v>29846</v>
      </c>
      <c r="F1950" s="490" t="s">
        <v>29847</v>
      </c>
      <c r="G1950" s="36" t="s">
        <v>25113</v>
      </c>
      <c r="H1950" s="490" t="s">
        <v>29848</v>
      </c>
      <c r="I1950" s="490" t="s">
        <v>29849</v>
      </c>
      <c r="J1950" s="36" t="s">
        <v>25114</v>
      </c>
      <c r="K1950" s="490" t="s">
        <v>29850</v>
      </c>
      <c r="L1950" s="36" t="s">
        <v>25115</v>
      </c>
      <c r="M1950" s="36" t="s">
        <v>25116</v>
      </c>
      <c r="N1950" s="36" t="s">
        <v>25116</v>
      </c>
      <c r="O1950" s="491" t="s">
        <v>29851</v>
      </c>
      <c r="P1950" s="36" t="s">
        <v>25109</v>
      </c>
    </row>
    <row r="1951" spans="1:16" ht="15" customHeight="1">
      <c r="A1951" s="132">
        <v>1950</v>
      </c>
      <c r="B1951" s="36" t="s">
        <v>25117</v>
      </c>
      <c r="C1951" s="36" t="s">
        <v>25118</v>
      </c>
      <c r="D1951" s="36" t="s">
        <v>25119</v>
      </c>
      <c r="E1951" s="36" t="s">
        <v>25120</v>
      </c>
      <c r="F1951" s="490" t="s">
        <v>29852</v>
      </c>
      <c r="G1951" s="36" t="s">
        <v>25121</v>
      </c>
      <c r="H1951" s="490" t="s">
        <v>29853</v>
      </c>
      <c r="I1951" s="490" t="s">
        <v>29854</v>
      </c>
      <c r="J1951" s="36" t="s">
        <v>25122</v>
      </c>
      <c r="K1951" s="490" t="s">
        <v>29855</v>
      </c>
      <c r="L1951" s="36" t="s">
        <v>25123</v>
      </c>
      <c r="M1951" s="36" t="s">
        <v>25124</v>
      </c>
      <c r="N1951" s="36" t="s">
        <v>25124</v>
      </c>
      <c r="O1951" s="490" t="s">
        <v>29856</v>
      </c>
      <c r="P1951" s="36" t="s">
        <v>25117</v>
      </c>
    </row>
    <row r="1952" spans="1:16" ht="15" customHeight="1">
      <c r="A1952" s="132">
        <v>1951</v>
      </c>
      <c r="B1952" s="36" t="s">
        <v>25125</v>
      </c>
      <c r="C1952" s="36" t="s">
        <v>25126</v>
      </c>
      <c r="D1952" s="36" t="s">
        <v>25127</v>
      </c>
      <c r="E1952" s="36" t="s">
        <v>25128</v>
      </c>
      <c r="F1952" s="490" t="s">
        <v>29857</v>
      </c>
      <c r="G1952" s="36" t="s">
        <v>25129</v>
      </c>
      <c r="H1952" s="490" t="s">
        <v>29858</v>
      </c>
      <c r="I1952" s="490" t="s">
        <v>29859</v>
      </c>
      <c r="J1952" s="36" t="s">
        <v>25130</v>
      </c>
      <c r="K1952" s="490" t="s">
        <v>29860</v>
      </c>
      <c r="L1952" s="36" t="s">
        <v>25131</v>
      </c>
      <c r="M1952" s="36" t="s">
        <v>25132</v>
      </c>
      <c r="N1952" s="36" t="s">
        <v>25132</v>
      </c>
      <c r="O1952" s="490" t="s">
        <v>29861</v>
      </c>
      <c r="P1952" s="36" t="s">
        <v>25125</v>
      </c>
    </row>
    <row r="1953" spans="1:16" ht="15" customHeight="1">
      <c r="A1953" s="132">
        <v>1952</v>
      </c>
      <c r="B1953" s="36" t="s">
        <v>25133</v>
      </c>
      <c r="C1953" s="36" t="s">
        <v>25134</v>
      </c>
      <c r="D1953" s="36" t="s">
        <v>25135</v>
      </c>
      <c r="E1953" s="36" t="s">
        <v>25136</v>
      </c>
      <c r="F1953" s="490" t="s">
        <v>29862</v>
      </c>
      <c r="G1953" s="36" t="s">
        <v>25137</v>
      </c>
      <c r="H1953" s="490" t="s">
        <v>29863</v>
      </c>
      <c r="I1953" s="490" t="s">
        <v>29864</v>
      </c>
      <c r="J1953" s="490" t="s">
        <v>29865</v>
      </c>
      <c r="K1953" s="490" t="s">
        <v>29866</v>
      </c>
      <c r="L1953" s="490" t="s">
        <v>29867</v>
      </c>
      <c r="M1953" s="490" t="s">
        <v>29868</v>
      </c>
      <c r="N1953" s="490" t="s">
        <v>29869</v>
      </c>
      <c r="O1953" s="490" t="s">
        <v>29870</v>
      </c>
      <c r="P1953" s="36" t="s">
        <v>25133</v>
      </c>
    </row>
    <row r="1954" spans="1:16" ht="15" customHeight="1">
      <c r="A1954" s="132">
        <v>1953</v>
      </c>
      <c r="B1954" s="36" t="s">
        <v>25138</v>
      </c>
      <c r="C1954" s="36" t="s">
        <v>25139</v>
      </c>
      <c r="D1954" s="36" t="s">
        <v>25140</v>
      </c>
      <c r="E1954" s="36" t="s">
        <v>25141</v>
      </c>
      <c r="F1954" s="490" t="s">
        <v>29871</v>
      </c>
      <c r="G1954" s="36" t="s">
        <v>25142</v>
      </c>
      <c r="H1954" s="490" t="s">
        <v>29872</v>
      </c>
      <c r="I1954" s="490" t="s">
        <v>29873</v>
      </c>
      <c r="J1954" s="490" t="s">
        <v>29874</v>
      </c>
      <c r="K1954" s="490" t="s">
        <v>29875</v>
      </c>
      <c r="L1954" s="490" t="s">
        <v>29876</v>
      </c>
      <c r="M1954" s="490" t="s">
        <v>29877</v>
      </c>
      <c r="N1954" s="490" t="s">
        <v>29878</v>
      </c>
      <c r="O1954" s="490" t="s">
        <v>29879</v>
      </c>
      <c r="P1954" s="36" t="s">
        <v>25138</v>
      </c>
    </row>
    <row r="1955" spans="1:16" ht="15" customHeight="1">
      <c r="A1955" s="132">
        <v>1954</v>
      </c>
      <c r="B1955" s="36" t="s">
        <v>25143</v>
      </c>
      <c r="C1955" s="36" t="s">
        <v>25144</v>
      </c>
      <c r="D1955" s="36" t="s">
        <v>25145</v>
      </c>
      <c r="E1955" s="36" t="s">
        <v>25146</v>
      </c>
      <c r="F1955" s="490" t="s">
        <v>29880</v>
      </c>
      <c r="G1955" s="36" t="s">
        <v>25147</v>
      </c>
      <c r="H1955" s="490" t="s">
        <v>29881</v>
      </c>
      <c r="I1955" s="490" t="s">
        <v>29882</v>
      </c>
      <c r="J1955" s="490" t="s">
        <v>29883</v>
      </c>
      <c r="K1955" s="490" t="s">
        <v>29884</v>
      </c>
      <c r="L1955" s="490" t="s">
        <v>29885</v>
      </c>
      <c r="M1955" s="490" t="s">
        <v>29886</v>
      </c>
      <c r="N1955" s="490" t="s">
        <v>29887</v>
      </c>
      <c r="O1955" s="490" t="s">
        <v>29888</v>
      </c>
      <c r="P1955" s="36" t="s">
        <v>25143</v>
      </c>
    </row>
    <row r="1956" spans="1:16" ht="15" customHeight="1">
      <c r="A1956" s="132">
        <v>1955</v>
      </c>
      <c r="B1956" s="36" t="s">
        <v>25148</v>
      </c>
      <c r="C1956" s="36" t="s">
        <v>25148</v>
      </c>
      <c r="D1956" s="36" t="s">
        <v>25149</v>
      </c>
      <c r="E1956" s="36" t="s">
        <v>25148</v>
      </c>
      <c r="F1956" s="36" t="s">
        <v>25148</v>
      </c>
      <c r="G1956" s="36" t="s">
        <v>25148</v>
      </c>
      <c r="H1956" s="36" t="s">
        <v>25148</v>
      </c>
      <c r="I1956" s="36" t="s">
        <v>25148</v>
      </c>
      <c r="J1956" s="36" t="s">
        <v>25148</v>
      </c>
      <c r="K1956" s="36" t="s">
        <v>25148</v>
      </c>
      <c r="L1956" s="36" t="s">
        <v>25148</v>
      </c>
      <c r="M1956" s="36" t="s">
        <v>25148</v>
      </c>
      <c r="N1956" s="36" t="s">
        <v>25148</v>
      </c>
      <c r="O1956" s="36" t="s">
        <v>25148</v>
      </c>
      <c r="P1956" s="36" t="s">
        <v>25148</v>
      </c>
    </row>
    <row r="1957" spans="1:16" ht="15" customHeight="1">
      <c r="A1957" s="132">
        <v>1956</v>
      </c>
      <c r="B1957" s="36" t="s">
        <v>25150</v>
      </c>
      <c r="C1957" s="36" t="s">
        <v>25151</v>
      </c>
      <c r="D1957" s="36" t="s">
        <v>25152</v>
      </c>
      <c r="E1957" s="36" t="s">
        <v>25153</v>
      </c>
      <c r="F1957" s="490" t="s">
        <v>29889</v>
      </c>
      <c r="G1957" s="490" t="s">
        <v>29890</v>
      </c>
      <c r="H1957" s="490" t="s">
        <v>29891</v>
      </c>
      <c r="I1957" s="490" t="s">
        <v>29889</v>
      </c>
      <c r="J1957" s="490" t="s">
        <v>29892</v>
      </c>
      <c r="K1957" s="490" t="s">
        <v>29893</v>
      </c>
      <c r="L1957" s="490" t="s">
        <v>29894</v>
      </c>
      <c r="M1957" s="490" t="s">
        <v>29895</v>
      </c>
      <c r="N1957" s="490" t="s">
        <v>29896</v>
      </c>
      <c r="O1957" s="490" t="s">
        <v>29893</v>
      </c>
      <c r="P1957" s="36" t="s">
        <v>25150</v>
      </c>
    </row>
    <row r="1958" spans="1:16" ht="15" customHeight="1">
      <c r="A1958" s="132">
        <v>1957</v>
      </c>
      <c r="B1958" s="36" t="s">
        <v>25154</v>
      </c>
      <c r="C1958" s="36" t="s">
        <v>25155</v>
      </c>
      <c r="D1958" s="36" t="s">
        <v>25156</v>
      </c>
      <c r="E1958" s="36" t="s">
        <v>25157</v>
      </c>
      <c r="F1958" s="490" t="s">
        <v>29897</v>
      </c>
      <c r="G1958" s="36" t="s">
        <v>25158</v>
      </c>
      <c r="H1958" s="490" t="s">
        <v>29898</v>
      </c>
      <c r="I1958" s="490" t="s">
        <v>29899</v>
      </c>
      <c r="J1958" s="490" t="s">
        <v>29900</v>
      </c>
      <c r="K1958" s="490" t="s">
        <v>29901</v>
      </c>
      <c r="L1958" s="490" t="s">
        <v>29902</v>
      </c>
      <c r="M1958" s="490" t="s">
        <v>29903</v>
      </c>
      <c r="N1958" s="490" t="s">
        <v>29904</v>
      </c>
      <c r="O1958" s="490" t="s">
        <v>29905</v>
      </c>
      <c r="P1958" s="36" t="s">
        <v>25154</v>
      </c>
    </row>
    <row r="1959" spans="1:16" ht="15" customHeight="1">
      <c r="A1959" s="132">
        <v>1958</v>
      </c>
      <c r="B1959" s="36" t="s">
        <v>25159</v>
      </c>
      <c r="C1959" s="36" t="s">
        <v>25160</v>
      </c>
      <c r="D1959" s="36" t="s">
        <v>25161</v>
      </c>
      <c r="E1959" s="36" t="s">
        <v>25162</v>
      </c>
      <c r="F1959" s="490" t="s">
        <v>29906</v>
      </c>
      <c r="G1959" s="490" t="s">
        <v>29907</v>
      </c>
      <c r="H1959" s="490" t="s">
        <v>29908</v>
      </c>
      <c r="I1959" s="490" t="s">
        <v>29909</v>
      </c>
      <c r="J1959" s="490" t="s">
        <v>29910</v>
      </c>
      <c r="K1959" s="490" t="s">
        <v>29911</v>
      </c>
      <c r="L1959" s="490" t="s">
        <v>29912</v>
      </c>
      <c r="M1959" s="490" t="s">
        <v>29913</v>
      </c>
      <c r="N1959" s="490" t="s">
        <v>29910</v>
      </c>
      <c r="O1959" s="490" t="s">
        <v>29914</v>
      </c>
      <c r="P1959" s="36" t="s">
        <v>25159</v>
      </c>
    </row>
    <row r="1960" spans="1:16" ht="15" customHeight="1">
      <c r="A1960" s="132">
        <v>1959</v>
      </c>
      <c r="B1960" s="36" t="s">
        <v>25163</v>
      </c>
      <c r="C1960" s="490" t="s">
        <v>29915</v>
      </c>
      <c r="D1960" s="36" t="s">
        <v>25164</v>
      </c>
      <c r="E1960" s="36" t="s">
        <v>25165</v>
      </c>
      <c r="F1960" s="490" t="s">
        <v>29916</v>
      </c>
      <c r="G1960" s="490" t="s">
        <v>29917</v>
      </c>
      <c r="H1960" s="490" t="s">
        <v>29918</v>
      </c>
      <c r="I1960" s="490" t="s">
        <v>29919</v>
      </c>
      <c r="J1960" s="490" t="s">
        <v>29920</v>
      </c>
      <c r="K1960" s="490" t="s">
        <v>29921</v>
      </c>
      <c r="L1960" s="490" t="s">
        <v>29922</v>
      </c>
      <c r="M1960" s="490" t="s">
        <v>29923</v>
      </c>
      <c r="N1960" s="490" t="s">
        <v>29924</v>
      </c>
      <c r="O1960" s="490" t="s">
        <v>29925</v>
      </c>
      <c r="P1960" s="36" t="s">
        <v>25163</v>
      </c>
    </row>
    <row r="1961" spans="1:16" ht="15" customHeight="1">
      <c r="A1961" s="132">
        <v>1960</v>
      </c>
      <c r="B1961" s="36" t="s">
        <v>25166</v>
      </c>
      <c r="C1961" s="36" t="s">
        <v>25167</v>
      </c>
      <c r="D1961" s="36" t="s">
        <v>25168</v>
      </c>
      <c r="E1961" s="36" t="s">
        <v>25169</v>
      </c>
      <c r="F1961" s="490" t="s">
        <v>29926</v>
      </c>
      <c r="G1961" s="490" t="s">
        <v>29927</v>
      </c>
      <c r="H1961" s="490" t="s">
        <v>29928</v>
      </c>
      <c r="I1961" s="490" t="s">
        <v>29929</v>
      </c>
      <c r="J1961" s="490" t="s">
        <v>29930</v>
      </c>
      <c r="K1961" s="490" t="s">
        <v>29931</v>
      </c>
      <c r="L1961" s="490" t="s">
        <v>29932</v>
      </c>
      <c r="M1961" s="490" t="s">
        <v>29933</v>
      </c>
      <c r="N1961" s="490" t="s">
        <v>29934</v>
      </c>
      <c r="O1961" s="490" t="s">
        <v>29935</v>
      </c>
      <c r="P1961" s="36" t="s">
        <v>25170</v>
      </c>
    </row>
    <row r="1962" spans="1:16" ht="15" customHeight="1">
      <c r="A1962" s="132">
        <v>1961</v>
      </c>
      <c r="B1962" s="36" t="s">
        <v>25171</v>
      </c>
      <c r="C1962" s="36" t="s">
        <v>25172</v>
      </c>
      <c r="D1962" s="36" t="s">
        <v>25173</v>
      </c>
      <c r="E1962" s="36" t="s">
        <v>25174</v>
      </c>
      <c r="F1962" s="490" t="s">
        <v>29936</v>
      </c>
      <c r="G1962" s="490" t="s">
        <v>29937</v>
      </c>
      <c r="H1962" s="490" t="s">
        <v>29938</v>
      </c>
      <c r="I1962" s="490" t="s">
        <v>29939</v>
      </c>
      <c r="J1962" s="490" t="s">
        <v>29940</v>
      </c>
      <c r="K1962" s="490" t="s">
        <v>29941</v>
      </c>
      <c r="L1962" s="490" t="s">
        <v>29942</v>
      </c>
      <c r="M1962" s="490" t="s">
        <v>29943</v>
      </c>
      <c r="N1962" s="490" t="s">
        <v>29944</v>
      </c>
      <c r="O1962" s="491" t="s">
        <v>29945</v>
      </c>
      <c r="P1962" s="36" t="s">
        <v>25175</v>
      </c>
    </row>
    <row r="1963" spans="1:16" ht="15" customHeight="1">
      <c r="A1963" s="132">
        <v>1962</v>
      </c>
      <c r="B1963" s="36" t="s">
        <v>25176</v>
      </c>
      <c r="C1963" s="490" t="s">
        <v>29946</v>
      </c>
      <c r="D1963" s="36" t="s">
        <v>25177</v>
      </c>
      <c r="E1963" s="36" t="s">
        <v>25178</v>
      </c>
      <c r="F1963" s="490" t="s">
        <v>29947</v>
      </c>
      <c r="G1963" s="490" t="s">
        <v>29948</v>
      </c>
      <c r="H1963" s="490" t="s">
        <v>29949</v>
      </c>
      <c r="I1963" s="490" t="s">
        <v>29950</v>
      </c>
      <c r="J1963" s="490" t="s">
        <v>29951</v>
      </c>
      <c r="K1963" s="490" t="s">
        <v>29952</v>
      </c>
      <c r="L1963" s="490" t="s">
        <v>29953</v>
      </c>
      <c r="M1963" s="490" t="s">
        <v>29954</v>
      </c>
      <c r="N1963" s="490" t="s">
        <v>29955</v>
      </c>
      <c r="O1963" s="490" t="s">
        <v>29956</v>
      </c>
      <c r="P1963" s="36" t="s">
        <v>25176</v>
      </c>
    </row>
    <row r="1964" spans="1:16" ht="15" customHeight="1">
      <c r="A1964" s="132">
        <v>1963</v>
      </c>
      <c r="B1964" s="36" t="s">
        <v>25179</v>
      </c>
      <c r="C1964" s="36" t="s">
        <v>25180</v>
      </c>
      <c r="D1964" s="36" t="s">
        <v>25181</v>
      </c>
      <c r="E1964" s="36" t="s">
        <v>25182</v>
      </c>
      <c r="F1964" s="490" t="s">
        <v>29957</v>
      </c>
      <c r="G1964" s="490" t="s">
        <v>29958</v>
      </c>
      <c r="H1964" s="490" t="s">
        <v>29959</v>
      </c>
      <c r="I1964" s="490" t="s">
        <v>29960</v>
      </c>
      <c r="J1964" s="490" t="s">
        <v>29961</v>
      </c>
      <c r="K1964" s="490" t="s">
        <v>29962</v>
      </c>
      <c r="L1964" s="490" t="s">
        <v>29963</v>
      </c>
      <c r="M1964" s="490" t="s">
        <v>29964</v>
      </c>
      <c r="N1964" s="490" t="s">
        <v>29965</v>
      </c>
      <c r="O1964" s="490" t="s">
        <v>29966</v>
      </c>
      <c r="P1964" s="36" t="s">
        <v>25179</v>
      </c>
    </row>
    <row r="1965" spans="1:16" ht="15" customHeight="1">
      <c r="A1965" s="132">
        <v>1964</v>
      </c>
      <c r="B1965" s="36" t="s">
        <v>25183</v>
      </c>
      <c r="C1965" s="36" t="s">
        <v>25184</v>
      </c>
      <c r="D1965" s="36" t="s">
        <v>25185</v>
      </c>
      <c r="E1965" s="36" t="s">
        <v>25186</v>
      </c>
      <c r="F1965" s="490" t="s">
        <v>29967</v>
      </c>
      <c r="G1965" s="490" t="s">
        <v>29968</v>
      </c>
      <c r="H1965" s="490" t="s">
        <v>29969</v>
      </c>
      <c r="I1965" s="490" t="s">
        <v>29970</v>
      </c>
      <c r="J1965" s="490" t="s">
        <v>29971</v>
      </c>
      <c r="K1965" s="490" t="s">
        <v>29972</v>
      </c>
      <c r="L1965" s="490" t="s">
        <v>29973</v>
      </c>
      <c r="M1965" s="490" t="s">
        <v>29974</v>
      </c>
      <c r="N1965" s="490" t="s">
        <v>29975</v>
      </c>
      <c r="O1965" s="490" t="s">
        <v>29976</v>
      </c>
      <c r="P1965" s="36" t="s">
        <v>25183</v>
      </c>
    </row>
    <row r="1966" spans="1:16" ht="15" customHeight="1">
      <c r="A1966" s="132">
        <v>1965</v>
      </c>
      <c r="B1966" s="36" t="s">
        <v>25187</v>
      </c>
      <c r="C1966" s="36" t="s">
        <v>25188</v>
      </c>
      <c r="D1966" s="36" t="s">
        <v>25189</v>
      </c>
      <c r="E1966" s="36" t="s">
        <v>25190</v>
      </c>
      <c r="F1966" s="490" t="s">
        <v>29977</v>
      </c>
      <c r="G1966" s="490" t="s">
        <v>29978</v>
      </c>
      <c r="H1966" s="490" t="s">
        <v>29979</v>
      </c>
      <c r="I1966" s="490" t="s">
        <v>29980</v>
      </c>
      <c r="J1966" s="490" t="s">
        <v>29981</v>
      </c>
      <c r="K1966" s="490" t="s">
        <v>29982</v>
      </c>
      <c r="L1966" s="490" t="s">
        <v>29983</v>
      </c>
      <c r="M1966" s="490" t="s">
        <v>29984</v>
      </c>
      <c r="N1966" s="490" t="s">
        <v>29985</v>
      </c>
      <c r="O1966" s="490" t="s">
        <v>29986</v>
      </c>
      <c r="P1966" s="36" t="s">
        <v>25187</v>
      </c>
    </row>
    <row r="1967" spans="1:16" ht="15" customHeight="1">
      <c r="A1967" s="132">
        <v>1966</v>
      </c>
      <c r="B1967" s="36" t="s">
        <v>25191</v>
      </c>
      <c r="C1967" s="487" t="s">
        <v>29987</v>
      </c>
      <c r="D1967" s="487" t="s">
        <v>29988</v>
      </c>
      <c r="E1967" s="487" t="s">
        <v>25192</v>
      </c>
      <c r="F1967" s="487" t="s">
        <v>29989</v>
      </c>
      <c r="G1967" s="487" t="s">
        <v>29990</v>
      </c>
      <c r="H1967" s="485" t="s">
        <v>29991</v>
      </c>
      <c r="I1967" s="487" t="s">
        <v>29992</v>
      </c>
      <c r="J1967" s="487" t="s">
        <v>29993</v>
      </c>
      <c r="K1967" s="487" t="s">
        <v>29994</v>
      </c>
      <c r="L1967" s="487" t="s">
        <v>29995</v>
      </c>
      <c r="M1967" s="487" t="s">
        <v>29996</v>
      </c>
      <c r="N1967" s="485" t="s">
        <v>29997</v>
      </c>
      <c r="O1967" s="487" t="s">
        <v>29998</v>
      </c>
      <c r="P1967" s="36" t="s">
        <v>25191</v>
      </c>
    </row>
    <row r="1968" spans="1:16" ht="15" customHeight="1">
      <c r="A1968" s="132">
        <v>1967</v>
      </c>
      <c r="B1968" s="36" t="s">
        <v>25193</v>
      </c>
      <c r="C1968" s="36" t="s">
        <v>25194</v>
      </c>
      <c r="D1968" s="36" t="s">
        <v>25195</v>
      </c>
      <c r="E1968" s="36" t="s">
        <v>25196</v>
      </c>
      <c r="F1968" s="490" t="s">
        <v>29999</v>
      </c>
      <c r="G1968" s="490" t="s">
        <v>30000</v>
      </c>
      <c r="H1968" s="490" t="s">
        <v>30001</v>
      </c>
      <c r="I1968" s="490" t="s">
        <v>30002</v>
      </c>
      <c r="J1968" s="490" t="s">
        <v>30003</v>
      </c>
      <c r="K1968" s="490" t="s">
        <v>30004</v>
      </c>
      <c r="L1968" s="490" t="s">
        <v>30005</v>
      </c>
      <c r="M1968" s="490" t="s">
        <v>30006</v>
      </c>
      <c r="N1968" s="490" t="s">
        <v>30006</v>
      </c>
      <c r="O1968" s="490" t="s">
        <v>30007</v>
      </c>
      <c r="P1968" s="36" t="s">
        <v>25193</v>
      </c>
    </row>
    <row r="1969" spans="1:16" ht="15" customHeight="1">
      <c r="A1969" s="132">
        <v>1968</v>
      </c>
      <c r="B1969" s="36" t="s">
        <v>25197</v>
      </c>
      <c r="C1969" s="36" t="s">
        <v>25198</v>
      </c>
      <c r="D1969" s="490" t="s">
        <v>30008</v>
      </c>
      <c r="E1969" s="36" t="s">
        <v>25199</v>
      </c>
      <c r="F1969" s="490" t="s">
        <v>30009</v>
      </c>
      <c r="G1969" s="490" t="s">
        <v>30010</v>
      </c>
      <c r="H1969" s="490" t="s">
        <v>30011</v>
      </c>
      <c r="I1969" s="490" t="s">
        <v>30012</v>
      </c>
      <c r="J1969" s="490" t="s">
        <v>30013</v>
      </c>
      <c r="K1969" s="490" t="s">
        <v>30014</v>
      </c>
      <c r="L1969" s="490" t="s">
        <v>30015</v>
      </c>
      <c r="M1969" s="490" t="s">
        <v>30016</v>
      </c>
      <c r="N1969" s="490" t="s">
        <v>30017</v>
      </c>
      <c r="O1969" s="490" t="s">
        <v>30018</v>
      </c>
      <c r="P1969" s="36" t="s">
        <v>25197</v>
      </c>
    </row>
    <row r="1970" spans="1:16" ht="15" customHeight="1">
      <c r="A1970" s="132">
        <v>1969</v>
      </c>
      <c r="B1970" s="36" t="s">
        <v>25200</v>
      </c>
      <c r="C1970" s="36" t="s">
        <v>25201</v>
      </c>
      <c r="D1970" s="36" t="s">
        <v>25202</v>
      </c>
      <c r="E1970" s="36" t="s">
        <v>25203</v>
      </c>
      <c r="F1970" s="490" t="s">
        <v>30019</v>
      </c>
      <c r="G1970" s="490" t="s">
        <v>30020</v>
      </c>
      <c r="H1970" s="490" t="s">
        <v>30021</v>
      </c>
      <c r="I1970" s="490" t="s">
        <v>30022</v>
      </c>
      <c r="J1970" s="490" t="s">
        <v>30023</v>
      </c>
      <c r="K1970" s="490" t="s">
        <v>30024</v>
      </c>
      <c r="L1970" s="490" t="s">
        <v>30025</v>
      </c>
      <c r="M1970" s="490" t="s">
        <v>30026</v>
      </c>
      <c r="N1970" s="490" t="s">
        <v>30027</v>
      </c>
      <c r="O1970" s="490" t="s">
        <v>30028</v>
      </c>
      <c r="P1970" s="36" t="s">
        <v>25200</v>
      </c>
    </row>
    <row r="1971" spans="1:16" ht="15" customHeight="1">
      <c r="A1971" s="132">
        <v>1970</v>
      </c>
      <c r="B1971" s="36" t="s">
        <v>25204</v>
      </c>
      <c r="C1971" s="36" t="s">
        <v>25205</v>
      </c>
      <c r="D1971" s="36" t="s">
        <v>25206</v>
      </c>
      <c r="E1971" s="36" t="s">
        <v>25207</v>
      </c>
      <c r="F1971" s="490" t="s">
        <v>30029</v>
      </c>
      <c r="G1971" s="490" t="s">
        <v>30030</v>
      </c>
      <c r="H1971" s="490" t="s">
        <v>30031</v>
      </c>
      <c r="I1971" s="490" t="s">
        <v>30032</v>
      </c>
      <c r="J1971" s="490" t="s">
        <v>30033</v>
      </c>
      <c r="K1971" s="490" t="s">
        <v>30034</v>
      </c>
      <c r="L1971" s="490" t="s">
        <v>30035</v>
      </c>
      <c r="M1971" s="490" t="s">
        <v>30036</v>
      </c>
      <c r="N1971" s="490" t="s">
        <v>30036</v>
      </c>
      <c r="O1971" s="490" t="s">
        <v>30037</v>
      </c>
      <c r="P1971" s="36" t="s">
        <v>25204</v>
      </c>
    </row>
    <row r="1972" spans="1:16" ht="15" customHeight="1">
      <c r="A1972" s="132">
        <v>1971</v>
      </c>
      <c r="B1972" s="36" t="s">
        <v>25208</v>
      </c>
      <c r="C1972" s="490" t="s">
        <v>30038</v>
      </c>
      <c r="D1972" s="36" t="s">
        <v>25209</v>
      </c>
      <c r="E1972" s="36" t="s">
        <v>25210</v>
      </c>
      <c r="F1972" s="490" t="s">
        <v>30039</v>
      </c>
      <c r="G1972" s="490" t="s">
        <v>30040</v>
      </c>
      <c r="H1972" s="490" t="s">
        <v>30041</v>
      </c>
      <c r="I1972" s="490" t="s">
        <v>30042</v>
      </c>
      <c r="J1972" s="490" t="s">
        <v>30043</v>
      </c>
      <c r="K1972" s="490" t="s">
        <v>30044</v>
      </c>
      <c r="L1972" s="490" t="s">
        <v>30045</v>
      </c>
      <c r="M1972" s="490" t="s">
        <v>30046</v>
      </c>
      <c r="N1972" s="490" t="s">
        <v>30047</v>
      </c>
      <c r="O1972" s="490" t="s">
        <v>30048</v>
      </c>
      <c r="P1972" s="36" t="s">
        <v>25208</v>
      </c>
    </row>
    <row r="1973" spans="1:16" ht="15" customHeight="1">
      <c r="A1973" s="132">
        <v>1972</v>
      </c>
      <c r="B1973" s="36" t="s">
        <v>25211</v>
      </c>
      <c r="C1973" s="490" t="s">
        <v>30049</v>
      </c>
      <c r="D1973" s="36" t="s">
        <v>25212</v>
      </c>
      <c r="E1973" s="36" t="s">
        <v>25213</v>
      </c>
      <c r="F1973" s="490" t="s">
        <v>30050</v>
      </c>
      <c r="G1973" s="490" t="s">
        <v>30051</v>
      </c>
      <c r="H1973" s="490" t="s">
        <v>30052</v>
      </c>
      <c r="I1973" s="490" t="s">
        <v>30053</v>
      </c>
      <c r="J1973" s="490" t="s">
        <v>30054</v>
      </c>
      <c r="K1973" s="490" t="s">
        <v>30055</v>
      </c>
      <c r="L1973" s="490" t="s">
        <v>30056</v>
      </c>
      <c r="M1973" s="490" t="s">
        <v>30057</v>
      </c>
      <c r="N1973" s="490" t="s">
        <v>30058</v>
      </c>
      <c r="O1973" s="490" t="s">
        <v>30059</v>
      </c>
      <c r="P1973" s="36" t="s">
        <v>25211</v>
      </c>
    </row>
    <row r="1974" spans="1:16" ht="15" customHeight="1">
      <c r="A1974" s="132">
        <v>1973</v>
      </c>
      <c r="B1974" s="36" t="s">
        <v>25214</v>
      </c>
      <c r="C1974" s="490" t="s">
        <v>30060</v>
      </c>
      <c r="D1974" s="490" t="s">
        <v>30061</v>
      </c>
      <c r="E1974" s="36" t="s">
        <v>25215</v>
      </c>
      <c r="F1974" s="490" t="s">
        <v>30062</v>
      </c>
      <c r="G1974" s="490" t="s">
        <v>30063</v>
      </c>
      <c r="H1974" s="490" t="s">
        <v>30064</v>
      </c>
      <c r="I1974" s="490" t="s">
        <v>30065</v>
      </c>
      <c r="J1974" s="491" t="s">
        <v>30066</v>
      </c>
      <c r="K1974" s="490" t="s">
        <v>30067</v>
      </c>
      <c r="L1974" s="490" t="s">
        <v>30068</v>
      </c>
      <c r="M1974" s="490" t="s">
        <v>30069</v>
      </c>
      <c r="N1974" s="490" t="s">
        <v>30070</v>
      </c>
      <c r="O1974" s="490" t="s">
        <v>30071</v>
      </c>
      <c r="P1974" s="36" t="s">
        <v>25214</v>
      </c>
    </row>
    <row r="1975" spans="1:16" ht="15" customHeight="1">
      <c r="A1975" s="132">
        <v>1974</v>
      </c>
      <c r="B1975" s="36" t="s">
        <v>25216</v>
      </c>
      <c r="C1975" s="490" t="s">
        <v>30072</v>
      </c>
      <c r="D1975" s="36" t="s">
        <v>25217</v>
      </c>
      <c r="E1975" s="36" t="s">
        <v>25218</v>
      </c>
      <c r="F1975" s="490" t="s">
        <v>30073</v>
      </c>
      <c r="G1975" s="490" t="s">
        <v>30074</v>
      </c>
      <c r="H1975" s="490" t="s">
        <v>30075</v>
      </c>
      <c r="I1975" s="490" t="s">
        <v>30076</v>
      </c>
      <c r="J1975" s="490" t="s">
        <v>30077</v>
      </c>
      <c r="K1975" s="490" t="s">
        <v>30078</v>
      </c>
      <c r="L1975" s="490" t="s">
        <v>30079</v>
      </c>
      <c r="M1975" s="490" t="s">
        <v>30080</v>
      </c>
      <c r="N1975" s="490" t="s">
        <v>30081</v>
      </c>
      <c r="O1975" s="490" t="s">
        <v>30082</v>
      </c>
      <c r="P1975" s="36" t="s">
        <v>25216</v>
      </c>
    </row>
    <row r="1976" spans="1:16" ht="15" customHeight="1">
      <c r="A1976" s="132">
        <v>1975</v>
      </c>
      <c r="B1976" s="36" t="s">
        <v>25219</v>
      </c>
      <c r="C1976" s="36" t="s">
        <v>25220</v>
      </c>
      <c r="D1976" s="36" t="s">
        <v>25221</v>
      </c>
      <c r="E1976" s="36" t="s">
        <v>25222</v>
      </c>
      <c r="F1976" s="490" t="s">
        <v>30083</v>
      </c>
      <c r="G1976" s="490" t="s">
        <v>30084</v>
      </c>
      <c r="H1976" s="490" t="s">
        <v>30085</v>
      </c>
      <c r="I1976" s="490" t="s">
        <v>30086</v>
      </c>
      <c r="J1976" s="490" t="s">
        <v>30087</v>
      </c>
      <c r="K1976" s="490" t="s">
        <v>30088</v>
      </c>
      <c r="L1976" s="490" t="s">
        <v>30089</v>
      </c>
      <c r="M1976" s="490" t="s">
        <v>30090</v>
      </c>
      <c r="N1976" s="490" t="s">
        <v>30090</v>
      </c>
      <c r="O1976" s="490" t="s">
        <v>30091</v>
      </c>
      <c r="P1976" s="36" t="s">
        <v>25219</v>
      </c>
    </row>
    <row r="1977" spans="1:16" ht="15" customHeight="1">
      <c r="A1977" s="132">
        <v>1976</v>
      </c>
      <c r="B1977" s="36" t="s">
        <v>25223</v>
      </c>
      <c r="C1977" s="36" t="s">
        <v>25224</v>
      </c>
      <c r="D1977" s="36" t="s">
        <v>25225</v>
      </c>
      <c r="E1977" s="36" t="s">
        <v>25226</v>
      </c>
      <c r="F1977" s="490" t="s">
        <v>30092</v>
      </c>
      <c r="G1977" s="490" t="s">
        <v>30093</v>
      </c>
      <c r="H1977" s="490" t="s">
        <v>30094</v>
      </c>
      <c r="I1977" s="490" t="s">
        <v>30095</v>
      </c>
      <c r="J1977" s="490" t="s">
        <v>30096</v>
      </c>
      <c r="K1977" s="490" t="s">
        <v>30097</v>
      </c>
      <c r="L1977" s="490" t="s">
        <v>30098</v>
      </c>
      <c r="M1977" s="490" t="s">
        <v>30098</v>
      </c>
      <c r="N1977" s="490" t="s">
        <v>30098</v>
      </c>
      <c r="O1977" s="490" t="s">
        <v>30099</v>
      </c>
      <c r="P1977" s="36" t="s">
        <v>25223</v>
      </c>
    </row>
    <row r="1978" spans="1:16" ht="15" customHeight="1">
      <c r="A1978" s="132">
        <v>1977</v>
      </c>
      <c r="B1978" s="36" t="s">
        <v>25227</v>
      </c>
      <c r="C1978" s="490" t="s">
        <v>30100</v>
      </c>
      <c r="D1978" s="36" t="s">
        <v>25228</v>
      </c>
      <c r="E1978" s="36" t="s">
        <v>25229</v>
      </c>
      <c r="F1978" s="490" t="s">
        <v>30101</v>
      </c>
      <c r="G1978" s="490" t="s">
        <v>30102</v>
      </c>
      <c r="H1978" s="490" t="s">
        <v>30103</v>
      </c>
      <c r="I1978" s="490" t="s">
        <v>30104</v>
      </c>
      <c r="J1978" s="490" t="s">
        <v>30105</v>
      </c>
      <c r="K1978" s="490" t="s">
        <v>30106</v>
      </c>
      <c r="L1978" s="490" t="s">
        <v>30107</v>
      </c>
      <c r="M1978" s="490" t="s">
        <v>30108</v>
      </c>
      <c r="N1978" s="490" t="s">
        <v>30109</v>
      </c>
      <c r="O1978" s="490" t="s">
        <v>30110</v>
      </c>
      <c r="P1978" s="36" t="s">
        <v>25227</v>
      </c>
    </row>
    <row r="1979" spans="1:16" ht="15" customHeight="1">
      <c r="A1979" s="132">
        <v>1978</v>
      </c>
      <c r="B1979" s="36" t="s">
        <v>25230</v>
      </c>
      <c r="C1979" s="490" t="s">
        <v>30111</v>
      </c>
      <c r="D1979" s="36" t="s">
        <v>25231</v>
      </c>
      <c r="E1979" s="36" t="s">
        <v>25232</v>
      </c>
      <c r="F1979" s="490" t="s">
        <v>30112</v>
      </c>
      <c r="G1979" s="490" t="s">
        <v>30113</v>
      </c>
      <c r="H1979" s="490" t="s">
        <v>30114</v>
      </c>
      <c r="I1979" s="490" t="s">
        <v>30115</v>
      </c>
      <c r="J1979" s="490" t="s">
        <v>30116</v>
      </c>
      <c r="K1979" s="490" t="s">
        <v>30117</v>
      </c>
      <c r="L1979" s="490" t="s">
        <v>30118</v>
      </c>
      <c r="M1979" s="490" t="s">
        <v>30119</v>
      </c>
      <c r="N1979" s="490" t="s">
        <v>30120</v>
      </c>
      <c r="O1979" s="490" t="s">
        <v>30121</v>
      </c>
      <c r="P1979" s="36" t="s">
        <v>25230</v>
      </c>
    </row>
    <row r="1980" spans="1:16" ht="15" customHeight="1">
      <c r="A1980" s="132">
        <v>1979</v>
      </c>
      <c r="B1980" s="36" t="s">
        <v>25233</v>
      </c>
      <c r="C1980" s="490" t="s">
        <v>30122</v>
      </c>
      <c r="D1980" s="36" t="s">
        <v>25234</v>
      </c>
      <c r="E1980" s="36" t="s">
        <v>25235</v>
      </c>
      <c r="F1980" s="490" t="s">
        <v>30123</v>
      </c>
      <c r="G1980" s="490" t="s">
        <v>30124</v>
      </c>
      <c r="H1980" s="490" t="s">
        <v>30125</v>
      </c>
      <c r="I1980" s="490" t="s">
        <v>30126</v>
      </c>
      <c r="J1980" s="490" t="s">
        <v>30127</v>
      </c>
      <c r="K1980" s="490" t="s">
        <v>30128</v>
      </c>
      <c r="L1980" s="490" t="s">
        <v>30129</v>
      </c>
      <c r="M1980" s="490" t="s">
        <v>30130</v>
      </c>
      <c r="N1980" s="490" t="s">
        <v>30131</v>
      </c>
      <c r="O1980" s="490" t="s">
        <v>30132</v>
      </c>
      <c r="P1980" s="36" t="s">
        <v>25233</v>
      </c>
    </row>
    <row r="1981" spans="1:16" ht="15" customHeight="1">
      <c r="A1981" s="132">
        <v>1980</v>
      </c>
      <c r="B1981" s="36" t="s">
        <v>25236</v>
      </c>
      <c r="C1981" s="490" t="s">
        <v>30133</v>
      </c>
      <c r="D1981" s="36" t="s">
        <v>25237</v>
      </c>
      <c r="E1981" s="36" t="s">
        <v>25238</v>
      </c>
      <c r="F1981" s="490" t="s">
        <v>30134</v>
      </c>
      <c r="G1981" s="490" t="s">
        <v>30135</v>
      </c>
      <c r="H1981" s="490" t="s">
        <v>30136</v>
      </c>
      <c r="I1981" s="490" t="s">
        <v>30137</v>
      </c>
      <c r="J1981" s="490" t="s">
        <v>30138</v>
      </c>
      <c r="K1981" s="490" t="s">
        <v>30139</v>
      </c>
      <c r="L1981" s="490" t="s">
        <v>30140</v>
      </c>
      <c r="M1981" s="490" t="s">
        <v>30141</v>
      </c>
      <c r="N1981" s="490" t="s">
        <v>30142</v>
      </c>
      <c r="O1981" s="490" t="s">
        <v>30143</v>
      </c>
      <c r="P1981" s="36" t="s">
        <v>25236</v>
      </c>
    </row>
    <row r="1982" spans="1:16" ht="15" customHeight="1">
      <c r="A1982" s="132">
        <v>1981</v>
      </c>
      <c r="B1982" s="36" t="s">
        <v>25239</v>
      </c>
      <c r="C1982" s="490" t="s">
        <v>30144</v>
      </c>
      <c r="D1982" s="36" t="s">
        <v>25240</v>
      </c>
      <c r="E1982" s="36" t="s">
        <v>25241</v>
      </c>
      <c r="F1982" s="490" t="s">
        <v>30145</v>
      </c>
      <c r="G1982" s="490" t="s">
        <v>30146</v>
      </c>
      <c r="H1982" s="490" t="s">
        <v>30147</v>
      </c>
      <c r="I1982" s="490" t="s">
        <v>30148</v>
      </c>
      <c r="J1982" s="490" t="s">
        <v>30149</v>
      </c>
      <c r="K1982" s="490" t="s">
        <v>30150</v>
      </c>
      <c r="L1982" s="490" t="s">
        <v>30151</v>
      </c>
      <c r="M1982" s="490" t="s">
        <v>30152</v>
      </c>
      <c r="N1982" s="490" t="s">
        <v>30153</v>
      </c>
      <c r="O1982" s="490" t="s">
        <v>30154</v>
      </c>
      <c r="P1982" s="36" t="s">
        <v>25239</v>
      </c>
    </row>
    <row r="1983" spans="1:16" ht="15" customHeight="1">
      <c r="A1983" s="132">
        <v>1982</v>
      </c>
      <c r="B1983" s="36" t="s">
        <v>25242</v>
      </c>
      <c r="C1983" s="490" t="s">
        <v>30155</v>
      </c>
      <c r="D1983" s="36" t="s">
        <v>25243</v>
      </c>
      <c r="E1983" s="36" t="s">
        <v>25244</v>
      </c>
      <c r="F1983" s="490" t="s">
        <v>30156</v>
      </c>
      <c r="G1983" s="490" t="s">
        <v>30157</v>
      </c>
      <c r="H1983" s="490" t="s">
        <v>30158</v>
      </c>
      <c r="I1983" s="490" t="s">
        <v>30159</v>
      </c>
      <c r="J1983" s="490" t="s">
        <v>30160</v>
      </c>
      <c r="K1983" s="490" t="s">
        <v>30161</v>
      </c>
      <c r="L1983" s="490" t="s">
        <v>30162</v>
      </c>
      <c r="M1983" s="490" t="s">
        <v>30163</v>
      </c>
      <c r="N1983" s="490" t="s">
        <v>30164</v>
      </c>
      <c r="O1983" s="490" t="s">
        <v>30165</v>
      </c>
      <c r="P1983" s="36" t="s">
        <v>25242</v>
      </c>
    </row>
    <row r="1984" spans="1:16" ht="15" customHeight="1">
      <c r="A1984" s="132">
        <v>1983</v>
      </c>
      <c r="B1984" s="36" t="s">
        <v>25245</v>
      </c>
      <c r="C1984" s="490" t="s">
        <v>30166</v>
      </c>
      <c r="D1984" s="36" t="s">
        <v>25246</v>
      </c>
      <c r="E1984" s="36" t="s">
        <v>25247</v>
      </c>
      <c r="F1984" s="490" t="s">
        <v>30167</v>
      </c>
      <c r="G1984" s="490" t="s">
        <v>30168</v>
      </c>
      <c r="H1984" s="490" t="s">
        <v>30169</v>
      </c>
      <c r="I1984" s="490" t="s">
        <v>30170</v>
      </c>
      <c r="J1984" s="490" t="s">
        <v>30171</v>
      </c>
      <c r="K1984" s="490" t="s">
        <v>30172</v>
      </c>
      <c r="L1984" s="490" t="s">
        <v>30173</v>
      </c>
      <c r="M1984" s="490" t="s">
        <v>30174</v>
      </c>
      <c r="N1984" s="490" t="s">
        <v>30175</v>
      </c>
      <c r="O1984" s="490" t="s">
        <v>30176</v>
      </c>
      <c r="P1984" s="36" t="s">
        <v>25245</v>
      </c>
    </row>
    <row r="1985" spans="1:16" ht="15" customHeight="1">
      <c r="A1985" s="132">
        <v>1984</v>
      </c>
      <c r="B1985" s="36" t="s">
        <v>25248</v>
      </c>
      <c r="C1985" s="490" t="s">
        <v>30177</v>
      </c>
      <c r="D1985" s="36" t="s">
        <v>25249</v>
      </c>
      <c r="E1985" s="36" t="s">
        <v>25250</v>
      </c>
      <c r="F1985" s="490" t="s">
        <v>30178</v>
      </c>
      <c r="G1985" s="490" t="s">
        <v>30179</v>
      </c>
      <c r="H1985" s="490" t="s">
        <v>30180</v>
      </c>
      <c r="I1985" s="490" t="s">
        <v>30181</v>
      </c>
      <c r="J1985" s="490" t="s">
        <v>30182</v>
      </c>
      <c r="K1985" s="490" t="s">
        <v>30183</v>
      </c>
      <c r="L1985" s="490" t="s">
        <v>30184</v>
      </c>
      <c r="M1985" s="490" t="s">
        <v>30185</v>
      </c>
      <c r="N1985" s="490" t="s">
        <v>30186</v>
      </c>
      <c r="O1985" s="490" t="s">
        <v>30187</v>
      </c>
      <c r="P1985" s="36" t="s">
        <v>25248</v>
      </c>
    </row>
    <row r="1986" spans="1:16" ht="15" customHeight="1">
      <c r="A1986" s="132">
        <v>1985</v>
      </c>
      <c r="B1986" s="36" t="s">
        <v>25251</v>
      </c>
      <c r="C1986" s="490" t="s">
        <v>30188</v>
      </c>
      <c r="D1986" s="36" t="s">
        <v>25252</v>
      </c>
      <c r="E1986" s="36" t="s">
        <v>25253</v>
      </c>
      <c r="F1986" s="490" t="s">
        <v>30189</v>
      </c>
      <c r="G1986" s="490" t="s">
        <v>30190</v>
      </c>
      <c r="H1986" s="490" t="s">
        <v>30191</v>
      </c>
      <c r="I1986" s="490" t="s">
        <v>30192</v>
      </c>
      <c r="J1986" s="490" t="s">
        <v>30193</v>
      </c>
      <c r="K1986" s="490" t="s">
        <v>30194</v>
      </c>
      <c r="L1986" s="490" t="s">
        <v>30195</v>
      </c>
      <c r="M1986" s="490" t="s">
        <v>30196</v>
      </c>
      <c r="N1986" s="490" t="s">
        <v>30197</v>
      </c>
      <c r="O1986" s="490" t="s">
        <v>30198</v>
      </c>
      <c r="P1986" s="36" t="s">
        <v>25251</v>
      </c>
    </row>
    <row r="1987" spans="1:16" ht="15" customHeight="1">
      <c r="A1987" s="132">
        <v>1986</v>
      </c>
      <c r="B1987" s="36" t="s">
        <v>25254</v>
      </c>
      <c r="C1987" s="490" t="s">
        <v>30199</v>
      </c>
      <c r="D1987" s="36" t="s">
        <v>25255</v>
      </c>
      <c r="E1987" s="36" t="s">
        <v>25256</v>
      </c>
      <c r="F1987" s="490" t="s">
        <v>30200</v>
      </c>
      <c r="G1987" s="490" t="s">
        <v>30201</v>
      </c>
      <c r="H1987" s="490" t="s">
        <v>30202</v>
      </c>
      <c r="I1987" s="490" t="s">
        <v>30203</v>
      </c>
      <c r="J1987" s="490" t="s">
        <v>30204</v>
      </c>
      <c r="K1987" s="490" t="s">
        <v>30205</v>
      </c>
      <c r="L1987" s="490" t="s">
        <v>30206</v>
      </c>
      <c r="M1987" s="490" t="s">
        <v>30207</v>
      </c>
      <c r="N1987" s="490" t="s">
        <v>30208</v>
      </c>
      <c r="O1987" s="490" t="s">
        <v>30209</v>
      </c>
      <c r="P1987" s="36" t="s">
        <v>25254</v>
      </c>
    </row>
    <row r="1988" spans="1:16" ht="15" customHeight="1">
      <c r="A1988" s="132">
        <v>1987</v>
      </c>
      <c r="B1988" s="36" t="s">
        <v>25257</v>
      </c>
      <c r="C1988" s="490" t="s">
        <v>30210</v>
      </c>
      <c r="D1988" s="36" t="s">
        <v>25258</v>
      </c>
      <c r="E1988" s="36" t="s">
        <v>25259</v>
      </c>
      <c r="F1988" s="490" t="s">
        <v>30211</v>
      </c>
      <c r="G1988" s="490" t="s">
        <v>30212</v>
      </c>
      <c r="H1988" s="490" t="s">
        <v>30213</v>
      </c>
      <c r="I1988" s="490" t="s">
        <v>30214</v>
      </c>
      <c r="J1988" s="490" t="s">
        <v>30215</v>
      </c>
      <c r="K1988" s="490" t="s">
        <v>30216</v>
      </c>
      <c r="L1988" s="490" t="s">
        <v>30217</v>
      </c>
      <c r="M1988" s="490" t="s">
        <v>30218</v>
      </c>
      <c r="N1988" s="490" t="s">
        <v>30219</v>
      </c>
      <c r="O1988" s="490" t="s">
        <v>30220</v>
      </c>
      <c r="P1988" s="36" t="s">
        <v>25257</v>
      </c>
    </row>
    <row r="1989" spans="1:16" ht="15" customHeight="1">
      <c r="A1989" s="132">
        <v>1988</v>
      </c>
      <c r="B1989" s="36" t="s">
        <v>25260</v>
      </c>
      <c r="C1989" s="490" t="s">
        <v>30221</v>
      </c>
      <c r="D1989" s="36" t="s">
        <v>25261</v>
      </c>
      <c r="E1989" s="36" t="s">
        <v>25262</v>
      </c>
      <c r="F1989" s="490" t="s">
        <v>30222</v>
      </c>
      <c r="G1989" s="490" t="s">
        <v>30223</v>
      </c>
      <c r="H1989" s="490" t="s">
        <v>30224</v>
      </c>
      <c r="I1989" s="490" t="s">
        <v>30225</v>
      </c>
      <c r="J1989" s="490" t="s">
        <v>30226</v>
      </c>
      <c r="K1989" s="490" t="s">
        <v>30227</v>
      </c>
      <c r="L1989" s="490" t="s">
        <v>30228</v>
      </c>
      <c r="M1989" s="490" t="s">
        <v>30229</v>
      </c>
      <c r="N1989" s="490" t="s">
        <v>30230</v>
      </c>
      <c r="O1989" s="490" t="s">
        <v>30231</v>
      </c>
      <c r="P1989" s="36" t="s">
        <v>25260</v>
      </c>
    </row>
    <row r="1990" spans="1:16" ht="15" customHeight="1">
      <c r="A1990" s="132">
        <v>1989</v>
      </c>
      <c r="B1990" s="36" t="s">
        <v>25263</v>
      </c>
      <c r="C1990" s="490" t="s">
        <v>30232</v>
      </c>
      <c r="D1990" s="36" t="s">
        <v>25264</v>
      </c>
      <c r="E1990" s="36" t="s">
        <v>25265</v>
      </c>
      <c r="F1990" s="490" t="s">
        <v>30233</v>
      </c>
      <c r="G1990" s="490" t="s">
        <v>30234</v>
      </c>
      <c r="H1990" s="490" t="s">
        <v>30235</v>
      </c>
      <c r="I1990" s="490" t="s">
        <v>30236</v>
      </c>
      <c r="J1990" s="490" t="s">
        <v>30237</v>
      </c>
      <c r="K1990" s="490" t="s">
        <v>30238</v>
      </c>
      <c r="L1990" s="490" t="s">
        <v>30239</v>
      </c>
      <c r="M1990" s="490" t="s">
        <v>30240</v>
      </c>
      <c r="N1990" s="490" t="s">
        <v>30241</v>
      </c>
      <c r="O1990" s="490" t="s">
        <v>30242</v>
      </c>
      <c r="P1990" s="36" t="s">
        <v>25263</v>
      </c>
    </row>
    <row r="1991" spans="1:16" ht="15" customHeight="1">
      <c r="A1991" s="132">
        <v>1990</v>
      </c>
      <c r="B1991" s="36" t="s">
        <v>25266</v>
      </c>
      <c r="C1991" s="490" t="s">
        <v>30243</v>
      </c>
      <c r="D1991" s="36" t="s">
        <v>25267</v>
      </c>
      <c r="E1991" s="36" t="s">
        <v>25268</v>
      </c>
      <c r="F1991" s="490" t="s">
        <v>30244</v>
      </c>
      <c r="G1991" s="490" t="s">
        <v>30245</v>
      </c>
      <c r="H1991" s="490" t="s">
        <v>30246</v>
      </c>
      <c r="I1991" s="490" t="s">
        <v>30247</v>
      </c>
      <c r="J1991" s="490" t="s">
        <v>30248</v>
      </c>
      <c r="K1991" s="490" t="s">
        <v>30249</v>
      </c>
      <c r="L1991" s="490" t="s">
        <v>30250</v>
      </c>
      <c r="M1991" s="491" t="s">
        <v>30251</v>
      </c>
      <c r="N1991" s="491" t="s">
        <v>30251</v>
      </c>
      <c r="O1991" s="491" t="s">
        <v>30252</v>
      </c>
      <c r="P1991" s="36" t="s">
        <v>25266</v>
      </c>
    </row>
    <row r="1992" spans="1:16" ht="15" customHeight="1">
      <c r="A1992" s="132">
        <v>1991</v>
      </c>
      <c r="B1992" s="36" t="s">
        <v>25269</v>
      </c>
      <c r="C1992" s="490" t="s">
        <v>30253</v>
      </c>
      <c r="D1992" s="490" t="s">
        <v>30254</v>
      </c>
      <c r="E1992" s="36" t="s">
        <v>25270</v>
      </c>
      <c r="F1992" s="490" t="s">
        <v>30255</v>
      </c>
      <c r="G1992" s="490" t="s">
        <v>30256</v>
      </c>
      <c r="H1992" s="490" t="s">
        <v>30257</v>
      </c>
      <c r="I1992" s="490" t="s">
        <v>30258</v>
      </c>
      <c r="J1992" s="490" t="s">
        <v>30259</v>
      </c>
      <c r="K1992" s="490" t="s">
        <v>30260</v>
      </c>
      <c r="L1992" s="490" t="s">
        <v>30261</v>
      </c>
      <c r="M1992" s="491" t="s">
        <v>30262</v>
      </c>
      <c r="N1992" s="491" t="s">
        <v>30263</v>
      </c>
      <c r="O1992" s="491" t="s">
        <v>30264</v>
      </c>
      <c r="P1992" s="36" t="s">
        <v>25269</v>
      </c>
    </row>
    <row r="1993" spans="1:16" ht="15" customHeight="1">
      <c r="A1993" s="132">
        <v>1992</v>
      </c>
      <c r="B1993" s="36" t="s">
        <v>25271</v>
      </c>
      <c r="C1993" s="490" t="s">
        <v>30265</v>
      </c>
      <c r="D1993" s="36" t="s">
        <v>25272</v>
      </c>
      <c r="E1993" s="36" t="s">
        <v>25273</v>
      </c>
      <c r="F1993" s="490" t="s">
        <v>30266</v>
      </c>
      <c r="G1993" s="490" t="s">
        <v>30267</v>
      </c>
      <c r="H1993" s="490" t="s">
        <v>30268</v>
      </c>
      <c r="I1993" s="490" t="s">
        <v>30269</v>
      </c>
      <c r="J1993" s="490" t="s">
        <v>30270</v>
      </c>
      <c r="K1993" s="490" t="s">
        <v>30271</v>
      </c>
      <c r="L1993" s="490" t="s">
        <v>30272</v>
      </c>
      <c r="M1993" s="491" t="s">
        <v>30273</v>
      </c>
      <c r="N1993" s="491" t="s">
        <v>30274</v>
      </c>
      <c r="O1993" s="491" t="s">
        <v>30275</v>
      </c>
      <c r="P1993" s="36" t="s">
        <v>25271</v>
      </c>
    </row>
    <row r="1994" spans="1:16" ht="15" customHeight="1">
      <c r="A1994" s="132">
        <v>1993</v>
      </c>
      <c r="B1994" s="36" t="s">
        <v>25274</v>
      </c>
      <c r="C1994" s="491" t="s">
        <v>30276</v>
      </c>
      <c r="D1994" s="36" t="s">
        <v>25275</v>
      </c>
      <c r="E1994" s="36" t="s">
        <v>25276</v>
      </c>
      <c r="F1994" s="491" t="s">
        <v>30277</v>
      </c>
      <c r="G1994" s="491" t="s">
        <v>30278</v>
      </c>
      <c r="H1994" s="491" t="s">
        <v>30279</v>
      </c>
      <c r="I1994" s="490" t="s">
        <v>30280</v>
      </c>
      <c r="J1994" s="490" t="s">
        <v>30281</v>
      </c>
      <c r="K1994" s="491" t="s">
        <v>30282</v>
      </c>
      <c r="L1994" s="491" t="s">
        <v>30283</v>
      </c>
      <c r="M1994" s="490" t="s">
        <v>30284</v>
      </c>
      <c r="N1994" s="490" t="s">
        <v>30285</v>
      </c>
      <c r="O1994" s="491" t="s">
        <v>30286</v>
      </c>
      <c r="P1994" s="36" t="s">
        <v>25274</v>
      </c>
    </row>
    <row r="1995" spans="1:16" ht="15" customHeight="1">
      <c r="A1995" s="132">
        <v>1994</v>
      </c>
      <c r="B1995" s="36" t="s">
        <v>25277</v>
      </c>
      <c r="C1995" s="491" t="s">
        <v>30287</v>
      </c>
      <c r="D1995" s="36" t="s">
        <v>25278</v>
      </c>
      <c r="E1995" s="36" t="s">
        <v>25279</v>
      </c>
      <c r="F1995" s="491" t="s">
        <v>30288</v>
      </c>
      <c r="G1995" s="491" t="s">
        <v>30289</v>
      </c>
      <c r="H1995" s="491" t="s">
        <v>30290</v>
      </c>
      <c r="I1995" s="490" t="s">
        <v>30291</v>
      </c>
      <c r="J1995" s="490" t="s">
        <v>30292</v>
      </c>
      <c r="K1995" s="491" t="s">
        <v>30293</v>
      </c>
      <c r="L1995" s="491" t="s">
        <v>30294</v>
      </c>
      <c r="M1995" s="490" t="s">
        <v>30295</v>
      </c>
      <c r="N1995" s="490" t="s">
        <v>30296</v>
      </c>
      <c r="O1995" s="491" t="s">
        <v>30297</v>
      </c>
      <c r="P1995" s="36" t="s">
        <v>25277</v>
      </c>
    </row>
    <row r="1996" spans="1:16" ht="15" customHeight="1">
      <c r="A1996" s="132">
        <v>1995</v>
      </c>
      <c r="B1996" s="36" t="s">
        <v>25280</v>
      </c>
      <c r="C1996" s="491" t="s">
        <v>30298</v>
      </c>
      <c r="D1996" s="36" t="s">
        <v>25281</v>
      </c>
      <c r="E1996" s="36" t="s">
        <v>15190</v>
      </c>
      <c r="F1996" s="491" t="s">
        <v>30299</v>
      </c>
      <c r="G1996" s="491" t="s">
        <v>30300</v>
      </c>
      <c r="H1996" s="491" t="s">
        <v>30301</v>
      </c>
      <c r="I1996" s="490" t="s">
        <v>30299</v>
      </c>
      <c r="J1996" s="490" t="s">
        <v>30302</v>
      </c>
      <c r="K1996" s="491" t="s">
        <v>30303</v>
      </c>
      <c r="L1996" s="491" t="s">
        <v>15198</v>
      </c>
      <c r="M1996" s="490" t="s">
        <v>30304</v>
      </c>
      <c r="N1996" s="490" t="s">
        <v>30304</v>
      </c>
      <c r="O1996" s="491" t="s">
        <v>30305</v>
      </c>
      <c r="P1996" s="36" t="s">
        <v>25280</v>
      </c>
    </row>
    <row r="1997" spans="1:16" ht="15" customHeight="1">
      <c r="A1997" s="132">
        <v>1996</v>
      </c>
      <c r="B1997" s="36" t="s">
        <v>25282</v>
      </c>
      <c r="C1997" s="491" t="s">
        <v>30306</v>
      </c>
      <c r="D1997" s="36" t="s">
        <v>25264</v>
      </c>
      <c r="E1997" s="36" t="s">
        <v>25283</v>
      </c>
      <c r="F1997" s="491" t="s">
        <v>30307</v>
      </c>
      <c r="G1997" s="491" t="s">
        <v>30308</v>
      </c>
      <c r="H1997" s="491" t="s">
        <v>30309</v>
      </c>
      <c r="I1997" s="490" t="s">
        <v>30310</v>
      </c>
      <c r="J1997" s="490" t="s">
        <v>30311</v>
      </c>
      <c r="K1997" s="491" t="s">
        <v>30312</v>
      </c>
      <c r="L1997" s="491" t="s">
        <v>30313</v>
      </c>
      <c r="M1997" s="490" t="s">
        <v>30314</v>
      </c>
      <c r="N1997" s="490" t="s">
        <v>30315</v>
      </c>
      <c r="O1997" s="491" t="s">
        <v>30316</v>
      </c>
      <c r="P1997" s="36" t="s">
        <v>25282</v>
      </c>
    </row>
    <row r="1998" spans="1:16" ht="15" customHeight="1">
      <c r="A1998" s="132">
        <v>1997</v>
      </c>
      <c r="B1998" s="36" t="s">
        <v>25284</v>
      </c>
      <c r="C1998" s="491" t="s">
        <v>30317</v>
      </c>
      <c r="D1998" s="36" t="s">
        <v>25285</v>
      </c>
      <c r="E1998" s="36" t="s">
        <v>25286</v>
      </c>
      <c r="F1998" s="491" t="s">
        <v>30318</v>
      </c>
      <c r="G1998" s="491" t="s">
        <v>30319</v>
      </c>
      <c r="H1998" s="491" t="s">
        <v>30320</v>
      </c>
      <c r="I1998" s="490" t="s">
        <v>30321</v>
      </c>
      <c r="J1998" s="490" t="s">
        <v>30322</v>
      </c>
      <c r="K1998" s="491" t="s">
        <v>30323</v>
      </c>
      <c r="L1998" s="491" t="s">
        <v>30324</v>
      </c>
      <c r="M1998" s="490" t="s">
        <v>30325</v>
      </c>
      <c r="N1998" s="490" t="s">
        <v>30326</v>
      </c>
      <c r="O1998" s="491" t="s">
        <v>30327</v>
      </c>
      <c r="P1998" s="36" t="s">
        <v>25284</v>
      </c>
    </row>
    <row r="1999" spans="1:16" s="492" customFormat="1" ht="15" customHeight="1">
      <c r="A1999" s="132">
        <v>1998</v>
      </c>
      <c r="B1999" s="36" t="s">
        <v>25287</v>
      </c>
      <c r="C1999" s="490" t="s">
        <v>30328</v>
      </c>
      <c r="D1999" s="36" t="s">
        <v>25288</v>
      </c>
      <c r="E1999" s="36" t="s">
        <v>25289</v>
      </c>
      <c r="F1999" s="491" t="s">
        <v>30329</v>
      </c>
      <c r="G1999" s="490" t="s">
        <v>30330</v>
      </c>
      <c r="H1999" s="490" t="s">
        <v>30331</v>
      </c>
      <c r="I1999" s="490" t="s">
        <v>30332</v>
      </c>
      <c r="J1999" s="490" t="s">
        <v>30333</v>
      </c>
      <c r="K1999" s="491" t="s">
        <v>30334</v>
      </c>
      <c r="L1999" s="490" t="s">
        <v>30335</v>
      </c>
      <c r="M1999" s="490" t="s">
        <v>30336</v>
      </c>
      <c r="N1999" s="490" t="s">
        <v>30337</v>
      </c>
      <c r="O1999" s="490" t="s">
        <v>30338</v>
      </c>
      <c r="P1999" s="36" t="s">
        <v>25287</v>
      </c>
    </row>
    <row r="2000" spans="1:16" ht="15" customHeight="1">
      <c r="A2000" s="132">
        <v>1999</v>
      </c>
      <c r="B2000" s="36" t="s">
        <v>25290</v>
      </c>
      <c r="C2000" s="490" t="s">
        <v>30339</v>
      </c>
      <c r="D2000" s="36" t="s">
        <v>25291</v>
      </c>
      <c r="E2000" s="36" t="s">
        <v>25292</v>
      </c>
      <c r="F2000" s="491" t="s">
        <v>30340</v>
      </c>
      <c r="G2000" s="490" t="s">
        <v>30341</v>
      </c>
      <c r="H2000" s="490" t="s">
        <v>30342</v>
      </c>
      <c r="I2000" s="490" t="s">
        <v>30343</v>
      </c>
      <c r="J2000" s="490" t="s">
        <v>30344</v>
      </c>
      <c r="K2000" s="491" t="s">
        <v>30345</v>
      </c>
      <c r="L2000" s="490" t="s">
        <v>30346</v>
      </c>
      <c r="M2000" s="490" t="s">
        <v>30347</v>
      </c>
      <c r="N2000" s="490" t="s">
        <v>30348</v>
      </c>
      <c r="O2000" s="490" t="s">
        <v>30349</v>
      </c>
      <c r="P2000" s="36" t="s">
        <v>25290</v>
      </c>
    </row>
    <row r="2001" spans="1:16" ht="15" customHeight="1">
      <c r="A2001" s="132">
        <v>2000</v>
      </c>
      <c r="B2001" s="36" t="s">
        <v>25293</v>
      </c>
      <c r="C2001" s="490" t="s">
        <v>30350</v>
      </c>
      <c r="D2001" s="490" t="s">
        <v>30351</v>
      </c>
      <c r="E2001" s="36" t="s">
        <v>25294</v>
      </c>
      <c r="F2001" s="491" t="s">
        <v>30352</v>
      </c>
      <c r="G2001" s="490" t="s">
        <v>30353</v>
      </c>
      <c r="H2001" s="490" t="s">
        <v>30354</v>
      </c>
      <c r="I2001" s="490" t="s">
        <v>30355</v>
      </c>
      <c r="J2001" s="490" t="s">
        <v>30356</v>
      </c>
      <c r="K2001" s="491" t="s">
        <v>30357</v>
      </c>
      <c r="L2001" s="490" t="s">
        <v>30358</v>
      </c>
      <c r="M2001" s="490" t="s">
        <v>30359</v>
      </c>
      <c r="N2001" s="490" t="s">
        <v>30360</v>
      </c>
      <c r="O2001" s="490" t="s">
        <v>30361</v>
      </c>
      <c r="P2001" s="36" t="s">
        <v>25293</v>
      </c>
    </row>
    <row r="2002" spans="1:16" ht="15" customHeight="1">
      <c r="A2002" s="132">
        <v>2001</v>
      </c>
      <c r="B2002" s="36" t="s">
        <v>25295</v>
      </c>
      <c r="C2002" s="490" t="s">
        <v>30362</v>
      </c>
      <c r="D2002" s="490" t="s">
        <v>30363</v>
      </c>
      <c r="E2002" s="36" t="s">
        <v>25296</v>
      </c>
      <c r="F2002" s="491" t="s">
        <v>30364</v>
      </c>
      <c r="G2002" s="490" t="s">
        <v>30365</v>
      </c>
      <c r="H2002" s="490" t="s">
        <v>30366</v>
      </c>
      <c r="I2002" s="490" t="s">
        <v>30367</v>
      </c>
      <c r="J2002" s="490" t="s">
        <v>30368</v>
      </c>
      <c r="K2002" s="491" t="s">
        <v>30369</v>
      </c>
      <c r="L2002" s="490" t="s">
        <v>30370</v>
      </c>
      <c r="M2002" s="490" t="s">
        <v>30371</v>
      </c>
      <c r="N2002" s="490" t="s">
        <v>30372</v>
      </c>
      <c r="O2002" s="490" t="s">
        <v>30373</v>
      </c>
      <c r="P2002" s="36" t="s">
        <v>25295</v>
      </c>
    </row>
    <row r="2003" spans="1:16" ht="15" customHeight="1">
      <c r="A2003" s="132">
        <v>2002</v>
      </c>
      <c r="B2003" s="36" t="s">
        <v>25297</v>
      </c>
      <c r="C2003" s="490" t="s">
        <v>30374</v>
      </c>
      <c r="D2003" s="490" t="s">
        <v>30375</v>
      </c>
      <c r="E2003" s="36" t="s">
        <v>25298</v>
      </c>
      <c r="F2003" s="491" t="s">
        <v>30376</v>
      </c>
      <c r="G2003" s="490" t="s">
        <v>30377</v>
      </c>
      <c r="H2003" s="490" t="s">
        <v>30378</v>
      </c>
      <c r="I2003" s="490" t="s">
        <v>30379</v>
      </c>
      <c r="J2003" s="490" t="s">
        <v>30380</v>
      </c>
      <c r="K2003" s="491" t="s">
        <v>30381</v>
      </c>
      <c r="L2003" s="490" t="s">
        <v>30382</v>
      </c>
      <c r="M2003" s="490" t="s">
        <v>30383</v>
      </c>
      <c r="N2003" s="490" t="s">
        <v>30384</v>
      </c>
      <c r="O2003" s="490" t="s">
        <v>30385</v>
      </c>
      <c r="P2003" s="36" t="s">
        <v>25297</v>
      </c>
    </row>
    <row r="2004" spans="1:16" ht="15" customHeight="1">
      <c r="A2004" s="132">
        <v>2003</v>
      </c>
      <c r="B2004" s="36" t="s">
        <v>25299</v>
      </c>
      <c r="C2004" s="490" t="s">
        <v>30386</v>
      </c>
      <c r="D2004" s="490" t="s">
        <v>30387</v>
      </c>
      <c r="E2004" s="36" t="s">
        <v>25300</v>
      </c>
      <c r="F2004" s="491" t="s">
        <v>30388</v>
      </c>
      <c r="G2004" s="490" t="s">
        <v>30389</v>
      </c>
      <c r="H2004" s="490" t="s">
        <v>30390</v>
      </c>
      <c r="I2004" s="490" t="s">
        <v>30391</v>
      </c>
      <c r="J2004" s="490" t="s">
        <v>30392</v>
      </c>
      <c r="K2004" s="491" t="s">
        <v>30393</v>
      </c>
      <c r="L2004" s="490" t="s">
        <v>30394</v>
      </c>
      <c r="M2004" s="490" t="s">
        <v>30395</v>
      </c>
      <c r="N2004" s="490" t="s">
        <v>30396</v>
      </c>
      <c r="O2004" s="490" t="s">
        <v>30397</v>
      </c>
      <c r="P2004" s="36" t="s">
        <v>25299</v>
      </c>
    </row>
    <row r="2005" spans="1:16" ht="15" customHeight="1">
      <c r="A2005" s="132">
        <v>2004</v>
      </c>
      <c r="B2005" s="36" t="s">
        <v>25301</v>
      </c>
      <c r="C2005" s="490" t="s">
        <v>30398</v>
      </c>
      <c r="D2005" s="490" t="s">
        <v>30399</v>
      </c>
      <c r="E2005" s="36" t="s">
        <v>25302</v>
      </c>
      <c r="F2005" s="491" t="s">
        <v>30400</v>
      </c>
      <c r="G2005" s="490" t="s">
        <v>30401</v>
      </c>
      <c r="H2005" s="490" t="s">
        <v>30402</v>
      </c>
      <c r="I2005" s="490" t="s">
        <v>30403</v>
      </c>
      <c r="J2005" s="490" t="s">
        <v>30404</v>
      </c>
      <c r="K2005" s="491" t="s">
        <v>30405</v>
      </c>
      <c r="L2005" s="490" t="s">
        <v>30406</v>
      </c>
      <c r="M2005" s="490" t="s">
        <v>30407</v>
      </c>
      <c r="N2005" s="490" t="s">
        <v>30408</v>
      </c>
      <c r="O2005" s="490" t="s">
        <v>30409</v>
      </c>
      <c r="P2005" s="36" t="s">
        <v>25301</v>
      </c>
    </row>
    <row r="2006" spans="1:16" ht="15" customHeight="1">
      <c r="A2006" s="132">
        <v>2005</v>
      </c>
      <c r="B2006" s="36" t="s">
        <v>25303</v>
      </c>
      <c r="C2006" s="490" t="s">
        <v>30410</v>
      </c>
      <c r="D2006" s="490" t="s">
        <v>30411</v>
      </c>
      <c r="E2006" s="36" t="s">
        <v>25304</v>
      </c>
      <c r="F2006" s="491" t="s">
        <v>30412</v>
      </c>
      <c r="G2006" s="490" t="s">
        <v>30413</v>
      </c>
      <c r="H2006" s="490" t="s">
        <v>30414</v>
      </c>
      <c r="I2006" s="490" t="s">
        <v>30415</v>
      </c>
      <c r="J2006" s="490" t="s">
        <v>30416</v>
      </c>
      <c r="K2006" s="491" t="s">
        <v>30417</v>
      </c>
      <c r="L2006" s="490" t="s">
        <v>30418</v>
      </c>
      <c r="M2006" s="490" t="s">
        <v>30419</v>
      </c>
      <c r="N2006" s="490" t="s">
        <v>30420</v>
      </c>
      <c r="O2006" s="490" t="s">
        <v>30421</v>
      </c>
      <c r="P2006" s="36" t="s">
        <v>25303</v>
      </c>
    </row>
    <row r="2007" spans="1:16" ht="15" customHeight="1">
      <c r="A2007" s="132">
        <v>2006</v>
      </c>
      <c r="B2007" s="36" t="s">
        <v>25305</v>
      </c>
      <c r="C2007" s="490" t="s">
        <v>30422</v>
      </c>
      <c r="D2007" s="490" t="s">
        <v>30423</v>
      </c>
      <c r="E2007" s="36" t="s">
        <v>25306</v>
      </c>
      <c r="F2007" s="491" t="s">
        <v>30424</v>
      </c>
      <c r="G2007" s="490" t="s">
        <v>30425</v>
      </c>
      <c r="H2007" s="490" t="s">
        <v>30426</v>
      </c>
      <c r="I2007" s="490" t="s">
        <v>30427</v>
      </c>
      <c r="J2007" s="490" t="s">
        <v>30428</v>
      </c>
      <c r="K2007" s="491" t="s">
        <v>30429</v>
      </c>
      <c r="L2007" s="490" t="s">
        <v>30430</v>
      </c>
      <c r="M2007" s="490" t="s">
        <v>30431</v>
      </c>
      <c r="N2007" s="490" t="s">
        <v>30432</v>
      </c>
      <c r="O2007" s="490" t="s">
        <v>30433</v>
      </c>
      <c r="P2007" s="36" t="s">
        <v>25305</v>
      </c>
    </row>
    <row r="2008" spans="1:16" ht="15" customHeight="1">
      <c r="A2008" s="132">
        <v>2007</v>
      </c>
      <c r="B2008" s="36" t="s">
        <v>25307</v>
      </c>
      <c r="C2008" s="490" t="s">
        <v>30434</v>
      </c>
      <c r="D2008" s="490" t="s">
        <v>30435</v>
      </c>
      <c r="E2008" s="36" t="s">
        <v>25308</v>
      </c>
      <c r="F2008" s="491" t="s">
        <v>30436</v>
      </c>
      <c r="G2008" s="490" t="s">
        <v>30437</v>
      </c>
      <c r="H2008" s="490" t="s">
        <v>30438</v>
      </c>
      <c r="I2008" s="490" t="s">
        <v>30439</v>
      </c>
      <c r="J2008" s="490" t="s">
        <v>30440</v>
      </c>
      <c r="K2008" s="491" t="s">
        <v>30441</v>
      </c>
      <c r="L2008" s="490" t="s">
        <v>30442</v>
      </c>
      <c r="M2008" s="490" t="s">
        <v>30443</v>
      </c>
      <c r="N2008" s="490" t="s">
        <v>30444</v>
      </c>
      <c r="O2008" s="490" t="s">
        <v>30445</v>
      </c>
      <c r="P2008" s="36" t="s">
        <v>25307</v>
      </c>
    </row>
    <row r="2009" spans="1:16" s="492" customFormat="1" ht="15" customHeight="1">
      <c r="A2009" s="132">
        <v>2008</v>
      </c>
      <c r="B2009" s="36" t="s">
        <v>25309</v>
      </c>
      <c r="C2009" s="490" t="s">
        <v>30446</v>
      </c>
      <c r="D2009" s="490" t="s">
        <v>30447</v>
      </c>
      <c r="E2009" s="36" t="s">
        <v>25310</v>
      </c>
      <c r="F2009" s="491" t="s">
        <v>30448</v>
      </c>
      <c r="G2009" s="490" t="s">
        <v>30449</v>
      </c>
      <c r="H2009" s="490" t="s">
        <v>30450</v>
      </c>
      <c r="I2009" s="490" t="s">
        <v>30451</v>
      </c>
      <c r="J2009" s="490" t="s">
        <v>30452</v>
      </c>
      <c r="K2009" s="491" t="s">
        <v>30453</v>
      </c>
      <c r="L2009" s="490" t="s">
        <v>30454</v>
      </c>
      <c r="M2009" s="491" t="s">
        <v>30455</v>
      </c>
      <c r="N2009" s="490" t="s">
        <v>30456</v>
      </c>
      <c r="O2009" s="490" t="s">
        <v>30457</v>
      </c>
      <c r="P2009" s="36" t="s">
        <v>25309</v>
      </c>
    </row>
    <row r="2010" spans="1:16" ht="22.95" customHeight="1">
      <c r="A2010" s="132">
        <v>2009</v>
      </c>
      <c r="B2010" s="116" t="s">
        <v>25311</v>
      </c>
      <c r="C2010" s="491" t="s">
        <v>30458</v>
      </c>
      <c r="D2010" s="491" t="s">
        <v>30459</v>
      </c>
      <c r="E2010" s="36" t="s">
        <v>25312</v>
      </c>
      <c r="F2010" s="491" t="s">
        <v>30460</v>
      </c>
      <c r="G2010" s="490" t="s">
        <v>30461</v>
      </c>
      <c r="H2010" s="490" t="s">
        <v>30462</v>
      </c>
      <c r="I2010" s="490" t="s">
        <v>30463</v>
      </c>
      <c r="J2010" s="490" t="s">
        <v>30464</v>
      </c>
      <c r="K2010" s="490" t="s">
        <v>30465</v>
      </c>
      <c r="L2010" s="490" t="s">
        <v>30466</v>
      </c>
      <c r="M2010" s="490" t="s">
        <v>30467</v>
      </c>
      <c r="N2010" s="490" t="s">
        <v>30468</v>
      </c>
      <c r="O2010" s="490" t="s">
        <v>30469</v>
      </c>
      <c r="P2010" s="36" t="s">
        <v>25311</v>
      </c>
    </row>
    <row r="2011" spans="1:16" ht="15" customHeight="1">
      <c r="A2011" s="132">
        <v>2010</v>
      </c>
      <c r="B2011" s="36" t="s">
        <v>25313</v>
      </c>
      <c r="C2011" s="36" t="s">
        <v>25314</v>
      </c>
      <c r="D2011" s="36" t="s">
        <v>25315</v>
      </c>
      <c r="E2011" s="36" t="s">
        <v>25316</v>
      </c>
      <c r="F2011" s="490" t="s">
        <v>30470</v>
      </c>
      <c r="G2011" s="490" t="s">
        <v>30471</v>
      </c>
      <c r="H2011" s="490" t="s">
        <v>30472</v>
      </c>
      <c r="I2011" s="490" t="s">
        <v>30473</v>
      </c>
      <c r="J2011" s="490" t="s">
        <v>30474</v>
      </c>
      <c r="K2011" s="490" t="s">
        <v>30475</v>
      </c>
      <c r="L2011" s="490" t="s">
        <v>30476</v>
      </c>
      <c r="M2011" s="490" t="s">
        <v>30477</v>
      </c>
      <c r="N2011" s="490" t="s">
        <v>30476</v>
      </c>
      <c r="O2011" s="490" t="s">
        <v>30478</v>
      </c>
      <c r="P2011" s="36" t="s">
        <v>25313</v>
      </c>
    </row>
    <row r="2012" spans="1:16" ht="15" customHeight="1">
      <c r="A2012" s="132">
        <v>2011</v>
      </c>
      <c r="B2012" s="36" t="s">
        <v>25317</v>
      </c>
      <c r="C2012" s="491" t="s">
        <v>30479</v>
      </c>
      <c r="D2012" s="36" t="s">
        <v>25318</v>
      </c>
      <c r="E2012" s="36" t="s">
        <v>25319</v>
      </c>
      <c r="F2012" s="490" t="s">
        <v>30480</v>
      </c>
      <c r="G2012" s="490" t="s">
        <v>30481</v>
      </c>
      <c r="H2012" s="490" t="s">
        <v>30482</v>
      </c>
      <c r="I2012" s="490" t="s">
        <v>30483</v>
      </c>
      <c r="J2012" s="490" t="s">
        <v>30484</v>
      </c>
      <c r="K2012" s="490" t="s">
        <v>30485</v>
      </c>
      <c r="L2012" s="490" t="s">
        <v>30486</v>
      </c>
      <c r="M2012" s="490" t="s">
        <v>30487</v>
      </c>
      <c r="N2012" s="490" t="s">
        <v>30488</v>
      </c>
      <c r="O2012" s="490" t="s">
        <v>30485</v>
      </c>
      <c r="P2012" s="36" t="s">
        <v>25317</v>
      </c>
    </row>
    <row r="2013" spans="1:16" ht="15" customHeight="1">
      <c r="A2013" s="132">
        <v>2012</v>
      </c>
      <c r="B2013" s="36" t="s">
        <v>25320</v>
      </c>
      <c r="C2013" s="36" t="s">
        <v>25321</v>
      </c>
      <c r="D2013" s="36" t="s">
        <v>25322</v>
      </c>
      <c r="E2013" s="36" t="s">
        <v>25323</v>
      </c>
      <c r="F2013" s="490" t="s">
        <v>30489</v>
      </c>
      <c r="G2013" s="490" t="s">
        <v>30490</v>
      </c>
      <c r="H2013" s="490" t="s">
        <v>30491</v>
      </c>
      <c r="I2013" s="490" t="s">
        <v>30492</v>
      </c>
      <c r="J2013" s="490" t="s">
        <v>30493</v>
      </c>
      <c r="K2013" s="490" t="s">
        <v>30494</v>
      </c>
      <c r="L2013" s="490" t="s">
        <v>30495</v>
      </c>
      <c r="M2013" s="490" t="s">
        <v>30496</v>
      </c>
      <c r="N2013" s="490" t="s">
        <v>30497</v>
      </c>
      <c r="O2013" s="490" t="s">
        <v>30498</v>
      </c>
      <c r="P2013" s="36" t="s">
        <v>25320</v>
      </c>
    </row>
    <row r="2014" spans="1:16" s="493" customFormat="1" ht="15" customHeight="1">
      <c r="A2014" s="132">
        <v>2013</v>
      </c>
      <c r="B2014" s="36" t="s">
        <v>25324</v>
      </c>
      <c r="C2014" s="490" t="s">
        <v>30499</v>
      </c>
      <c r="D2014" s="36" t="s">
        <v>25325</v>
      </c>
      <c r="E2014" s="36" t="s">
        <v>25326</v>
      </c>
      <c r="F2014" s="490" t="s">
        <v>30500</v>
      </c>
      <c r="G2014" s="490" t="s">
        <v>30501</v>
      </c>
      <c r="H2014" s="490" t="s">
        <v>30502</v>
      </c>
      <c r="I2014" s="490" t="s">
        <v>30503</v>
      </c>
      <c r="J2014" s="490" t="s">
        <v>30504</v>
      </c>
      <c r="K2014" s="490" t="s">
        <v>30505</v>
      </c>
      <c r="L2014" s="490" t="s">
        <v>30506</v>
      </c>
      <c r="M2014" s="490" t="s">
        <v>30507</v>
      </c>
      <c r="N2014" s="490" t="s">
        <v>30508</v>
      </c>
      <c r="O2014" s="490" t="s">
        <v>30509</v>
      </c>
      <c r="P2014" s="36" t="s">
        <v>25324</v>
      </c>
    </row>
    <row r="2015" spans="1:16" ht="15" customHeight="1">
      <c r="A2015" s="132">
        <v>2014</v>
      </c>
      <c r="B2015" s="36" t="s">
        <v>25327</v>
      </c>
      <c r="C2015" s="490" t="s">
        <v>30510</v>
      </c>
      <c r="D2015" s="36" t="s">
        <v>25328</v>
      </c>
      <c r="E2015" s="36" t="s">
        <v>25329</v>
      </c>
      <c r="F2015" s="490" t="s">
        <v>30307</v>
      </c>
      <c r="G2015" s="490" t="s">
        <v>30511</v>
      </c>
      <c r="H2015" s="490" t="s">
        <v>30309</v>
      </c>
      <c r="I2015" s="490" t="s">
        <v>30310</v>
      </c>
      <c r="J2015" s="490" t="s">
        <v>30512</v>
      </c>
      <c r="K2015" s="490" t="s">
        <v>30513</v>
      </c>
      <c r="L2015" s="490" t="s">
        <v>30514</v>
      </c>
      <c r="M2015" s="490" t="s">
        <v>30515</v>
      </c>
      <c r="N2015" s="490" t="s">
        <v>30516</v>
      </c>
      <c r="O2015" s="490" t="s">
        <v>30316</v>
      </c>
      <c r="P2015" s="36" t="s">
        <v>25327</v>
      </c>
    </row>
    <row r="2016" spans="1:16" ht="15" customHeight="1">
      <c r="A2016" s="132">
        <v>2015</v>
      </c>
      <c r="B2016" s="36" t="s">
        <v>25330</v>
      </c>
      <c r="C2016" s="490" t="s">
        <v>30517</v>
      </c>
      <c r="D2016" s="36" t="s">
        <v>25331</v>
      </c>
      <c r="E2016" s="36" t="s">
        <v>25332</v>
      </c>
      <c r="F2016" s="490" t="s">
        <v>30518</v>
      </c>
      <c r="G2016" s="490" t="s">
        <v>30519</v>
      </c>
      <c r="H2016" s="490" t="s">
        <v>30520</v>
      </c>
      <c r="I2016" s="490" t="s">
        <v>30521</v>
      </c>
      <c r="J2016" s="490" t="s">
        <v>30522</v>
      </c>
      <c r="K2016" s="491" t="s">
        <v>30523</v>
      </c>
      <c r="L2016" s="490" t="s">
        <v>30524</v>
      </c>
      <c r="M2016" s="490" t="s">
        <v>30525</v>
      </c>
      <c r="N2016" s="490" t="s">
        <v>30526</v>
      </c>
      <c r="O2016" s="490" t="s">
        <v>30527</v>
      </c>
      <c r="P2016" s="36" t="s">
        <v>25330</v>
      </c>
    </row>
    <row r="2017" spans="1:16" ht="15" customHeight="1">
      <c r="A2017" s="132">
        <v>2016</v>
      </c>
      <c r="B2017" s="36" t="s">
        <v>25333</v>
      </c>
      <c r="C2017" s="491" t="s">
        <v>30528</v>
      </c>
      <c r="D2017" s="36" t="s">
        <v>25334</v>
      </c>
      <c r="E2017" s="36" t="s">
        <v>25335</v>
      </c>
      <c r="F2017" s="490" t="s">
        <v>30529</v>
      </c>
      <c r="G2017" s="490" t="s">
        <v>30530</v>
      </c>
      <c r="H2017" s="490" t="s">
        <v>30531</v>
      </c>
      <c r="I2017" s="490" t="s">
        <v>30532</v>
      </c>
      <c r="J2017" s="490" t="s">
        <v>30533</v>
      </c>
      <c r="K2017" s="491" t="s">
        <v>30534</v>
      </c>
      <c r="L2017" s="490" t="s">
        <v>30535</v>
      </c>
      <c r="M2017" s="490" t="s">
        <v>30536</v>
      </c>
      <c r="N2017" s="490" t="s">
        <v>30537</v>
      </c>
      <c r="O2017" s="490" t="s">
        <v>30538</v>
      </c>
      <c r="P2017" s="36" t="s">
        <v>25333</v>
      </c>
    </row>
    <row r="2018" spans="1:16" ht="15" customHeight="1">
      <c r="A2018" s="132">
        <v>2017</v>
      </c>
      <c r="B2018" s="36" t="s">
        <v>25336</v>
      </c>
      <c r="C2018" s="491" t="s">
        <v>30539</v>
      </c>
      <c r="D2018" s="36" t="s">
        <v>25337</v>
      </c>
      <c r="E2018" s="36" t="s">
        <v>25338</v>
      </c>
      <c r="F2018" s="490" t="s">
        <v>30540</v>
      </c>
      <c r="G2018" s="490" t="s">
        <v>30541</v>
      </c>
      <c r="H2018" s="490" t="s">
        <v>30542</v>
      </c>
      <c r="I2018" s="490" t="s">
        <v>30543</v>
      </c>
      <c r="J2018" s="490" t="s">
        <v>30544</v>
      </c>
      <c r="K2018" s="491" t="s">
        <v>30545</v>
      </c>
      <c r="L2018" s="490" t="s">
        <v>30546</v>
      </c>
      <c r="M2018" s="490" t="s">
        <v>30547</v>
      </c>
      <c r="N2018" s="490" t="s">
        <v>30548</v>
      </c>
      <c r="O2018" s="490" t="s">
        <v>30549</v>
      </c>
      <c r="P2018" s="36" t="s">
        <v>25336</v>
      </c>
    </row>
    <row r="2019" spans="1:16" ht="15" customHeight="1">
      <c r="A2019" s="132">
        <v>2018</v>
      </c>
      <c r="B2019" s="36" t="s">
        <v>25339</v>
      </c>
      <c r="C2019" s="491" t="s">
        <v>30550</v>
      </c>
      <c r="D2019" s="36" t="s">
        <v>25340</v>
      </c>
      <c r="E2019" s="36" t="s">
        <v>25341</v>
      </c>
      <c r="F2019" s="490" t="s">
        <v>30551</v>
      </c>
      <c r="G2019" s="490" t="s">
        <v>30552</v>
      </c>
      <c r="H2019" s="490" t="s">
        <v>30553</v>
      </c>
      <c r="I2019" s="490" t="s">
        <v>30554</v>
      </c>
      <c r="J2019" s="490" t="s">
        <v>30555</v>
      </c>
      <c r="K2019" s="491" t="s">
        <v>30556</v>
      </c>
      <c r="L2019" s="490" t="s">
        <v>30557</v>
      </c>
      <c r="M2019" s="490" t="s">
        <v>30558</v>
      </c>
      <c r="N2019" s="490" t="s">
        <v>30559</v>
      </c>
      <c r="O2019" s="490" t="s">
        <v>30560</v>
      </c>
      <c r="P2019" s="36" t="s">
        <v>25339</v>
      </c>
    </row>
    <row r="2020" spans="1:16" ht="15" customHeight="1">
      <c r="A2020" s="132">
        <v>2019</v>
      </c>
      <c r="B2020" s="36" t="s">
        <v>25342</v>
      </c>
      <c r="C2020" s="491" t="s">
        <v>30561</v>
      </c>
      <c r="D2020" s="36" t="s">
        <v>25343</v>
      </c>
      <c r="E2020" s="36" t="s">
        <v>25344</v>
      </c>
      <c r="F2020" s="490" t="s">
        <v>30562</v>
      </c>
      <c r="G2020" s="490" t="s">
        <v>30563</v>
      </c>
      <c r="H2020" s="490" t="s">
        <v>30564</v>
      </c>
      <c r="I2020" s="490" t="s">
        <v>30565</v>
      </c>
      <c r="J2020" s="490" t="s">
        <v>30566</v>
      </c>
      <c r="K2020" s="491" t="s">
        <v>30567</v>
      </c>
      <c r="L2020" s="490" t="s">
        <v>30568</v>
      </c>
      <c r="M2020" s="490" t="s">
        <v>30569</v>
      </c>
      <c r="N2020" s="490" t="s">
        <v>30570</v>
      </c>
      <c r="O2020" s="490" t="s">
        <v>30571</v>
      </c>
      <c r="P2020" s="36" t="s">
        <v>25342</v>
      </c>
    </row>
    <row r="2021" spans="1:16" s="493" customFormat="1" ht="15" customHeight="1">
      <c r="A2021" s="132">
        <v>2020</v>
      </c>
      <c r="B2021" s="36" t="s">
        <v>25345</v>
      </c>
      <c r="C2021" s="491" t="s">
        <v>30572</v>
      </c>
      <c r="D2021" s="36" t="s">
        <v>25346</v>
      </c>
      <c r="E2021" s="36" t="s">
        <v>25347</v>
      </c>
      <c r="F2021" s="490" t="s">
        <v>30573</v>
      </c>
      <c r="G2021" s="490" t="s">
        <v>30574</v>
      </c>
      <c r="H2021" s="490" t="s">
        <v>30575</v>
      </c>
      <c r="I2021" s="490" t="s">
        <v>30576</v>
      </c>
      <c r="J2021" s="490" t="s">
        <v>30577</v>
      </c>
      <c r="K2021" s="491" t="s">
        <v>30578</v>
      </c>
      <c r="L2021" s="490" t="s">
        <v>30579</v>
      </c>
      <c r="M2021" s="490" t="s">
        <v>30580</v>
      </c>
      <c r="N2021" s="490" t="s">
        <v>30581</v>
      </c>
      <c r="O2021" s="490" t="s">
        <v>30582</v>
      </c>
      <c r="P2021" s="36" t="s">
        <v>25345</v>
      </c>
    </row>
    <row r="2022" spans="1:16" ht="15" customHeight="1">
      <c r="A2022" s="132">
        <v>2021</v>
      </c>
      <c r="B2022" s="36" t="s">
        <v>25348</v>
      </c>
      <c r="C2022" s="490" t="s">
        <v>30583</v>
      </c>
      <c r="D2022" s="36" t="s">
        <v>25349</v>
      </c>
      <c r="E2022" s="36" t="s">
        <v>25350</v>
      </c>
      <c r="F2022" s="490" t="s">
        <v>30584</v>
      </c>
      <c r="G2022" s="490" t="s">
        <v>30585</v>
      </c>
      <c r="H2022" s="490" t="s">
        <v>30586</v>
      </c>
      <c r="I2022" s="490" t="s">
        <v>30584</v>
      </c>
      <c r="J2022" s="490" t="s">
        <v>17986</v>
      </c>
      <c r="K2022" s="490" t="s">
        <v>30587</v>
      </c>
      <c r="L2022" s="490" t="s">
        <v>30588</v>
      </c>
      <c r="M2022" s="490" t="s">
        <v>30589</v>
      </c>
      <c r="N2022" s="490" t="s">
        <v>30590</v>
      </c>
      <c r="O2022" s="490" t="s">
        <v>30591</v>
      </c>
      <c r="P2022" s="36" t="s">
        <v>25348</v>
      </c>
    </row>
    <row r="2023" spans="1:16" ht="15" customHeight="1">
      <c r="A2023" s="132">
        <v>2022</v>
      </c>
      <c r="B2023" s="36" t="s">
        <v>25351</v>
      </c>
      <c r="C2023" s="490" t="s">
        <v>30592</v>
      </c>
      <c r="D2023" s="36" t="s">
        <v>25352</v>
      </c>
      <c r="E2023" s="36" t="s">
        <v>25353</v>
      </c>
      <c r="F2023" s="490" t="s">
        <v>30593</v>
      </c>
      <c r="G2023" s="490" t="s">
        <v>30594</v>
      </c>
      <c r="H2023" s="490" t="s">
        <v>30595</v>
      </c>
      <c r="I2023" s="490" t="s">
        <v>30596</v>
      </c>
      <c r="J2023" s="490" t="s">
        <v>30597</v>
      </c>
      <c r="K2023" s="490" t="s">
        <v>30598</v>
      </c>
      <c r="L2023" s="490" t="s">
        <v>30599</v>
      </c>
      <c r="M2023" s="490" t="s">
        <v>30600</v>
      </c>
      <c r="N2023" s="490" t="s">
        <v>30601</v>
      </c>
      <c r="O2023" s="490" t="s">
        <v>30602</v>
      </c>
      <c r="P2023" s="36" t="s">
        <v>25351</v>
      </c>
    </row>
    <row r="2024" spans="1:16" ht="15" customHeight="1">
      <c r="A2024" s="132">
        <v>2023</v>
      </c>
      <c r="B2024" s="36" t="s">
        <v>25354</v>
      </c>
      <c r="C2024" s="490" t="s">
        <v>30603</v>
      </c>
      <c r="D2024" s="36" t="s">
        <v>25355</v>
      </c>
      <c r="E2024" s="36" t="s">
        <v>25356</v>
      </c>
      <c r="F2024" s="490" t="s">
        <v>30604</v>
      </c>
      <c r="G2024" s="490" t="s">
        <v>30605</v>
      </c>
      <c r="H2024" s="490" t="s">
        <v>30606</v>
      </c>
      <c r="I2024" s="490" t="s">
        <v>30607</v>
      </c>
      <c r="J2024" s="490" t="s">
        <v>30608</v>
      </c>
      <c r="K2024" s="490" t="s">
        <v>30609</v>
      </c>
      <c r="L2024" s="490" t="s">
        <v>30610</v>
      </c>
      <c r="M2024" s="490" t="s">
        <v>30611</v>
      </c>
      <c r="N2024" s="490" t="s">
        <v>30612</v>
      </c>
      <c r="O2024" s="490" t="s">
        <v>30613</v>
      </c>
      <c r="P2024" s="36" t="s">
        <v>25354</v>
      </c>
    </row>
    <row r="2025" spans="1:16" ht="15" customHeight="1">
      <c r="A2025" s="132">
        <v>2024</v>
      </c>
      <c r="B2025" s="36" t="s">
        <v>25357</v>
      </c>
      <c r="C2025" s="490" t="s">
        <v>30614</v>
      </c>
      <c r="D2025" s="36" t="s">
        <v>25358</v>
      </c>
      <c r="E2025" s="36" t="s">
        <v>25359</v>
      </c>
      <c r="F2025" s="490" t="s">
        <v>30615</v>
      </c>
      <c r="G2025" s="490" t="s">
        <v>30616</v>
      </c>
      <c r="H2025" s="490" t="s">
        <v>30617</v>
      </c>
      <c r="I2025" s="490" t="s">
        <v>30618</v>
      </c>
      <c r="J2025" s="490" t="s">
        <v>30619</v>
      </c>
      <c r="K2025" s="490" t="s">
        <v>30620</v>
      </c>
      <c r="L2025" s="490" t="s">
        <v>30621</v>
      </c>
      <c r="M2025" s="490" t="s">
        <v>30622</v>
      </c>
      <c r="N2025" s="490" t="s">
        <v>30623</v>
      </c>
      <c r="O2025" s="490" t="s">
        <v>30624</v>
      </c>
      <c r="P2025" s="36" t="s">
        <v>25357</v>
      </c>
    </row>
    <row r="2026" spans="1:16" ht="15" customHeight="1">
      <c r="A2026" s="132">
        <v>2025</v>
      </c>
      <c r="B2026" s="36" t="s">
        <v>25360</v>
      </c>
      <c r="C2026" s="490" t="s">
        <v>30625</v>
      </c>
      <c r="D2026" s="36" t="s">
        <v>25361</v>
      </c>
      <c r="E2026" s="36" t="s">
        <v>25362</v>
      </c>
      <c r="F2026" s="490" t="s">
        <v>30626</v>
      </c>
      <c r="G2026" s="490" t="s">
        <v>30627</v>
      </c>
      <c r="H2026" s="490" t="s">
        <v>30628</v>
      </c>
      <c r="I2026" s="490" t="s">
        <v>30629</v>
      </c>
      <c r="J2026" s="490" t="s">
        <v>30630</v>
      </c>
      <c r="K2026" s="490" t="s">
        <v>30631</v>
      </c>
      <c r="L2026" s="490" t="s">
        <v>30632</v>
      </c>
      <c r="M2026" s="490" t="s">
        <v>30633</v>
      </c>
      <c r="N2026" s="490" t="s">
        <v>30634</v>
      </c>
      <c r="O2026" s="490" t="s">
        <v>30635</v>
      </c>
      <c r="P2026" s="36" t="s">
        <v>25360</v>
      </c>
    </row>
    <row r="2027" spans="1:16" ht="15" customHeight="1">
      <c r="A2027" s="132">
        <v>2026</v>
      </c>
      <c r="B2027" s="36" t="s">
        <v>25363</v>
      </c>
      <c r="C2027" s="490" t="s">
        <v>30636</v>
      </c>
      <c r="D2027" s="36" t="s">
        <v>25364</v>
      </c>
      <c r="E2027" s="36" t="s">
        <v>25365</v>
      </c>
      <c r="F2027" s="490" t="s">
        <v>30637</v>
      </c>
      <c r="G2027" s="490" t="s">
        <v>30638</v>
      </c>
      <c r="H2027" s="490" t="s">
        <v>30639</v>
      </c>
      <c r="I2027" s="490" t="s">
        <v>30637</v>
      </c>
      <c r="J2027" s="490" t="s">
        <v>30640</v>
      </c>
      <c r="K2027" s="490" t="s">
        <v>30641</v>
      </c>
      <c r="L2027" s="490" t="s">
        <v>27755</v>
      </c>
      <c r="M2027" s="490" t="s">
        <v>30642</v>
      </c>
      <c r="N2027" s="490" t="s">
        <v>30642</v>
      </c>
      <c r="O2027" s="490" t="s">
        <v>30643</v>
      </c>
      <c r="P2027" s="36" t="s">
        <v>25363</v>
      </c>
    </row>
    <row r="2028" spans="1:16" ht="15" customHeight="1">
      <c r="A2028" s="132">
        <v>2027</v>
      </c>
      <c r="B2028" s="36" t="s">
        <v>25366</v>
      </c>
      <c r="C2028" s="490" t="s">
        <v>30644</v>
      </c>
      <c r="D2028" s="36" t="s">
        <v>25367</v>
      </c>
      <c r="E2028" s="36" t="s">
        <v>25368</v>
      </c>
      <c r="F2028" s="490" t="s">
        <v>30645</v>
      </c>
      <c r="G2028" s="490" t="s">
        <v>30490</v>
      </c>
      <c r="H2028" s="490" t="s">
        <v>30646</v>
      </c>
      <c r="I2028" s="490" t="s">
        <v>30647</v>
      </c>
      <c r="J2028" s="490" t="s">
        <v>30648</v>
      </c>
      <c r="K2028" s="490" t="s">
        <v>30649</v>
      </c>
      <c r="L2028" s="490" t="s">
        <v>30650</v>
      </c>
      <c r="M2028" s="490" t="s">
        <v>30651</v>
      </c>
      <c r="N2028" s="490" t="s">
        <v>30652</v>
      </c>
      <c r="O2028" s="490" t="s">
        <v>30653</v>
      </c>
      <c r="P2028" s="36" t="s">
        <v>25366</v>
      </c>
    </row>
    <row r="2029" spans="1:16" ht="15" customHeight="1">
      <c r="A2029" s="132">
        <v>2028</v>
      </c>
      <c r="B2029" s="36" t="s">
        <v>25369</v>
      </c>
      <c r="C2029" s="490" t="s">
        <v>30654</v>
      </c>
      <c r="D2029" s="36" t="s">
        <v>25370</v>
      </c>
      <c r="E2029" s="36" t="s">
        <v>6019</v>
      </c>
      <c r="F2029" s="490" t="s">
        <v>30655</v>
      </c>
      <c r="G2029" s="490" t="s">
        <v>30656</v>
      </c>
      <c r="H2029" s="490" t="s">
        <v>30657</v>
      </c>
      <c r="I2029" s="490" t="s">
        <v>30658</v>
      </c>
      <c r="J2029" s="490" t="s">
        <v>30659</v>
      </c>
      <c r="K2029" s="490" t="s">
        <v>30660</v>
      </c>
      <c r="L2029" s="490" t="s">
        <v>30661</v>
      </c>
      <c r="M2029" s="490" t="s">
        <v>30662</v>
      </c>
      <c r="N2029" s="490" t="s">
        <v>30663</v>
      </c>
      <c r="O2029" s="490" t="s">
        <v>30664</v>
      </c>
      <c r="P2029" s="36" t="s">
        <v>25369</v>
      </c>
    </row>
    <row r="2030" spans="1:16" ht="15" customHeight="1">
      <c r="A2030" s="132">
        <v>2029</v>
      </c>
      <c r="B2030" s="36" t="s">
        <v>25371</v>
      </c>
      <c r="C2030" s="36" t="s">
        <v>25372</v>
      </c>
      <c r="D2030" s="36" t="s">
        <v>25373</v>
      </c>
      <c r="E2030" s="36" t="s">
        <v>25374</v>
      </c>
      <c r="F2030" s="36" t="s">
        <v>25375</v>
      </c>
      <c r="G2030" s="36" t="s">
        <v>25376</v>
      </c>
      <c r="H2030" s="36" t="s">
        <v>25377</v>
      </c>
      <c r="I2030" s="36" t="s">
        <v>25378</v>
      </c>
      <c r="J2030" s="36" t="s">
        <v>25379</v>
      </c>
      <c r="K2030" s="36" t="s">
        <v>25380</v>
      </c>
      <c r="L2030" s="36" t="s">
        <v>25381</v>
      </c>
      <c r="M2030" s="36" t="s">
        <v>25382</v>
      </c>
      <c r="N2030" s="36" t="s">
        <v>25383</v>
      </c>
      <c r="O2030" s="36" t="s">
        <v>25384</v>
      </c>
      <c r="P2030" s="36" t="s">
        <v>25371</v>
      </c>
    </row>
    <row r="2031" spans="1:16" ht="15" customHeight="1">
      <c r="A2031" s="132">
        <v>2030</v>
      </c>
      <c r="B2031" s="36" t="s">
        <v>25385</v>
      </c>
      <c r="C2031" s="36" t="s">
        <v>25386</v>
      </c>
      <c r="D2031" s="36" t="s">
        <v>25387</v>
      </c>
      <c r="E2031" s="36" t="s">
        <v>25388</v>
      </c>
      <c r="F2031" s="36" t="s">
        <v>25389</v>
      </c>
      <c r="G2031" s="36" t="s">
        <v>25390</v>
      </c>
      <c r="H2031" s="36" t="s">
        <v>25391</v>
      </c>
      <c r="I2031" s="36" t="s">
        <v>25389</v>
      </c>
      <c r="J2031" s="36" t="s">
        <v>25390</v>
      </c>
      <c r="K2031" s="36" t="s">
        <v>25392</v>
      </c>
      <c r="L2031" s="36" t="s">
        <v>25393</v>
      </c>
      <c r="M2031" s="36" t="s">
        <v>25387</v>
      </c>
      <c r="N2031" s="36" t="s">
        <v>25387</v>
      </c>
      <c r="O2031" s="36" t="s">
        <v>25389</v>
      </c>
      <c r="P2031" s="36" t="s">
        <v>25385</v>
      </c>
    </row>
    <row r="2032" spans="1:16" ht="15" customHeight="1">
      <c r="A2032" s="132">
        <v>2031</v>
      </c>
      <c r="B2032" s="36" t="s">
        <v>25394</v>
      </c>
      <c r="C2032" s="36" t="s">
        <v>25395</v>
      </c>
      <c r="D2032" s="36" t="s">
        <v>25396</v>
      </c>
      <c r="E2032" s="36" t="s">
        <v>25397</v>
      </c>
      <c r="F2032" s="36" t="s">
        <v>25398</v>
      </c>
      <c r="G2032" s="36" t="s">
        <v>25399</v>
      </c>
      <c r="H2032" s="36" t="s">
        <v>25400</v>
      </c>
      <c r="I2032" s="36" t="s">
        <v>25398</v>
      </c>
      <c r="J2032" s="36" t="s">
        <v>25401</v>
      </c>
      <c r="K2032" s="36" t="s">
        <v>25402</v>
      </c>
      <c r="L2032" s="36" t="s">
        <v>25403</v>
      </c>
      <c r="M2032" s="36" t="s">
        <v>25403</v>
      </c>
      <c r="N2032" s="36" t="s">
        <v>25404</v>
      </c>
      <c r="O2032" s="36" t="s">
        <v>25405</v>
      </c>
      <c r="P2032" s="36" t="s">
        <v>25394</v>
      </c>
    </row>
    <row r="2033" spans="1:16" ht="15" customHeight="1">
      <c r="A2033" s="132">
        <v>2032</v>
      </c>
      <c r="B2033" s="36" t="s">
        <v>25406</v>
      </c>
      <c r="C2033" s="36" t="s">
        <v>25407</v>
      </c>
      <c r="D2033" s="36" t="s">
        <v>25408</v>
      </c>
      <c r="E2033" s="36" t="s">
        <v>25409</v>
      </c>
      <c r="F2033" s="36" t="s">
        <v>25410</v>
      </c>
      <c r="G2033" s="36" t="s">
        <v>25411</v>
      </c>
      <c r="H2033" s="36" t="s">
        <v>25412</v>
      </c>
      <c r="I2033" s="36" t="s">
        <v>25413</v>
      </c>
      <c r="J2033" s="36" t="s">
        <v>25414</v>
      </c>
      <c r="K2033" s="36" t="s">
        <v>25415</v>
      </c>
      <c r="L2033" s="36" t="s">
        <v>25416</v>
      </c>
      <c r="M2033" s="36" t="s">
        <v>25417</v>
      </c>
      <c r="N2033" s="36" t="s">
        <v>25416</v>
      </c>
      <c r="O2033" s="36" t="s">
        <v>25418</v>
      </c>
      <c r="P2033" s="36" t="s">
        <v>25406</v>
      </c>
    </row>
    <row r="2034" spans="1:16" ht="15" customHeight="1">
      <c r="A2034" s="132">
        <v>2033</v>
      </c>
      <c r="B2034" s="36" t="s">
        <v>25419</v>
      </c>
      <c r="C2034" s="36" t="s">
        <v>25420</v>
      </c>
      <c r="D2034" s="36" t="s">
        <v>25421</v>
      </c>
      <c r="E2034" s="36" t="s">
        <v>25422</v>
      </c>
      <c r="F2034" s="36" t="s">
        <v>25423</v>
      </c>
      <c r="G2034" s="36" t="s">
        <v>25424</v>
      </c>
      <c r="H2034" s="36" t="s">
        <v>25425</v>
      </c>
      <c r="I2034" s="36" t="s">
        <v>25426</v>
      </c>
      <c r="J2034" s="36" t="s">
        <v>25427</v>
      </c>
      <c r="K2034" s="36" t="s">
        <v>25428</v>
      </c>
      <c r="L2034" s="36" t="s">
        <v>25429</v>
      </c>
      <c r="M2034" s="36" t="s">
        <v>25430</v>
      </c>
      <c r="N2034" s="36" t="s">
        <v>25431</v>
      </c>
      <c r="O2034" s="36" t="s">
        <v>25432</v>
      </c>
      <c r="P2034" s="36" t="s">
        <v>25419</v>
      </c>
    </row>
    <row r="2035" spans="1:16" ht="15" customHeight="1">
      <c r="A2035" s="132">
        <v>2034</v>
      </c>
      <c r="B2035" s="36" t="s">
        <v>25433</v>
      </c>
      <c r="C2035" s="36" t="s">
        <v>25434</v>
      </c>
      <c r="D2035" s="36" t="s">
        <v>25435</v>
      </c>
      <c r="E2035" s="36" t="s">
        <v>25436</v>
      </c>
      <c r="F2035" s="36" t="s">
        <v>25437</v>
      </c>
      <c r="G2035" s="36" t="s">
        <v>25438</v>
      </c>
      <c r="H2035" s="36" t="s">
        <v>25439</v>
      </c>
      <c r="I2035" s="36" t="s">
        <v>25440</v>
      </c>
      <c r="J2035" s="36" t="s">
        <v>25441</v>
      </c>
      <c r="K2035" s="36" t="s">
        <v>25442</v>
      </c>
      <c r="L2035" s="36" t="s">
        <v>25443</v>
      </c>
      <c r="M2035" s="36" t="s">
        <v>25444</v>
      </c>
      <c r="N2035" s="36" t="s">
        <v>25445</v>
      </c>
      <c r="O2035" s="36" t="s">
        <v>25446</v>
      </c>
      <c r="P2035" s="36" t="s">
        <v>25433</v>
      </c>
    </row>
    <row r="2036" spans="1:16" ht="15" customHeight="1">
      <c r="A2036" s="132">
        <v>2035</v>
      </c>
      <c r="B2036" s="36" t="s">
        <v>25447</v>
      </c>
      <c r="C2036" s="36" t="s">
        <v>25448</v>
      </c>
      <c r="D2036" s="36" t="s">
        <v>25449</v>
      </c>
      <c r="E2036" s="36" t="s">
        <v>30665</v>
      </c>
      <c r="F2036" s="36" t="s">
        <v>25450</v>
      </c>
      <c r="G2036" s="36" t="s">
        <v>25451</v>
      </c>
      <c r="H2036" s="36" t="s">
        <v>25452</v>
      </c>
      <c r="I2036" s="36" t="s">
        <v>25453</v>
      </c>
      <c r="J2036" s="36" t="s">
        <v>25454</v>
      </c>
      <c r="K2036" s="36" t="s">
        <v>25455</v>
      </c>
      <c r="L2036" s="36" t="s">
        <v>25456</v>
      </c>
      <c r="M2036" s="36" t="s">
        <v>25457</v>
      </c>
      <c r="N2036" s="36" t="s">
        <v>25458</v>
      </c>
      <c r="O2036" s="36" t="s">
        <v>25459</v>
      </c>
      <c r="P2036" s="36" t="s">
        <v>25447</v>
      </c>
    </row>
    <row r="2037" spans="1:16" ht="15" customHeight="1">
      <c r="A2037" s="132">
        <v>2036</v>
      </c>
      <c r="B2037" s="36" t="s">
        <v>25460</v>
      </c>
      <c r="C2037" s="36" t="s">
        <v>25461</v>
      </c>
      <c r="D2037" s="36" t="s">
        <v>25462</v>
      </c>
      <c r="E2037" s="36" t="s">
        <v>25463</v>
      </c>
      <c r="F2037" s="36" t="s">
        <v>25464</v>
      </c>
      <c r="G2037" s="36" t="s">
        <v>25465</v>
      </c>
      <c r="H2037" s="36" t="s">
        <v>25466</v>
      </c>
      <c r="I2037" s="36" t="s">
        <v>25467</v>
      </c>
      <c r="J2037" s="36" t="s">
        <v>25468</v>
      </c>
      <c r="K2037" s="36" t="s">
        <v>25469</v>
      </c>
      <c r="L2037" s="36" t="s">
        <v>25470</v>
      </c>
      <c r="M2037" s="36" t="s">
        <v>25471</v>
      </c>
      <c r="N2037" s="36" t="s">
        <v>25472</v>
      </c>
      <c r="O2037" s="36" t="s">
        <v>25469</v>
      </c>
      <c r="P2037" s="36" t="s">
        <v>25460</v>
      </c>
    </row>
    <row r="2038" spans="1:16" ht="15" customHeight="1">
      <c r="A2038" s="132">
        <v>2037</v>
      </c>
      <c r="B2038" s="36" t="s">
        <v>25473</v>
      </c>
      <c r="C2038" s="36" t="s">
        <v>25474</v>
      </c>
      <c r="D2038" s="36" t="s">
        <v>25475</v>
      </c>
      <c r="E2038" s="36" t="s">
        <v>25476</v>
      </c>
      <c r="F2038" s="36" t="s">
        <v>25477</v>
      </c>
      <c r="G2038" s="36" t="s">
        <v>25478</v>
      </c>
      <c r="H2038" s="36" t="s">
        <v>25479</v>
      </c>
      <c r="I2038" s="36" t="s">
        <v>25480</v>
      </c>
      <c r="J2038" s="36" t="s">
        <v>25481</v>
      </c>
      <c r="K2038" s="36" t="s">
        <v>25482</v>
      </c>
      <c r="L2038" s="36" t="s">
        <v>25483</v>
      </c>
      <c r="M2038" s="36" t="s">
        <v>25484</v>
      </c>
      <c r="N2038" s="36" t="s">
        <v>25485</v>
      </c>
      <c r="O2038" s="36" t="s">
        <v>25486</v>
      </c>
      <c r="P2038" s="36" t="s">
        <v>25473</v>
      </c>
    </row>
    <row r="2039" spans="1:16" ht="15" customHeight="1">
      <c r="A2039" s="132">
        <v>2038</v>
      </c>
      <c r="B2039" s="36" t="s">
        <v>25487</v>
      </c>
      <c r="C2039" s="36" t="s">
        <v>25488</v>
      </c>
      <c r="D2039" s="36" t="s">
        <v>25489</v>
      </c>
      <c r="E2039" s="36" t="s">
        <v>25490</v>
      </c>
      <c r="F2039" s="36" t="s">
        <v>25491</v>
      </c>
      <c r="G2039" s="36" t="s">
        <v>25492</v>
      </c>
      <c r="H2039" s="36" t="s">
        <v>25493</v>
      </c>
      <c r="I2039" s="36" t="s">
        <v>25494</v>
      </c>
      <c r="J2039" s="36" t="s">
        <v>25495</v>
      </c>
      <c r="K2039" s="36" t="s">
        <v>25496</v>
      </c>
      <c r="L2039" s="36" t="s">
        <v>25497</v>
      </c>
      <c r="M2039" s="36" t="s">
        <v>25498</v>
      </c>
      <c r="N2039" s="36" t="s">
        <v>25499</v>
      </c>
      <c r="O2039" s="36" t="s">
        <v>25500</v>
      </c>
      <c r="P2039" s="36" t="s">
        <v>25487</v>
      </c>
    </row>
    <row r="2040" spans="1:16">
      <c r="A2040" s="132">
        <v>2039</v>
      </c>
      <c r="B2040" s="36" t="s">
        <v>25501</v>
      </c>
      <c r="C2040" s="36" t="s">
        <v>25502</v>
      </c>
      <c r="D2040" s="36" t="s">
        <v>25503</v>
      </c>
      <c r="E2040" s="36" t="s">
        <v>25504</v>
      </c>
      <c r="F2040" s="36" t="s">
        <v>25505</v>
      </c>
      <c r="G2040" s="36" t="s">
        <v>25506</v>
      </c>
      <c r="H2040" s="36" t="s">
        <v>25507</v>
      </c>
      <c r="I2040" s="36" t="s">
        <v>25508</v>
      </c>
      <c r="J2040" s="36" t="s">
        <v>25509</v>
      </c>
      <c r="K2040" s="36" t="s">
        <v>25510</v>
      </c>
      <c r="L2040" s="36" t="s">
        <v>25511</v>
      </c>
      <c r="M2040" s="36" t="s">
        <v>25512</v>
      </c>
      <c r="N2040" s="36" t="s">
        <v>25513</v>
      </c>
      <c r="O2040" s="36" t="s">
        <v>25514</v>
      </c>
      <c r="P2040" s="36" t="s">
        <v>25501</v>
      </c>
    </row>
    <row r="2041" spans="1:16" ht="15" customHeight="1">
      <c r="A2041" s="132">
        <v>2040</v>
      </c>
      <c r="B2041" s="36" t="s">
        <v>25515</v>
      </c>
      <c r="C2041" s="36" t="s">
        <v>25516</v>
      </c>
      <c r="D2041" s="36" t="s">
        <v>25517</v>
      </c>
      <c r="E2041" s="36" t="s">
        <v>25518</v>
      </c>
      <c r="F2041" s="36" t="s">
        <v>25519</v>
      </c>
      <c r="G2041" s="36" t="s">
        <v>25520</v>
      </c>
      <c r="H2041" s="36" t="s">
        <v>25521</v>
      </c>
      <c r="I2041" s="36" t="s">
        <v>25522</v>
      </c>
      <c r="J2041" s="36" t="s">
        <v>25523</v>
      </c>
      <c r="K2041" s="36" t="s">
        <v>25524</v>
      </c>
      <c r="L2041" s="36" t="s">
        <v>25525</v>
      </c>
      <c r="M2041" s="36" t="s">
        <v>25526</v>
      </c>
      <c r="N2041" s="36" t="s">
        <v>25527</v>
      </c>
      <c r="O2041" s="36" t="s">
        <v>25528</v>
      </c>
      <c r="P2041" s="36" t="s">
        <v>25515</v>
      </c>
    </row>
    <row r="2042" spans="1:16" ht="15" customHeight="1">
      <c r="A2042" s="132">
        <v>2041</v>
      </c>
      <c r="B2042" s="36" t="s">
        <v>25529</v>
      </c>
      <c r="C2042" s="36" t="s">
        <v>25530</v>
      </c>
      <c r="D2042" s="36" t="s">
        <v>25531</v>
      </c>
      <c r="E2042" s="36" t="s">
        <v>25532</v>
      </c>
      <c r="F2042" s="36" t="s">
        <v>25533</v>
      </c>
      <c r="G2042" s="36" t="s">
        <v>25534</v>
      </c>
      <c r="H2042" s="36" t="s">
        <v>25535</v>
      </c>
      <c r="I2042" s="36" t="s">
        <v>25536</v>
      </c>
      <c r="J2042" s="36" t="s">
        <v>25537</v>
      </c>
      <c r="K2042" s="36" t="s">
        <v>25538</v>
      </c>
      <c r="L2042" s="36" t="s">
        <v>25539</v>
      </c>
      <c r="M2042" s="36" t="s">
        <v>25540</v>
      </c>
      <c r="N2042" s="36" t="s">
        <v>25541</v>
      </c>
      <c r="O2042" s="36" t="s">
        <v>25542</v>
      </c>
      <c r="P2042" s="36" t="s">
        <v>25529</v>
      </c>
    </row>
    <row r="2043" spans="1:16" ht="15" customHeight="1">
      <c r="A2043" s="132">
        <v>2042</v>
      </c>
      <c r="B2043" s="36" t="s">
        <v>25543</v>
      </c>
      <c r="C2043" s="36" t="s">
        <v>25544</v>
      </c>
      <c r="D2043" s="36" t="s">
        <v>25545</v>
      </c>
      <c r="E2043" s="36" t="s">
        <v>25546</v>
      </c>
      <c r="F2043" s="36" t="s">
        <v>25547</v>
      </c>
      <c r="G2043" s="36" t="s">
        <v>25548</v>
      </c>
      <c r="H2043" s="36" t="s">
        <v>25549</v>
      </c>
      <c r="I2043" s="36" t="s">
        <v>25550</v>
      </c>
      <c r="J2043" s="36" t="s">
        <v>25551</v>
      </c>
      <c r="K2043" s="36" t="s">
        <v>25552</v>
      </c>
      <c r="L2043" s="36" t="s">
        <v>25553</v>
      </c>
      <c r="M2043" s="36" t="s">
        <v>25554</v>
      </c>
      <c r="N2043" s="36" t="s">
        <v>25555</v>
      </c>
      <c r="O2043" s="36" t="s">
        <v>25556</v>
      </c>
      <c r="P2043" s="36" t="s">
        <v>25543</v>
      </c>
    </row>
    <row r="2044" spans="1:16" ht="15" customHeight="1">
      <c r="A2044" s="132">
        <v>2043</v>
      </c>
      <c r="B2044" s="36" t="s">
        <v>25557</v>
      </c>
      <c r="C2044" s="36" t="s">
        <v>25558</v>
      </c>
      <c r="D2044" s="36" t="s">
        <v>25559</v>
      </c>
      <c r="E2044" s="36" t="s">
        <v>25560</v>
      </c>
      <c r="F2044" s="36" t="s">
        <v>25561</v>
      </c>
      <c r="G2044" s="36" t="s">
        <v>25562</v>
      </c>
      <c r="H2044" s="36" t="s">
        <v>25563</v>
      </c>
      <c r="I2044" s="36" t="s">
        <v>25564</v>
      </c>
      <c r="J2044" s="36" t="s">
        <v>25565</v>
      </c>
      <c r="K2044" s="36" t="s">
        <v>25566</v>
      </c>
      <c r="L2044" s="36" t="s">
        <v>25567</v>
      </c>
      <c r="M2044" s="36" t="s">
        <v>25568</v>
      </c>
      <c r="N2044" s="36" t="s">
        <v>25569</v>
      </c>
      <c r="O2044" s="36" t="s">
        <v>25570</v>
      </c>
      <c r="P2044" s="36" t="s">
        <v>25571</v>
      </c>
    </row>
    <row r="2045" spans="1:16" ht="15" customHeight="1">
      <c r="A2045" s="132">
        <v>2044</v>
      </c>
      <c r="B2045" s="36" t="s">
        <v>25572</v>
      </c>
      <c r="C2045" s="36" t="s">
        <v>25573</v>
      </c>
      <c r="D2045" s="36" t="s">
        <v>25574</v>
      </c>
      <c r="E2045" s="36" t="s">
        <v>25575</v>
      </c>
      <c r="F2045" s="36" t="s">
        <v>25576</v>
      </c>
      <c r="G2045" s="36" t="s">
        <v>25577</v>
      </c>
      <c r="H2045" s="36" t="s">
        <v>25578</v>
      </c>
      <c r="I2045" s="36" t="s">
        <v>25579</v>
      </c>
      <c r="J2045" s="36" t="s">
        <v>25580</v>
      </c>
      <c r="K2045" s="36" t="s">
        <v>25581</v>
      </c>
      <c r="L2045" s="36" t="s">
        <v>25582</v>
      </c>
      <c r="M2045" s="36" t="s">
        <v>25583</v>
      </c>
      <c r="N2045" s="36" t="s">
        <v>25584</v>
      </c>
      <c r="O2045" s="36" t="s">
        <v>25585</v>
      </c>
      <c r="P2045" s="36" t="s">
        <v>25572</v>
      </c>
    </row>
    <row r="2046" spans="1:16" ht="15" customHeight="1">
      <c r="A2046" s="132">
        <v>2045</v>
      </c>
      <c r="B2046" s="36" t="s">
        <v>25586</v>
      </c>
      <c r="C2046" s="36" t="s">
        <v>25587</v>
      </c>
      <c r="D2046" s="36" t="s">
        <v>25588</v>
      </c>
      <c r="E2046" s="36" t="s">
        <v>25589</v>
      </c>
      <c r="F2046" s="36" t="s">
        <v>25590</v>
      </c>
      <c r="G2046" s="36" t="s">
        <v>25591</v>
      </c>
      <c r="H2046" s="36" t="s">
        <v>25592</v>
      </c>
      <c r="I2046" s="36" t="s">
        <v>25593</v>
      </c>
      <c r="J2046" s="36" t="s">
        <v>25594</v>
      </c>
      <c r="K2046" s="36" t="s">
        <v>25595</v>
      </c>
      <c r="L2046" s="36" t="s">
        <v>25596</v>
      </c>
      <c r="M2046" s="36" t="s">
        <v>25597</v>
      </c>
      <c r="N2046" s="36" t="s">
        <v>25598</v>
      </c>
      <c r="O2046" s="36" t="s">
        <v>25599</v>
      </c>
      <c r="P2046" s="36" t="s">
        <v>25586</v>
      </c>
    </row>
    <row r="2047" spans="1:16" ht="15" customHeight="1">
      <c r="A2047" s="132">
        <v>2046</v>
      </c>
      <c r="B2047" s="36" t="s">
        <v>25600</v>
      </c>
      <c r="C2047" s="36" t="s">
        <v>25601</v>
      </c>
      <c r="D2047" s="36" t="s">
        <v>25602</v>
      </c>
      <c r="E2047" s="36" t="s">
        <v>25603</v>
      </c>
      <c r="F2047" s="36" t="s">
        <v>25604</v>
      </c>
      <c r="G2047" s="36" t="s">
        <v>25605</v>
      </c>
      <c r="H2047" s="36" t="s">
        <v>25606</v>
      </c>
      <c r="I2047" s="36" t="s">
        <v>25607</v>
      </c>
      <c r="J2047" s="36" t="s">
        <v>25608</v>
      </c>
      <c r="K2047" s="36" t="s">
        <v>25609</v>
      </c>
      <c r="L2047" s="36" t="s">
        <v>25610</v>
      </c>
      <c r="M2047" s="36" t="s">
        <v>25611</v>
      </c>
      <c r="N2047" s="36" t="s">
        <v>25612</v>
      </c>
      <c r="O2047" s="36" t="s">
        <v>25613</v>
      </c>
      <c r="P2047" s="36" t="s">
        <v>25600</v>
      </c>
    </row>
    <row r="2048" spans="1:16" ht="15" customHeight="1">
      <c r="A2048" s="132">
        <v>2047</v>
      </c>
      <c r="B2048" s="36" t="s">
        <v>25614</v>
      </c>
      <c r="C2048" s="36" t="s">
        <v>25615</v>
      </c>
      <c r="D2048" s="36" t="s">
        <v>25616</v>
      </c>
      <c r="E2048" s="36" t="s">
        <v>25617</v>
      </c>
      <c r="F2048" s="36" t="s">
        <v>25618</v>
      </c>
      <c r="G2048" s="36" t="s">
        <v>25619</v>
      </c>
      <c r="H2048" s="36" t="s">
        <v>25620</v>
      </c>
      <c r="I2048" s="36" t="s">
        <v>25621</v>
      </c>
      <c r="J2048" s="36" t="s">
        <v>25622</v>
      </c>
      <c r="K2048" s="36" t="s">
        <v>25623</v>
      </c>
      <c r="L2048" s="36" t="s">
        <v>25624</v>
      </c>
      <c r="M2048" s="36" t="s">
        <v>25625</v>
      </c>
      <c r="N2048" s="36" t="s">
        <v>25626</v>
      </c>
      <c r="O2048" s="36" t="s">
        <v>25627</v>
      </c>
      <c r="P2048" s="36" t="s">
        <v>25614</v>
      </c>
    </row>
    <row r="2049" spans="1:16" ht="15" customHeight="1">
      <c r="A2049" s="132">
        <v>2048</v>
      </c>
      <c r="B2049" s="36" t="s">
        <v>25628</v>
      </c>
      <c r="C2049" s="36" t="s">
        <v>25629</v>
      </c>
      <c r="D2049" s="36" t="s">
        <v>25630</v>
      </c>
      <c r="E2049" s="36" t="s">
        <v>25631</v>
      </c>
      <c r="F2049" s="36" t="s">
        <v>25632</v>
      </c>
      <c r="G2049" s="36" t="s">
        <v>25633</v>
      </c>
      <c r="H2049" s="36" t="s">
        <v>25634</v>
      </c>
      <c r="I2049" s="36" t="s">
        <v>25635</v>
      </c>
      <c r="J2049" s="36" t="s">
        <v>25636</v>
      </c>
      <c r="K2049" s="36" t="s">
        <v>25637</v>
      </c>
      <c r="L2049" s="36" t="s">
        <v>25638</v>
      </c>
      <c r="M2049" s="36" t="s">
        <v>25639</v>
      </c>
      <c r="N2049" s="36" t="s">
        <v>25640</v>
      </c>
      <c r="O2049" s="36" t="s">
        <v>25641</v>
      </c>
      <c r="P2049" s="36" t="s">
        <v>25628</v>
      </c>
    </row>
    <row r="2050" spans="1:16" ht="15" customHeight="1">
      <c r="A2050" s="132">
        <v>2049</v>
      </c>
      <c r="B2050" s="36" t="s">
        <v>25642</v>
      </c>
      <c r="C2050" s="36" t="s">
        <v>25643</v>
      </c>
      <c r="D2050" s="36" t="s">
        <v>25644</v>
      </c>
      <c r="E2050" s="36" t="s">
        <v>25645</v>
      </c>
      <c r="F2050" s="36" t="s">
        <v>25646</v>
      </c>
      <c r="G2050" s="36" t="s">
        <v>25647</v>
      </c>
      <c r="H2050" s="36" t="s">
        <v>25648</v>
      </c>
      <c r="I2050" s="36" t="s">
        <v>25649</v>
      </c>
      <c r="J2050" s="36" t="s">
        <v>25650</v>
      </c>
      <c r="K2050" s="36" t="s">
        <v>25651</v>
      </c>
      <c r="L2050" s="36" t="s">
        <v>25652</v>
      </c>
      <c r="M2050" s="36" t="s">
        <v>25653</v>
      </c>
      <c r="N2050" s="36" t="s">
        <v>25654</v>
      </c>
      <c r="O2050" s="36" t="s">
        <v>25655</v>
      </c>
      <c r="P2050" s="36" t="s">
        <v>25642</v>
      </c>
    </row>
    <row r="2051" spans="1:16" ht="15" customHeight="1">
      <c r="A2051" s="132">
        <v>2050</v>
      </c>
      <c r="B2051" s="36" t="s">
        <v>25656</v>
      </c>
      <c r="C2051" s="36" t="s">
        <v>25657</v>
      </c>
      <c r="D2051" s="36" t="s">
        <v>25658</v>
      </c>
      <c r="E2051" s="36" t="s">
        <v>25659</v>
      </c>
      <c r="F2051" s="36" t="s">
        <v>25660</v>
      </c>
      <c r="G2051" s="36" t="s">
        <v>25661</v>
      </c>
      <c r="H2051" s="36" t="s">
        <v>25662</v>
      </c>
      <c r="I2051" s="36" t="s">
        <v>25663</v>
      </c>
      <c r="J2051" s="36" t="s">
        <v>25664</v>
      </c>
      <c r="K2051" s="36" t="s">
        <v>25665</v>
      </c>
      <c r="L2051" s="36" t="s">
        <v>25666</v>
      </c>
      <c r="M2051" s="36" t="s">
        <v>25667</v>
      </c>
      <c r="N2051" s="36" t="s">
        <v>25668</v>
      </c>
      <c r="O2051" s="36" t="s">
        <v>25669</v>
      </c>
      <c r="P2051" s="36" t="s">
        <v>25656</v>
      </c>
    </row>
    <row r="2052" spans="1:16" ht="15" customHeight="1">
      <c r="A2052" s="132">
        <v>2051</v>
      </c>
      <c r="B2052" s="36" t="s">
        <v>25670</v>
      </c>
      <c r="C2052" s="36" t="s">
        <v>25671</v>
      </c>
      <c r="D2052" s="36" t="s">
        <v>25672</v>
      </c>
      <c r="E2052" s="36" t="s">
        <v>25673</v>
      </c>
      <c r="F2052" s="36" t="s">
        <v>25674</v>
      </c>
      <c r="G2052" s="36" t="s">
        <v>25675</v>
      </c>
      <c r="H2052" s="36" t="s">
        <v>25676</v>
      </c>
      <c r="I2052" s="36" t="s">
        <v>25677</v>
      </c>
      <c r="J2052" s="36" t="s">
        <v>25678</v>
      </c>
      <c r="K2052" s="36" t="s">
        <v>25679</v>
      </c>
      <c r="L2052" s="36" t="s">
        <v>25680</v>
      </c>
      <c r="M2052" s="36" t="s">
        <v>25681</v>
      </c>
      <c r="N2052" s="36" t="s">
        <v>25682</v>
      </c>
      <c r="O2052" s="36" t="s">
        <v>25683</v>
      </c>
      <c r="P2052" s="36" t="s">
        <v>25670</v>
      </c>
    </row>
    <row r="2053" spans="1:16" ht="15" customHeight="1">
      <c r="A2053" s="132">
        <v>2052</v>
      </c>
      <c r="B2053" s="36" t="s">
        <v>25684</v>
      </c>
      <c r="C2053" s="36" t="s">
        <v>25685</v>
      </c>
      <c r="D2053" s="36" t="s">
        <v>25686</v>
      </c>
      <c r="E2053" s="36" t="s">
        <v>25687</v>
      </c>
      <c r="F2053" s="36" t="s">
        <v>25688</v>
      </c>
      <c r="G2053" s="36" t="s">
        <v>25689</v>
      </c>
      <c r="H2053" s="36" t="s">
        <v>25690</v>
      </c>
      <c r="I2053" s="36" t="s">
        <v>25691</v>
      </c>
      <c r="J2053" s="36" t="s">
        <v>25692</v>
      </c>
      <c r="K2053" s="36" t="s">
        <v>25693</v>
      </c>
      <c r="L2053" s="36" t="s">
        <v>25694</v>
      </c>
      <c r="M2053" s="36" t="s">
        <v>25695</v>
      </c>
      <c r="N2053" s="36" t="s">
        <v>25696</v>
      </c>
      <c r="O2053" s="36" t="s">
        <v>25697</v>
      </c>
      <c r="P2053" s="36" t="s">
        <v>25684</v>
      </c>
    </row>
    <row r="2054" spans="1:16" ht="15" customHeight="1">
      <c r="A2054" s="132">
        <v>2053</v>
      </c>
      <c r="B2054" s="36" t="s">
        <v>25698</v>
      </c>
      <c r="C2054" s="36" t="s">
        <v>25699</v>
      </c>
      <c r="D2054" s="36" t="s">
        <v>25700</v>
      </c>
      <c r="E2054" s="36" t="s">
        <v>25701</v>
      </c>
      <c r="F2054" s="36" t="s">
        <v>25702</v>
      </c>
      <c r="G2054" s="36" t="s">
        <v>25703</v>
      </c>
      <c r="H2054" s="36" t="s">
        <v>25704</v>
      </c>
      <c r="I2054" s="36" t="s">
        <v>25705</v>
      </c>
      <c r="J2054" s="36" t="s">
        <v>25706</v>
      </c>
      <c r="K2054" s="36" t="s">
        <v>25707</v>
      </c>
      <c r="L2054" s="36" t="s">
        <v>25708</v>
      </c>
      <c r="M2054" s="36" t="s">
        <v>25709</v>
      </c>
      <c r="N2054" s="36" t="s">
        <v>25710</v>
      </c>
      <c r="O2054" s="36" t="s">
        <v>25711</v>
      </c>
      <c r="P2054" s="36" t="s">
        <v>25698</v>
      </c>
    </row>
    <row r="2055" spans="1:16" ht="15" customHeight="1">
      <c r="A2055" s="132">
        <v>2054</v>
      </c>
      <c r="B2055" s="36" t="s">
        <v>25712</v>
      </c>
      <c r="C2055" s="36" t="s">
        <v>25713</v>
      </c>
      <c r="D2055" s="36" t="s">
        <v>25714</v>
      </c>
      <c r="E2055" s="36" t="s">
        <v>25715</v>
      </c>
      <c r="F2055" s="36" t="s">
        <v>25716</v>
      </c>
      <c r="G2055" s="36" t="s">
        <v>25717</v>
      </c>
      <c r="H2055" s="36" t="s">
        <v>25718</v>
      </c>
      <c r="I2055" s="36" t="s">
        <v>25719</v>
      </c>
      <c r="J2055" s="36" t="s">
        <v>25720</v>
      </c>
      <c r="K2055" s="36" t="s">
        <v>25721</v>
      </c>
      <c r="L2055" s="36" t="s">
        <v>25722</v>
      </c>
      <c r="M2055" s="36" t="s">
        <v>25723</v>
      </c>
      <c r="N2055" s="36" t="s">
        <v>25724</v>
      </c>
      <c r="O2055" s="36" t="s">
        <v>25725</v>
      </c>
      <c r="P2055" s="36" t="s">
        <v>25712</v>
      </c>
    </row>
    <row r="2056" spans="1:16" ht="15" customHeight="1">
      <c r="A2056" s="132">
        <v>2055</v>
      </c>
      <c r="B2056" s="36" t="s">
        <v>25726</v>
      </c>
      <c r="C2056" s="36" t="s">
        <v>25727</v>
      </c>
      <c r="D2056" s="36" t="s">
        <v>25728</v>
      </c>
      <c r="E2056" s="36" t="s">
        <v>25729</v>
      </c>
      <c r="F2056" s="36" t="s">
        <v>25730</v>
      </c>
      <c r="G2056" s="36" t="s">
        <v>25731</v>
      </c>
      <c r="H2056" s="36" t="s">
        <v>25732</v>
      </c>
      <c r="I2056" s="36" t="s">
        <v>25733</v>
      </c>
      <c r="J2056" s="36" t="s">
        <v>25734</v>
      </c>
      <c r="K2056" s="36" t="s">
        <v>25735</v>
      </c>
      <c r="L2056" s="36" t="s">
        <v>25736</v>
      </c>
      <c r="M2056" s="36" t="s">
        <v>25737</v>
      </c>
      <c r="N2056" s="36" t="s">
        <v>25738</v>
      </c>
      <c r="O2056" s="36" t="s">
        <v>25739</v>
      </c>
      <c r="P2056" s="36" t="s">
        <v>25726</v>
      </c>
    </row>
    <row r="2057" spans="1:16" ht="15" customHeight="1">
      <c r="A2057" s="132">
        <v>2056</v>
      </c>
      <c r="B2057" s="36" t="s">
        <v>25740</v>
      </c>
      <c r="C2057" s="36" t="s">
        <v>25741</v>
      </c>
      <c r="D2057" s="36" t="s">
        <v>25741</v>
      </c>
      <c r="E2057" s="36" t="s">
        <v>25742</v>
      </c>
      <c r="F2057" s="36" t="s">
        <v>25743</v>
      </c>
      <c r="G2057" s="36" t="s">
        <v>25744</v>
      </c>
      <c r="H2057" s="36" t="s">
        <v>25745</v>
      </c>
      <c r="I2057" s="36" t="s">
        <v>25746</v>
      </c>
      <c r="J2057" s="36" t="s">
        <v>25747</v>
      </c>
      <c r="K2057" s="36" t="s">
        <v>25748</v>
      </c>
      <c r="L2057" s="36" t="s">
        <v>25749</v>
      </c>
      <c r="M2057" s="36" t="s">
        <v>25747</v>
      </c>
      <c r="N2057" s="36" t="s">
        <v>25750</v>
      </c>
      <c r="O2057" s="36" t="s">
        <v>25751</v>
      </c>
      <c r="P2057" s="36" t="s">
        <v>25740</v>
      </c>
    </row>
    <row r="2058" spans="1:16" ht="15" customHeight="1">
      <c r="A2058" s="132">
        <v>2057</v>
      </c>
      <c r="B2058" s="36" t="s">
        <v>25752</v>
      </c>
      <c r="C2058" s="36" t="s">
        <v>25753</v>
      </c>
      <c r="D2058" s="36" t="s">
        <v>25754</v>
      </c>
      <c r="E2058" s="36" t="s">
        <v>25755</v>
      </c>
      <c r="F2058" s="36" t="s">
        <v>25756</v>
      </c>
      <c r="G2058" s="36" t="s">
        <v>25757</v>
      </c>
      <c r="H2058" s="36" t="s">
        <v>25758</v>
      </c>
      <c r="I2058" s="36" t="s">
        <v>25759</v>
      </c>
      <c r="J2058" s="36" t="s">
        <v>25760</v>
      </c>
      <c r="K2058" s="36" t="s">
        <v>25761</v>
      </c>
      <c r="L2058" s="36" t="s">
        <v>25762</v>
      </c>
      <c r="M2058" s="36" t="s">
        <v>25763</v>
      </c>
      <c r="N2058" s="36" t="s">
        <v>25764</v>
      </c>
      <c r="O2058" s="36" t="s">
        <v>25765</v>
      </c>
      <c r="P2058" s="36" t="s">
        <v>25752</v>
      </c>
    </row>
    <row r="2059" spans="1:16" ht="15" customHeight="1">
      <c r="A2059" s="132">
        <v>2058</v>
      </c>
      <c r="B2059" s="36" t="s">
        <v>25766</v>
      </c>
      <c r="C2059" s="36" t="s">
        <v>25767</v>
      </c>
      <c r="D2059" s="36" t="s">
        <v>25768</v>
      </c>
      <c r="E2059" s="36" t="s">
        <v>25769</v>
      </c>
      <c r="F2059" s="36" t="s">
        <v>25770</v>
      </c>
      <c r="G2059" s="36" t="s">
        <v>25771</v>
      </c>
      <c r="H2059" s="36" t="s">
        <v>25772</v>
      </c>
      <c r="I2059" s="36" t="s">
        <v>25773</v>
      </c>
      <c r="J2059" s="36" t="s">
        <v>25774</v>
      </c>
      <c r="K2059" s="36" t="s">
        <v>25775</v>
      </c>
      <c r="L2059" s="36" t="s">
        <v>25776</v>
      </c>
      <c r="M2059" s="36" t="s">
        <v>25777</v>
      </c>
      <c r="N2059" s="36" t="s">
        <v>25778</v>
      </c>
      <c r="O2059" s="36" t="s">
        <v>25779</v>
      </c>
      <c r="P2059" s="36" t="s">
        <v>25766</v>
      </c>
    </row>
    <row r="2060" spans="1:16" ht="15" customHeight="1">
      <c r="A2060" s="132">
        <v>2059</v>
      </c>
      <c r="B2060" s="36" t="s">
        <v>25780</v>
      </c>
      <c r="C2060" s="36" t="s">
        <v>25781</v>
      </c>
      <c r="D2060" s="36" t="s">
        <v>25782</v>
      </c>
      <c r="E2060" s="36" t="s">
        <v>25783</v>
      </c>
      <c r="F2060" s="36" t="s">
        <v>25784</v>
      </c>
      <c r="G2060" s="36" t="s">
        <v>25785</v>
      </c>
      <c r="H2060" s="36" t="s">
        <v>25786</v>
      </c>
      <c r="I2060" s="36" t="s">
        <v>25787</v>
      </c>
      <c r="J2060" s="36" t="s">
        <v>25788</v>
      </c>
      <c r="K2060" s="36" t="s">
        <v>25789</v>
      </c>
      <c r="L2060" s="36" t="s">
        <v>25790</v>
      </c>
      <c r="M2060" s="36" t="s">
        <v>25791</v>
      </c>
      <c r="N2060" s="36" t="s">
        <v>25792</v>
      </c>
      <c r="O2060" s="36" t="s">
        <v>25793</v>
      </c>
      <c r="P2060" s="36" t="s">
        <v>25780</v>
      </c>
    </row>
    <row r="2061" spans="1:16" ht="15" customHeight="1">
      <c r="A2061" s="132">
        <v>2060</v>
      </c>
      <c r="B2061" s="36" t="s">
        <v>25794</v>
      </c>
      <c r="C2061" s="36" t="s">
        <v>25795</v>
      </c>
      <c r="D2061" s="36" t="s">
        <v>25796</v>
      </c>
      <c r="E2061" s="36" t="s">
        <v>25797</v>
      </c>
      <c r="F2061" s="36" t="s">
        <v>25798</v>
      </c>
      <c r="G2061" s="36" t="s">
        <v>25799</v>
      </c>
      <c r="H2061" s="36" t="s">
        <v>25800</v>
      </c>
      <c r="I2061" s="36" t="s">
        <v>25801</v>
      </c>
      <c r="J2061" s="36" t="s">
        <v>25802</v>
      </c>
      <c r="K2061" s="36" t="s">
        <v>25803</v>
      </c>
      <c r="L2061" s="36" t="s">
        <v>25804</v>
      </c>
      <c r="M2061" s="36" t="s">
        <v>25805</v>
      </c>
      <c r="N2061" s="36" t="s">
        <v>25806</v>
      </c>
      <c r="O2061" s="36" t="s">
        <v>25807</v>
      </c>
      <c r="P2061" s="36" t="s">
        <v>25794</v>
      </c>
    </row>
    <row r="2062" spans="1:16" ht="15" customHeight="1">
      <c r="A2062" s="132">
        <v>2061</v>
      </c>
      <c r="B2062" s="36" t="s">
        <v>25808</v>
      </c>
      <c r="C2062" s="36" t="s">
        <v>25809</v>
      </c>
      <c r="D2062" s="36" t="s">
        <v>25810</v>
      </c>
      <c r="E2062" s="36" t="s">
        <v>25811</v>
      </c>
      <c r="F2062" s="36" t="s">
        <v>25812</v>
      </c>
      <c r="G2062" s="36" t="s">
        <v>25813</v>
      </c>
      <c r="H2062" s="36" t="s">
        <v>25814</v>
      </c>
      <c r="I2062" s="36" t="s">
        <v>25815</v>
      </c>
      <c r="J2062" s="36" t="s">
        <v>25816</v>
      </c>
      <c r="K2062" s="36" t="s">
        <v>25817</v>
      </c>
      <c r="L2062" s="36" t="s">
        <v>25818</v>
      </c>
      <c r="M2062" s="36" t="s">
        <v>25819</v>
      </c>
      <c r="N2062" s="36" t="s">
        <v>25820</v>
      </c>
      <c r="O2062" s="36" t="s">
        <v>25821</v>
      </c>
      <c r="P2062" s="36" t="s">
        <v>25808</v>
      </c>
    </row>
    <row r="2063" spans="1:16" ht="15" customHeight="1">
      <c r="A2063" s="132">
        <v>2062</v>
      </c>
      <c r="B2063" s="36" t="s">
        <v>25822</v>
      </c>
      <c r="C2063" s="36" t="s">
        <v>25823</v>
      </c>
      <c r="D2063" s="36" t="s">
        <v>25824</v>
      </c>
      <c r="E2063" s="36" t="s">
        <v>25825</v>
      </c>
      <c r="F2063" s="36" t="s">
        <v>25826</v>
      </c>
      <c r="G2063" s="36" t="s">
        <v>25827</v>
      </c>
      <c r="H2063" s="36" t="s">
        <v>25828</v>
      </c>
      <c r="I2063" s="36" t="s">
        <v>25829</v>
      </c>
      <c r="J2063" s="36" t="s">
        <v>25830</v>
      </c>
      <c r="K2063" s="36" t="s">
        <v>25831</v>
      </c>
      <c r="L2063" s="36" t="s">
        <v>25832</v>
      </c>
      <c r="M2063" s="36" t="s">
        <v>25833</v>
      </c>
      <c r="N2063" s="36" t="s">
        <v>25834</v>
      </c>
      <c r="O2063" s="36" t="s">
        <v>25835</v>
      </c>
      <c r="P2063" s="36" t="s">
        <v>25822</v>
      </c>
    </row>
    <row r="2064" spans="1:16" ht="15" customHeight="1">
      <c r="A2064" s="132">
        <v>2063</v>
      </c>
      <c r="B2064" s="36" t="s">
        <v>25836</v>
      </c>
      <c r="C2064" s="36" t="s">
        <v>25837</v>
      </c>
      <c r="D2064" s="36" t="s">
        <v>25838</v>
      </c>
      <c r="E2064" s="36" t="s">
        <v>25839</v>
      </c>
      <c r="F2064" s="36" t="s">
        <v>25840</v>
      </c>
      <c r="G2064" s="36" t="s">
        <v>25841</v>
      </c>
      <c r="H2064" s="36" t="s">
        <v>25842</v>
      </c>
      <c r="I2064" s="36" t="s">
        <v>25843</v>
      </c>
      <c r="J2064" s="36" t="s">
        <v>25844</v>
      </c>
      <c r="K2064" s="36" t="s">
        <v>25845</v>
      </c>
      <c r="L2064" s="36" t="s">
        <v>25846</v>
      </c>
      <c r="M2064" s="36" t="s">
        <v>25847</v>
      </c>
      <c r="N2064" s="36" t="s">
        <v>25848</v>
      </c>
      <c r="O2064" s="36" t="s">
        <v>25849</v>
      </c>
      <c r="P2064" s="36" t="s">
        <v>25836</v>
      </c>
    </row>
    <row r="2065" spans="1:16" ht="15" customHeight="1">
      <c r="A2065" s="132">
        <v>2064</v>
      </c>
      <c r="B2065" s="36" t="s">
        <v>25850</v>
      </c>
      <c r="C2065" s="36" t="s">
        <v>25851</v>
      </c>
      <c r="D2065" s="36" t="s">
        <v>25852</v>
      </c>
      <c r="E2065" s="36" t="s">
        <v>25853</v>
      </c>
      <c r="F2065" s="36" t="s">
        <v>25854</v>
      </c>
      <c r="G2065" s="36" t="s">
        <v>25855</v>
      </c>
      <c r="H2065" s="36" t="s">
        <v>25856</v>
      </c>
      <c r="I2065" s="36" t="s">
        <v>25857</v>
      </c>
      <c r="J2065" s="36" t="s">
        <v>25858</v>
      </c>
      <c r="K2065" s="36" t="s">
        <v>25859</v>
      </c>
      <c r="L2065" s="36" t="s">
        <v>25860</v>
      </c>
      <c r="M2065" s="36" t="s">
        <v>25861</v>
      </c>
      <c r="N2065" s="36" t="s">
        <v>25862</v>
      </c>
      <c r="O2065" s="36" t="s">
        <v>25863</v>
      </c>
      <c r="P2065" s="36" t="s">
        <v>25850</v>
      </c>
    </row>
    <row r="2066" spans="1:16" ht="15" customHeight="1">
      <c r="A2066" s="132">
        <v>2065</v>
      </c>
      <c r="B2066" s="36" t="s">
        <v>25864</v>
      </c>
      <c r="C2066" s="36" t="s">
        <v>25865</v>
      </c>
      <c r="D2066" s="36" t="s">
        <v>25866</v>
      </c>
      <c r="E2066" s="36" t="s">
        <v>25867</v>
      </c>
      <c r="F2066" s="36" t="s">
        <v>25868</v>
      </c>
      <c r="G2066" s="36" t="s">
        <v>25869</v>
      </c>
      <c r="H2066" s="36" t="s">
        <v>25870</v>
      </c>
      <c r="I2066" s="36" t="s">
        <v>25871</v>
      </c>
      <c r="J2066" s="36" t="s">
        <v>25872</v>
      </c>
      <c r="K2066" s="36" t="s">
        <v>25873</v>
      </c>
      <c r="L2066" s="36" t="s">
        <v>25874</v>
      </c>
      <c r="M2066" s="36" t="s">
        <v>25875</v>
      </c>
      <c r="N2066" s="36" t="s">
        <v>25876</v>
      </c>
      <c r="O2066" s="36" t="s">
        <v>25877</v>
      </c>
      <c r="P2066" s="36" t="s">
        <v>25864</v>
      </c>
    </row>
    <row r="2067" spans="1:16" ht="15" customHeight="1">
      <c r="A2067" s="132">
        <v>2066</v>
      </c>
      <c r="B2067" s="36" t="s">
        <v>25878</v>
      </c>
      <c r="C2067" s="36" t="s">
        <v>25879</v>
      </c>
      <c r="D2067" s="36" t="s">
        <v>25880</v>
      </c>
      <c r="E2067" s="36" t="s">
        <v>25881</v>
      </c>
      <c r="F2067" s="36" t="s">
        <v>25882</v>
      </c>
      <c r="G2067" s="36" t="s">
        <v>25883</v>
      </c>
      <c r="H2067" s="36" t="s">
        <v>25884</v>
      </c>
      <c r="I2067" s="36" t="s">
        <v>25885</v>
      </c>
      <c r="J2067" s="36" t="s">
        <v>25886</v>
      </c>
      <c r="K2067" s="36" t="s">
        <v>25887</v>
      </c>
      <c r="L2067" s="36" t="s">
        <v>25888</v>
      </c>
      <c r="M2067" s="36" t="s">
        <v>25889</v>
      </c>
      <c r="N2067" s="36" t="s">
        <v>25890</v>
      </c>
      <c r="O2067" s="36" t="s">
        <v>25891</v>
      </c>
      <c r="P2067" s="36" t="s">
        <v>25878</v>
      </c>
    </row>
    <row r="2068" spans="1:16" ht="15" customHeight="1">
      <c r="A2068" s="132">
        <v>2067</v>
      </c>
      <c r="B2068" s="36" t="s">
        <v>25892</v>
      </c>
      <c r="C2068" s="36" t="s">
        <v>25893</v>
      </c>
      <c r="D2068" s="36" t="s">
        <v>3929</v>
      </c>
      <c r="E2068" s="36" t="s">
        <v>25894</v>
      </c>
      <c r="F2068" s="36" t="s">
        <v>25895</v>
      </c>
      <c r="G2068" s="36" t="s">
        <v>25896</v>
      </c>
      <c r="H2068" s="36" t="s">
        <v>25897</v>
      </c>
      <c r="I2068" s="36" t="s">
        <v>25898</v>
      </c>
      <c r="J2068" s="36" t="s">
        <v>25899</v>
      </c>
      <c r="K2068" s="36" t="s">
        <v>25900</v>
      </c>
      <c r="L2068" s="36" t="s">
        <v>25901</v>
      </c>
      <c r="M2068" s="36" t="s">
        <v>25902</v>
      </c>
      <c r="N2068" s="36" t="s">
        <v>25903</v>
      </c>
      <c r="O2068" s="36" t="s">
        <v>25904</v>
      </c>
      <c r="P2068" s="36" t="s">
        <v>25892</v>
      </c>
    </row>
    <row r="2069" spans="1:16" ht="15" customHeight="1">
      <c r="A2069" s="132">
        <v>2068</v>
      </c>
      <c r="B2069" s="36" t="s">
        <v>25905</v>
      </c>
      <c r="C2069" s="36" t="s">
        <v>25906</v>
      </c>
      <c r="D2069" s="36" t="s">
        <v>25907</v>
      </c>
      <c r="E2069" s="36" t="s">
        <v>25908</v>
      </c>
      <c r="F2069" s="36" t="s">
        <v>25909</v>
      </c>
      <c r="G2069" s="36" t="s">
        <v>25910</v>
      </c>
      <c r="H2069" s="36" t="s">
        <v>25911</v>
      </c>
      <c r="I2069" s="36" t="s">
        <v>25912</v>
      </c>
      <c r="J2069" s="36" t="s">
        <v>25913</v>
      </c>
      <c r="K2069" s="36" t="s">
        <v>25914</v>
      </c>
      <c r="L2069" s="36" t="s">
        <v>25915</v>
      </c>
      <c r="M2069" s="36" t="s">
        <v>25916</v>
      </c>
      <c r="N2069" s="36" t="s">
        <v>25917</v>
      </c>
      <c r="O2069" s="36" t="s">
        <v>25918</v>
      </c>
      <c r="P2069" s="36" t="s">
        <v>25905</v>
      </c>
    </row>
    <row r="2070" spans="1:16" ht="15" customHeight="1">
      <c r="A2070" s="132">
        <v>2069</v>
      </c>
      <c r="B2070" s="36" t="s">
        <v>25919</v>
      </c>
      <c r="C2070" s="36" t="s">
        <v>25920</v>
      </c>
      <c r="D2070" s="36" t="s">
        <v>25921</v>
      </c>
      <c r="E2070" s="36" t="s">
        <v>25922</v>
      </c>
      <c r="F2070" s="36" t="s">
        <v>25923</v>
      </c>
      <c r="G2070" s="36" t="s">
        <v>25924</v>
      </c>
      <c r="H2070" s="36" t="s">
        <v>25925</v>
      </c>
      <c r="I2070" s="36" t="s">
        <v>25926</v>
      </c>
      <c r="J2070" s="36" t="s">
        <v>25927</v>
      </c>
      <c r="K2070" s="36" t="s">
        <v>25928</v>
      </c>
      <c r="L2070" s="36" t="s">
        <v>25929</v>
      </c>
      <c r="M2070" s="36" t="s">
        <v>25930</v>
      </c>
      <c r="N2070" s="36" t="s">
        <v>25931</v>
      </c>
      <c r="O2070" s="36" t="s">
        <v>25932</v>
      </c>
      <c r="P2070" s="36" t="s">
        <v>25919</v>
      </c>
    </row>
    <row r="2071" spans="1:16" ht="15" customHeight="1">
      <c r="A2071" s="132">
        <v>2070</v>
      </c>
      <c r="B2071" s="36" t="s">
        <v>25933</v>
      </c>
      <c r="C2071" s="36" t="s">
        <v>25934</v>
      </c>
      <c r="D2071" s="36" t="s">
        <v>25935</v>
      </c>
      <c r="E2071" s="36" t="s">
        <v>25936</v>
      </c>
      <c r="F2071" s="36" t="s">
        <v>25937</v>
      </c>
      <c r="G2071" s="36" t="s">
        <v>25938</v>
      </c>
      <c r="H2071" s="36" t="s">
        <v>25939</v>
      </c>
      <c r="I2071" s="36" t="s">
        <v>25937</v>
      </c>
      <c r="J2071" s="36" t="s">
        <v>25940</v>
      </c>
      <c r="K2071" s="36" t="s">
        <v>25941</v>
      </c>
      <c r="L2071" s="36" t="s">
        <v>25942</v>
      </c>
      <c r="M2071" s="36" t="s">
        <v>25943</v>
      </c>
      <c r="N2071" s="36" t="s">
        <v>25944</v>
      </c>
      <c r="O2071" s="36" t="s">
        <v>25945</v>
      </c>
      <c r="P2071" s="36" t="s">
        <v>25933</v>
      </c>
    </row>
    <row r="2072" spans="1:16" ht="15" customHeight="1">
      <c r="A2072" s="132">
        <v>2071</v>
      </c>
      <c r="B2072" s="36" t="s">
        <v>25946</v>
      </c>
      <c r="C2072" s="36" t="s">
        <v>25947</v>
      </c>
      <c r="D2072" s="36" t="s">
        <v>25948</v>
      </c>
      <c r="E2072" s="36" t="s">
        <v>25949</v>
      </c>
      <c r="F2072" s="36" t="s">
        <v>25950</v>
      </c>
      <c r="G2072" s="36" t="s">
        <v>25951</v>
      </c>
      <c r="H2072" s="36" t="s">
        <v>25952</v>
      </c>
      <c r="I2072" s="36" t="s">
        <v>25953</v>
      </c>
      <c r="J2072" s="36" t="s">
        <v>25954</v>
      </c>
      <c r="K2072" s="36" t="s">
        <v>25955</v>
      </c>
      <c r="L2072" s="36" t="s">
        <v>25956</v>
      </c>
      <c r="M2072" s="36" t="s">
        <v>25957</v>
      </c>
      <c r="N2072" s="36" t="s">
        <v>25958</v>
      </c>
      <c r="O2072" s="36" t="s">
        <v>25959</v>
      </c>
      <c r="P2072" s="36" t="s">
        <v>25946</v>
      </c>
    </row>
    <row r="2073" spans="1:16" ht="15" customHeight="1">
      <c r="A2073" s="132">
        <v>2072</v>
      </c>
      <c r="B2073" s="36" t="s">
        <v>25960</v>
      </c>
      <c r="C2073" s="36" t="s">
        <v>25961</v>
      </c>
      <c r="D2073" s="36" t="s">
        <v>25962</v>
      </c>
      <c r="E2073" s="36" t="s">
        <v>25963</v>
      </c>
      <c r="F2073" s="36" t="s">
        <v>25964</v>
      </c>
      <c r="G2073" s="36" t="s">
        <v>25965</v>
      </c>
      <c r="H2073" s="36" t="s">
        <v>25966</v>
      </c>
      <c r="I2073" s="36" t="s">
        <v>25964</v>
      </c>
      <c r="J2073" s="36" t="s">
        <v>25967</v>
      </c>
      <c r="K2073" s="36" t="s">
        <v>25968</v>
      </c>
      <c r="L2073" s="36" t="s">
        <v>25969</v>
      </c>
      <c r="M2073" s="36" t="s">
        <v>25970</v>
      </c>
      <c r="N2073" s="36" t="s">
        <v>25971</v>
      </c>
      <c r="O2073" s="36" t="s">
        <v>25972</v>
      </c>
      <c r="P2073" s="36" t="s">
        <v>25960</v>
      </c>
    </row>
    <row r="2074" spans="1:16" ht="15" customHeight="1">
      <c r="A2074" s="132">
        <v>2073</v>
      </c>
      <c r="B2074" s="36" t="s">
        <v>25973</v>
      </c>
      <c r="C2074" s="36" t="s">
        <v>25974</v>
      </c>
      <c r="D2074" s="36" t="s">
        <v>25975</v>
      </c>
      <c r="E2074" s="36" t="s">
        <v>25976</v>
      </c>
      <c r="F2074" s="36" t="s">
        <v>25977</v>
      </c>
      <c r="G2074" s="36" t="s">
        <v>25978</v>
      </c>
      <c r="H2074" s="36" t="s">
        <v>25979</v>
      </c>
      <c r="I2074" s="36" t="s">
        <v>25977</v>
      </c>
      <c r="J2074" s="36" t="s">
        <v>25980</v>
      </c>
      <c r="K2074" s="36" t="s">
        <v>25981</v>
      </c>
      <c r="L2074" s="36" t="s">
        <v>25982</v>
      </c>
      <c r="M2074" s="36" t="s">
        <v>25983</v>
      </c>
      <c r="N2074" s="36" t="s">
        <v>25983</v>
      </c>
      <c r="O2074" s="36" t="s">
        <v>25977</v>
      </c>
      <c r="P2074" s="36" t="s">
        <v>25973</v>
      </c>
    </row>
    <row r="2075" spans="1:16" ht="15" customHeight="1">
      <c r="A2075" s="132">
        <v>2074</v>
      </c>
      <c r="B2075" s="36" t="s">
        <v>25984</v>
      </c>
      <c r="C2075" s="36" t="s">
        <v>25985</v>
      </c>
      <c r="D2075" s="36" t="s">
        <v>25986</v>
      </c>
      <c r="E2075" s="36" t="s">
        <v>25987</v>
      </c>
      <c r="F2075" s="36" t="s">
        <v>25988</v>
      </c>
      <c r="G2075" s="36" t="s">
        <v>25989</v>
      </c>
      <c r="H2075" s="36" t="s">
        <v>25990</v>
      </c>
      <c r="I2075" s="36" t="s">
        <v>25991</v>
      </c>
      <c r="J2075" s="36" t="s">
        <v>25992</v>
      </c>
      <c r="K2075" s="36" t="s">
        <v>25993</v>
      </c>
      <c r="L2075" s="36" t="s">
        <v>25994</v>
      </c>
      <c r="M2075" s="36" t="s">
        <v>25995</v>
      </c>
      <c r="N2075" s="36" t="s">
        <v>25996</v>
      </c>
      <c r="O2075" s="36" t="s">
        <v>25997</v>
      </c>
      <c r="P2075" s="36" t="s">
        <v>25984</v>
      </c>
    </row>
    <row r="2076" spans="1:16" ht="15" customHeight="1">
      <c r="A2076" s="132">
        <v>2075</v>
      </c>
      <c r="B2076" s="36" t="s">
        <v>25998</v>
      </c>
      <c r="C2076" s="36" t="s">
        <v>25999</v>
      </c>
      <c r="D2076" s="36" t="s">
        <v>26000</v>
      </c>
      <c r="E2076" s="36" t="s">
        <v>26001</v>
      </c>
      <c r="F2076" s="36" t="s">
        <v>26002</v>
      </c>
      <c r="G2076" s="36" t="s">
        <v>26003</v>
      </c>
      <c r="H2076" s="36" t="s">
        <v>26004</v>
      </c>
      <c r="I2076" s="36" t="s">
        <v>26005</v>
      </c>
      <c r="J2076" s="36" t="s">
        <v>26006</v>
      </c>
      <c r="K2076" s="36" t="s">
        <v>26007</v>
      </c>
      <c r="L2076" s="36" t="s">
        <v>26008</v>
      </c>
      <c r="M2076" s="36" t="s">
        <v>26009</v>
      </c>
      <c r="N2076" s="36" t="s">
        <v>26010</v>
      </c>
      <c r="O2076" s="36" t="s">
        <v>26011</v>
      </c>
      <c r="P2076" s="36" t="s">
        <v>25998</v>
      </c>
    </row>
    <row r="2077" spans="1:16" ht="15" customHeight="1">
      <c r="A2077" s="132">
        <v>2076</v>
      </c>
      <c r="B2077" s="36" t="s">
        <v>26012</v>
      </c>
      <c r="C2077" s="36" t="s">
        <v>26013</v>
      </c>
      <c r="D2077" s="36" t="s">
        <v>26014</v>
      </c>
      <c r="E2077" s="36" t="s">
        <v>26015</v>
      </c>
      <c r="F2077" s="36" t="s">
        <v>26016</v>
      </c>
      <c r="G2077" s="36" t="s">
        <v>26017</v>
      </c>
      <c r="H2077" s="36" t="s">
        <v>26018</v>
      </c>
      <c r="I2077" s="36" t="s">
        <v>26019</v>
      </c>
      <c r="J2077" s="36" t="s">
        <v>26020</v>
      </c>
      <c r="K2077" s="36" t="s">
        <v>26021</v>
      </c>
      <c r="L2077" s="36" t="s">
        <v>26022</v>
      </c>
      <c r="M2077" s="36" t="s">
        <v>26023</v>
      </c>
      <c r="N2077" s="36" t="s">
        <v>26022</v>
      </c>
      <c r="O2077" s="36" t="s">
        <v>26024</v>
      </c>
      <c r="P2077" s="36" t="s">
        <v>26012</v>
      </c>
    </row>
    <row r="2078" spans="1:16" ht="15" customHeight="1">
      <c r="A2078" s="132">
        <v>2077</v>
      </c>
      <c r="B2078" s="36" t="s">
        <v>26025</v>
      </c>
      <c r="C2078" s="36" t="s">
        <v>26026</v>
      </c>
      <c r="D2078" s="36" t="s">
        <v>26027</v>
      </c>
      <c r="E2078" s="36" t="s">
        <v>26028</v>
      </c>
      <c r="F2078" s="36" t="s">
        <v>26029</v>
      </c>
      <c r="G2078" s="36" t="s">
        <v>26030</v>
      </c>
      <c r="H2078" s="36" t="s">
        <v>26031</v>
      </c>
      <c r="I2078" s="36" t="s">
        <v>26029</v>
      </c>
      <c r="J2078" s="36" t="s">
        <v>26032</v>
      </c>
      <c r="K2078" s="36" t="s">
        <v>26033</v>
      </c>
      <c r="L2078" s="36" t="s">
        <v>26034</v>
      </c>
      <c r="M2078" s="36" t="s">
        <v>26034</v>
      </c>
      <c r="N2078" s="36" t="s">
        <v>26034</v>
      </c>
      <c r="O2078" s="36" t="s">
        <v>26035</v>
      </c>
      <c r="P2078" s="36" t="s">
        <v>26025</v>
      </c>
    </row>
    <row r="2079" spans="1:16" ht="15" customHeight="1">
      <c r="A2079" s="132">
        <v>2078</v>
      </c>
      <c r="B2079" s="36" t="s">
        <v>26036</v>
      </c>
      <c r="C2079" s="36" t="s">
        <v>26037</v>
      </c>
      <c r="D2079" s="36" t="s">
        <v>26038</v>
      </c>
      <c r="E2079" s="36" t="s">
        <v>26039</v>
      </c>
      <c r="F2079" s="36" t="s">
        <v>26040</v>
      </c>
      <c r="G2079" s="36" t="s">
        <v>26041</v>
      </c>
      <c r="H2079" s="36" t="s">
        <v>26042</v>
      </c>
      <c r="I2079" s="36" t="s">
        <v>26043</v>
      </c>
      <c r="J2079" s="36" t="s">
        <v>26044</v>
      </c>
      <c r="K2079" s="36" t="s">
        <v>26045</v>
      </c>
      <c r="L2079" s="36" t="s">
        <v>26046</v>
      </c>
      <c r="M2079" s="36" t="s">
        <v>26047</v>
      </c>
      <c r="N2079" s="36" t="s">
        <v>26048</v>
      </c>
      <c r="O2079" s="36" t="s">
        <v>26049</v>
      </c>
      <c r="P2079" s="36" t="s">
        <v>26036</v>
      </c>
    </row>
    <row r="2080" spans="1:16" ht="15" customHeight="1">
      <c r="A2080" s="132">
        <v>2079</v>
      </c>
      <c r="B2080" s="36" t="s">
        <v>26050</v>
      </c>
      <c r="C2080" s="36" t="s">
        <v>26051</v>
      </c>
      <c r="D2080" s="36" t="s">
        <v>26052</v>
      </c>
      <c r="E2080" s="36" t="s">
        <v>26053</v>
      </c>
      <c r="F2080" s="36" t="s">
        <v>26054</v>
      </c>
      <c r="G2080" s="36" t="s">
        <v>26055</v>
      </c>
      <c r="H2080" s="36" t="s">
        <v>26056</v>
      </c>
      <c r="I2080" s="36" t="s">
        <v>26057</v>
      </c>
      <c r="J2080" s="36" t="s">
        <v>26058</v>
      </c>
      <c r="K2080" s="36" t="s">
        <v>26059</v>
      </c>
      <c r="L2080" s="36" t="s">
        <v>26060</v>
      </c>
      <c r="M2080" s="36" t="s">
        <v>26061</v>
      </c>
      <c r="N2080" s="36" t="s">
        <v>26062</v>
      </c>
      <c r="O2080" s="36" t="s">
        <v>26063</v>
      </c>
      <c r="P2080" s="36" t="s">
        <v>26050</v>
      </c>
    </row>
    <row r="2081" spans="1:16" ht="15" customHeight="1">
      <c r="A2081" s="132">
        <v>2080</v>
      </c>
      <c r="B2081" s="36" t="s">
        <v>26064</v>
      </c>
      <c r="C2081" s="36" t="s">
        <v>26065</v>
      </c>
      <c r="D2081" s="36" t="s">
        <v>26066</v>
      </c>
      <c r="E2081" s="36" t="s">
        <v>26067</v>
      </c>
      <c r="F2081" s="36" t="s">
        <v>26068</v>
      </c>
      <c r="G2081" s="36" t="s">
        <v>26069</v>
      </c>
      <c r="H2081" s="36" t="s">
        <v>26070</v>
      </c>
      <c r="I2081" s="36" t="s">
        <v>26071</v>
      </c>
      <c r="J2081" s="36" t="s">
        <v>26072</v>
      </c>
      <c r="K2081" s="36" t="s">
        <v>26073</v>
      </c>
      <c r="L2081" s="36" t="s">
        <v>26074</v>
      </c>
      <c r="M2081" s="36" t="s">
        <v>26075</v>
      </c>
      <c r="N2081" s="36" t="s">
        <v>26076</v>
      </c>
      <c r="O2081" s="36" t="s">
        <v>26077</v>
      </c>
      <c r="P2081" s="36" t="s">
        <v>26064</v>
      </c>
    </row>
    <row r="2082" spans="1:16" ht="15" customHeight="1">
      <c r="A2082" s="132">
        <v>2081</v>
      </c>
      <c r="B2082" s="36" t="s">
        <v>26078</v>
      </c>
      <c r="C2082" s="36" t="s">
        <v>26079</v>
      </c>
      <c r="D2082" s="36" t="s">
        <v>26080</v>
      </c>
      <c r="E2082" s="36" t="s">
        <v>26081</v>
      </c>
      <c r="F2082" s="36" t="s">
        <v>26082</v>
      </c>
      <c r="G2082" s="36" t="s">
        <v>26083</v>
      </c>
      <c r="H2082" s="36" t="s">
        <v>26084</v>
      </c>
      <c r="I2082" s="36" t="s">
        <v>26085</v>
      </c>
      <c r="J2082" s="36" t="s">
        <v>26086</v>
      </c>
      <c r="K2082" s="36" t="s">
        <v>26087</v>
      </c>
      <c r="L2082" s="36" t="s">
        <v>26088</v>
      </c>
      <c r="M2082" s="36" t="s">
        <v>26089</v>
      </c>
      <c r="N2082" s="36" t="s">
        <v>26090</v>
      </c>
      <c r="O2082" s="36" t="s">
        <v>26091</v>
      </c>
      <c r="P2082" s="36" t="s">
        <v>26078</v>
      </c>
    </row>
    <row r="2083" spans="1:16" ht="15" customHeight="1">
      <c r="A2083" s="132">
        <v>2082</v>
      </c>
      <c r="B2083" s="36" t="s">
        <v>26092</v>
      </c>
      <c r="C2083" s="36" t="s">
        <v>26093</v>
      </c>
      <c r="D2083" s="36" t="s">
        <v>26094</v>
      </c>
      <c r="E2083" s="36" t="s">
        <v>26095</v>
      </c>
      <c r="F2083" s="36" t="s">
        <v>26096</v>
      </c>
      <c r="G2083" s="36" t="s">
        <v>26097</v>
      </c>
      <c r="H2083" s="36" t="s">
        <v>26098</v>
      </c>
      <c r="I2083" s="36" t="s">
        <v>26099</v>
      </c>
      <c r="J2083" s="36" t="s">
        <v>26100</v>
      </c>
      <c r="K2083" s="36" t="s">
        <v>26101</v>
      </c>
      <c r="L2083" s="36" t="s">
        <v>26102</v>
      </c>
      <c r="M2083" s="36" t="s">
        <v>26103</v>
      </c>
      <c r="N2083" s="36" t="s">
        <v>26104</v>
      </c>
      <c r="O2083" s="36" t="s">
        <v>26105</v>
      </c>
      <c r="P2083" s="36" t="s">
        <v>26092</v>
      </c>
    </row>
    <row r="2084" spans="1:16" ht="15" customHeight="1">
      <c r="A2084" s="132">
        <v>2083</v>
      </c>
      <c r="B2084" s="36" t="s">
        <v>26106</v>
      </c>
      <c r="C2084" s="36" t="s">
        <v>26107</v>
      </c>
      <c r="D2084" s="36" t="s">
        <v>26108</v>
      </c>
      <c r="E2084" s="36" t="s">
        <v>26109</v>
      </c>
      <c r="F2084" s="36" t="s">
        <v>26110</v>
      </c>
      <c r="G2084" s="36" t="s">
        <v>26111</v>
      </c>
      <c r="H2084" s="36" t="s">
        <v>26112</v>
      </c>
      <c r="I2084" s="36" t="s">
        <v>26113</v>
      </c>
      <c r="J2084" s="36" t="s">
        <v>26114</v>
      </c>
      <c r="K2084" s="36" t="s">
        <v>26115</v>
      </c>
      <c r="L2084" s="36" t="s">
        <v>26116</v>
      </c>
      <c r="M2084" s="36" t="s">
        <v>26117</v>
      </c>
      <c r="N2084" s="36" t="s">
        <v>26118</v>
      </c>
      <c r="O2084" s="36" t="s">
        <v>26119</v>
      </c>
      <c r="P2084" s="36" t="s">
        <v>26106</v>
      </c>
    </row>
    <row r="2085" spans="1:16" ht="15" customHeight="1">
      <c r="A2085" s="132">
        <v>2084</v>
      </c>
      <c r="B2085" s="36" t="s">
        <v>26120</v>
      </c>
      <c r="C2085" s="36" t="s">
        <v>26121</v>
      </c>
      <c r="D2085" s="36" t="s">
        <v>26122</v>
      </c>
      <c r="E2085" s="36" t="s">
        <v>26123</v>
      </c>
      <c r="F2085" s="36" t="s">
        <v>26124</v>
      </c>
      <c r="G2085" s="36" t="s">
        <v>26125</v>
      </c>
      <c r="H2085" s="36" t="s">
        <v>26126</v>
      </c>
      <c r="I2085" s="36" t="s">
        <v>26127</v>
      </c>
      <c r="J2085" s="36" t="s">
        <v>26128</v>
      </c>
      <c r="K2085" s="36" t="s">
        <v>26129</v>
      </c>
      <c r="L2085" s="36" t="s">
        <v>26130</v>
      </c>
      <c r="M2085" s="36" t="s">
        <v>26131</v>
      </c>
      <c r="N2085" s="36" t="s">
        <v>26132</v>
      </c>
      <c r="O2085" s="36" t="s">
        <v>26133</v>
      </c>
      <c r="P2085" s="36" t="s">
        <v>26120</v>
      </c>
    </row>
    <row r="2086" spans="1:16" ht="15" customHeight="1">
      <c r="A2086" s="132">
        <v>2085</v>
      </c>
      <c r="B2086" s="36" t="s">
        <v>26134</v>
      </c>
      <c r="C2086" s="36" t="s">
        <v>25893</v>
      </c>
      <c r="D2086" s="36" t="s">
        <v>3929</v>
      </c>
      <c r="E2086" s="36" t="s">
        <v>26135</v>
      </c>
      <c r="F2086" s="36" t="s">
        <v>26136</v>
      </c>
      <c r="G2086" s="36" t="s">
        <v>26137</v>
      </c>
      <c r="H2086" s="36" t="s">
        <v>26138</v>
      </c>
      <c r="I2086" s="36" t="s">
        <v>26139</v>
      </c>
      <c r="J2086" s="36" t="s">
        <v>26140</v>
      </c>
      <c r="K2086" s="36" t="s">
        <v>26141</v>
      </c>
      <c r="L2086" s="36" t="s">
        <v>26142</v>
      </c>
      <c r="M2086" s="36" t="s">
        <v>26143</v>
      </c>
      <c r="N2086" s="36" t="s">
        <v>26144</v>
      </c>
      <c r="O2086" s="36" t="s">
        <v>26145</v>
      </c>
      <c r="P2086" s="36" t="s">
        <v>26134</v>
      </c>
    </row>
    <row r="2087" spans="1:16" ht="15" customHeight="1">
      <c r="A2087" s="132">
        <v>2086</v>
      </c>
      <c r="B2087" s="36" t="s">
        <v>26146</v>
      </c>
      <c r="C2087" s="36" t="s">
        <v>26147</v>
      </c>
      <c r="D2087" s="36" t="s">
        <v>26147</v>
      </c>
      <c r="E2087" s="36" t="s">
        <v>26148</v>
      </c>
      <c r="F2087" s="36" t="s">
        <v>26149</v>
      </c>
      <c r="G2087" s="36" t="s">
        <v>26150</v>
      </c>
      <c r="H2087" s="36" t="s">
        <v>26151</v>
      </c>
      <c r="I2087" s="36" t="s">
        <v>26152</v>
      </c>
      <c r="J2087" s="36" t="s">
        <v>26153</v>
      </c>
      <c r="K2087" s="36" t="s">
        <v>26154</v>
      </c>
      <c r="L2087" s="36" t="s">
        <v>26155</v>
      </c>
      <c r="M2087" s="36" t="s">
        <v>26155</v>
      </c>
      <c r="N2087" s="36" t="s">
        <v>26155</v>
      </c>
      <c r="O2087" s="36" t="s">
        <v>26156</v>
      </c>
      <c r="P2087" s="36" t="s">
        <v>26146</v>
      </c>
    </row>
    <row r="2088" spans="1:16" ht="15" customHeight="1">
      <c r="A2088" s="132">
        <v>2087</v>
      </c>
      <c r="B2088" s="36" t="s">
        <v>26157</v>
      </c>
      <c r="C2088" s="36" t="s">
        <v>26158</v>
      </c>
      <c r="D2088" s="36" t="s">
        <v>26159</v>
      </c>
      <c r="E2088" s="36" t="s">
        <v>26160</v>
      </c>
      <c r="F2088" s="36" t="s">
        <v>26161</v>
      </c>
      <c r="G2088" s="36" t="s">
        <v>26162</v>
      </c>
      <c r="H2088" s="36" t="s">
        <v>26163</v>
      </c>
      <c r="I2088" s="36" t="s">
        <v>26164</v>
      </c>
      <c r="J2088" s="36" t="s">
        <v>26165</v>
      </c>
      <c r="K2088" s="36" t="s">
        <v>26166</v>
      </c>
      <c r="L2088" s="36" t="s">
        <v>26167</v>
      </c>
      <c r="M2088" s="36" t="s">
        <v>26168</v>
      </c>
      <c r="N2088" s="36" t="s">
        <v>26169</v>
      </c>
      <c r="O2088" s="36" t="s">
        <v>26170</v>
      </c>
      <c r="P2088" s="36" t="s">
        <v>26157</v>
      </c>
    </row>
    <row r="2089" spans="1:16" ht="15" customHeight="1">
      <c r="A2089" s="132">
        <v>2088</v>
      </c>
      <c r="B2089" s="36" t="s">
        <v>26171</v>
      </c>
      <c r="C2089" s="36" t="s">
        <v>26172</v>
      </c>
      <c r="D2089" s="36" t="s">
        <v>26173</v>
      </c>
      <c r="E2089" s="36" t="s">
        <v>26174</v>
      </c>
      <c r="F2089" s="36" t="s">
        <v>26175</v>
      </c>
      <c r="G2089" s="36" t="s">
        <v>26176</v>
      </c>
      <c r="H2089" s="36" t="s">
        <v>26177</v>
      </c>
      <c r="I2089" s="36" t="s">
        <v>26178</v>
      </c>
      <c r="J2089" s="36" t="s">
        <v>26179</v>
      </c>
      <c r="K2089" s="36" t="s">
        <v>26180</v>
      </c>
      <c r="L2089" s="36" t="s">
        <v>26181</v>
      </c>
      <c r="M2089" s="36" t="s">
        <v>26182</v>
      </c>
      <c r="N2089" s="36" t="s">
        <v>26183</v>
      </c>
      <c r="O2089" s="36" t="s">
        <v>26184</v>
      </c>
      <c r="P2089" s="36" t="s">
        <v>26171</v>
      </c>
    </row>
    <row r="2090" spans="1:16" ht="15" customHeight="1">
      <c r="A2090" s="132">
        <v>2089</v>
      </c>
      <c r="B2090" s="36" t="s">
        <v>26185</v>
      </c>
      <c r="C2090" s="36" t="s">
        <v>26186</v>
      </c>
      <c r="D2090" s="36" t="s">
        <v>26187</v>
      </c>
      <c r="E2090" s="36" t="s">
        <v>26188</v>
      </c>
      <c r="F2090" s="36" t="s">
        <v>26189</v>
      </c>
      <c r="G2090" s="36" t="s">
        <v>26190</v>
      </c>
      <c r="H2090" s="36" t="s">
        <v>26191</v>
      </c>
      <c r="I2090" s="36" t="s">
        <v>26192</v>
      </c>
      <c r="J2090" s="36" t="s">
        <v>26193</v>
      </c>
      <c r="K2090" s="36" t="s">
        <v>26194</v>
      </c>
      <c r="L2090" s="36" t="s">
        <v>26195</v>
      </c>
      <c r="M2090" s="36" t="s">
        <v>26196</v>
      </c>
      <c r="N2090" s="36" t="s">
        <v>26197</v>
      </c>
      <c r="O2090" s="36" t="s">
        <v>26198</v>
      </c>
      <c r="P2090" s="36" t="s">
        <v>26185</v>
      </c>
    </row>
    <row r="2091" spans="1:16" ht="15" customHeight="1">
      <c r="A2091" s="132">
        <v>2090</v>
      </c>
      <c r="B2091" s="36" t="s">
        <v>26199</v>
      </c>
      <c r="C2091" s="36" t="s">
        <v>26200</v>
      </c>
      <c r="D2091" s="36" t="s">
        <v>26201</v>
      </c>
      <c r="E2091" s="36" t="s">
        <v>26202</v>
      </c>
      <c r="F2091" s="36" t="s">
        <v>26203</v>
      </c>
      <c r="G2091" s="36" t="s">
        <v>26204</v>
      </c>
      <c r="H2091" s="36" t="s">
        <v>26205</v>
      </c>
      <c r="I2091" s="36" t="s">
        <v>26206</v>
      </c>
      <c r="J2091" s="36" t="s">
        <v>26207</v>
      </c>
      <c r="K2091" s="36" t="s">
        <v>26208</v>
      </c>
      <c r="L2091" s="36" t="s">
        <v>26209</v>
      </c>
      <c r="M2091" s="36" t="s">
        <v>26210</v>
      </c>
      <c r="N2091" s="36" t="s">
        <v>26211</v>
      </c>
      <c r="O2091" s="36" t="s">
        <v>26212</v>
      </c>
      <c r="P2091" s="36" t="s">
        <v>26199</v>
      </c>
    </row>
    <row r="2092" spans="1:16" ht="15" customHeight="1">
      <c r="A2092" s="132">
        <v>2091</v>
      </c>
      <c r="B2092" s="36" t="s">
        <v>26213</v>
      </c>
      <c r="C2092" s="36" t="s">
        <v>26214</v>
      </c>
      <c r="D2092" s="36" t="s">
        <v>26215</v>
      </c>
      <c r="E2092" s="36" t="s">
        <v>26216</v>
      </c>
      <c r="F2092" s="36" t="s">
        <v>26217</v>
      </c>
      <c r="G2092" s="36" t="s">
        <v>26218</v>
      </c>
      <c r="H2092" s="36" t="s">
        <v>26219</v>
      </c>
      <c r="I2092" s="36" t="s">
        <v>26220</v>
      </c>
      <c r="J2092" s="36" t="s">
        <v>26221</v>
      </c>
      <c r="K2092" s="36" t="s">
        <v>26222</v>
      </c>
      <c r="L2092" s="36" t="s">
        <v>26223</v>
      </c>
      <c r="M2092" s="36" t="s">
        <v>26224</v>
      </c>
      <c r="N2092" s="36" t="s">
        <v>26225</v>
      </c>
      <c r="O2092" s="36" t="s">
        <v>26226</v>
      </c>
      <c r="P2092" s="36" t="s">
        <v>26213</v>
      </c>
    </row>
    <row r="2093" spans="1:16" ht="15" customHeight="1">
      <c r="A2093" s="132">
        <v>2092</v>
      </c>
      <c r="B2093" s="36" t="s">
        <v>26227</v>
      </c>
      <c r="C2093" s="36" t="s">
        <v>11370</v>
      </c>
      <c r="D2093" s="36" t="s">
        <v>26228</v>
      </c>
      <c r="E2093" s="36" t="s">
        <v>26229</v>
      </c>
      <c r="F2093" s="36" t="s">
        <v>26230</v>
      </c>
      <c r="G2093" s="36" t="s">
        <v>26231</v>
      </c>
      <c r="H2093" s="36" t="s">
        <v>26232</v>
      </c>
      <c r="I2093" s="36" t="s">
        <v>26233</v>
      </c>
      <c r="J2093" s="36" t="s">
        <v>26234</v>
      </c>
      <c r="K2093" s="36" t="s">
        <v>26235</v>
      </c>
      <c r="L2093" s="36" t="s">
        <v>26236</v>
      </c>
      <c r="M2093" s="36" t="s">
        <v>26237</v>
      </c>
      <c r="N2093" s="36" t="s">
        <v>26238</v>
      </c>
      <c r="O2093" s="36" t="s">
        <v>26239</v>
      </c>
      <c r="P2093" s="36" t="s">
        <v>26227</v>
      </c>
    </row>
    <row r="2094" spans="1:16" ht="15" customHeight="1">
      <c r="A2094" s="132">
        <v>2093</v>
      </c>
      <c r="B2094" s="36" t="s">
        <v>26240</v>
      </c>
      <c r="C2094" s="36" t="s">
        <v>26241</v>
      </c>
      <c r="D2094" s="36" t="s">
        <v>26242</v>
      </c>
      <c r="E2094" s="36" t="s">
        <v>26243</v>
      </c>
      <c r="F2094" s="36" t="s">
        <v>26244</v>
      </c>
      <c r="G2094" s="36" t="s">
        <v>26245</v>
      </c>
      <c r="H2094" s="36" t="s">
        <v>26246</v>
      </c>
      <c r="I2094" s="36" t="s">
        <v>26247</v>
      </c>
      <c r="J2094" s="36" t="s">
        <v>26248</v>
      </c>
      <c r="K2094" s="36" t="s">
        <v>26249</v>
      </c>
      <c r="L2094" s="36" t="s">
        <v>26250</v>
      </c>
      <c r="M2094" s="36" t="s">
        <v>26251</v>
      </c>
      <c r="N2094" s="36" t="s">
        <v>26252</v>
      </c>
      <c r="O2094" s="36" t="s">
        <v>26253</v>
      </c>
      <c r="P2094" s="36" t="s">
        <v>26240</v>
      </c>
    </row>
    <row r="2095" spans="1:16" ht="15" customHeight="1">
      <c r="A2095" s="132">
        <v>2094</v>
      </c>
      <c r="B2095" s="36" t="s">
        <v>26254</v>
      </c>
      <c r="C2095" s="36" t="s">
        <v>26255</v>
      </c>
      <c r="D2095" s="36" t="s">
        <v>26256</v>
      </c>
      <c r="E2095" s="36" t="s">
        <v>26257</v>
      </c>
      <c r="F2095" s="490" t="s">
        <v>30666</v>
      </c>
      <c r="G2095" s="490" t="s">
        <v>30667</v>
      </c>
      <c r="H2095" s="490" t="s">
        <v>30668</v>
      </c>
      <c r="I2095" s="490" t="s">
        <v>30669</v>
      </c>
      <c r="J2095" s="490" t="s">
        <v>30670</v>
      </c>
      <c r="K2095" s="490" t="s">
        <v>30671</v>
      </c>
      <c r="L2095" s="490" t="s">
        <v>30672</v>
      </c>
      <c r="M2095" s="490" t="s">
        <v>30673</v>
      </c>
      <c r="N2095" s="490" t="s">
        <v>30674</v>
      </c>
      <c r="O2095" s="490" t="s">
        <v>30675</v>
      </c>
      <c r="P2095" s="36" t="s">
        <v>26254</v>
      </c>
    </row>
    <row r="2096" spans="1:16" ht="15" customHeight="1">
      <c r="A2096" s="132">
        <v>2095</v>
      </c>
      <c r="B2096" s="36" t="s">
        <v>26258</v>
      </c>
      <c r="C2096" s="36" t="s">
        <v>26259</v>
      </c>
      <c r="D2096" s="36" t="s">
        <v>26260</v>
      </c>
      <c r="E2096" s="36" t="s">
        <v>26261</v>
      </c>
      <c r="F2096" s="490" t="s">
        <v>30676</v>
      </c>
      <c r="G2096" s="490" t="s">
        <v>30677</v>
      </c>
      <c r="H2096" s="490" t="s">
        <v>30678</v>
      </c>
      <c r="I2096" s="490" t="s">
        <v>30679</v>
      </c>
      <c r="J2096" s="490" t="s">
        <v>30680</v>
      </c>
      <c r="K2096" s="490" t="s">
        <v>30681</v>
      </c>
      <c r="L2096" s="490" t="s">
        <v>30682</v>
      </c>
      <c r="M2096" s="490" t="s">
        <v>30683</v>
      </c>
      <c r="N2096" s="490" t="s">
        <v>30684</v>
      </c>
      <c r="O2096" s="490" t="s">
        <v>30685</v>
      </c>
      <c r="P2096" s="36" t="s">
        <v>26258</v>
      </c>
    </row>
    <row r="2097" spans="1:25" ht="15" customHeight="1">
      <c r="A2097" s="132">
        <v>2096</v>
      </c>
      <c r="B2097" s="36" t="s">
        <v>26262</v>
      </c>
      <c r="C2097" s="36" t="s">
        <v>26263</v>
      </c>
      <c r="D2097" s="36" t="s">
        <v>26264</v>
      </c>
      <c r="E2097" s="116" t="s">
        <v>26265</v>
      </c>
      <c r="F2097" s="36" t="s">
        <v>26266</v>
      </c>
      <c r="G2097" s="36" t="s">
        <v>26267</v>
      </c>
      <c r="H2097" s="36" t="s">
        <v>26268</v>
      </c>
      <c r="I2097" s="36" t="s">
        <v>26266</v>
      </c>
      <c r="J2097" s="36" t="s">
        <v>26269</v>
      </c>
      <c r="K2097" s="36" t="s">
        <v>26270</v>
      </c>
      <c r="L2097" s="36" t="s">
        <v>26271</v>
      </c>
      <c r="M2097" s="36" t="s">
        <v>26272</v>
      </c>
      <c r="N2097" s="36" t="s">
        <v>26273</v>
      </c>
      <c r="O2097" s="36" t="s">
        <v>26274</v>
      </c>
      <c r="P2097" s="36" t="s">
        <v>26262</v>
      </c>
    </row>
    <row r="2098" spans="1:25" ht="15" customHeight="1">
      <c r="A2098" s="132">
        <v>2097</v>
      </c>
      <c r="B2098" s="36" t="s">
        <v>26275</v>
      </c>
      <c r="C2098" s="36" t="s">
        <v>26276</v>
      </c>
      <c r="D2098" s="36" t="s">
        <v>26277</v>
      </c>
      <c r="E2098" s="36" t="s">
        <v>26278</v>
      </c>
      <c r="F2098" s="36" t="s">
        <v>26279</v>
      </c>
      <c r="G2098" s="36" t="s">
        <v>26280</v>
      </c>
      <c r="H2098" s="36" t="s">
        <v>26281</v>
      </c>
      <c r="I2098" s="36" t="s">
        <v>26282</v>
      </c>
      <c r="J2098" s="36" t="s">
        <v>26283</v>
      </c>
      <c r="K2098" s="36" t="s">
        <v>26284</v>
      </c>
      <c r="L2098" s="36" t="s">
        <v>26285</v>
      </c>
      <c r="M2098" s="36" t="s">
        <v>26285</v>
      </c>
      <c r="N2098" s="36" t="s">
        <v>26286</v>
      </c>
      <c r="O2098" s="36" t="s">
        <v>26287</v>
      </c>
      <c r="P2098" s="36" t="s">
        <v>26275</v>
      </c>
    </row>
    <row r="2099" spans="1:25">
      <c r="A2099" s="132">
        <v>2098</v>
      </c>
      <c r="B2099" s="36" t="s">
        <v>26288</v>
      </c>
      <c r="C2099" s="36" t="s">
        <v>26289</v>
      </c>
      <c r="D2099" s="36" t="s">
        <v>26290</v>
      </c>
      <c r="E2099" s="36" t="s">
        <v>26291</v>
      </c>
      <c r="F2099" s="36" t="s">
        <v>26292</v>
      </c>
      <c r="G2099" s="36" t="s">
        <v>26293</v>
      </c>
      <c r="H2099" s="36" t="s">
        <v>26294</v>
      </c>
      <c r="I2099" s="36" t="s">
        <v>26295</v>
      </c>
      <c r="J2099" s="36" t="s">
        <v>26296</v>
      </c>
      <c r="K2099" s="36" t="s">
        <v>26297</v>
      </c>
      <c r="L2099" s="36" t="s">
        <v>26298</v>
      </c>
      <c r="M2099" s="36" t="s">
        <v>26299</v>
      </c>
      <c r="N2099" s="36" t="s">
        <v>26300</v>
      </c>
      <c r="O2099" s="36" t="s">
        <v>26301</v>
      </c>
      <c r="P2099" s="36" t="s">
        <v>26288</v>
      </c>
    </row>
    <row r="2100" spans="1:25" ht="15" customHeight="1">
      <c r="A2100" s="132">
        <v>2099</v>
      </c>
      <c r="B2100" s="36" t="s">
        <v>26302</v>
      </c>
      <c r="C2100" s="36" t="s">
        <v>26303</v>
      </c>
      <c r="D2100" s="36" t="s">
        <v>26304</v>
      </c>
      <c r="E2100" s="36" t="s">
        <v>30686</v>
      </c>
      <c r="F2100" s="36" t="s">
        <v>26305</v>
      </c>
      <c r="G2100" s="36" t="s">
        <v>26306</v>
      </c>
      <c r="H2100" s="36" t="s">
        <v>26307</v>
      </c>
      <c r="I2100" s="36" t="s">
        <v>26308</v>
      </c>
      <c r="J2100" s="36" t="s">
        <v>26309</v>
      </c>
      <c r="K2100" s="36" t="s">
        <v>26310</v>
      </c>
      <c r="L2100" s="36" t="s">
        <v>26311</v>
      </c>
      <c r="M2100" s="36" t="s">
        <v>26312</v>
      </c>
      <c r="N2100" s="36" t="s">
        <v>26313</v>
      </c>
      <c r="O2100" s="36" t="s">
        <v>26314</v>
      </c>
      <c r="P2100" s="36" t="s">
        <v>26302</v>
      </c>
    </row>
    <row r="2101" spans="1:25" ht="16.2">
      <c r="A2101" s="132">
        <v>2100</v>
      </c>
      <c r="B2101" s="36" t="s">
        <v>26315</v>
      </c>
      <c r="C2101" s="36" t="s">
        <v>26316</v>
      </c>
      <c r="D2101" s="36" t="s">
        <v>26317</v>
      </c>
      <c r="E2101" s="36" t="s">
        <v>26318</v>
      </c>
      <c r="F2101" s="36" t="s">
        <v>15934</v>
      </c>
      <c r="G2101" s="36" t="s">
        <v>26319</v>
      </c>
      <c r="H2101" s="36" t="s">
        <v>26320</v>
      </c>
      <c r="I2101" s="36" t="s">
        <v>15937</v>
      </c>
      <c r="J2101" s="36" t="s">
        <v>26321</v>
      </c>
      <c r="K2101" s="36" t="s">
        <v>15939</v>
      </c>
      <c r="L2101" s="36" t="s">
        <v>26322</v>
      </c>
      <c r="M2101" s="36" t="s">
        <v>26323</v>
      </c>
      <c r="N2101" s="36" t="s">
        <v>26324</v>
      </c>
      <c r="O2101" s="36" t="s">
        <v>26325</v>
      </c>
      <c r="P2101" s="36" t="s">
        <v>26315</v>
      </c>
    </row>
    <row r="2102" spans="1:25" ht="15" customHeight="1">
      <c r="A2102" s="132">
        <v>2101</v>
      </c>
      <c r="B2102" s="36" t="s">
        <v>26326</v>
      </c>
      <c r="C2102" s="36" t="s">
        <v>26327</v>
      </c>
      <c r="D2102" s="36" t="s">
        <v>15821</v>
      </c>
      <c r="E2102" s="36" t="s">
        <v>26328</v>
      </c>
      <c r="F2102" s="36" t="s">
        <v>14055</v>
      </c>
      <c r="G2102" s="36" t="s">
        <v>26329</v>
      </c>
      <c r="H2102" s="36" t="s">
        <v>15825</v>
      </c>
      <c r="I2102" s="36" t="s">
        <v>15826</v>
      </c>
      <c r="J2102" s="36" t="s">
        <v>26330</v>
      </c>
      <c r="K2102" s="36" t="s">
        <v>26331</v>
      </c>
      <c r="L2102" s="36" t="s">
        <v>15829</v>
      </c>
      <c r="M2102" s="36" t="s">
        <v>26332</v>
      </c>
      <c r="N2102" s="36" t="s">
        <v>15830</v>
      </c>
      <c r="O2102" s="36" t="s">
        <v>26333</v>
      </c>
      <c r="P2102" s="36" t="s">
        <v>15819</v>
      </c>
    </row>
    <row r="2103" spans="1:25" ht="15" customHeight="1">
      <c r="A2103" s="132">
        <v>2102</v>
      </c>
      <c r="B2103" s="36" t="s">
        <v>26334</v>
      </c>
      <c r="C2103" s="36" t="s">
        <v>26335</v>
      </c>
      <c r="D2103" s="36" t="s">
        <v>26336</v>
      </c>
      <c r="E2103" s="36" t="s">
        <v>26337</v>
      </c>
      <c r="F2103" s="36" t="s">
        <v>26338</v>
      </c>
      <c r="G2103" s="36" t="s">
        <v>26339</v>
      </c>
      <c r="H2103" s="36" t="s">
        <v>26340</v>
      </c>
      <c r="I2103" s="36" t="s">
        <v>26341</v>
      </c>
      <c r="J2103" s="36" t="s">
        <v>26342</v>
      </c>
      <c r="K2103" s="36" t="s">
        <v>26343</v>
      </c>
      <c r="L2103" s="36" t="s">
        <v>26344</v>
      </c>
      <c r="M2103" s="36" t="s">
        <v>26345</v>
      </c>
      <c r="N2103" s="36" t="s">
        <v>26346</v>
      </c>
      <c r="O2103" s="36" t="s">
        <v>26343</v>
      </c>
      <c r="P2103" s="36" t="s">
        <v>26334</v>
      </c>
    </row>
    <row r="2104" spans="1:25">
      <c r="A2104" s="132">
        <v>2103</v>
      </c>
      <c r="B2104" s="36" t="s">
        <v>15648</v>
      </c>
      <c r="C2104" s="36" t="s">
        <v>26347</v>
      </c>
      <c r="D2104" s="36" t="s">
        <v>26348</v>
      </c>
      <c r="E2104" s="36" t="s">
        <v>5166</v>
      </c>
      <c r="F2104" s="36" t="s">
        <v>15651</v>
      </c>
      <c r="G2104" s="36" t="s">
        <v>15652</v>
      </c>
      <c r="H2104" s="36" t="s">
        <v>15653</v>
      </c>
      <c r="I2104" s="36" t="s">
        <v>15654</v>
      </c>
      <c r="J2104" s="36" t="s">
        <v>15655</v>
      </c>
      <c r="K2104" s="36" t="s">
        <v>5172</v>
      </c>
      <c r="L2104" s="36" t="s">
        <v>5173</v>
      </c>
      <c r="M2104" s="36" t="s">
        <v>5174</v>
      </c>
      <c r="N2104" s="36" t="s">
        <v>5175</v>
      </c>
      <c r="O2104" s="36" t="s">
        <v>15656</v>
      </c>
      <c r="P2104" s="36" t="s">
        <v>15648</v>
      </c>
    </row>
    <row r="2105" spans="1:25" ht="15" customHeight="1">
      <c r="A2105" s="132">
        <v>2104</v>
      </c>
      <c r="B2105" s="36" t="s">
        <v>26349</v>
      </c>
      <c r="C2105" s="36" t="s">
        <v>26350</v>
      </c>
      <c r="D2105" s="36" t="s">
        <v>26350</v>
      </c>
      <c r="E2105" s="36" t="s">
        <v>26351</v>
      </c>
      <c r="F2105" s="36" t="s">
        <v>26352</v>
      </c>
      <c r="G2105" s="36" t="s">
        <v>26353</v>
      </c>
      <c r="H2105" s="36" t="s">
        <v>26354</v>
      </c>
      <c r="I2105" s="36" t="s">
        <v>26355</v>
      </c>
      <c r="J2105" s="36" t="s">
        <v>26356</v>
      </c>
      <c r="K2105" s="36" t="s">
        <v>26357</v>
      </c>
      <c r="L2105" s="36" t="s">
        <v>26358</v>
      </c>
      <c r="M2105" s="36" t="s">
        <v>26359</v>
      </c>
      <c r="N2105" s="36" t="s">
        <v>26358</v>
      </c>
      <c r="O2105" s="36" t="s">
        <v>26360</v>
      </c>
      <c r="P2105" s="36" t="s">
        <v>26349</v>
      </c>
    </row>
    <row r="2106" spans="1:25" ht="15" customHeight="1">
      <c r="A2106" s="132">
        <v>2105</v>
      </c>
      <c r="B2106" s="36" t="s">
        <v>26361</v>
      </c>
      <c r="C2106" s="36" t="s">
        <v>26362</v>
      </c>
      <c r="D2106" s="36" t="s">
        <v>26363</v>
      </c>
      <c r="E2106" s="36" t="s">
        <v>26364</v>
      </c>
      <c r="F2106" s="36" t="s">
        <v>26365</v>
      </c>
      <c r="G2106" s="490" t="s">
        <v>30687</v>
      </c>
      <c r="H2106" s="490" t="s">
        <v>30688</v>
      </c>
      <c r="I2106" s="490" t="s">
        <v>30689</v>
      </c>
      <c r="J2106" s="490" t="s">
        <v>30690</v>
      </c>
      <c r="K2106" s="490" t="s">
        <v>30691</v>
      </c>
      <c r="L2106" s="490" t="s">
        <v>30692</v>
      </c>
      <c r="M2106" s="490" t="s">
        <v>30693</v>
      </c>
      <c r="N2106" s="490" t="s">
        <v>30694</v>
      </c>
      <c r="O2106" s="490" t="s">
        <v>30695</v>
      </c>
      <c r="P2106" s="36" t="s">
        <v>26361</v>
      </c>
    </row>
    <row r="2107" spans="1:25" ht="15" customHeight="1">
      <c r="A2107" s="132">
        <v>2106</v>
      </c>
      <c r="B2107" s="36" t="s">
        <v>26366</v>
      </c>
      <c r="C2107" s="36" t="s">
        <v>26367</v>
      </c>
      <c r="D2107" s="36" t="s">
        <v>26368</v>
      </c>
      <c r="E2107" s="36" t="s">
        <v>26369</v>
      </c>
      <c r="F2107" s="36" t="s">
        <v>26370</v>
      </c>
      <c r="G2107" s="36" t="s">
        <v>26371</v>
      </c>
      <c r="H2107" s="36" t="s">
        <v>26372</v>
      </c>
      <c r="I2107" s="36" t="s">
        <v>26373</v>
      </c>
      <c r="J2107" s="36" t="s">
        <v>26374</v>
      </c>
      <c r="K2107" s="36" t="s">
        <v>26375</v>
      </c>
      <c r="L2107" s="36" t="s">
        <v>26376</v>
      </c>
      <c r="M2107" s="36" t="s">
        <v>26377</v>
      </c>
      <c r="N2107" s="36" t="s">
        <v>26378</v>
      </c>
      <c r="O2107" s="36" t="s">
        <v>26379</v>
      </c>
      <c r="P2107" s="36" t="s">
        <v>26366</v>
      </c>
    </row>
    <row r="2108" spans="1:25" ht="15" customHeight="1">
      <c r="A2108" s="132">
        <v>2107</v>
      </c>
      <c r="B2108" s="36" t="s">
        <v>26380</v>
      </c>
      <c r="C2108" s="36" t="s">
        <v>26381</v>
      </c>
      <c r="D2108" s="36" t="s">
        <v>26382</v>
      </c>
      <c r="E2108" s="36" t="s">
        <v>26383</v>
      </c>
      <c r="F2108" s="36" t="s">
        <v>26384</v>
      </c>
      <c r="G2108" s="36" t="s">
        <v>26385</v>
      </c>
      <c r="H2108" s="36" t="s">
        <v>26386</v>
      </c>
      <c r="I2108" s="36" t="s">
        <v>26387</v>
      </c>
      <c r="J2108" s="36" t="s">
        <v>26388</v>
      </c>
      <c r="K2108" s="36" t="s">
        <v>26389</v>
      </c>
      <c r="L2108" s="36" t="s">
        <v>26390</v>
      </c>
      <c r="M2108" s="36" t="s">
        <v>26391</v>
      </c>
      <c r="N2108" s="36" t="s">
        <v>26391</v>
      </c>
      <c r="O2108" s="36" t="s">
        <v>26392</v>
      </c>
      <c r="P2108" s="36" t="s">
        <v>26380</v>
      </c>
    </row>
    <row r="2109" spans="1:25" ht="15" customHeight="1">
      <c r="A2109" s="132">
        <v>2108</v>
      </c>
      <c r="B2109" s="36" t="s">
        <v>26393</v>
      </c>
      <c r="C2109" s="36" t="s">
        <v>26394</v>
      </c>
      <c r="D2109" s="36" t="s">
        <v>26395</v>
      </c>
      <c r="E2109" s="36" t="s">
        <v>26396</v>
      </c>
      <c r="F2109" s="36" t="s">
        <v>26397</v>
      </c>
      <c r="G2109" s="36" t="s">
        <v>26398</v>
      </c>
      <c r="H2109" s="36" t="s">
        <v>26399</v>
      </c>
      <c r="I2109" s="36" t="s">
        <v>26400</v>
      </c>
      <c r="J2109" s="36" t="s">
        <v>26401</v>
      </c>
      <c r="K2109" s="36" t="s">
        <v>26402</v>
      </c>
      <c r="L2109" s="36" t="s">
        <v>26403</v>
      </c>
      <c r="M2109" s="36" t="s">
        <v>26404</v>
      </c>
      <c r="N2109" s="36" t="s">
        <v>26405</v>
      </c>
      <c r="O2109" s="36" t="s">
        <v>26406</v>
      </c>
      <c r="P2109" s="36" t="s">
        <v>26393</v>
      </c>
    </row>
    <row r="2110" spans="1:25" ht="15" customHeight="1">
      <c r="A2110" s="132">
        <v>2109</v>
      </c>
      <c r="B2110" s="36" t="s">
        <v>26407</v>
      </c>
      <c r="C2110" s="36" t="s">
        <v>26408</v>
      </c>
      <c r="D2110" s="36" t="s">
        <v>26409</v>
      </c>
      <c r="E2110" s="36" t="s">
        <v>26410</v>
      </c>
      <c r="F2110" s="490" t="s">
        <v>30696</v>
      </c>
      <c r="G2110" s="490" t="s">
        <v>30697</v>
      </c>
      <c r="H2110" s="490" t="s">
        <v>30698</v>
      </c>
      <c r="I2110" s="490" t="s">
        <v>30699</v>
      </c>
      <c r="J2110" s="490" t="s">
        <v>30700</v>
      </c>
      <c r="K2110" s="490" t="s">
        <v>30701</v>
      </c>
      <c r="L2110" s="490" t="s">
        <v>30702</v>
      </c>
      <c r="M2110" s="490" t="s">
        <v>30703</v>
      </c>
      <c r="N2110" s="490" t="s">
        <v>30702</v>
      </c>
      <c r="O2110" s="490" t="s">
        <v>30704</v>
      </c>
      <c r="P2110" s="36" t="s">
        <v>26407</v>
      </c>
    </row>
    <row r="2111" spans="1:25" ht="15" customHeight="1">
      <c r="A2111" s="132">
        <v>2110</v>
      </c>
      <c r="B2111" s="36" t="s">
        <v>26411</v>
      </c>
      <c r="C2111" s="36" t="s">
        <v>26412</v>
      </c>
      <c r="D2111" s="36" t="s">
        <v>26413</v>
      </c>
      <c r="E2111" s="36" t="s">
        <v>26414</v>
      </c>
      <c r="F2111" s="491" t="s">
        <v>30705</v>
      </c>
      <c r="G2111" s="490" t="s">
        <v>30706</v>
      </c>
      <c r="H2111" s="490" t="s">
        <v>30707</v>
      </c>
      <c r="I2111" s="490" t="s">
        <v>30708</v>
      </c>
      <c r="J2111" s="490" t="s">
        <v>30709</v>
      </c>
      <c r="K2111" s="490" t="s">
        <v>30710</v>
      </c>
      <c r="L2111" s="490" t="s">
        <v>30711</v>
      </c>
      <c r="M2111" s="490" t="s">
        <v>30712</v>
      </c>
      <c r="N2111" s="490" t="s">
        <v>30713</v>
      </c>
      <c r="O2111" s="490" t="s">
        <v>30714</v>
      </c>
      <c r="P2111" s="36" t="s">
        <v>26411</v>
      </c>
    </row>
    <row r="2112" spans="1:25" ht="82.8">
      <c r="A2112" s="132">
        <v>2111</v>
      </c>
      <c r="B2112" s="116" t="s">
        <v>26415</v>
      </c>
      <c r="C2112" s="494" t="s">
        <v>30715</v>
      </c>
      <c r="D2112" s="116" t="s">
        <v>26416</v>
      </c>
      <c r="E2112" s="116" t="s">
        <v>26417</v>
      </c>
      <c r="F2112" s="494" t="s">
        <v>30716</v>
      </c>
      <c r="G2112" s="494" t="s">
        <v>30717</v>
      </c>
      <c r="H2112" s="494" t="s">
        <v>30718</v>
      </c>
      <c r="I2112" s="494" t="s">
        <v>30719</v>
      </c>
      <c r="J2112" s="494" t="s">
        <v>30720</v>
      </c>
      <c r="K2112" s="494" t="s">
        <v>30721</v>
      </c>
      <c r="L2112" s="494" t="s">
        <v>30722</v>
      </c>
      <c r="M2112" s="494" t="s">
        <v>30723</v>
      </c>
      <c r="N2112" s="494" t="s">
        <v>30724</v>
      </c>
      <c r="O2112" s="494" t="s">
        <v>30725</v>
      </c>
      <c r="P2112" s="116" t="s">
        <v>26415</v>
      </c>
      <c r="Q2112" s="116"/>
      <c r="R2112" s="116"/>
      <c r="S2112" s="116"/>
      <c r="T2112" s="116"/>
      <c r="U2112" s="116"/>
      <c r="V2112" s="116"/>
      <c r="W2112" s="116"/>
      <c r="X2112" s="116"/>
      <c r="Y2112" s="116"/>
    </row>
    <row r="2113" spans="1:16" ht="15" customHeight="1">
      <c r="A2113" s="132">
        <v>2112</v>
      </c>
      <c r="B2113" s="36" t="s">
        <v>26418</v>
      </c>
      <c r="C2113" s="36" t="s">
        <v>26419</v>
      </c>
      <c r="D2113" s="36" t="s">
        <v>26420</v>
      </c>
      <c r="E2113" s="36" t="s">
        <v>26421</v>
      </c>
      <c r="F2113" s="490" t="s">
        <v>30726</v>
      </c>
      <c r="G2113" s="490" t="s">
        <v>30727</v>
      </c>
      <c r="H2113" s="490" t="s">
        <v>30728</v>
      </c>
      <c r="I2113" s="490" t="s">
        <v>30729</v>
      </c>
      <c r="J2113" s="490" t="s">
        <v>30730</v>
      </c>
      <c r="K2113" s="490" t="s">
        <v>30731</v>
      </c>
      <c r="L2113" s="490" t="s">
        <v>30732</v>
      </c>
      <c r="M2113" s="490" t="s">
        <v>30733</v>
      </c>
      <c r="N2113" s="490" t="s">
        <v>30734</v>
      </c>
      <c r="O2113" s="490" t="s">
        <v>30735</v>
      </c>
      <c r="P2113" s="36" t="s">
        <v>26418</v>
      </c>
    </row>
    <row r="2114" spans="1:16" ht="15" customHeight="1">
      <c r="A2114" s="132">
        <v>2113</v>
      </c>
      <c r="B2114" s="36" t="s">
        <v>30736</v>
      </c>
      <c r="C2114" s="36" t="s">
        <v>30737</v>
      </c>
      <c r="D2114" s="36" t="s">
        <v>26422</v>
      </c>
      <c r="E2114" s="36" t="s">
        <v>26423</v>
      </c>
      <c r="F2114" s="490" t="s">
        <v>30738</v>
      </c>
      <c r="G2114" s="490" t="s">
        <v>30739</v>
      </c>
      <c r="H2114" s="490" t="s">
        <v>30740</v>
      </c>
      <c r="I2114" s="490" t="s">
        <v>30741</v>
      </c>
      <c r="J2114" s="490" t="s">
        <v>30742</v>
      </c>
      <c r="K2114" s="490" t="s">
        <v>30743</v>
      </c>
      <c r="L2114" s="490" t="s">
        <v>30744</v>
      </c>
      <c r="M2114" s="490" t="s">
        <v>30745</v>
      </c>
      <c r="N2114" s="490" t="s">
        <v>30746</v>
      </c>
      <c r="O2114" s="490" t="s">
        <v>30747</v>
      </c>
      <c r="P2114" s="36" t="s">
        <v>26424</v>
      </c>
    </row>
    <row r="2115" spans="1:16" ht="15" customHeight="1">
      <c r="A2115" s="132">
        <v>2114</v>
      </c>
      <c r="B2115" s="36" t="s">
        <v>26425</v>
      </c>
      <c r="C2115" s="490" t="s">
        <v>30748</v>
      </c>
      <c r="D2115" s="36" t="s">
        <v>26426</v>
      </c>
      <c r="E2115" s="36" t="s">
        <v>26427</v>
      </c>
      <c r="F2115" s="490" t="s">
        <v>30749</v>
      </c>
      <c r="G2115" s="490" t="s">
        <v>30750</v>
      </c>
      <c r="H2115" s="490" t="s">
        <v>30751</v>
      </c>
      <c r="I2115" s="490" t="s">
        <v>30752</v>
      </c>
      <c r="J2115" s="490" t="s">
        <v>30753</v>
      </c>
      <c r="K2115" s="490" t="s">
        <v>30754</v>
      </c>
      <c r="L2115" s="490" t="s">
        <v>30755</v>
      </c>
      <c r="M2115" s="490" t="s">
        <v>30756</v>
      </c>
      <c r="N2115" s="490" t="s">
        <v>30757</v>
      </c>
      <c r="O2115" s="490" t="s">
        <v>30758</v>
      </c>
      <c r="P2115" s="36" t="s">
        <v>26425</v>
      </c>
    </row>
    <row r="2116" spans="1:16" ht="15" customHeight="1">
      <c r="A2116" s="132">
        <v>2115</v>
      </c>
      <c r="B2116" s="36" t="s">
        <v>26428</v>
      </c>
      <c r="C2116" s="36" t="s">
        <v>26429</v>
      </c>
      <c r="D2116" s="36" t="s">
        <v>26430</v>
      </c>
      <c r="E2116" s="36" t="s">
        <v>26431</v>
      </c>
      <c r="F2116" s="490" t="s">
        <v>30759</v>
      </c>
      <c r="G2116" s="490" t="s">
        <v>30760</v>
      </c>
      <c r="H2116" s="490" t="s">
        <v>30761</v>
      </c>
      <c r="I2116" s="490" t="s">
        <v>30759</v>
      </c>
      <c r="J2116" s="490" t="s">
        <v>30762</v>
      </c>
      <c r="K2116" s="490" t="s">
        <v>30763</v>
      </c>
      <c r="L2116" s="490" t="s">
        <v>30764</v>
      </c>
      <c r="M2116" s="490" t="s">
        <v>30765</v>
      </c>
      <c r="N2116" s="490" t="s">
        <v>30765</v>
      </c>
      <c r="O2116" s="490" t="s">
        <v>30766</v>
      </c>
      <c r="P2116" s="36" t="s">
        <v>26428</v>
      </c>
    </row>
    <row r="2117" spans="1:16" ht="15" customHeight="1">
      <c r="A2117" s="132">
        <v>2116</v>
      </c>
      <c r="B2117" s="36" t="s">
        <v>26432</v>
      </c>
      <c r="C2117" s="36" t="s">
        <v>26433</v>
      </c>
      <c r="D2117" s="36" t="s">
        <v>26434</v>
      </c>
      <c r="E2117" s="36" t="s">
        <v>26435</v>
      </c>
      <c r="F2117" s="36" t="s">
        <v>26436</v>
      </c>
      <c r="G2117" s="36" t="s">
        <v>26437</v>
      </c>
      <c r="H2117" s="36" t="s">
        <v>26438</v>
      </c>
      <c r="I2117" s="36" t="s">
        <v>26439</v>
      </c>
      <c r="J2117" s="36" t="s">
        <v>26433</v>
      </c>
      <c r="K2117" s="36" t="s">
        <v>26440</v>
      </c>
      <c r="L2117" s="36" t="s">
        <v>26441</v>
      </c>
      <c r="M2117" s="36" t="s">
        <v>26442</v>
      </c>
      <c r="N2117" s="36" t="s">
        <v>26443</v>
      </c>
      <c r="O2117" s="36" t="s">
        <v>26444</v>
      </c>
      <c r="P2117" s="36" t="s">
        <v>26432</v>
      </c>
    </row>
    <row r="2118" spans="1:16" ht="15" customHeight="1">
      <c r="A2118" s="132">
        <v>2117</v>
      </c>
      <c r="B2118" s="36" t="s">
        <v>26445</v>
      </c>
      <c r="C2118" s="490" t="s">
        <v>30767</v>
      </c>
      <c r="D2118" s="36" t="s">
        <v>26446</v>
      </c>
      <c r="E2118" s="36" t="s">
        <v>26447</v>
      </c>
      <c r="F2118" s="490" t="s">
        <v>30768</v>
      </c>
      <c r="G2118" s="490" t="s">
        <v>30769</v>
      </c>
      <c r="H2118" s="490" t="s">
        <v>30770</v>
      </c>
      <c r="I2118" s="490" t="s">
        <v>30771</v>
      </c>
      <c r="J2118" s="490" t="s">
        <v>30772</v>
      </c>
      <c r="K2118" s="490" t="s">
        <v>30773</v>
      </c>
      <c r="L2118" s="490" t="s">
        <v>30774</v>
      </c>
      <c r="M2118" s="490" t="s">
        <v>30775</v>
      </c>
      <c r="N2118" s="490" t="s">
        <v>30776</v>
      </c>
      <c r="O2118" s="490" t="s">
        <v>30777</v>
      </c>
      <c r="P2118" s="36" t="s">
        <v>26445</v>
      </c>
    </row>
    <row r="2119" spans="1:16" ht="15" customHeight="1">
      <c r="A2119" s="132">
        <v>2118</v>
      </c>
      <c r="B2119" s="36" t="s">
        <v>26448</v>
      </c>
      <c r="C2119" s="36" t="s">
        <v>26449</v>
      </c>
      <c r="D2119" s="36" t="s">
        <v>26450</v>
      </c>
      <c r="E2119" s="36" t="s">
        <v>26451</v>
      </c>
      <c r="F2119" s="490" t="s">
        <v>30778</v>
      </c>
      <c r="G2119" s="490" t="s">
        <v>30779</v>
      </c>
      <c r="H2119" s="490" t="s">
        <v>30780</v>
      </c>
      <c r="I2119" s="490" t="s">
        <v>30781</v>
      </c>
      <c r="J2119" s="490" t="s">
        <v>30782</v>
      </c>
      <c r="K2119" s="490" t="s">
        <v>30783</v>
      </c>
      <c r="L2119" s="490" t="s">
        <v>30784</v>
      </c>
      <c r="M2119" s="490" t="s">
        <v>30785</v>
      </c>
      <c r="N2119" s="490" t="s">
        <v>30786</v>
      </c>
      <c r="O2119" s="490" t="s">
        <v>30787</v>
      </c>
      <c r="P2119" s="36" t="s">
        <v>26448</v>
      </c>
    </row>
    <row r="2120" spans="1:16" ht="15" customHeight="1">
      <c r="A2120" s="132">
        <v>2119</v>
      </c>
      <c r="B2120" s="36" t="s">
        <v>26452</v>
      </c>
      <c r="C2120" s="36" t="s">
        <v>26453</v>
      </c>
      <c r="D2120" s="36" t="s">
        <v>26454</v>
      </c>
      <c r="E2120" s="36" t="s">
        <v>26455</v>
      </c>
      <c r="F2120" s="490" t="s">
        <v>30788</v>
      </c>
      <c r="G2120" s="490" t="s">
        <v>30789</v>
      </c>
      <c r="H2120" s="490" t="s">
        <v>30790</v>
      </c>
      <c r="I2120" s="490" t="s">
        <v>30791</v>
      </c>
      <c r="J2120" s="490" t="s">
        <v>30792</v>
      </c>
      <c r="K2120" s="490" t="s">
        <v>30793</v>
      </c>
      <c r="L2120" s="490" t="s">
        <v>30794</v>
      </c>
      <c r="M2120" s="490" t="s">
        <v>30795</v>
      </c>
      <c r="N2120" s="490" t="s">
        <v>30795</v>
      </c>
      <c r="O2120" s="490" t="s">
        <v>30796</v>
      </c>
      <c r="P2120" s="36" t="s">
        <v>26452</v>
      </c>
    </row>
    <row r="2121" spans="1:16" ht="15" customHeight="1">
      <c r="A2121" s="132">
        <v>2120</v>
      </c>
      <c r="B2121" s="36" t="s">
        <v>26456</v>
      </c>
      <c r="C2121" s="36" t="s">
        <v>26457</v>
      </c>
      <c r="D2121" s="36" t="s">
        <v>26458</v>
      </c>
      <c r="E2121" s="36" t="s">
        <v>26459</v>
      </c>
      <c r="F2121" s="36" t="s">
        <v>26460</v>
      </c>
      <c r="G2121" s="36" t="s">
        <v>26461</v>
      </c>
      <c r="H2121" s="36" t="s">
        <v>26462</v>
      </c>
      <c r="I2121" s="36" t="s">
        <v>26463</v>
      </c>
      <c r="J2121" s="36" t="s">
        <v>26464</v>
      </c>
      <c r="K2121" s="396" t="s">
        <v>26465</v>
      </c>
      <c r="L2121" s="36" t="s">
        <v>26466</v>
      </c>
      <c r="M2121" s="36" t="s">
        <v>26467</v>
      </c>
      <c r="N2121" s="36" t="s">
        <v>26468</v>
      </c>
      <c r="O2121" s="36" t="s">
        <v>26469</v>
      </c>
      <c r="P2121" s="36" t="s">
        <v>26456</v>
      </c>
    </row>
    <row r="2122" spans="1:16" ht="15" customHeight="1">
      <c r="A2122" s="132">
        <v>2121</v>
      </c>
      <c r="B2122" s="36" t="s">
        <v>26470</v>
      </c>
      <c r="C2122" s="36" t="s">
        <v>26471</v>
      </c>
      <c r="D2122" s="36" t="s">
        <v>26472</v>
      </c>
      <c r="E2122" s="36" t="s">
        <v>26473</v>
      </c>
      <c r="F2122" s="490" t="s">
        <v>30797</v>
      </c>
      <c r="G2122" s="490" t="s">
        <v>30798</v>
      </c>
      <c r="H2122" s="490" t="s">
        <v>30799</v>
      </c>
      <c r="I2122" s="490" t="s">
        <v>30800</v>
      </c>
      <c r="J2122" s="490" t="s">
        <v>30801</v>
      </c>
      <c r="K2122" s="490" t="s">
        <v>30802</v>
      </c>
      <c r="L2122" s="490" t="s">
        <v>30803</v>
      </c>
      <c r="M2122" s="490" t="s">
        <v>30804</v>
      </c>
      <c r="N2122" s="490" t="s">
        <v>30805</v>
      </c>
      <c r="O2122" s="490" t="s">
        <v>30806</v>
      </c>
      <c r="P2122" s="36" t="s">
        <v>26470</v>
      </c>
    </row>
    <row r="2123" spans="1:16" ht="15" customHeight="1">
      <c r="A2123" s="132">
        <v>2122</v>
      </c>
      <c r="B2123" s="36" t="s">
        <v>26474</v>
      </c>
      <c r="C2123" s="36" t="s">
        <v>21582</v>
      </c>
      <c r="D2123" s="36" t="s">
        <v>26475</v>
      </c>
      <c r="E2123" s="36" t="s">
        <v>26476</v>
      </c>
      <c r="F2123" s="36" t="s">
        <v>21585</v>
      </c>
      <c r="G2123" s="36" t="s">
        <v>21586</v>
      </c>
      <c r="H2123" s="36" t="s">
        <v>21587</v>
      </c>
      <c r="I2123" s="36" t="s">
        <v>21588</v>
      </c>
      <c r="J2123" s="36" t="s">
        <v>21589</v>
      </c>
      <c r="K2123" s="36" t="s">
        <v>21590</v>
      </c>
      <c r="L2123" s="36" t="s">
        <v>26477</v>
      </c>
      <c r="M2123" s="36" t="s">
        <v>21592</v>
      </c>
      <c r="N2123" s="36" t="s">
        <v>21593</v>
      </c>
      <c r="O2123" s="36" t="s">
        <v>21594</v>
      </c>
      <c r="P2123" s="36" t="s">
        <v>26474</v>
      </c>
    </row>
    <row r="2124" spans="1:16" ht="15" customHeight="1">
      <c r="A2124" s="132">
        <v>2123</v>
      </c>
      <c r="B2124" s="36" t="s">
        <v>26478</v>
      </c>
      <c r="C2124" s="36" t="s">
        <v>21596</v>
      </c>
      <c r="D2124" s="36" t="s">
        <v>26479</v>
      </c>
      <c r="E2124" s="36" t="s">
        <v>26480</v>
      </c>
      <c r="F2124" s="36" t="s">
        <v>21599</v>
      </c>
      <c r="G2124" s="36" t="s">
        <v>21600</v>
      </c>
      <c r="H2124" s="36" t="s">
        <v>21601</v>
      </c>
      <c r="I2124" s="36" t="s">
        <v>21602</v>
      </c>
      <c r="J2124" s="36" t="s">
        <v>21603</v>
      </c>
      <c r="K2124" s="36" t="s">
        <v>21604</v>
      </c>
      <c r="L2124" s="36" t="s">
        <v>26481</v>
      </c>
      <c r="M2124" s="36" t="s">
        <v>21606</v>
      </c>
      <c r="N2124" s="36" t="s">
        <v>21607</v>
      </c>
      <c r="O2124" s="36" t="s">
        <v>21608</v>
      </c>
      <c r="P2124" s="36" t="s">
        <v>26478</v>
      </c>
    </row>
    <row r="2125" spans="1:16" ht="15" customHeight="1">
      <c r="A2125" s="132">
        <v>2124</v>
      </c>
      <c r="B2125" s="36" t="s">
        <v>26482</v>
      </c>
      <c r="C2125" s="36" t="s">
        <v>26483</v>
      </c>
      <c r="D2125" s="36" t="s">
        <v>26484</v>
      </c>
      <c r="E2125" s="36" t="s">
        <v>26485</v>
      </c>
      <c r="F2125" s="36" t="s">
        <v>26486</v>
      </c>
      <c r="G2125" s="36" t="s">
        <v>26487</v>
      </c>
      <c r="H2125" s="36" t="s">
        <v>26488</v>
      </c>
      <c r="I2125" s="36" t="s">
        <v>26489</v>
      </c>
      <c r="J2125" s="36" t="s">
        <v>26490</v>
      </c>
      <c r="K2125" s="36" t="s">
        <v>26491</v>
      </c>
      <c r="L2125" s="36" t="s">
        <v>26492</v>
      </c>
      <c r="M2125" s="36" t="s">
        <v>26493</v>
      </c>
      <c r="N2125" s="36" t="s">
        <v>26494</v>
      </c>
      <c r="O2125" s="36" t="s">
        <v>26495</v>
      </c>
      <c r="P2125" s="36" t="s">
        <v>26482</v>
      </c>
    </row>
    <row r="2126" spans="1:16" ht="15" customHeight="1">
      <c r="A2126" s="132">
        <v>2125</v>
      </c>
      <c r="B2126" s="36" t="s">
        <v>26496</v>
      </c>
      <c r="C2126" s="36" t="s">
        <v>26497</v>
      </c>
      <c r="D2126" s="36" t="s">
        <v>26498</v>
      </c>
      <c r="E2126" s="36" t="s">
        <v>26499</v>
      </c>
      <c r="F2126" s="36" t="s">
        <v>26500</v>
      </c>
      <c r="G2126" s="36" t="s">
        <v>26501</v>
      </c>
      <c r="H2126" s="36" t="s">
        <v>26502</v>
      </c>
      <c r="I2126" s="36" t="s">
        <v>26503</v>
      </c>
      <c r="J2126" s="36" t="s">
        <v>26504</v>
      </c>
      <c r="K2126" s="36" t="s">
        <v>26505</v>
      </c>
      <c r="L2126" s="36" t="s">
        <v>26506</v>
      </c>
      <c r="M2126" s="36" t="s">
        <v>26507</v>
      </c>
      <c r="N2126" s="36" t="s">
        <v>26508</v>
      </c>
      <c r="O2126" s="36" t="s">
        <v>26509</v>
      </c>
      <c r="P2126" s="36" t="s">
        <v>26496</v>
      </c>
    </row>
    <row r="2127" spans="1:16" ht="15" customHeight="1">
      <c r="A2127" s="132">
        <v>2126</v>
      </c>
      <c r="B2127" s="36" t="s">
        <v>26510</v>
      </c>
      <c r="C2127" s="36" t="s">
        <v>22527</v>
      </c>
      <c r="D2127" s="36" t="s">
        <v>26511</v>
      </c>
      <c r="E2127" s="36" t="s">
        <v>26512</v>
      </c>
      <c r="F2127" s="36" t="s">
        <v>22530</v>
      </c>
      <c r="G2127" s="36" t="s">
        <v>22531</v>
      </c>
      <c r="H2127" s="36" t="s">
        <v>26513</v>
      </c>
      <c r="I2127" s="36" t="s">
        <v>22533</v>
      </c>
      <c r="J2127" s="36" t="s">
        <v>22534</v>
      </c>
      <c r="K2127" s="36" t="s">
        <v>26514</v>
      </c>
      <c r="L2127" s="36" t="s">
        <v>22536</v>
      </c>
      <c r="M2127" s="36" t="s">
        <v>22537</v>
      </c>
      <c r="N2127" s="36" t="s">
        <v>22538</v>
      </c>
      <c r="O2127" s="36" t="s">
        <v>22539</v>
      </c>
      <c r="P2127" s="36" t="s">
        <v>26510</v>
      </c>
    </row>
    <row r="2128" spans="1:16" ht="15" customHeight="1">
      <c r="A2128" s="132">
        <v>2127</v>
      </c>
      <c r="B2128" s="36" t="s">
        <v>26515</v>
      </c>
      <c r="C2128" s="36" t="s">
        <v>26516</v>
      </c>
      <c r="D2128" s="36" t="s">
        <v>26517</v>
      </c>
      <c r="E2128" s="36" t="s">
        <v>30807</v>
      </c>
      <c r="F2128" s="490" t="s">
        <v>30808</v>
      </c>
      <c r="G2128" s="490" t="s">
        <v>30809</v>
      </c>
      <c r="H2128" s="490" t="s">
        <v>30810</v>
      </c>
      <c r="I2128" s="490" t="s">
        <v>30811</v>
      </c>
      <c r="J2128" s="490" t="s">
        <v>30812</v>
      </c>
      <c r="K2128" s="490" t="s">
        <v>30813</v>
      </c>
      <c r="L2128" s="490" t="s">
        <v>30814</v>
      </c>
      <c r="M2128" s="490" t="s">
        <v>30815</v>
      </c>
      <c r="N2128" s="490" t="s">
        <v>30816</v>
      </c>
      <c r="O2128" s="490" t="s">
        <v>30817</v>
      </c>
      <c r="P2128" s="36" t="s">
        <v>26515</v>
      </c>
    </row>
    <row r="2129" spans="1:16" ht="15" customHeight="1">
      <c r="A2129" s="132">
        <v>2128</v>
      </c>
      <c r="B2129" s="36" t="s">
        <v>30818</v>
      </c>
      <c r="C2129" s="36" t="s">
        <v>26518</v>
      </c>
      <c r="D2129" s="36" t="s">
        <v>26519</v>
      </c>
      <c r="E2129" s="36" t="s">
        <v>30819</v>
      </c>
      <c r="F2129" s="490" t="s">
        <v>30820</v>
      </c>
      <c r="G2129" s="490" t="s">
        <v>30821</v>
      </c>
      <c r="H2129" s="490" t="s">
        <v>30822</v>
      </c>
      <c r="I2129" s="490" t="s">
        <v>30823</v>
      </c>
      <c r="J2129" s="490" t="s">
        <v>30824</v>
      </c>
      <c r="K2129" s="490" t="s">
        <v>30825</v>
      </c>
      <c r="L2129" s="490" t="s">
        <v>30826</v>
      </c>
      <c r="M2129" s="490" t="s">
        <v>30827</v>
      </c>
      <c r="N2129" s="490" t="s">
        <v>30828</v>
      </c>
      <c r="O2129" s="490" t="s">
        <v>30829</v>
      </c>
      <c r="P2129" s="36" t="s">
        <v>30818</v>
      </c>
    </row>
    <row r="2130" spans="1:16" ht="15" customHeight="1">
      <c r="A2130" s="132">
        <v>2129</v>
      </c>
      <c r="B2130" s="36" t="s">
        <v>26520</v>
      </c>
      <c r="C2130" s="36" t="s">
        <v>26521</v>
      </c>
      <c r="D2130" s="36" t="s">
        <v>26522</v>
      </c>
      <c r="E2130" s="36" t="s">
        <v>26523</v>
      </c>
      <c r="F2130" s="36" t="s">
        <v>26524</v>
      </c>
      <c r="G2130" s="36" t="s">
        <v>26525</v>
      </c>
      <c r="H2130" s="36" t="s">
        <v>26526</v>
      </c>
      <c r="I2130" s="36" t="s">
        <v>26527</v>
      </c>
      <c r="J2130" s="36" t="s">
        <v>26528</v>
      </c>
      <c r="K2130" s="36" t="s">
        <v>26529</v>
      </c>
      <c r="L2130" s="36" t="s">
        <v>26530</v>
      </c>
      <c r="M2130" s="36" t="s">
        <v>26531</v>
      </c>
      <c r="N2130" s="36" t="s">
        <v>26532</v>
      </c>
      <c r="O2130" s="36" t="s">
        <v>26533</v>
      </c>
      <c r="P2130" s="36" t="s">
        <v>26520</v>
      </c>
    </row>
    <row r="2131" spans="1:16" ht="15" customHeight="1">
      <c r="A2131" s="132">
        <v>2130</v>
      </c>
      <c r="B2131" s="36" t="s">
        <v>26534</v>
      </c>
      <c r="C2131" s="36" t="s">
        <v>26535</v>
      </c>
      <c r="D2131" s="36" t="s">
        <v>26536</v>
      </c>
      <c r="E2131" s="36" t="s">
        <v>26537</v>
      </c>
      <c r="F2131" s="36" t="s">
        <v>26538</v>
      </c>
      <c r="G2131" s="36" t="s">
        <v>26539</v>
      </c>
      <c r="H2131" s="36" t="s">
        <v>26540</v>
      </c>
      <c r="I2131" s="36" t="s">
        <v>26541</v>
      </c>
      <c r="J2131" s="36" t="s">
        <v>26542</v>
      </c>
      <c r="K2131" s="36" t="s">
        <v>26543</v>
      </c>
      <c r="L2131" s="36" t="s">
        <v>26544</v>
      </c>
      <c r="M2131" s="36" t="s">
        <v>26545</v>
      </c>
      <c r="N2131" s="36" t="s">
        <v>26546</v>
      </c>
      <c r="O2131" s="36" t="s">
        <v>26547</v>
      </c>
      <c r="P2131" s="36" t="s">
        <v>26534</v>
      </c>
    </row>
    <row r="2132" spans="1:16" ht="15" customHeight="1">
      <c r="A2132" s="132">
        <v>2131</v>
      </c>
      <c r="B2132" s="36" t="s">
        <v>26548</v>
      </c>
      <c r="C2132" s="36" t="s">
        <v>26549</v>
      </c>
      <c r="D2132" s="36" t="s">
        <v>26550</v>
      </c>
      <c r="E2132" s="36" t="s">
        <v>26551</v>
      </c>
      <c r="F2132" s="36" t="s">
        <v>26552</v>
      </c>
      <c r="G2132" s="36" t="s">
        <v>26553</v>
      </c>
      <c r="H2132" s="36" t="s">
        <v>26554</v>
      </c>
      <c r="I2132" s="36" t="s">
        <v>26555</v>
      </c>
      <c r="J2132" s="36" t="s">
        <v>26556</v>
      </c>
      <c r="K2132" s="36" t="s">
        <v>26557</v>
      </c>
      <c r="L2132" s="36" t="s">
        <v>26558</v>
      </c>
      <c r="M2132" s="36" t="s">
        <v>26559</v>
      </c>
      <c r="N2132" s="36" t="s">
        <v>26560</v>
      </c>
      <c r="O2132" s="36" t="s">
        <v>26561</v>
      </c>
      <c r="P2132" s="36" t="s">
        <v>26548</v>
      </c>
    </row>
    <row r="2133" spans="1:16" ht="15" customHeight="1">
      <c r="A2133" s="132">
        <v>2132</v>
      </c>
      <c r="B2133" s="36" t="s">
        <v>26562</v>
      </c>
      <c r="C2133" s="36" t="s">
        <v>26563</v>
      </c>
      <c r="D2133" s="36" t="s">
        <v>26564</v>
      </c>
      <c r="E2133" s="36" t="s">
        <v>26565</v>
      </c>
      <c r="F2133" s="36" t="s">
        <v>26566</v>
      </c>
      <c r="G2133" s="36" t="s">
        <v>26567</v>
      </c>
      <c r="H2133" s="36" t="s">
        <v>26568</v>
      </c>
      <c r="I2133" s="36" t="s">
        <v>26569</v>
      </c>
      <c r="J2133" s="36" t="s">
        <v>26570</v>
      </c>
      <c r="K2133" s="36" t="s">
        <v>26571</v>
      </c>
      <c r="L2133" s="36" t="s">
        <v>26572</v>
      </c>
      <c r="M2133" s="36" t="s">
        <v>26573</v>
      </c>
      <c r="N2133" s="36" t="s">
        <v>26574</v>
      </c>
      <c r="O2133" s="36" t="s">
        <v>26575</v>
      </c>
      <c r="P2133" s="36" t="s">
        <v>26562</v>
      </c>
    </row>
    <row r="2134" spans="1:16" ht="15" customHeight="1">
      <c r="A2134" s="132">
        <v>2133</v>
      </c>
      <c r="B2134" s="36" t="s">
        <v>26576</v>
      </c>
      <c r="C2134" s="36" t="s">
        <v>26577</v>
      </c>
      <c r="D2134" s="36" t="s">
        <v>26578</v>
      </c>
      <c r="E2134" s="36" t="s">
        <v>26579</v>
      </c>
      <c r="F2134" s="36" t="s">
        <v>26580</v>
      </c>
      <c r="G2134" s="36" t="s">
        <v>26581</v>
      </c>
      <c r="H2134" s="36" t="s">
        <v>26582</v>
      </c>
      <c r="I2134" s="36" t="s">
        <v>26583</v>
      </c>
      <c r="J2134" s="36" t="s">
        <v>26584</v>
      </c>
      <c r="K2134" s="36" t="s">
        <v>26585</v>
      </c>
      <c r="L2134" s="36" t="s">
        <v>26586</v>
      </c>
      <c r="M2134" s="36" t="s">
        <v>26587</v>
      </c>
      <c r="N2134" s="36" t="s">
        <v>26588</v>
      </c>
      <c r="O2134" s="36" t="s">
        <v>26589</v>
      </c>
      <c r="P2134" s="36" t="s">
        <v>26576</v>
      </c>
    </row>
    <row r="2135" spans="1:16" ht="15" customHeight="1">
      <c r="A2135" s="132">
        <v>2134</v>
      </c>
      <c r="B2135" s="36" t="s">
        <v>26590</v>
      </c>
      <c r="C2135" s="36" t="s">
        <v>26591</v>
      </c>
      <c r="D2135" s="36" t="s">
        <v>26592</v>
      </c>
      <c r="E2135" s="36" t="s">
        <v>26593</v>
      </c>
      <c r="F2135" s="36" t="s">
        <v>26594</v>
      </c>
      <c r="G2135" s="36" t="s">
        <v>26595</v>
      </c>
      <c r="H2135" s="36" t="s">
        <v>26596</v>
      </c>
      <c r="I2135" s="36" t="s">
        <v>26597</v>
      </c>
      <c r="J2135" s="36" t="s">
        <v>26598</v>
      </c>
      <c r="K2135" s="36" t="s">
        <v>26599</v>
      </c>
      <c r="L2135" s="36" t="s">
        <v>26600</v>
      </c>
      <c r="M2135" s="36" t="s">
        <v>26601</v>
      </c>
      <c r="N2135" s="36" t="s">
        <v>26602</v>
      </c>
      <c r="O2135" s="36" t="s">
        <v>26603</v>
      </c>
      <c r="P2135" s="36" t="s">
        <v>26590</v>
      </c>
    </row>
    <row r="2136" spans="1:16" ht="15" customHeight="1">
      <c r="A2136" s="132">
        <v>2135</v>
      </c>
      <c r="B2136" s="36" t="s">
        <v>26604</v>
      </c>
      <c r="C2136" s="36" t="s">
        <v>26605</v>
      </c>
      <c r="D2136" s="36" t="s">
        <v>26606</v>
      </c>
      <c r="E2136" s="36" t="s">
        <v>26607</v>
      </c>
      <c r="F2136" s="36" t="s">
        <v>26608</v>
      </c>
      <c r="G2136" s="36" t="s">
        <v>26609</v>
      </c>
      <c r="H2136" s="36" t="s">
        <v>26610</v>
      </c>
      <c r="I2136" s="36" t="s">
        <v>26611</v>
      </c>
      <c r="J2136" s="36" t="s">
        <v>26612</v>
      </c>
      <c r="K2136" s="36" t="s">
        <v>26613</v>
      </c>
      <c r="L2136" s="36" t="s">
        <v>26614</v>
      </c>
      <c r="M2136" s="36" t="s">
        <v>26615</v>
      </c>
      <c r="N2136" s="36" t="s">
        <v>26616</v>
      </c>
      <c r="O2136" s="36" t="s">
        <v>26617</v>
      </c>
      <c r="P2136" s="36" t="s">
        <v>26604</v>
      </c>
    </row>
    <row r="2137" spans="1:16" ht="15" customHeight="1">
      <c r="A2137" s="132">
        <v>2136</v>
      </c>
      <c r="B2137" s="36" t="s">
        <v>26618</v>
      </c>
      <c r="C2137" s="36" t="s">
        <v>26619</v>
      </c>
      <c r="D2137" s="36" t="s">
        <v>26620</v>
      </c>
      <c r="E2137" s="36" t="s">
        <v>26621</v>
      </c>
      <c r="F2137" s="36" t="s">
        <v>26622</v>
      </c>
      <c r="G2137" s="36" t="s">
        <v>26623</v>
      </c>
      <c r="H2137" s="36" t="s">
        <v>26624</v>
      </c>
      <c r="I2137" s="36" t="s">
        <v>26625</v>
      </c>
      <c r="J2137" s="36" t="s">
        <v>26626</v>
      </c>
      <c r="K2137" s="36" t="s">
        <v>26627</v>
      </c>
      <c r="L2137" s="36" t="s">
        <v>26628</v>
      </c>
      <c r="M2137" s="36" t="s">
        <v>26629</v>
      </c>
      <c r="N2137" s="36" t="s">
        <v>26630</v>
      </c>
      <c r="O2137" s="36" t="s">
        <v>26631</v>
      </c>
      <c r="P2137" s="36" t="s">
        <v>26618</v>
      </c>
    </row>
    <row r="2138" spans="1:16" ht="15" customHeight="1">
      <c r="A2138" s="132">
        <v>2137</v>
      </c>
      <c r="B2138" s="36" t="s">
        <v>26632</v>
      </c>
      <c r="C2138" s="36" t="s">
        <v>26633</v>
      </c>
      <c r="D2138" s="36" t="s">
        <v>26634</v>
      </c>
      <c r="E2138" s="36" t="s">
        <v>26635</v>
      </c>
      <c r="F2138" s="36" t="s">
        <v>26636</v>
      </c>
      <c r="G2138" s="36" t="s">
        <v>26637</v>
      </c>
      <c r="H2138" s="36" t="s">
        <v>26638</v>
      </c>
      <c r="I2138" s="36" t="s">
        <v>26639</v>
      </c>
      <c r="J2138" s="36" t="s">
        <v>26640</v>
      </c>
      <c r="K2138" s="36" t="s">
        <v>26641</v>
      </c>
      <c r="L2138" s="36" t="s">
        <v>26642</v>
      </c>
      <c r="M2138" s="36" t="s">
        <v>26643</v>
      </c>
      <c r="N2138" s="36" t="s">
        <v>26644</v>
      </c>
      <c r="O2138" s="36" t="s">
        <v>26645</v>
      </c>
      <c r="P2138" s="36" t="s">
        <v>26632</v>
      </c>
    </row>
    <row r="2139" spans="1:16" ht="15" customHeight="1">
      <c r="A2139" s="132">
        <v>2138</v>
      </c>
      <c r="B2139" s="36" t="s">
        <v>26646</v>
      </c>
      <c r="C2139" s="36" t="s">
        <v>26647</v>
      </c>
      <c r="D2139" s="36" t="s">
        <v>26648</v>
      </c>
      <c r="E2139" s="36" t="s">
        <v>26649</v>
      </c>
      <c r="F2139" s="36" t="s">
        <v>26650</v>
      </c>
      <c r="G2139" s="36" t="s">
        <v>26651</v>
      </c>
      <c r="H2139" s="36" t="s">
        <v>26652</v>
      </c>
      <c r="I2139" s="36" t="s">
        <v>26653</v>
      </c>
      <c r="J2139" s="36" t="s">
        <v>26654</v>
      </c>
      <c r="K2139" s="36" t="s">
        <v>26655</v>
      </c>
      <c r="L2139" s="36" t="s">
        <v>26656</v>
      </c>
      <c r="M2139" s="36" t="s">
        <v>26657</v>
      </c>
      <c r="N2139" s="36" t="s">
        <v>26658</v>
      </c>
      <c r="O2139" s="36" t="s">
        <v>26659</v>
      </c>
      <c r="P2139" s="36" t="s">
        <v>26646</v>
      </c>
    </row>
    <row r="2140" spans="1:16" ht="15" customHeight="1">
      <c r="A2140" s="132">
        <v>2139</v>
      </c>
      <c r="B2140" s="36" t="s">
        <v>26660</v>
      </c>
      <c r="C2140" s="36" t="s">
        <v>26521</v>
      </c>
      <c r="D2140" s="36" t="s">
        <v>26522</v>
      </c>
      <c r="E2140" s="36" t="s">
        <v>26661</v>
      </c>
      <c r="F2140" s="36" t="s">
        <v>26662</v>
      </c>
      <c r="G2140" s="36" t="s">
        <v>26525</v>
      </c>
      <c r="H2140" s="36" t="s">
        <v>26663</v>
      </c>
      <c r="I2140" s="36" t="s">
        <v>26527</v>
      </c>
      <c r="J2140" s="36" t="s">
        <v>26664</v>
      </c>
      <c r="K2140" s="36" t="s">
        <v>26665</v>
      </c>
      <c r="L2140" s="36" t="s">
        <v>26666</v>
      </c>
      <c r="M2140" s="36" t="s">
        <v>26667</v>
      </c>
      <c r="N2140" s="36" t="s">
        <v>26668</v>
      </c>
      <c r="O2140" s="36" t="s">
        <v>26669</v>
      </c>
      <c r="P2140" s="36" t="s">
        <v>26660</v>
      </c>
    </row>
    <row r="2141" spans="1:16" ht="15" customHeight="1">
      <c r="A2141" s="132">
        <v>2140</v>
      </c>
      <c r="B2141" s="36" t="s">
        <v>26670</v>
      </c>
      <c r="C2141" s="36" t="s">
        <v>26535</v>
      </c>
      <c r="D2141" s="36" t="s">
        <v>26536</v>
      </c>
      <c r="E2141" s="36" t="s">
        <v>26671</v>
      </c>
      <c r="F2141" s="36" t="s">
        <v>26672</v>
      </c>
      <c r="G2141" s="36" t="s">
        <v>26673</v>
      </c>
      <c r="H2141" s="36" t="s">
        <v>26674</v>
      </c>
      <c r="I2141" s="36" t="s">
        <v>26541</v>
      </c>
      <c r="J2141" s="36" t="s">
        <v>26675</v>
      </c>
      <c r="K2141" s="36" t="s">
        <v>26676</v>
      </c>
      <c r="L2141" s="36" t="s">
        <v>26677</v>
      </c>
      <c r="M2141" s="36" t="s">
        <v>26678</v>
      </c>
      <c r="N2141" s="36" t="s">
        <v>26679</v>
      </c>
      <c r="O2141" s="36" t="s">
        <v>26680</v>
      </c>
      <c r="P2141" s="36" t="s">
        <v>26670</v>
      </c>
    </row>
    <row r="2142" spans="1:16" ht="15" customHeight="1">
      <c r="A2142" s="132">
        <v>2141</v>
      </c>
      <c r="B2142" s="36" t="s">
        <v>26681</v>
      </c>
      <c r="C2142" s="36" t="s">
        <v>26549</v>
      </c>
      <c r="D2142" s="36" t="s">
        <v>26550</v>
      </c>
      <c r="E2142" s="36" t="s">
        <v>26682</v>
      </c>
      <c r="F2142" s="36" t="s">
        <v>26683</v>
      </c>
      <c r="G2142" s="36" t="s">
        <v>26553</v>
      </c>
      <c r="H2142" s="36" t="s">
        <v>26684</v>
      </c>
      <c r="I2142" s="36" t="s">
        <v>26555</v>
      </c>
      <c r="J2142" s="36" t="s">
        <v>26685</v>
      </c>
      <c r="K2142" s="36" t="s">
        <v>26686</v>
      </c>
      <c r="L2142" s="36" t="s">
        <v>26687</v>
      </c>
      <c r="M2142" s="36" t="s">
        <v>26688</v>
      </c>
      <c r="N2142" s="36" t="s">
        <v>26689</v>
      </c>
      <c r="O2142" s="36" t="s">
        <v>26690</v>
      </c>
      <c r="P2142" s="36" t="s">
        <v>26681</v>
      </c>
    </row>
    <row r="2143" spans="1:16" ht="15" customHeight="1">
      <c r="A2143" s="132">
        <v>2142</v>
      </c>
      <c r="B2143" s="36" t="s">
        <v>26691</v>
      </c>
      <c r="C2143" s="36" t="s">
        <v>26563</v>
      </c>
      <c r="D2143" s="36" t="s">
        <v>26564</v>
      </c>
      <c r="E2143" s="36" t="s">
        <v>26692</v>
      </c>
      <c r="F2143" s="36" t="s">
        <v>26693</v>
      </c>
      <c r="G2143" s="36" t="s">
        <v>26694</v>
      </c>
      <c r="H2143" s="36" t="s">
        <v>26695</v>
      </c>
      <c r="I2143" s="36" t="s">
        <v>26569</v>
      </c>
      <c r="J2143" s="36" t="s">
        <v>26696</v>
      </c>
      <c r="K2143" s="36" t="s">
        <v>26697</v>
      </c>
      <c r="L2143" s="36" t="s">
        <v>26698</v>
      </c>
      <c r="M2143" s="36" t="s">
        <v>26699</v>
      </c>
      <c r="N2143" s="36" t="s">
        <v>26700</v>
      </c>
      <c r="O2143" s="36" t="s">
        <v>26701</v>
      </c>
      <c r="P2143" s="36" t="s">
        <v>26691</v>
      </c>
    </row>
    <row r="2144" spans="1:16" ht="15" customHeight="1">
      <c r="A2144" s="132">
        <v>2143</v>
      </c>
      <c r="B2144" s="36" t="s">
        <v>26702</v>
      </c>
      <c r="C2144" s="36" t="s">
        <v>26577</v>
      </c>
      <c r="D2144" s="36" t="s">
        <v>26578</v>
      </c>
      <c r="E2144" s="36" t="s">
        <v>26703</v>
      </c>
      <c r="F2144" s="36" t="s">
        <v>26704</v>
      </c>
      <c r="G2144" s="36" t="s">
        <v>26581</v>
      </c>
      <c r="H2144" s="36" t="s">
        <v>26705</v>
      </c>
      <c r="I2144" s="36" t="s">
        <v>26583</v>
      </c>
      <c r="J2144" s="36" t="s">
        <v>26706</v>
      </c>
      <c r="K2144" s="36" t="s">
        <v>26707</v>
      </c>
      <c r="L2144" s="36" t="s">
        <v>26708</v>
      </c>
      <c r="M2144" s="36" t="s">
        <v>26709</v>
      </c>
      <c r="N2144" s="36" t="s">
        <v>26710</v>
      </c>
      <c r="O2144" s="36" t="s">
        <v>26711</v>
      </c>
      <c r="P2144" s="36" t="s">
        <v>26702</v>
      </c>
    </row>
    <row r="2145" spans="1:16" ht="15" customHeight="1">
      <c r="A2145" s="132">
        <v>2144</v>
      </c>
      <c r="B2145" s="36" t="s">
        <v>26712</v>
      </c>
      <c r="C2145" s="36" t="s">
        <v>26591</v>
      </c>
      <c r="D2145" s="36" t="s">
        <v>26592</v>
      </c>
      <c r="E2145" s="36" t="s">
        <v>26713</v>
      </c>
      <c r="F2145" s="36" t="s">
        <v>26714</v>
      </c>
      <c r="G2145" s="36" t="s">
        <v>26715</v>
      </c>
      <c r="H2145" s="36" t="s">
        <v>26716</v>
      </c>
      <c r="I2145" s="36" t="s">
        <v>26597</v>
      </c>
      <c r="J2145" s="36" t="s">
        <v>26717</v>
      </c>
      <c r="K2145" s="36" t="s">
        <v>26718</v>
      </c>
      <c r="L2145" s="36" t="s">
        <v>26719</v>
      </c>
      <c r="M2145" s="36" t="s">
        <v>26720</v>
      </c>
      <c r="N2145" s="36" t="s">
        <v>26721</v>
      </c>
      <c r="O2145" s="36" t="s">
        <v>26722</v>
      </c>
      <c r="P2145" s="36" t="s">
        <v>26712</v>
      </c>
    </row>
    <row r="2146" spans="1:16" ht="15" customHeight="1">
      <c r="A2146" s="132">
        <v>2145</v>
      </c>
      <c r="B2146" s="36" t="s">
        <v>26723</v>
      </c>
      <c r="C2146" s="36" t="s">
        <v>26605</v>
      </c>
      <c r="D2146" s="36" t="s">
        <v>26606</v>
      </c>
      <c r="E2146" s="36" t="s">
        <v>26724</v>
      </c>
      <c r="F2146" s="36" t="s">
        <v>26725</v>
      </c>
      <c r="G2146" s="36" t="s">
        <v>26609</v>
      </c>
      <c r="H2146" s="36" t="s">
        <v>26726</v>
      </c>
      <c r="I2146" s="36" t="s">
        <v>26611</v>
      </c>
      <c r="J2146" s="36" t="s">
        <v>26727</v>
      </c>
      <c r="K2146" s="36" t="s">
        <v>26728</v>
      </c>
      <c r="L2146" s="36" t="s">
        <v>26729</v>
      </c>
      <c r="M2146" s="36" t="s">
        <v>26730</v>
      </c>
      <c r="N2146" s="36" t="s">
        <v>26731</v>
      </c>
      <c r="O2146" s="36" t="s">
        <v>26732</v>
      </c>
      <c r="P2146" s="36" t="s">
        <v>26723</v>
      </c>
    </row>
    <row r="2147" spans="1:16" ht="15" customHeight="1">
      <c r="A2147" s="132">
        <v>2146</v>
      </c>
      <c r="B2147" s="36" t="s">
        <v>26733</v>
      </c>
      <c r="C2147" s="36" t="s">
        <v>26619</v>
      </c>
      <c r="D2147" s="36" t="s">
        <v>26620</v>
      </c>
      <c r="E2147" s="36" t="s">
        <v>26734</v>
      </c>
      <c r="F2147" s="36" t="s">
        <v>26735</v>
      </c>
      <c r="G2147" s="36" t="s">
        <v>26736</v>
      </c>
      <c r="H2147" s="36" t="s">
        <v>26737</v>
      </c>
      <c r="I2147" s="36" t="s">
        <v>26625</v>
      </c>
      <c r="J2147" s="36" t="s">
        <v>26738</v>
      </c>
      <c r="K2147" s="36" t="s">
        <v>26739</v>
      </c>
      <c r="L2147" s="36" t="s">
        <v>26740</v>
      </c>
      <c r="M2147" s="36" t="s">
        <v>26741</v>
      </c>
      <c r="N2147" s="36" t="s">
        <v>26742</v>
      </c>
      <c r="O2147" s="36" t="s">
        <v>26743</v>
      </c>
      <c r="P2147" s="36" t="s">
        <v>26733</v>
      </c>
    </row>
    <row r="2148" spans="1:16" ht="15" customHeight="1">
      <c r="A2148" s="132">
        <v>2147</v>
      </c>
      <c r="B2148" s="36" t="s">
        <v>30830</v>
      </c>
      <c r="C2148" s="36" t="s">
        <v>26744</v>
      </c>
      <c r="D2148" s="36" t="s">
        <v>26745</v>
      </c>
      <c r="E2148" s="36" t="s">
        <v>30831</v>
      </c>
      <c r="F2148" s="490" t="s">
        <v>30832</v>
      </c>
      <c r="G2148" s="490" t="s">
        <v>30833</v>
      </c>
      <c r="H2148" s="490" t="s">
        <v>30834</v>
      </c>
      <c r="I2148" s="490" t="s">
        <v>30835</v>
      </c>
      <c r="J2148" s="491" t="s">
        <v>30836</v>
      </c>
      <c r="K2148" s="490" t="s">
        <v>30837</v>
      </c>
      <c r="L2148" s="490" t="s">
        <v>30838</v>
      </c>
      <c r="M2148" s="490" t="s">
        <v>30839</v>
      </c>
      <c r="N2148" s="490" t="s">
        <v>30840</v>
      </c>
      <c r="O2148" s="490" t="s">
        <v>30841</v>
      </c>
      <c r="P2148" s="36" t="s">
        <v>30842</v>
      </c>
    </row>
    <row r="2149" spans="1:16" ht="15" customHeight="1">
      <c r="A2149" s="132">
        <v>2148</v>
      </c>
      <c r="B2149" s="36" t="s">
        <v>30843</v>
      </c>
      <c r="C2149" s="36" t="s">
        <v>26746</v>
      </c>
      <c r="D2149" s="36" t="s">
        <v>26747</v>
      </c>
      <c r="E2149" s="36" t="s">
        <v>30844</v>
      </c>
      <c r="F2149" s="490" t="s">
        <v>30845</v>
      </c>
      <c r="G2149" s="490" t="s">
        <v>30846</v>
      </c>
      <c r="H2149" s="490" t="s">
        <v>30847</v>
      </c>
      <c r="I2149" s="490" t="s">
        <v>30848</v>
      </c>
      <c r="J2149" s="491" t="s">
        <v>30849</v>
      </c>
      <c r="K2149" s="490" t="s">
        <v>30850</v>
      </c>
      <c r="L2149" s="490" t="s">
        <v>30851</v>
      </c>
      <c r="M2149" s="490" t="s">
        <v>30852</v>
      </c>
      <c r="N2149" s="490" t="s">
        <v>30853</v>
      </c>
      <c r="O2149" s="490" t="s">
        <v>30854</v>
      </c>
      <c r="P2149" s="36" t="s">
        <v>30843</v>
      </c>
    </row>
    <row r="2150" spans="1:16" ht="15" customHeight="1">
      <c r="A2150" s="132">
        <v>2149</v>
      </c>
      <c r="B2150" s="36" t="s">
        <v>26748</v>
      </c>
      <c r="C2150" s="36" t="s">
        <v>26749</v>
      </c>
      <c r="D2150" s="36" t="s">
        <v>26750</v>
      </c>
      <c r="E2150" s="36" t="s">
        <v>24137</v>
      </c>
      <c r="F2150" s="490" t="s">
        <v>30855</v>
      </c>
      <c r="G2150" s="490" t="s">
        <v>30856</v>
      </c>
      <c r="H2150" s="490" t="s">
        <v>30857</v>
      </c>
      <c r="I2150" s="490" t="s">
        <v>30858</v>
      </c>
      <c r="J2150" s="491" t="s">
        <v>30859</v>
      </c>
      <c r="K2150" s="490" t="s">
        <v>30860</v>
      </c>
      <c r="L2150" s="490" t="s">
        <v>30861</v>
      </c>
      <c r="M2150" s="490" t="s">
        <v>30862</v>
      </c>
      <c r="N2150" s="490" t="s">
        <v>30863</v>
      </c>
      <c r="O2150" s="490" t="s">
        <v>30864</v>
      </c>
      <c r="P2150" s="36" t="s">
        <v>26748</v>
      </c>
    </row>
    <row r="2151" spans="1:16" ht="15" customHeight="1">
      <c r="A2151" s="132">
        <v>2150</v>
      </c>
      <c r="B2151" s="36" t="s">
        <v>26751</v>
      </c>
      <c r="C2151" s="36" t="s">
        <v>26752</v>
      </c>
      <c r="D2151" s="36" t="s">
        <v>26753</v>
      </c>
      <c r="E2151" s="36" t="s">
        <v>30865</v>
      </c>
      <c r="F2151" s="490" t="s">
        <v>30866</v>
      </c>
      <c r="G2151" s="490" t="s">
        <v>30867</v>
      </c>
      <c r="H2151" s="490" t="s">
        <v>30868</v>
      </c>
      <c r="I2151" s="490" t="s">
        <v>30869</v>
      </c>
      <c r="J2151" s="490" t="s">
        <v>30870</v>
      </c>
      <c r="K2151" s="490" t="s">
        <v>30871</v>
      </c>
      <c r="L2151" s="490" t="s">
        <v>30872</v>
      </c>
      <c r="M2151" s="490" t="s">
        <v>30873</v>
      </c>
      <c r="N2151" s="490" t="s">
        <v>30874</v>
      </c>
      <c r="O2151" s="490" t="s">
        <v>30875</v>
      </c>
      <c r="P2151" s="36" t="s">
        <v>26751</v>
      </c>
    </row>
    <row r="2152" spans="1:16" ht="15" customHeight="1">
      <c r="A2152" s="132">
        <v>2151</v>
      </c>
      <c r="B2152" s="36" t="s">
        <v>26754</v>
      </c>
      <c r="C2152" s="36" t="s">
        <v>26755</v>
      </c>
      <c r="D2152" s="36" t="s">
        <v>26756</v>
      </c>
      <c r="E2152" s="36" t="s">
        <v>26757</v>
      </c>
      <c r="F2152" s="490" t="s">
        <v>30876</v>
      </c>
      <c r="G2152" s="490" t="s">
        <v>30877</v>
      </c>
      <c r="H2152" s="490" t="s">
        <v>30878</v>
      </c>
      <c r="I2152" s="490" t="s">
        <v>30879</v>
      </c>
      <c r="J2152" s="490" t="s">
        <v>30880</v>
      </c>
      <c r="K2152" s="490" t="s">
        <v>30881</v>
      </c>
      <c r="L2152" s="490" t="s">
        <v>30882</v>
      </c>
      <c r="M2152" s="490" t="s">
        <v>30883</v>
      </c>
      <c r="N2152" s="490" t="s">
        <v>30883</v>
      </c>
      <c r="O2152" s="490" t="s">
        <v>30884</v>
      </c>
      <c r="P2152" s="36" t="s">
        <v>26754</v>
      </c>
    </row>
    <row r="2153" spans="1:16" ht="15" customHeight="1">
      <c r="A2153" s="132">
        <v>2152</v>
      </c>
      <c r="B2153" s="36" t="s">
        <v>26275</v>
      </c>
      <c r="C2153" s="36" t="s">
        <v>26276</v>
      </c>
      <c r="D2153" s="36" t="s">
        <v>26758</v>
      </c>
      <c r="E2153" s="36" t="s">
        <v>26278</v>
      </c>
      <c r="F2153" s="490" t="s">
        <v>30885</v>
      </c>
      <c r="G2153" s="490" t="s">
        <v>30886</v>
      </c>
      <c r="H2153" s="490" t="s">
        <v>26281</v>
      </c>
      <c r="I2153" s="490" t="s">
        <v>30887</v>
      </c>
      <c r="J2153" s="490" t="s">
        <v>30888</v>
      </c>
      <c r="K2153" s="490" t="s">
        <v>30889</v>
      </c>
      <c r="L2153" s="490" t="s">
        <v>30890</v>
      </c>
      <c r="M2153" s="490" t="s">
        <v>26285</v>
      </c>
      <c r="N2153" s="490" t="s">
        <v>30891</v>
      </c>
      <c r="O2153" s="490" t="s">
        <v>26287</v>
      </c>
      <c r="P2153" s="36" t="s">
        <v>26275</v>
      </c>
    </row>
    <row r="2154" spans="1:16" ht="15" customHeight="1">
      <c r="A2154" s="132">
        <v>2153</v>
      </c>
      <c r="B2154" s="36" t="s">
        <v>26759</v>
      </c>
      <c r="C2154" s="490" t="s">
        <v>30892</v>
      </c>
      <c r="D2154" s="36" t="s">
        <v>26760</v>
      </c>
      <c r="E2154" s="36" t="s">
        <v>26761</v>
      </c>
      <c r="F2154" s="490" t="s">
        <v>30893</v>
      </c>
      <c r="G2154" s="490" t="s">
        <v>30894</v>
      </c>
      <c r="H2154" s="490" t="s">
        <v>30895</v>
      </c>
      <c r="I2154" s="490" t="s">
        <v>30896</v>
      </c>
      <c r="J2154" s="490" t="s">
        <v>30897</v>
      </c>
      <c r="K2154" s="490" t="s">
        <v>30898</v>
      </c>
      <c r="L2154" s="490" t="s">
        <v>30899</v>
      </c>
      <c r="M2154" s="490" t="s">
        <v>30900</v>
      </c>
      <c r="N2154" s="490" t="s">
        <v>30900</v>
      </c>
      <c r="O2154" s="490" t="s">
        <v>30901</v>
      </c>
      <c r="P2154" s="36" t="s">
        <v>26759</v>
      </c>
    </row>
    <row r="2155" spans="1:16" ht="15" customHeight="1">
      <c r="A2155" s="132">
        <v>2154</v>
      </c>
      <c r="B2155" s="36" t="s">
        <v>26762</v>
      </c>
      <c r="C2155" s="490" t="s">
        <v>30902</v>
      </c>
      <c r="D2155" s="36" t="s">
        <v>26763</v>
      </c>
      <c r="E2155" s="36" t="s">
        <v>26764</v>
      </c>
      <c r="F2155" s="490" t="s">
        <v>30903</v>
      </c>
      <c r="G2155" s="490" t="s">
        <v>30904</v>
      </c>
      <c r="H2155" s="490" t="s">
        <v>30905</v>
      </c>
      <c r="I2155" s="490" t="s">
        <v>30906</v>
      </c>
      <c r="J2155" s="490" t="s">
        <v>30907</v>
      </c>
      <c r="K2155" s="490" t="s">
        <v>30908</v>
      </c>
      <c r="L2155" s="490" t="s">
        <v>30909</v>
      </c>
      <c r="M2155" s="490" t="s">
        <v>30910</v>
      </c>
      <c r="N2155" s="490" t="s">
        <v>30911</v>
      </c>
      <c r="O2155" s="490" t="s">
        <v>30912</v>
      </c>
      <c r="P2155" s="36" t="s">
        <v>26762</v>
      </c>
    </row>
    <row r="2156" spans="1:16" ht="15" customHeight="1">
      <c r="A2156" s="132">
        <v>2155</v>
      </c>
      <c r="B2156" s="36" t="s">
        <v>26765</v>
      </c>
      <c r="C2156" s="490" t="s">
        <v>30913</v>
      </c>
      <c r="D2156" s="36" t="s">
        <v>26766</v>
      </c>
      <c r="E2156" s="36" t="s">
        <v>26767</v>
      </c>
      <c r="F2156" s="490" t="s">
        <v>30914</v>
      </c>
      <c r="G2156" s="490" t="s">
        <v>30915</v>
      </c>
      <c r="H2156" s="490" t="s">
        <v>30916</v>
      </c>
      <c r="I2156" s="490" t="s">
        <v>30917</v>
      </c>
      <c r="J2156" s="490" t="s">
        <v>30918</v>
      </c>
      <c r="K2156" s="490" t="s">
        <v>30919</v>
      </c>
      <c r="L2156" s="490" t="s">
        <v>30920</v>
      </c>
      <c r="M2156" s="490" t="s">
        <v>30921</v>
      </c>
      <c r="N2156" s="490" t="s">
        <v>30922</v>
      </c>
      <c r="O2156" s="490" t="s">
        <v>30923</v>
      </c>
      <c r="P2156" s="36" t="s">
        <v>26765</v>
      </c>
    </row>
    <row r="2157" spans="1:16" ht="15" customHeight="1">
      <c r="A2157" s="132">
        <v>2156</v>
      </c>
      <c r="B2157" s="36" t="s">
        <v>2524</v>
      </c>
      <c r="C2157" s="36" t="s">
        <v>2524</v>
      </c>
      <c r="D2157" s="36" t="s">
        <v>26768</v>
      </c>
      <c r="E2157" s="36" t="s">
        <v>2524</v>
      </c>
      <c r="F2157" s="490" t="s">
        <v>30924</v>
      </c>
      <c r="G2157" s="490" t="s">
        <v>2527</v>
      </c>
      <c r="H2157" s="490" t="s">
        <v>30925</v>
      </c>
      <c r="I2157" s="490" t="s">
        <v>30924</v>
      </c>
      <c r="J2157" s="490" t="s">
        <v>2524</v>
      </c>
      <c r="K2157" s="490" t="s">
        <v>30924</v>
      </c>
      <c r="L2157" s="490" t="s">
        <v>2530</v>
      </c>
      <c r="M2157" s="490" t="s">
        <v>2530</v>
      </c>
      <c r="N2157" s="490" t="s">
        <v>2530</v>
      </c>
      <c r="O2157" s="490" t="s">
        <v>2531</v>
      </c>
      <c r="P2157" s="36" t="s">
        <v>2524</v>
      </c>
    </row>
    <row r="2158" spans="1:16" ht="15" customHeight="1">
      <c r="A2158" s="132">
        <v>2157</v>
      </c>
      <c r="B2158" s="36" t="s">
        <v>26769</v>
      </c>
      <c r="C2158" s="36" t="s">
        <v>26770</v>
      </c>
      <c r="D2158" s="36" t="s">
        <v>26771</v>
      </c>
      <c r="E2158" s="36" t="s">
        <v>26772</v>
      </c>
      <c r="F2158" s="490" t="s">
        <v>30926</v>
      </c>
      <c r="G2158" s="490" t="s">
        <v>30927</v>
      </c>
      <c r="H2158" s="490" t="s">
        <v>30928</v>
      </c>
      <c r="I2158" s="490" t="s">
        <v>30929</v>
      </c>
      <c r="J2158" s="490" t="s">
        <v>30930</v>
      </c>
      <c r="K2158" s="490" t="s">
        <v>30931</v>
      </c>
      <c r="L2158" s="490" t="s">
        <v>30932</v>
      </c>
      <c r="M2158" s="490" t="s">
        <v>30933</v>
      </c>
      <c r="N2158" s="490" t="s">
        <v>30934</v>
      </c>
      <c r="O2158" s="490" t="s">
        <v>30931</v>
      </c>
      <c r="P2158" s="36" t="s">
        <v>26769</v>
      </c>
    </row>
    <row r="2159" spans="1:16" ht="15" customHeight="1">
      <c r="A2159" s="132">
        <v>2158</v>
      </c>
      <c r="B2159" s="36" t="s">
        <v>26773</v>
      </c>
      <c r="C2159" s="36" t="s">
        <v>26774</v>
      </c>
      <c r="D2159" s="36" t="s">
        <v>26775</v>
      </c>
      <c r="E2159" s="36" t="s">
        <v>26776</v>
      </c>
      <c r="F2159" s="490" t="s">
        <v>30935</v>
      </c>
      <c r="G2159" s="490" t="s">
        <v>30936</v>
      </c>
      <c r="H2159" s="490" t="s">
        <v>30937</v>
      </c>
      <c r="I2159" s="490" t="s">
        <v>30938</v>
      </c>
      <c r="J2159" s="490" t="s">
        <v>30939</v>
      </c>
      <c r="K2159" s="490" t="s">
        <v>30940</v>
      </c>
      <c r="L2159" s="490" t="s">
        <v>30941</v>
      </c>
      <c r="M2159" s="490" t="s">
        <v>30942</v>
      </c>
      <c r="N2159" s="490" t="s">
        <v>30943</v>
      </c>
      <c r="O2159" s="491" t="s">
        <v>30944</v>
      </c>
      <c r="P2159" s="36" t="s">
        <v>26773</v>
      </c>
    </row>
    <row r="2160" spans="1:16" ht="15" customHeight="1">
      <c r="A2160" s="132">
        <v>2159</v>
      </c>
      <c r="B2160" s="36" t="s">
        <v>26777</v>
      </c>
      <c r="C2160" s="36" t="s">
        <v>26778</v>
      </c>
      <c r="D2160" s="36" t="s">
        <v>26779</v>
      </c>
      <c r="E2160" s="36" t="s">
        <v>26780</v>
      </c>
      <c r="F2160" s="490" t="s">
        <v>30945</v>
      </c>
      <c r="G2160" s="490" t="s">
        <v>30946</v>
      </c>
      <c r="H2160" s="490" t="s">
        <v>30947</v>
      </c>
      <c r="I2160" s="490" t="s">
        <v>30948</v>
      </c>
      <c r="J2160" s="36" t="s">
        <v>25130</v>
      </c>
      <c r="K2160" s="490" t="s">
        <v>30949</v>
      </c>
      <c r="L2160" s="36" t="s">
        <v>25131</v>
      </c>
      <c r="M2160" s="36" t="s">
        <v>25132</v>
      </c>
      <c r="N2160" s="36" t="s">
        <v>25132</v>
      </c>
      <c r="O2160" s="491" t="s">
        <v>30950</v>
      </c>
      <c r="P2160" s="36" t="s">
        <v>26777</v>
      </c>
    </row>
    <row r="2161" spans="1:16" ht="15" customHeight="1">
      <c r="A2161" s="132">
        <v>2160</v>
      </c>
      <c r="B2161" s="36" t="s">
        <v>26781</v>
      </c>
      <c r="C2161" s="36" t="s">
        <v>26782</v>
      </c>
      <c r="D2161" s="36" t="s">
        <v>26783</v>
      </c>
      <c r="E2161" s="36" t="s">
        <v>26784</v>
      </c>
      <c r="F2161" s="490" t="s">
        <v>30951</v>
      </c>
      <c r="G2161" s="490" t="s">
        <v>30952</v>
      </c>
      <c r="H2161" s="490" t="s">
        <v>30953</v>
      </c>
      <c r="I2161" s="490" t="s">
        <v>30954</v>
      </c>
      <c r="J2161" s="490" t="s">
        <v>30955</v>
      </c>
      <c r="K2161" s="490" t="s">
        <v>30956</v>
      </c>
      <c r="L2161" s="490" t="s">
        <v>30957</v>
      </c>
      <c r="M2161" s="490" t="s">
        <v>30958</v>
      </c>
      <c r="N2161" s="490" t="s">
        <v>30959</v>
      </c>
      <c r="O2161" s="491" t="s">
        <v>30960</v>
      </c>
      <c r="P2161" s="36" t="s">
        <v>26781</v>
      </c>
    </row>
    <row r="2162" spans="1:16" ht="15" customHeight="1">
      <c r="A2162" s="132">
        <v>2161</v>
      </c>
      <c r="B2162" s="36" t="s">
        <v>26785</v>
      </c>
      <c r="C2162" s="36" t="s">
        <v>26786</v>
      </c>
      <c r="D2162" s="36" t="s">
        <v>26787</v>
      </c>
      <c r="E2162" s="36" t="s">
        <v>26788</v>
      </c>
      <c r="F2162" s="490" t="s">
        <v>30961</v>
      </c>
      <c r="G2162" s="490" t="s">
        <v>30962</v>
      </c>
      <c r="H2162" s="490" t="s">
        <v>30963</v>
      </c>
      <c r="I2162" s="490" t="s">
        <v>30964</v>
      </c>
      <c r="J2162" s="36" t="s">
        <v>26789</v>
      </c>
      <c r="K2162" s="490" t="s">
        <v>30965</v>
      </c>
      <c r="L2162" s="36" t="s">
        <v>26790</v>
      </c>
      <c r="M2162" s="36" t="s">
        <v>26791</v>
      </c>
      <c r="N2162" s="36" t="s">
        <v>26792</v>
      </c>
      <c r="O2162" s="490" t="s">
        <v>30966</v>
      </c>
      <c r="P2162" s="36" t="s">
        <v>26785</v>
      </c>
    </row>
    <row r="2163" spans="1:16">
      <c r="A2163" s="132">
        <v>2162</v>
      </c>
      <c r="B2163" s="36" t="s">
        <v>26793</v>
      </c>
      <c r="C2163" s="36" t="s">
        <v>26794</v>
      </c>
      <c r="D2163" s="36" t="s">
        <v>26795</v>
      </c>
      <c r="E2163" s="36" t="s">
        <v>26796</v>
      </c>
      <c r="F2163" s="36" t="s">
        <v>26797</v>
      </c>
      <c r="G2163" s="36" t="s">
        <v>26798</v>
      </c>
      <c r="H2163" s="36" t="s">
        <v>26799</v>
      </c>
      <c r="I2163" s="36" t="s">
        <v>26800</v>
      </c>
      <c r="J2163" s="36" t="s">
        <v>26801</v>
      </c>
      <c r="K2163" s="36" t="s">
        <v>26802</v>
      </c>
      <c r="L2163" s="36" t="s">
        <v>26803</v>
      </c>
      <c r="M2163" s="36" t="s">
        <v>26804</v>
      </c>
      <c r="N2163" s="36" t="s">
        <v>26805</v>
      </c>
      <c r="O2163" s="36" t="s">
        <v>26806</v>
      </c>
      <c r="P2163" s="36" t="s">
        <v>26807</v>
      </c>
    </row>
    <row r="2164" spans="1:16" ht="15" customHeight="1">
      <c r="A2164" s="132">
        <v>2163</v>
      </c>
      <c r="B2164" s="36" t="s">
        <v>26808</v>
      </c>
      <c r="C2164" s="36" t="s">
        <v>26809</v>
      </c>
      <c r="D2164" s="36" t="s">
        <v>26810</v>
      </c>
      <c r="E2164" s="36" t="s">
        <v>26811</v>
      </c>
      <c r="F2164" s="36" t="s">
        <v>26812</v>
      </c>
      <c r="G2164" s="36" t="s">
        <v>26813</v>
      </c>
      <c r="H2164" s="36" t="s">
        <v>26814</v>
      </c>
      <c r="I2164" s="36" t="s">
        <v>26815</v>
      </c>
      <c r="J2164" s="36" t="s">
        <v>26816</v>
      </c>
      <c r="K2164" s="36" t="s">
        <v>26817</v>
      </c>
      <c r="L2164" s="36" t="s">
        <v>26818</v>
      </c>
      <c r="M2164" s="36" t="s">
        <v>26819</v>
      </c>
      <c r="N2164" s="36" t="s">
        <v>26820</v>
      </c>
      <c r="O2164" s="36" t="s">
        <v>26821</v>
      </c>
      <c r="P2164" s="36" t="s">
        <v>26808</v>
      </c>
    </row>
    <row r="2165" spans="1:16" ht="15" customHeight="1">
      <c r="A2165" s="132">
        <v>2164</v>
      </c>
      <c r="B2165" s="36" t="s">
        <v>26822</v>
      </c>
      <c r="C2165" s="36" t="s">
        <v>13474</v>
      </c>
      <c r="D2165" s="36" t="s">
        <v>26823</v>
      </c>
      <c r="E2165" s="36" t="s">
        <v>26824</v>
      </c>
      <c r="F2165" s="36" t="s">
        <v>13477</v>
      </c>
      <c r="G2165" s="36" t="s">
        <v>13478</v>
      </c>
      <c r="H2165" s="36" t="s">
        <v>13479</v>
      </c>
      <c r="I2165" s="36" t="s">
        <v>13480</v>
      </c>
      <c r="J2165" s="36" t="s">
        <v>13481</v>
      </c>
      <c r="K2165" s="490" t="s">
        <v>30967</v>
      </c>
      <c r="L2165" s="36" t="s">
        <v>13483</v>
      </c>
      <c r="M2165" s="36" t="s">
        <v>13484</v>
      </c>
      <c r="N2165" s="36" t="s">
        <v>13485</v>
      </c>
      <c r="O2165" s="36" t="s">
        <v>13486</v>
      </c>
      <c r="P2165" s="36" t="s">
        <v>26822</v>
      </c>
    </row>
    <row r="2166" spans="1:16" ht="15" customHeight="1">
      <c r="A2166" s="132">
        <v>2165</v>
      </c>
      <c r="B2166" s="36" t="s">
        <v>26825</v>
      </c>
      <c r="C2166" s="36" t="s">
        <v>26825</v>
      </c>
      <c r="D2166" s="36" t="s">
        <v>26825</v>
      </c>
      <c r="E2166" s="36" t="s">
        <v>26825</v>
      </c>
      <c r="F2166" s="36" t="s">
        <v>26825</v>
      </c>
      <c r="G2166" s="36" t="s">
        <v>26825</v>
      </c>
      <c r="H2166" s="36" t="s">
        <v>26825</v>
      </c>
      <c r="I2166" s="36" t="s">
        <v>26825</v>
      </c>
      <c r="J2166" s="36" t="s">
        <v>26825</v>
      </c>
      <c r="K2166" s="36" t="s">
        <v>26825</v>
      </c>
      <c r="L2166" s="36" t="s">
        <v>26825</v>
      </c>
      <c r="M2166" s="36" t="s">
        <v>26825</v>
      </c>
      <c r="N2166" s="36" t="s">
        <v>26825</v>
      </c>
      <c r="O2166" s="36" t="s">
        <v>26825</v>
      </c>
      <c r="P2166" s="36" t="s">
        <v>26825</v>
      </c>
    </row>
    <row r="2167" spans="1:16" ht="15" customHeight="1">
      <c r="A2167" s="132">
        <v>2166</v>
      </c>
      <c r="B2167" s="36" t="s">
        <v>26826</v>
      </c>
      <c r="C2167" s="36" t="s">
        <v>26827</v>
      </c>
      <c r="D2167" s="36" t="s">
        <v>26828</v>
      </c>
      <c r="E2167" s="36" t="s">
        <v>26829</v>
      </c>
      <c r="F2167" s="36" t="s">
        <v>26830</v>
      </c>
      <c r="G2167" s="36" t="s">
        <v>26831</v>
      </c>
      <c r="H2167" s="36" t="s">
        <v>26832</v>
      </c>
      <c r="I2167" s="36" t="s">
        <v>26833</v>
      </c>
      <c r="J2167" s="36" t="s">
        <v>26834</v>
      </c>
      <c r="K2167" s="36" t="s">
        <v>26835</v>
      </c>
      <c r="L2167" s="36" t="s">
        <v>26836</v>
      </c>
      <c r="M2167" s="36" t="s">
        <v>26837</v>
      </c>
      <c r="N2167" s="36" t="s">
        <v>26838</v>
      </c>
      <c r="O2167" s="36" t="s">
        <v>26839</v>
      </c>
      <c r="P2167" s="36" t="s">
        <v>26826</v>
      </c>
    </row>
    <row r="2168" spans="1:16">
      <c r="A2168" s="132">
        <v>2167</v>
      </c>
      <c r="B2168" s="36" t="s">
        <v>26840</v>
      </c>
      <c r="C2168" s="36" t="s">
        <v>26841</v>
      </c>
      <c r="D2168" s="36" t="s">
        <v>26842</v>
      </c>
      <c r="E2168" s="36" t="s">
        <v>26843</v>
      </c>
      <c r="F2168" s="36" t="s">
        <v>26844</v>
      </c>
      <c r="G2168" s="36" t="s">
        <v>26845</v>
      </c>
      <c r="H2168" s="36" t="s">
        <v>26846</v>
      </c>
      <c r="I2168" s="36" t="s">
        <v>26847</v>
      </c>
      <c r="J2168" s="36" t="s">
        <v>26848</v>
      </c>
      <c r="K2168" s="36" t="s">
        <v>26849</v>
      </c>
      <c r="L2168" s="36" t="s">
        <v>26850</v>
      </c>
      <c r="M2168" s="36" t="s">
        <v>26851</v>
      </c>
      <c r="N2168" s="36" t="s">
        <v>26852</v>
      </c>
      <c r="O2168" s="36" t="s">
        <v>26853</v>
      </c>
      <c r="P2168" s="36" t="s">
        <v>26840</v>
      </c>
    </row>
    <row r="2169" spans="1:16" ht="15" customHeight="1">
      <c r="A2169" s="132">
        <v>2168</v>
      </c>
      <c r="B2169" s="36" t="s">
        <v>24852</v>
      </c>
      <c r="C2169" s="36" t="s">
        <v>26854</v>
      </c>
      <c r="D2169" s="36" t="s">
        <v>26855</v>
      </c>
      <c r="E2169" s="36" t="s">
        <v>26856</v>
      </c>
      <c r="F2169" s="36" t="s">
        <v>26857</v>
      </c>
      <c r="G2169" s="36" t="s">
        <v>26858</v>
      </c>
      <c r="H2169" s="36" t="s">
        <v>26859</v>
      </c>
      <c r="I2169" s="36" t="s">
        <v>26860</v>
      </c>
      <c r="J2169" s="36" t="s">
        <v>26861</v>
      </c>
      <c r="K2169" s="36" t="s">
        <v>26862</v>
      </c>
      <c r="L2169" s="36" t="s">
        <v>26863</v>
      </c>
      <c r="M2169" s="36" t="s">
        <v>26864</v>
      </c>
      <c r="N2169" s="36" t="s">
        <v>26865</v>
      </c>
      <c r="O2169" s="36" t="s">
        <v>26866</v>
      </c>
      <c r="P2169" s="36" t="s">
        <v>24852</v>
      </c>
    </row>
    <row r="2170" spans="1:16" ht="15" customHeight="1">
      <c r="A2170" s="132">
        <v>2169</v>
      </c>
      <c r="B2170" s="36" t="s">
        <v>26867</v>
      </c>
      <c r="C2170" s="36" t="s">
        <v>26868</v>
      </c>
      <c r="D2170" s="36" t="s">
        <v>26869</v>
      </c>
      <c r="E2170" s="36" t="s">
        <v>26870</v>
      </c>
      <c r="F2170" s="36" t="s">
        <v>26871</v>
      </c>
      <c r="G2170" s="36" t="s">
        <v>26872</v>
      </c>
      <c r="H2170" s="36" t="s">
        <v>26873</v>
      </c>
      <c r="I2170" s="36" t="s">
        <v>26874</v>
      </c>
      <c r="J2170" s="36" t="s">
        <v>26875</v>
      </c>
      <c r="K2170" s="36" t="s">
        <v>26876</v>
      </c>
      <c r="L2170" s="36" t="s">
        <v>26877</v>
      </c>
      <c r="M2170" s="36" t="s">
        <v>26878</v>
      </c>
      <c r="N2170" s="36" t="s">
        <v>26879</v>
      </c>
      <c r="O2170" s="36" t="s">
        <v>26880</v>
      </c>
      <c r="P2170" s="36" t="s">
        <v>26867</v>
      </c>
    </row>
    <row r="2171" spans="1:16" ht="15" customHeight="1">
      <c r="A2171" s="132">
        <v>2170</v>
      </c>
      <c r="B2171" s="36" t="s">
        <v>26881</v>
      </c>
      <c r="C2171" s="36" t="s">
        <v>26882</v>
      </c>
      <c r="D2171" s="36" t="s">
        <v>26883</v>
      </c>
      <c r="E2171" s="36" t="s">
        <v>26884</v>
      </c>
      <c r="F2171" s="36" t="s">
        <v>26885</v>
      </c>
      <c r="G2171" s="36" t="s">
        <v>26886</v>
      </c>
      <c r="H2171" s="36" t="s">
        <v>26887</v>
      </c>
      <c r="I2171" s="36" t="s">
        <v>26888</v>
      </c>
      <c r="J2171" s="36" t="s">
        <v>26889</v>
      </c>
      <c r="K2171" s="36" t="s">
        <v>26890</v>
      </c>
      <c r="L2171" s="36" t="s">
        <v>26891</v>
      </c>
      <c r="M2171" s="36" t="s">
        <v>26892</v>
      </c>
      <c r="N2171" s="36" t="s">
        <v>26893</v>
      </c>
      <c r="O2171" s="36" t="s">
        <v>26894</v>
      </c>
      <c r="P2171" s="36" t="s">
        <v>26881</v>
      </c>
    </row>
    <row r="2172" spans="1:16">
      <c r="A2172" s="132">
        <v>2171</v>
      </c>
      <c r="B2172" s="36" t="s">
        <v>26895</v>
      </c>
      <c r="C2172" s="36" t="s">
        <v>26896</v>
      </c>
      <c r="D2172" s="36" t="s">
        <v>26897</v>
      </c>
      <c r="E2172" s="36" t="s">
        <v>26898</v>
      </c>
      <c r="F2172" s="36" t="s">
        <v>26899</v>
      </c>
      <c r="G2172" s="36" t="s">
        <v>26900</v>
      </c>
      <c r="H2172" s="36" t="s">
        <v>26901</v>
      </c>
      <c r="I2172" s="36" t="s">
        <v>26902</v>
      </c>
      <c r="J2172" s="36" t="s">
        <v>26903</v>
      </c>
      <c r="K2172" s="36" t="s">
        <v>26904</v>
      </c>
      <c r="L2172" s="36" t="s">
        <v>26905</v>
      </c>
      <c r="M2172" s="36" t="s">
        <v>26906</v>
      </c>
      <c r="N2172" s="36" t="s">
        <v>26907</v>
      </c>
      <c r="O2172" s="36" t="s">
        <v>26908</v>
      </c>
      <c r="P2172" s="36" t="s">
        <v>26895</v>
      </c>
    </row>
    <row r="2173" spans="1:16" ht="15" customHeight="1">
      <c r="A2173" s="132">
        <v>2172</v>
      </c>
      <c r="B2173" s="36" t="s">
        <v>26909</v>
      </c>
      <c r="C2173" s="36" t="s">
        <v>26910</v>
      </c>
      <c r="D2173" s="36" t="s">
        <v>26911</v>
      </c>
      <c r="E2173" s="36" t="s">
        <v>26912</v>
      </c>
      <c r="F2173" s="36" t="s">
        <v>26913</v>
      </c>
      <c r="G2173" s="36" t="s">
        <v>26914</v>
      </c>
      <c r="H2173" s="36" t="s">
        <v>26915</v>
      </c>
      <c r="I2173" s="36" t="s">
        <v>26916</v>
      </c>
      <c r="J2173" s="36" t="s">
        <v>26917</v>
      </c>
      <c r="K2173" s="36" t="s">
        <v>26918</v>
      </c>
      <c r="L2173" s="36" t="s">
        <v>26919</v>
      </c>
      <c r="M2173" s="36" t="s">
        <v>26920</v>
      </c>
      <c r="N2173" s="36" t="s">
        <v>26921</v>
      </c>
      <c r="O2173" s="36" t="s">
        <v>26922</v>
      </c>
      <c r="P2173" s="36" t="s">
        <v>26923</v>
      </c>
    </row>
    <row r="2174" spans="1:16" ht="15" customHeight="1">
      <c r="A2174" s="132">
        <v>2173</v>
      </c>
      <c r="B2174" s="36" t="s">
        <v>26924</v>
      </c>
      <c r="C2174" s="36" t="s">
        <v>26925</v>
      </c>
      <c r="D2174" s="36" t="s">
        <v>26926</v>
      </c>
      <c r="E2174" s="36" t="s">
        <v>26927</v>
      </c>
      <c r="F2174" s="36" t="s">
        <v>26928</v>
      </c>
      <c r="G2174" s="36" t="s">
        <v>26929</v>
      </c>
      <c r="H2174" s="36" t="s">
        <v>26930</v>
      </c>
      <c r="I2174" s="36" t="s">
        <v>26931</v>
      </c>
      <c r="J2174" s="36" t="s">
        <v>26932</v>
      </c>
      <c r="K2174" s="36" t="s">
        <v>26933</v>
      </c>
      <c r="L2174" s="36" t="s">
        <v>26934</v>
      </c>
      <c r="M2174" s="36" t="s">
        <v>26935</v>
      </c>
      <c r="N2174" s="36" t="s">
        <v>26936</v>
      </c>
      <c r="O2174" s="36" t="s">
        <v>26937</v>
      </c>
      <c r="P2174" s="36" t="s">
        <v>26924</v>
      </c>
    </row>
    <row r="2175" spans="1:16" ht="15" customHeight="1">
      <c r="A2175" s="132">
        <v>2174</v>
      </c>
      <c r="B2175" s="36" t="s">
        <v>26938</v>
      </c>
      <c r="C2175" s="36" t="s">
        <v>26939</v>
      </c>
      <c r="D2175" s="36" t="s">
        <v>26940</v>
      </c>
      <c r="E2175" s="36" t="s">
        <v>26941</v>
      </c>
      <c r="F2175" s="36" t="s">
        <v>26942</v>
      </c>
      <c r="G2175" s="36" t="s">
        <v>26943</v>
      </c>
      <c r="H2175" s="36" t="s">
        <v>26944</v>
      </c>
      <c r="I2175" s="36" t="s">
        <v>26945</v>
      </c>
      <c r="J2175" s="36" t="s">
        <v>26946</v>
      </c>
      <c r="K2175" s="36" t="s">
        <v>26947</v>
      </c>
      <c r="L2175" s="36" t="s">
        <v>26948</v>
      </c>
      <c r="M2175" s="36" t="s">
        <v>26949</v>
      </c>
      <c r="N2175" s="36" t="s">
        <v>26950</v>
      </c>
      <c r="O2175" s="36" t="s">
        <v>26951</v>
      </c>
      <c r="P2175" s="36" t="s">
        <v>26938</v>
      </c>
    </row>
    <row r="2176" spans="1:16" ht="15" customHeight="1">
      <c r="A2176" s="132">
        <v>2175</v>
      </c>
      <c r="B2176" s="36" t="s">
        <v>26952</v>
      </c>
      <c r="C2176" s="36" t="s">
        <v>26953</v>
      </c>
      <c r="D2176" s="36" t="s">
        <v>26954</v>
      </c>
      <c r="E2176" s="36" t="s">
        <v>26955</v>
      </c>
      <c r="F2176" s="36" t="s">
        <v>26956</v>
      </c>
      <c r="G2176" s="36" t="s">
        <v>26957</v>
      </c>
      <c r="H2176" s="36" t="s">
        <v>26958</v>
      </c>
      <c r="I2176" s="36" t="s">
        <v>26959</v>
      </c>
      <c r="J2176" s="36" t="s">
        <v>26960</v>
      </c>
      <c r="K2176" s="36" t="s">
        <v>26961</v>
      </c>
      <c r="L2176" s="36" t="s">
        <v>26962</v>
      </c>
      <c r="M2176" s="36" t="s">
        <v>26963</v>
      </c>
      <c r="N2176" s="36" t="s">
        <v>26964</v>
      </c>
      <c r="O2176" s="36" t="s">
        <v>26965</v>
      </c>
      <c r="P2176" s="36" t="s">
        <v>26952</v>
      </c>
    </row>
    <row r="2177" spans="1:16" ht="15" customHeight="1">
      <c r="A2177" s="132">
        <v>2176</v>
      </c>
      <c r="B2177" s="36" t="s">
        <v>26966</v>
      </c>
      <c r="C2177" s="36" t="s">
        <v>26967</v>
      </c>
      <c r="D2177" s="36" t="s">
        <v>26968</v>
      </c>
      <c r="E2177" s="36" t="s">
        <v>26969</v>
      </c>
      <c r="F2177" s="490" t="s">
        <v>30968</v>
      </c>
      <c r="G2177" s="491" t="s">
        <v>30969</v>
      </c>
      <c r="H2177" s="490" t="s">
        <v>30970</v>
      </c>
      <c r="I2177" s="490" t="s">
        <v>30971</v>
      </c>
      <c r="J2177" s="36" t="s">
        <v>26970</v>
      </c>
      <c r="K2177" s="490" t="s">
        <v>30972</v>
      </c>
      <c r="L2177" s="36" t="s">
        <v>26971</v>
      </c>
      <c r="M2177" s="36" t="s">
        <v>26791</v>
      </c>
      <c r="N2177" s="36" t="s">
        <v>26972</v>
      </c>
      <c r="O2177" s="490" t="s">
        <v>30973</v>
      </c>
      <c r="P2177" s="36" t="s">
        <v>26966</v>
      </c>
    </row>
    <row r="2178" spans="1:16" ht="15" customHeight="1">
      <c r="A2178" s="132">
        <v>2177</v>
      </c>
      <c r="B2178" s="36" t="s">
        <v>26973</v>
      </c>
      <c r="C2178" s="36" t="s">
        <v>26974</v>
      </c>
      <c r="D2178" s="36" t="s">
        <v>26975</v>
      </c>
      <c r="E2178" s="36" t="s">
        <v>26976</v>
      </c>
      <c r="F2178" s="36" t="s">
        <v>26977</v>
      </c>
      <c r="G2178" s="36" t="s">
        <v>26978</v>
      </c>
      <c r="H2178" s="36" t="s">
        <v>26979</v>
      </c>
      <c r="I2178" s="36" t="s">
        <v>26980</v>
      </c>
      <c r="J2178" s="36" t="s">
        <v>26981</v>
      </c>
      <c r="K2178" s="36" t="s">
        <v>26982</v>
      </c>
      <c r="L2178" s="36" t="s">
        <v>26983</v>
      </c>
      <c r="M2178" s="36" t="s">
        <v>26984</v>
      </c>
      <c r="N2178" s="36" t="s">
        <v>26985</v>
      </c>
      <c r="O2178" s="36" t="s">
        <v>26986</v>
      </c>
      <c r="P2178" s="36" t="s">
        <v>26973</v>
      </c>
    </row>
    <row r="2179" spans="1:16" ht="15" customHeight="1">
      <c r="A2179" s="132">
        <v>2178</v>
      </c>
      <c r="B2179" s="36" t="s">
        <v>26987</v>
      </c>
      <c r="C2179" s="36" t="s">
        <v>26988</v>
      </c>
      <c r="D2179" s="36" t="s">
        <v>26989</v>
      </c>
      <c r="E2179" s="36" t="s">
        <v>26990</v>
      </c>
      <c r="F2179" s="36" t="s">
        <v>26991</v>
      </c>
      <c r="G2179" s="36" t="s">
        <v>26992</v>
      </c>
      <c r="H2179" s="36" t="s">
        <v>26993</v>
      </c>
      <c r="I2179" s="36" t="s">
        <v>26994</v>
      </c>
      <c r="J2179" s="36" t="s">
        <v>26995</v>
      </c>
      <c r="K2179" s="36" t="s">
        <v>26996</v>
      </c>
      <c r="L2179" s="36" t="s">
        <v>26997</v>
      </c>
      <c r="M2179" s="36" t="s">
        <v>26998</v>
      </c>
      <c r="N2179" s="36" t="s">
        <v>26999</v>
      </c>
      <c r="O2179" s="36" t="s">
        <v>27000</v>
      </c>
      <c r="P2179" s="36" t="s">
        <v>27001</v>
      </c>
    </row>
    <row r="2180" spans="1:16" ht="15" customHeight="1">
      <c r="A2180" s="132">
        <v>2179</v>
      </c>
      <c r="B2180" s="36" t="s">
        <v>27002</v>
      </c>
      <c r="C2180" s="36" t="s">
        <v>27003</v>
      </c>
      <c r="D2180" s="36" t="s">
        <v>27004</v>
      </c>
      <c r="E2180" s="36" t="s">
        <v>27005</v>
      </c>
      <c r="F2180" s="36" t="s">
        <v>27006</v>
      </c>
      <c r="G2180" s="36" t="s">
        <v>27007</v>
      </c>
      <c r="H2180" s="36" t="s">
        <v>27008</v>
      </c>
      <c r="I2180" s="36" t="s">
        <v>27009</v>
      </c>
      <c r="J2180" s="36" t="s">
        <v>27010</v>
      </c>
      <c r="K2180" s="36" t="s">
        <v>27011</v>
      </c>
      <c r="L2180" s="36" t="s">
        <v>27012</v>
      </c>
      <c r="M2180" s="36" t="s">
        <v>27013</v>
      </c>
      <c r="N2180" s="36" t="s">
        <v>27014</v>
      </c>
      <c r="O2180" s="36" t="s">
        <v>27015</v>
      </c>
      <c r="P2180" s="36" t="s">
        <v>27002</v>
      </c>
    </row>
    <row r="2181" spans="1:16" ht="15" customHeight="1">
      <c r="A2181" s="132">
        <v>2180</v>
      </c>
      <c r="B2181" s="36" t="s">
        <v>27016</v>
      </c>
      <c r="C2181" s="36" t="s">
        <v>27017</v>
      </c>
      <c r="D2181" s="36" t="s">
        <v>27018</v>
      </c>
      <c r="E2181" s="36" t="s">
        <v>27019</v>
      </c>
      <c r="F2181" s="36" t="s">
        <v>27020</v>
      </c>
      <c r="G2181" s="36" t="s">
        <v>27021</v>
      </c>
      <c r="H2181" s="36" t="s">
        <v>27022</v>
      </c>
      <c r="I2181" s="36" t="s">
        <v>27023</v>
      </c>
      <c r="J2181" s="36" t="s">
        <v>27024</v>
      </c>
      <c r="K2181" s="36" t="s">
        <v>27025</v>
      </c>
      <c r="L2181" s="36" t="s">
        <v>27026</v>
      </c>
      <c r="M2181" s="36" t="s">
        <v>27027</v>
      </c>
      <c r="N2181" s="36" t="s">
        <v>27028</v>
      </c>
      <c r="O2181" s="36" t="s">
        <v>27029</v>
      </c>
      <c r="P2181" s="36" t="s">
        <v>27016</v>
      </c>
    </row>
    <row r="2182" spans="1:16" ht="15" customHeight="1">
      <c r="A2182" s="132">
        <v>2181</v>
      </c>
      <c r="B2182" s="36" t="s">
        <v>27030</v>
      </c>
      <c r="C2182" s="36" t="s">
        <v>27031</v>
      </c>
      <c r="D2182" s="36" t="s">
        <v>27032</v>
      </c>
      <c r="E2182" s="36" t="s">
        <v>27033</v>
      </c>
      <c r="F2182" s="36" t="s">
        <v>27034</v>
      </c>
      <c r="G2182" s="36" t="s">
        <v>27035</v>
      </c>
      <c r="H2182" s="36" t="s">
        <v>27036</v>
      </c>
      <c r="I2182" s="36" t="s">
        <v>27037</v>
      </c>
      <c r="J2182" s="36" t="s">
        <v>27038</v>
      </c>
      <c r="K2182" s="36" t="s">
        <v>27039</v>
      </c>
      <c r="L2182" s="36" t="s">
        <v>27040</v>
      </c>
      <c r="M2182" s="36" t="s">
        <v>27041</v>
      </c>
      <c r="N2182" s="36" t="s">
        <v>27042</v>
      </c>
      <c r="O2182" s="36" t="s">
        <v>27043</v>
      </c>
      <c r="P2182" s="36" t="s">
        <v>27030</v>
      </c>
    </row>
    <row r="2183" spans="1:16" ht="15" customHeight="1">
      <c r="A2183" s="132">
        <v>2182</v>
      </c>
      <c r="B2183" s="36" t="s">
        <v>27044</v>
      </c>
      <c r="C2183" s="36" t="s">
        <v>27045</v>
      </c>
      <c r="D2183" s="36" t="s">
        <v>27046</v>
      </c>
      <c r="E2183" s="36" t="s">
        <v>27047</v>
      </c>
      <c r="F2183" s="36" t="s">
        <v>27048</v>
      </c>
      <c r="G2183" s="36" t="s">
        <v>27049</v>
      </c>
      <c r="H2183" s="36" t="s">
        <v>27050</v>
      </c>
      <c r="I2183" s="36" t="s">
        <v>27051</v>
      </c>
      <c r="J2183" s="36" t="s">
        <v>27052</v>
      </c>
      <c r="K2183" s="36" t="s">
        <v>27053</v>
      </c>
      <c r="L2183" s="36" t="s">
        <v>27054</v>
      </c>
      <c r="M2183" s="36" t="s">
        <v>27055</v>
      </c>
      <c r="N2183" s="36" t="s">
        <v>27056</v>
      </c>
      <c r="O2183" s="36" t="s">
        <v>27057</v>
      </c>
      <c r="P2183" s="36" t="s">
        <v>27044</v>
      </c>
    </row>
    <row r="2184" spans="1:16" ht="15" customHeight="1">
      <c r="A2184" s="132">
        <v>2183</v>
      </c>
      <c r="B2184" s="36" t="s">
        <v>27058</v>
      </c>
      <c r="C2184" s="36" t="s">
        <v>27059</v>
      </c>
      <c r="D2184" s="36" t="s">
        <v>27060</v>
      </c>
      <c r="E2184" s="36" t="s">
        <v>27061</v>
      </c>
      <c r="F2184" s="36" t="s">
        <v>27062</v>
      </c>
      <c r="G2184" s="36" t="s">
        <v>27063</v>
      </c>
      <c r="H2184" s="36" t="s">
        <v>27064</v>
      </c>
      <c r="I2184" s="36" t="s">
        <v>27065</v>
      </c>
      <c r="J2184" s="36" t="s">
        <v>27066</v>
      </c>
      <c r="K2184" s="36" t="s">
        <v>27067</v>
      </c>
      <c r="L2184" s="36" t="s">
        <v>27068</v>
      </c>
      <c r="M2184" s="36" t="s">
        <v>27069</v>
      </c>
      <c r="N2184" s="36" t="s">
        <v>27070</v>
      </c>
      <c r="O2184" s="36" t="s">
        <v>27071</v>
      </c>
      <c r="P2184" s="36" t="s">
        <v>27058</v>
      </c>
    </row>
    <row r="2185" spans="1:16" ht="15" customHeight="1">
      <c r="A2185" s="132">
        <v>2184</v>
      </c>
      <c r="B2185" s="36" t="s">
        <v>27072</v>
      </c>
      <c r="C2185" s="36" t="s">
        <v>27073</v>
      </c>
      <c r="D2185" s="36" t="s">
        <v>27074</v>
      </c>
      <c r="E2185" s="36" t="s">
        <v>27075</v>
      </c>
      <c r="F2185" s="36" t="s">
        <v>27076</v>
      </c>
      <c r="G2185" s="36" t="s">
        <v>27077</v>
      </c>
      <c r="H2185" s="36" t="s">
        <v>27078</v>
      </c>
      <c r="I2185" s="36" t="s">
        <v>27079</v>
      </c>
      <c r="J2185" s="36" t="s">
        <v>27080</v>
      </c>
      <c r="K2185" s="36" t="s">
        <v>27081</v>
      </c>
      <c r="L2185" s="36" t="s">
        <v>27082</v>
      </c>
      <c r="M2185" s="36" t="s">
        <v>27083</v>
      </c>
      <c r="N2185" s="36" t="s">
        <v>27084</v>
      </c>
      <c r="O2185" s="36" t="s">
        <v>27085</v>
      </c>
      <c r="P2185" s="36" t="s">
        <v>27086</v>
      </c>
    </row>
    <row r="2186" spans="1:16" ht="15" customHeight="1">
      <c r="A2186" s="132">
        <v>2185</v>
      </c>
      <c r="B2186" s="36" t="s">
        <v>20058</v>
      </c>
      <c r="C2186" s="36" t="s">
        <v>27087</v>
      </c>
      <c r="D2186" s="36" t="s">
        <v>27088</v>
      </c>
      <c r="E2186" s="36" t="s">
        <v>27089</v>
      </c>
      <c r="F2186" s="490" t="s">
        <v>30974</v>
      </c>
      <c r="G2186" s="490" t="s">
        <v>30975</v>
      </c>
      <c r="H2186" s="490" t="s">
        <v>30976</v>
      </c>
      <c r="I2186" s="490" t="s">
        <v>30977</v>
      </c>
      <c r="J2186" s="490" t="s">
        <v>30978</v>
      </c>
      <c r="K2186" s="490" t="s">
        <v>30979</v>
      </c>
      <c r="L2186" s="490" t="s">
        <v>30980</v>
      </c>
      <c r="M2186" s="490" t="s">
        <v>30981</v>
      </c>
      <c r="N2186" s="490" t="s">
        <v>30982</v>
      </c>
      <c r="O2186" s="490" t="s">
        <v>30983</v>
      </c>
      <c r="P2186" s="36" t="s">
        <v>20058</v>
      </c>
    </row>
    <row r="2187" spans="1:16" ht="15" customHeight="1">
      <c r="A2187" s="132">
        <v>2186</v>
      </c>
      <c r="B2187" s="396" t="s">
        <v>27090</v>
      </c>
      <c r="C2187" s="396" t="s">
        <v>9989</v>
      </c>
      <c r="D2187" s="396" t="s">
        <v>27091</v>
      </c>
      <c r="E2187" s="396" t="s">
        <v>27092</v>
      </c>
      <c r="F2187" s="396" t="s">
        <v>9992</v>
      </c>
      <c r="G2187" s="36" t="s">
        <v>9993</v>
      </c>
      <c r="H2187" s="396" t="s">
        <v>9994</v>
      </c>
      <c r="I2187" s="36" t="s">
        <v>9995</v>
      </c>
      <c r="J2187" s="396" t="s">
        <v>9996</v>
      </c>
      <c r="K2187" s="396" t="s">
        <v>9997</v>
      </c>
      <c r="L2187" s="396" t="s">
        <v>9998</v>
      </c>
      <c r="M2187" s="396" t="s">
        <v>9999</v>
      </c>
      <c r="N2187" s="396" t="s">
        <v>10000</v>
      </c>
      <c r="O2187" s="396" t="s">
        <v>10001</v>
      </c>
      <c r="P2187" s="396" t="s">
        <v>27090</v>
      </c>
    </row>
    <row r="2188" spans="1:16" ht="15" customHeight="1">
      <c r="A2188" s="132">
        <v>2187</v>
      </c>
      <c r="B2188" s="36" t="s">
        <v>27093</v>
      </c>
      <c r="C2188" s="36" t="s">
        <v>10166</v>
      </c>
      <c r="D2188" s="36" t="s">
        <v>27094</v>
      </c>
      <c r="E2188" s="36" t="s">
        <v>27095</v>
      </c>
      <c r="F2188" s="490" t="s">
        <v>30984</v>
      </c>
      <c r="G2188" s="36" t="s">
        <v>27096</v>
      </c>
      <c r="H2188" s="36" t="s">
        <v>27097</v>
      </c>
      <c r="I2188" s="36" t="s">
        <v>27098</v>
      </c>
      <c r="J2188" s="36" t="s">
        <v>27099</v>
      </c>
      <c r="K2188" s="490" t="s">
        <v>30985</v>
      </c>
      <c r="L2188" s="36" t="s">
        <v>27100</v>
      </c>
      <c r="M2188" s="36" t="s">
        <v>27101</v>
      </c>
      <c r="N2188" s="36" t="s">
        <v>27102</v>
      </c>
      <c r="O2188" s="36" t="s">
        <v>27103</v>
      </c>
      <c r="P2188" s="36" t="s">
        <v>27093</v>
      </c>
    </row>
    <row r="2189" spans="1:16">
      <c r="A2189" s="132">
        <v>2188</v>
      </c>
      <c r="B2189" s="36" t="s">
        <v>27104</v>
      </c>
      <c r="C2189" s="36" t="s">
        <v>27105</v>
      </c>
      <c r="D2189" s="36" t="s">
        <v>27106</v>
      </c>
      <c r="E2189" s="36" t="s">
        <v>27107</v>
      </c>
      <c r="F2189" s="36" t="s">
        <v>27108</v>
      </c>
      <c r="G2189" s="36" t="s">
        <v>27109</v>
      </c>
      <c r="H2189" s="396" t="s">
        <v>27110</v>
      </c>
      <c r="I2189" s="36" t="s">
        <v>27111</v>
      </c>
      <c r="J2189" s="36" t="s">
        <v>27112</v>
      </c>
      <c r="K2189" s="396" t="s">
        <v>27113</v>
      </c>
      <c r="L2189" s="36" t="s">
        <v>27114</v>
      </c>
      <c r="M2189" s="36" t="s">
        <v>27115</v>
      </c>
      <c r="N2189" s="36" t="s">
        <v>27116</v>
      </c>
      <c r="O2189" s="36" t="s">
        <v>27117</v>
      </c>
      <c r="P2189" s="36" t="s">
        <v>27104</v>
      </c>
    </row>
    <row r="2190" spans="1:16">
      <c r="A2190" s="132">
        <v>2189</v>
      </c>
      <c r="B2190" s="36" t="s">
        <v>27118</v>
      </c>
      <c r="C2190" s="36" t="s">
        <v>27119</v>
      </c>
      <c r="D2190" s="36" t="s">
        <v>27120</v>
      </c>
      <c r="E2190" s="36" t="s">
        <v>27121</v>
      </c>
      <c r="F2190" s="36" t="s">
        <v>27122</v>
      </c>
      <c r="G2190" s="36" t="s">
        <v>27123</v>
      </c>
      <c r="H2190" s="396" t="s">
        <v>27124</v>
      </c>
      <c r="I2190" s="36" t="s">
        <v>27125</v>
      </c>
      <c r="J2190" s="36" t="s">
        <v>27126</v>
      </c>
      <c r="K2190" s="396" t="s">
        <v>27127</v>
      </c>
      <c r="L2190" s="36" t="s">
        <v>27128</v>
      </c>
      <c r="M2190" s="36" t="s">
        <v>27129</v>
      </c>
      <c r="N2190" s="36" t="s">
        <v>27130</v>
      </c>
      <c r="O2190" s="36" t="s">
        <v>27131</v>
      </c>
      <c r="P2190" s="36" t="s">
        <v>27118</v>
      </c>
    </row>
    <row r="2191" spans="1:16">
      <c r="A2191" s="132">
        <v>2190</v>
      </c>
      <c r="B2191" s="36" t="s">
        <v>27132</v>
      </c>
      <c r="C2191" s="36" t="s">
        <v>12277</v>
      </c>
      <c r="D2191" s="36" t="s">
        <v>27133</v>
      </c>
      <c r="E2191" s="36" t="s">
        <v>27134</v>
      </c>
      <c r="F2191" s="36" t="s">
        <v>12280</v>
      </c>
      <c r="G2191" s="36" t="s">
        <v>12281</v>
      </c>
      <c r="H2191" s="396" t="s">
        <v>12282</v>
      </c>
      <c r="I2191" s="36" t="s">
        <v>12283</v>
      </c>
      <c r="J2191" s="36" t="s">
        <v>12284</v>
      </c>
      <c r="K2191" s="396" t="s">
        <v>12285</v>
      </c>
      <c r="L2191" s="36" t="s">
        <v>12286</v>
      </c>
      <c r="M2191" s="36" t="s">
        <v>12287</v>
      </c>
      <c r="N2191" s="36" t="s">
        <v>12288</v>
      </c>
      <c r="O2191" s="36" t="s">
        <v>27135</v>
      </c>
      <c r="P2191" s="36" t="s">
        <v>27132</v>
      </c>
    </row>
    <row r="2192" spans="1:16">
      <c r="A2192" s="132">
        <v>2191</v>
      </c>
      <c r="B2192" s="36" t="s">
        <v>27136</v>
      </c>
      <c r="C2192" s="36" t="s">
        <v>27137</v>
      </c>
      <c r="D2192" s="36" t="s">
        <v>27138</v>
      </c>
      <c r="E2192" s="36" t="s">
        <v>27139</v>
      </c>
      <c r="F2192" s="36" t="s">
        <v>27140</v>
      </c>
      <c r="G2192" s="36" t="s">
        <v>27141</v>
      </c>
      <c r="H2192" s="396" t="s">
        <v>27142</v>
      </c>
      <c r="I2192" s="36" t="s">
        <v>27143</v>
      </c>
      <c r="J2192" s="36" t="s">
        <v>27144</v>
      </c>
      <c r="K2192" s="396" t="s">
        <v>27145</v>
      </c>
      <c r="L2192" s="36" t="s">
        <v>27146</v>
      </c>
      <c r="M2192" s="36" t="s">
        <v>27147</v>
      </c>
      <c r="N2192" s="36" t="s">
        <v>27148</v>
      </c>
      <c r="O2192" s="36" t="s">
        <v>27149</v>
      </c>
      <c r="P2192" s="36" t="s">
        <v>27150</v>
      </c>
    </row>
    <row r="2193" spans="1:16">
      <c r="A2193" s="132">
        <v>2192</v>
      </c>
      <c r="B2193" s="36" t="s">
        <v>27151</v>
      </c>
      <c r="C2193" s="36" t="s">
        <v>27152</v>
      </c>
      <c r="D2193" s="36" t="s">
        <v>27153</v>
      </c>
      <c r="E2193" s="36" t="s">
        <v>27154</v>
      </c>
      <c r="F2193" s="36" t="s">
        <v>27155</v>
      </c>
      <c r="G2193" s="36" t="s">
        <v>27156</v>
      </c>
      <c r="H2193" s="396" t="s">
        <v>27157</v>
      </c>
      <c r="I2193" s="36" t="s">
        <v>27158</v>
      </c>
      <c r="J2193" s="36" t="s">
        <v>27159</v>
      </c>
      <c r="K2193" s="396" t="s">
        <v>27160</v>
      </c>
      <c r="L2193" s="36" t="s">
        <v>27161</v>
      </c>
      <c r="M2193" s="36" t="s">
        <v>27162</v>
      </c>
      <c r="N2193" s="36" t="s">
        <v>27163</v>
      </c>
      <c r="O2193" s="36" t="s">
        <v>27164</v>
      </c>
      <c r="P2193" s="36" t="s">
        <v>27165</v>
      </c>
    </row>
    <row r="2194" spans="1:16">
      <c r="A2194" s="132">
        <v>2193</v>
      </c>
      <c r="B2194" s="396" t="s">
        <v>27166</v>
      </c>
      <c r="C2194" s="396" t="s">
        <v>3151</v>
      </c>
      <c r="D2194" s="396" t="s">
        <v>27167</v>
      </c>
      <c r="E2194" s="396" t="s">
        <v>27168</v>
      </c>
      <c r="F2194" s="396" t="s">
        <v>3154</v>
      </c>
      <c r="G2194" s="36" t="s">
        <v>3155</v>
      </c>
      <c r="H2194" s="396" t="s">
        <v>3156</v>
      </c>
      <c r="I2194" s="36" t="s">
        <v>3157</v>
      </c>
      <c r="J2194" s="396" t="s">
        <v>3158</v>
      </c>
      <c r="K2194" s="396" t="s">
        <v>3159</v>
      </c>
      <c r="L2194" s="396" t="s">
        <v>3160</v>
      </c>
      <c r="M2194" s="396" t="s">
        <v>3161</v>
      </c>
      <c r="N2194" s="396" t="s">
        <v>3162</v>
      </c>
      <c r="O2194" s="396" t="s">
        <v>27169</v>
      </c>
      <c r="P2194" s="396" t="s">
        <v>27166</v>
      </c>
    </row>
    <row r="2195" spans="1:16">
      <c r="A2195" s="132">
        <v>2194</v>
      </c>
      <c r="B2195" s="396" t="s">
        <v>27170</v>
      </c>
      <c r="C2195" s="396" t="s">
        <v>3165</v>
      </c>
      <c r="D2195" s="396" t="s">
        <v>27171</v>
      </c>
      <c r="E2195" s="396" t="s">
        <v>27172</v>
      </c>
      <c r="F2195" s="396" t="s">
        <v>3168</v>
      </c>
      <c r="G2195" s="36" t="s">
        <v>3169</v>
      </c>
      <c r="H2195" s="396" t="s">
        <v>3170</v>
      </c>
      <c r="I2195" s="36" t="s">
        <v>3171</v>
      </c>
      <c r="J2195" s="396" t="s">
        <v>3172</v>
      </c>
      <c r="K2195" s="396" t="s">
        <v>3173</v>
      </c>
      <c r="L2195" s="396" t="s">
        <v>3174</v>
      </c>
      <c r="M2195" s="396" t="s">
        <v>3175</v>
      </c>
      <c r="N2195" s="396" t="s">
        <v>3176</v>
      </c>
      <c r="O2195" s="396" t="s">
        <v>27173</v>
      </c>
      <c r="P2195" s="396" t="s">
        <v>27170</v>
      </c>
    </row>
    <row r="2196" spans="1:16">
      <c r="A2196" s="132">
        <v>2195</v>
      </c>
      <c r="B2196" s="396" t="s">
        <v>27174</v>
      </c>
      <c r="C2196" s="396" t="s">
        <v>3179</v>
      </c>
      <c r="D2196" s="396" t="s">
        <v>27175</v>
      </c>
      <c r="E2196" s="396" t="s">
        <v>27176</v>
      </c>
      <c r="F2196" s="396" t="s">
        <v>3182</v>
      </c>
      <c r="G2196" s="36" t="s">
        <v>3183</v>
      </c>
      <c r="H2196" s="396" t="s">
        <v>3184</v>
      </c>
      <c r="I2196" s="36" t="s">
        <v>3185</v>
      </c>
      <c r="J2196" s="396" t="s">
        <v>3186</v>
      </c>
      <c r="K2196" s="396" t="s">
        <v>3187</v>
      </c>
      <c r="L2196" s="396" t="s">
        <v>3188</v>
      </c>
      <c r="M2196" s="396" t="s">
        <v>3189</v>
      </c>
      <c r="N2196" s="396" t="s">
        <v>3190</v>
      </c>
      <c r="O2196" s="396" t="s">
        <v>27177</v>
      </c>
      <c r="P2196" s="396" t="s">
        <v>27174</v>
      </c>
    </row>
    <row r="2197" spans="1:16">
      <c r="A2197" s="132">
        <v>2196</v>
      </c>
      <c r="B2197" s="396" t="s">
        <v>27178</v>
      </c>
      <c r="C2197" s="396" t="s">
        <v>9141</v>
      </c>
      <c r="D2197" s="396" t="s">
        <v>27179</v>
      </c>
      <c r="E2197" s="396" t="s">
        <v>9143</v>
      </c>
      <c r="F2197" s="396" t="s">
        <v>9144</v>
      </c>
      <c r="G2197" s="36" t="s">
        <v>9145</v>
      </c>
      <c r="H2197" s="396" t="s">
        <v>9146</v>
      </c>
      <c r="I2197" s="36" t="s">
        <v>9147</v>
      </c>
      <c r="J2197" s="396" t="s">
        <v>9148</v>
      </c>
      <c r="K2197" s="396" t="s">
        <v>9149</v>
      </c>
      <c r="L2197" s="396" t="s">
        <v>9150</v>
      </c>
      <c r="M2197" s="396" t="s">
        <v>9151</v>
      </c>
      <c r="N2197" s="396" t="s">
        <v>9152</v>
      </c>
      <c r="O2197" s="396" t="s">
        <v>27180</v>
      </c>
      <c r="P2197" s="396" t="s">
        <v>27178</v>
      </c>
    </row>
    <row r="2198" spans="1:16">
      <c r="A2198" s="132">
        <v>2197</v>
      </c>
      <c r="B2198" s="396" t="s">
        <v>27181</v>
      </c>
      <c r="C2198" s="396" t="s">
        <v>9169</v>
      </c>
      <c r="D2198" s="396" t="s">
        <v>27182</v>
      </c>
      <c r="E2198" s="396" t="s">
        <v>9171</v>
      </c>
      <c r="F2198" s="396" t="s">
        <v>9172</v>
      </c>
      <c r="G2198" s="36" t="s">
        <v>9173</v>
      </c>
      <c r="H2198" s="396" t="s">
        <v>9174</v>
      </c>
      <c r="I2198" s="36" t="s">
        <v>9175</v>
      </c>
      <c r="J2198" s="396" t="s">
        <v>9176</v>
      </c>
      <c r="K2198" s="396" t="s">
        <v>9177</v>
      </c>
      <c r="L2198" s="396" t="s">
        <v>9178</v>
      </c>
      <c r="M2198" s="396" t="s">
        <v>9179</v>
      </c>
      <c r="N2198" s="396" t="s">
        <v>9180</v>
      </c>
      <c r="O2198" s="396" t="s">
        <v>27183</v>
      </c>
      <c r="P2198" s="396" t="s">
        <v>27181</v>
      </c>
    </row>
    <row r="2199" spans="1:16">
      <c r="A2199" s="132">
        <v>2198</v>
      </c>
      <c r="B2199" s="396" t="s">
        <v>27184</v>
      </c>
      <c r="C2199" s="396" t="s">
        <v>9155</v>
      </c>
      <c r="D2199" s="396" t="s">
        <v>27185</v>
      </c>
      <c r="E2199" s="396" t="s">
        <v>9157</v>
      </c>
      <c r="F2199" s="396" t="s">
        <v>9158</v>
      </c>
      <c r="G2199" s="36" t="s">
        <v>9159</v>
      </c>
      <c r="H2199" s="396" t="s">
        <v>9160</v>
      </c>
      <c r="I2199" s="36" t="s">
        <v>9161</v>
      </c>
      <c r="J2199" s="396" t="s">
        <v>9162</v>
      </c>
      <c r="K2199" s="396" t="s">
        <v>9163</v>
      </c>
      <c r="L2199" s="396" t="s">
        <v>9164</v>
      </c>
      <c r="M2199" s="396" t="s">
        <v>9165</v>
      </c>
      <c r="N2199" s="396" t="s">
        <v>9166</v>
      </c>
      <c r="O2199" s="396" t="s">
        <v>27186</v>
      </c>
      <c r="P2199" s="396" t="s">
        <v>27184</v>
      </c>
    </row>
    <row r="2200" spans="1:16">
      <c r="A2200" s="132">
        <v>2199</v>
      </c>
      <c r="B2200" s="396" t="s">
        <v>3040</v>
      </c>
      <c r="C2200" s="396" t="s">
        <v>3039</v>
      </c>
      <c r="D2200" s="396" t="s">
        <v>3039</v>
      </c>
      <c r="E2200" s="396" t="s">
        <v>3040</v>
      </c>
      <c r="F2200" s="396" t="s">
        <v>3040</v>
      </c>
      <c r="G2200" s="36" t="s">
        <v>3039</v>
      </c>
      <c r="H2200" s="396" t="s">
        <v>3040</v>
      </c>
      <c r="I2200" s="36" t="s">
        <v>3042</v>
      </c>
      <c r="J2200" s="396" t="s">
        <v>3042</v>
      </c>
      <c r="K2200" s="396" t="s">
        <v>3040</v>
      </c>
      <c r="L2200" s="396" t="s">
        <v>3043</v>
      </c>
      <c r="M2200" s="396" t="s">
        <v>3040</v>
      </c>
      <c r="N2200" s="396" t="s">
        <v>3044</v>
      </c>
      <c r="O2200" s="396" t="s">
        <v>3040</v>
      </c>
      <c r="P2200" s="396" t="s">
        <v>3040</v>
      </c>
    </row>
    <row r="2201" spans="1:16">
      <c r="A2201" s="132">
        <v>2200</v>
      </c>
      <c r="B2201" s="396" t="s">
        <v>3047</v>
      </c>
      <c r="C2201" s="396" t="s">
        <v>3046</v>
      </c>
      <c r="D2201" s="396" t="s">
        <v>3046</v>
      </c>
      <c r="E2201" s="396" t="s">
        <v>3047</v>
      </c>
      <c r="F2201" s="396" t="s">
        <v>3047</v>
      </c>
      <c r="G2201" s="36" t="s">
        <v>3046</v>
      </c>
      <c r="H2201" s="396" t="s">
        <v>3047</v>
      </c>
      <c r="I2201" s="36" t="s">
        <v>3049</v>
      </c>
      <c r="J2201" s="396" t="s">
        <v>3049</v>
      </c>
      <c r="K2201" s="396" t="s">
        <v>3047</v>
      </c>
      <c r="L2201" s="396" t="s">
        <v>3050</v>
      </c>
      <c r="M2201" s="396" t="s">
        <v>3047</v>
      </c>
      <c r="N2201" s="396" t="s">
        <v>3051</v>
      </c>
      <c r="O2201" s="396" t="s">
        <v>3047</v>
      </c>
      <c r="P2201" s="396" t="s">
        <v>3047</v>
      </c>
    </row>
    <row r="2202" spans="1:16">
      <c r="A2202" s="132">
        <v>2201</v>
      </c>
      <c r="B2202" s="396" t="s">
        <v>27187</v>
      </c>
      <c r="C2202" s="396" t="s">
        <v>2389</v>
      </c>
      <c r="D2202" s="396" t="s">
        <v>27188</v>
      </c>
      <c r="E2202" s="396" t="s">
        <v>2391</v>
      </c>
      <c r="F2202" s="396" t="s">
        <v>2392</v>
      </c>
      <c r="G2202" s="36" t="s">
        <v>2393</v>
      </c>
      <c r="H2202" s="396" t="s">
        <v>2394</v>
      </c>
      <c r="I2202" s="36" t="s">
        <v>2395</v>
      </c>
      <c r="J2202" s="396" t="s">
        <v>2396</v>
      </c>
      <c r="K2202" s="396" t="s">
        <v>2397</v>
      </c>
      <c r="L2202" s="396" t="s">
        <v>2398</v>
      </c>
      <c r="M2202" s="396" t="s">
        <v>2399</v>
      </c>
      <c r="N2202" s="396" t="s">
        <v>2399</v>
      </c>
      <c r="O2202" s="396" t="s">
        <v>27189</v>
      </c>
      <c r="P2202" s="396" t="s">
        <v>27187</v>
      </c>
    </row>
    <row r="2203" spans="1:16">
      <c r="A2203" s="132">
        <v>2202</v>
      </c>
      <c r="B2203" s="396" t="s">
        <v>86</v>
      </c>
      <c r="C2203" s="396" t="s">
        <v>2402</v>
      </c>
      <c r="D2203" s="396" t="s">
        <v>27190</v>
      </c>
      <c r="E2203" s="396" t="s">
        <v>2404</v>
      </c>
      <c r="F2203" s="396" t="s">
        <v>2405</v>
      </c>
      <c r="G2203" s="36" t="s">
        <v>2406</v>
      </c>
      <c r="H2203" s="396" t="s">
        <v>2407</v>
      </c>
      <c r="I2203" s="36" t="s">
        <v>2408</v>
      </c>
      <c r="J2203" s="396" t="s">
        <v>2409</v>
      </c>
      <c r="K2203" s="396" t="s">
        <v>2410</v>
      </c>
      <c r="L2203" s="396" t="s">
        <v>2411</v>
      </c>
      <c r="M2203" s="396" t="s">
        <v>2412</v>
      </c>
      <c r="N2203" s="396" t="s">
        <v>2412</v>
      </c>
      <c r="O2203" s="396" t="s">
        <v>27191</v>
      </c>
      <c r="P2203" s="396" t="s">
        <v>86</v>
      </c>
    </row>
    <row r="2204" spans="1:16">
      <c r="A2204" s="132">
        <v>2203</v>
      </c>
      <c r="B2204" s="396" t="s">
        <v>87</v>
      </c>
      <c r="C2204" s="396" t="s">
        <v>2415</v>
      </c>
      <c r="D2204" s="396" t="s">
        <v>27192</v>
      </c>
      <c r="E2204" s="396" t="s">
        <v>2417</v>
      </c>
      <c r="F2204" s="396" t="s">
        <v>2418</v>
      </c>
      <c r="G2204" s="36" t="s">
        <v>2419</v>
      </c>
      <c r="H2204" s="396" t="s">
        <v>2420</v>
      </c>
      <c r="I2204" s="36" t="s">
        <v>2421</v>
      </c>
      <c r="J2204" s="396" t="s">
        <v>2422</v>
      </c>
      <c r="K2204" s="396" t="s">
        <v>2423</v>
      </c>
      <c r="L2204" s="396" t="s">
        <v>2424</v>
      </c>
      <c r="M2204" s="396" t="s">
        <v>2425</v>
      </c>
      <c r="N2204" s="396" t="s">
        <v>2425</v>
      </c>
      <c r="O2204" s="396" t="s">
        <v>27193</v>
      </c>
      <c r="P2204" s="396" t="s">
        <v>87</v>
      </c>
    </row>
    <row r="2205" spans="1:16" ht="13.95" customHeight="1">
      <c r="A2205" s="132">
        <v>2204</v>
      </c>
      <c r="B2205" s="396" t="s">
        <v>27194</v>
      </c>
      <c r="C2205" s="396" t="s">
        <v>2428</v>
      </c>
      <c r="D2205" s="396" t="s">
        <v>27195</v>
      </c>
      <c r="E2205" s="396" t="s">
        <v>2430</v>
      </c>
      <c r="F2205" s="396" t="s">
        <v>2431</v>
      </c>
      <c r="G2205" s="36" t="s">
        <v>2432</v>
      </c>
      <c r="H2205" s="396" t="s">
        <v>2433</v>
      </c>
      <c r="I2205" s="36" t="s">
        <v>2434</v>
      </c>
      <c r="J2205" s="396" t="s">
        <v>2435</v>
      </c>
      <c r="K2205" s="396" t="s">
        <v>2436</v>
      </c>
      <c r="L2205" s="396" t="s">
        <v>2437</v>
      </c>
      <c r="M2205" s="396" t="s">
        <v>2438</v>
      </c>
      <c r="N2205" s="396" t="s">
        <v>2438</v>
      </c>
      <c r="O2205" s="396" t="s">
        <v>27196</v>
      </c>
      <c r="P2205" s="396" t="s">
        <v>27194</v>
      </c>
    </row>
    <row r="2206" spans="1:16">
      <c r="A2206" s="132">
        <v>2205</v>
      </c>
      <c r="B2206" s="396" t="s">
        <v>2581</v>
      </c>
      <c r="C2206" s="396" t="s">
        <v>2580</v>
      </c>
      <c r="D2206" s="396" t="s">
        <v>27197</v>
      </c>
      <c r="E2206" s="396" t="s">
        <v>2581</v>
      </c>
      <c r="F2206" s="396" t="s">
        <v>2581</v>
      </c>
      <c r="G2206" s="36" t="s">
        <v>2580</v>
      </c>
      <c r="H2206" s="396" t="s">
        <v>2581</v>
      </c>
      <c r="I2206" s="36" t="s">
        <v>2581</v>
      </c>
      <c r="J2206" s="396" t="s">
        <v>2581</v>
      </c>
      <c r="K2206" s="396" t="s">
        <v>2581</v>
      </c>
      <c r="L2206" s="396" t="s">
        <v>2581</v>
      </c>
      <c r="M2206" s="396" t="s">
        <v>2581</v>
      </c>
      <c r="N2206" s="396" t="s">
        <v>2582</v>
      </c>
      <c r="O2206" s="396" t="s">
        <v>2581</v>
      </c>
      <c r="P2206" s="396" t="s">
        <v>2581</v>
      </c>
    </row>
    <row r="2207" spans="1:16">
      <c r="A2207" s="132">
        <v>2206</v>
      </c>
      <c r="B2207" s="396" t="s">
        <v>2585</v>
      </c>
      <c r="C2207" s="396" t="s">
        <v>2584</v>
      </c>
      <c r="D2207" s="396" t="s">
        <v>27198</v>
      </c>
      <c r="E2207" s="396" t="s">
        <v>2585</v>
      </c>
      <c r="F2207" s="396" t="s">
        <v>2585</v>
      </c>
      <c r="G2207" s="36" t="s">
        <v>2584</v>
      </c>
      <c r="H2207" s="396" t="s">
        <v>2585</v>
      </c>
      <c r="I2207" s="36" t="s">
        <v>2585</v>
      </c>
      <c r="J2207" s="396" t="s">
        <v>2585</v>
      </c>
      <c r="K2207" s="396" t="s">
        <v>2585</v>
      </c>
      <c r="L2207" s="396" t="s">
        <v>2585</v>
      </c>
      <c r="M2207" s="396" t="s">
        <v>2585</v>
      </c>
      <c r="N2207" s="396" t="s">
        <v>2586</v>
      </c>
      <c r="O2207" s="396" t="s">
        <v>2585</v>
      </c>
      <c r="P2207" s="396" t="s">
        <v>2585</v>
      </c>
    </row>
    <row r="2208" spans="1:16">
      <c r="A2208" s="132">
        <v>2207</v>
      </c>
      <c r="B2208" s="396" t="s">
        <v>2576</v>
      </c>
      <c r="C2208" s="396" t="s">
        <v>2574</v>
      </c>
      <c r="D2208" s="396" t="s">
        <v>27199</v>
      </c>
      <c r="E2208" s="396" t="s">
        <v>2576</v>
      </c>
      <c r="F2208" s="396" t="s">
        <v>2576</v>
      </c>
      <c r="G2208" s="36" t="s">
        <v>2574</v>
      </c>
      <c r="H2208" s="396" t="s">
        <v>2576</v>
      </c>
      <c r="I2208" s="36" t="s">
        <v>2576</v>
      </c>
      <c r="J2208" s="396" t="s">
        <v>2577</v>
      </c>
      <c r="K2208" s="396" t="s">
        <v>2576</v>
      </c>
      <c r="L2208" s="396" t="s">
        <v>2576</v>
      </c>
      <c r="M2208" s="396" t="s">
        <v>2576</v>
      </c>
      <c r="N2208" s="396" t="s">
        <v>2578</v>
      </c>
      <c r="O2208" s="396" t="s">
        <v>2576</v>
      </c>
      <c r="P2208" s="396" t="s">
        <v>2576</v>
      </c>
    </row>
    <row r="2209" spans="1:16">
      <c r="A2209" s="132">
        <v>2208</v>
      </c>
      <c r="B2209" s="36" t="s">
        <v>1531</v>
      </c>
      <c r="C2209" s="36" t="s">
        <v>1531</v>
      </c>
      <c r="D2209" s="36" t="s">
        <v>1531</v>
      </c>
      <c r="E2209" s="36" t="s">
        <v>1531</v>
      </c>
      <c r="F2209" s="397" t="s">
        <v>1531</v>
      </c>
      <c r="G2209" s="36" t="s">
        <v>1531</v>
      </c>
      <c r="H2209" s="36" t="s">
        <v>1531</v>
      </c>
      <c r="I2209" s="36" t="s">
        <v>1531</v>
      </c>
      <c r="J2209" s="36" t="s">
        <v>1531</v>
      </c>
      <c r="K2209" s="397" t="s">
        <v>1531</v>
      </c>
      <c r="L2209" s="36" t="s">
        <v>1531</v>
      </c>
      <c r="M2209" s="36" t="s">
        <v>1531</v>
      </c>
      <c r="N2209" s="36" t="s">
        <v>1531</v>
      </c>
      <c r="O2209" s="36" t="s">
        <v>1531</v>
      </c>
      <c r="P2209" s="36" t="s">
        <v>1531</v>
      </c>
    </row>
    <row r="2210" spans="1:16" ht="13.95" customHeight="1">
      <c r="A2210" s="132">
        <v>2209</v>
      </c>
      <c r="B2210" s="36" t="s">
        <v>1532</v>
      </c>
      <c r="C2210" s="36" t="s">
        <v>2806</v>
      </c>
      <c r="D2210" s="36" t="s">
        <v>27200</v>
      </c>
      <c r="E2210" s="36" t="s">
        <v>1524</v>
      </c>
      <c r="F2210" s="36" t="s">
        <v>1532</v>
      </c>
      <c r="G2210" s="36" t="s">
        <v>2806</v>
      </c>
      <c r="H2210" s="36" t="s">
        <v>1532</v>
      </c>
      <c r="I2210" s="36" t="s">
        <v>1532</v>
      </c>
      <c r="J2210" s="488" t="s">
        <v>2808</v>
      </c>
      <c r="K2210" s="36" t="s">
        <v>1532</v>
      </c>
      <c r="L2210" s="36" t="s">
        <v>1532</v>
      </c>
      <c r="M2210" s="488" t="s">
        <v>1532</v>
      </c>
      <c r="N2210" s="488" t="s">
        <v>2809</v>
      </c>
      <c r="O2210" s="36" t="s">
        <v>1532</v>
      </c>
      <c r="P2210" s="36" t="s">
        <v>1532</v>
      </c>
    </row>
    <row r="2211" spans="1:16" ht="13.95" customHeight="1">
      <c r="A2211" s="132">
        <v>2210</v>
      </c>
      <c r="B2211" s="36" t="s">
        <v>1530</v>
      </c>
      <c r="C2211" s="36" t="s">
        <v>3209</v>
      </c>
      <c r="D2211" s="36" t="s">
        <v>27201</v>
      </c>
      <c r="E2211" s="36" t="s">
        <v>1530</v>
      </c>
      <c r="F2211" s="36" t="s">
        <v>1530</v>
      </c>
      <c r="G2211" s="36" t="s">
        <v>3209</v>
      </c>
      <c r="H2211" s="36" t="s">
        <v>1530</v>
      </c>
      <c r="I2211" s="36" t="s">
        <v>1530</v>
      </c>
      <c r="J2211" s="488" t="s">
        <v>3211</v>
      </c>
      <c r="K2211" s="36" t="s">
        <v>1530</v>
      </c>
      <c r="L2211" s="36" t="s">
        <v>1530</v>
      </c>
      <c r="M2211" s="488" t="s">
        <v>1530</v>
      </c>
      <c r="N2211" s="488" t="s">
        <v>3212</v>
      </c>
      <c r="O2211" s="36" t="s">
        <v>1530</v>
      </c>
      <c r="P2211" s="36" t="s">
        <v>1530</v>
      </c>
    </row>
    <row r="2212" spans="1:16" ht="13.95" customHeight="1">
      <c r="A2212" s="132">
        <v>2211</v>
      </c>
      <c r="B2212" s="36" t="s">
        <v>3131</v>
      </c>
      <c r="C2212" s="36" t="s">
        <v>3131</v>
      </c>
      <c r="D2212" s="36" t="s">
        <v>3131</v>
      </c>
      <c r="E2212" s="36" t="s">
        <v>3132</v>
      </c>
      <c r="F2212" s="36" t="s">
        <v>3132</v>
      </c>
      <c r="G2212" s="36" t="s">
        <v>3131</v>
      </c>
      <c r="H2212" s="36" t="s">
        <v>3131</v>
      </c>
      <c r="I2212" s="36" t="s">
        <v>3131</v>
      </c>
      <c r="J2212" s="488" t="s">
        <v>3131</v>
      </c>
      <c r="K2212" s="36" t="s">
        <v>3132</v>
      </c>
      <c r="L2212" s="36" t="s">
        <v>3131</v>
      </c>
      <c r="M2212" s="488" t="s">
        <v>3131</v>
      </c>
      <c r="N2212" s="488" t="s">
        <v>3131</v>
      </c>
      <c r="O2212" s="36" t="s">
        <v>3131</v>
      </c>
      <c r="P2212" s="36" t="s">
        <v>3131</v>
      </c>
    </row>
    <row r="2213" spans="1:16" ht="13.95" customHeight="1">
      <c r="A2213" s="132">
        <v>2212</v>
      </c>
      <c r="B2213" s="36" t="s">
        <v>3244</v>
      </c>
      <c r="C2213" s="36" t="s">
        <v>3244</v>
      </c>
      <c r="D2213" s="36" t="s">
        <v>3244</v>
      </c>
      <c r="E2213" s="36" t="s">
        <v>3245</v>
      </c>
      <c r="F2213" s="36" t="s">
        <v>3245</v>
      </c>
      <c r="G2213" s="36" t="s">
        <v>3244</v>
      </c>
      <c r="H2213" s="36" t="s">
        <v>3244</v>
      </c>
      <c r="I2213" s="36" t="s">
        <v>3244</v>
      </c>
      <c r="J2213" s="488" t="s">
        <v>3244</v>
      </c>
      <c r="K2213" s="36" t="s">
        <v>3245</v>
      </c>
      <c r="L2213" s="36" t="s">
        <v>3244</v>
      </c>
      <c r="M2213" s="488" t="s">
        <v>3244</v>
      </c>
      <c r="N2213" s="488" t="s">
        <v>3244</v>
      </c>
      <c r="O2213" s="36" t="s">
        <v>3244</v>
      </c>
      <c r="P2213" s="36" t="s">
        <v>3244</v>
      </c>
    </row>
    <row r="2214" spans="1:16" ht="13.95" customHeight="1">
      <c r="A2214" s="132">
        <v>2213</v>
      </c>
      <c r="B2214" s="36" t="s">
        <v>3352</v>
      </c>
      <c r="C2214" s="36" t="s">
        <v>3352</v>
      </c>
      <c r="D2214" s="36" t="s">
        <v>3352</v>
      </c>
      <c r="E2214" s="36" t="s">
        <v>3353</v>
      </c>
      <c r="F2214" s="36" t="s">
        <v>3353</v>
      </c>
      <c r="G2214" s="36" t="s">
        <v>3352</v>
      </c>
      <c r="H2214" s="36" t="s">
        <v>3352</v>
      </c>
      <c r="I2214" s="36" t="s">
        <v>3352</v>
      </c>
      <c r="J2214" s="488" t="s">
        <v>3352</v>
      </c>
      <c r="K2214" s="36" t="s">
        <v>3353</v>
      </c>
      <c r="L2214" s="36" t="s">
        <v>3352</v>
      </c>
      <c r="M2214" s="488" t="s">
        <v>3352</v>
      </c>
      <c r="N2214" s="488" t="s">
        <v>3352</v>
      </c>
      <c r="O2214" s="36" t="s">
        <v>3352</v>
      </c>
      <c r="P2214" s="36" t="s">
        <v>3352</v>
      </c>
    </row>
    <row r="2215" spans="1:16" ht="13.95" customHeight="1">
      <c r="A2215" s="132">
        <v>2214</v>
      </c>
      <c r="B2215" s="36" t="s">
        <v>3504</v>
      </c>
      <c r="C2215" s="36" t="s">
        <v>3504</v>
      </c>
      <c r="D2215" s="36" t="s">
        <v>3504</v>
      </c>
      <c r="E2215" s="36" t="s">
        <v>3505</v>
      </c>
      <c r="F2215" s="36" t="s">
        <v>3505</v>
      </c>
      <c r="G2215" s="36" t="s">
        <v>3504</v>
      </c>
      <c r="H2215" s="36" t="s">
        <v>3504</v>
      </c>
      <c r="I2215" s="36" t="s">
        <v>3504</v>
      </c>
      <c r="J2215" s="488" t="s">
        <v>3504</v>
      </c>
      <c r="K2215" s="36" t="s">
        <v>3505</v>
      </c>
      <c r="L2215" s="36" t="s">
        <v>3504</v>
      </c>
      <c r="M2215" s="488" t="s">
        <v>3504</v>
      </c>
      <c r="N2215" s="488" t="s">
        <v>3504</v>
      </c>
      <c r="O2215" s="36" t="s">
        <v>3504</v>
      </c>
      <c r="P2215" s="36" t="s">
        <v>3504</v>
      </c>
    </row>
    <row r="2216" spans="1:16" ht="13.95" customHeight="1">
      <c r="A2216" s="132">
        <v>2215</v>
      </c>
      <c r="B2216" s="36" t="s">
        <v>3554</v>
      </c>
      <c r="C2216" s="36" t="s">
        <v>3550</v>
      </c>
      <c r="D2216" s="36" t="s">
        <v>27202</v>
      </c>
      <c r="E2216" s="36" t="s">
        <v>3552</v>
      </c>
      <c r="F2216" s="36" t="s">
        <v>3553</v>
      </c>
      <c r="G2216" s="36" t="s">
        <v>3550</v>
      </c>
      <c r="H2216" s="36" t="s">
        <v>3554</v>
      </c>
      <c r="I2216" s="36" t="s">
        <v>3554</v>
      </c>
      <c r="J2216" s="488" t="s">
        <v>3556</v>
      </c>
      <c r="K2216" s="36" t="s">
        <v>3553</v>
      </c>
      <c r="L2216" s="36" t="s">
        <v>3554</v>
      </c>
      <c r="M2216" s="488" t="s">
        <v>3554</v>
      </c>
      <c r="N2216" s="488" t="s">
        <v>3557</v>
      </c>
      <c r="O2216" s="36" t="s">
        <v>3554</v>
      </c>
      <c r="P2216" s="36" t="s">
        <v>3554</v>
      </c>
    </row>
    <row r="2217" spans="1:16" ht="15" customHeight="1">
      <c r="A2217" s="132">
        <v>2216</v>
      </c>
      <c r="B2217" s="36" t="s">
        <v>39248</v>
      </c>
      <c r="C2217" s="36" t="s">
        <v>39252</v>
      </c>
      <c r="D2217" s="36" t="s">
        <v>39253</v>
      </c>
      <c r="E2217" s="36" t="s">
        <v>39250</v>
      </c>
      <c r="F2217" s="36" t="s">
        <v>39251</v>
      </c>
      <c r="G2217" s="36" t="s">
        <v>39252</v>
      </c>
      <c r="H2217" s="36" t="s">
        <v>39248</v>
      </c>
      <c r="I2217" s="36" t="s">
        <v>39248</v>
      </c>
      <c r="J2217" s="488" t="s">
        <v>39248</v>
      </c>
      <c r="K2217" s="36" t="s">
        <v>39251</v>
      </c>
      <c r="L2217" s="36" t="s">
        <v>39248</v>
      </c>
      <c r="M2217" s="488" t="s">
        <v>39248</v>
      </c>
      <c r="N2217" s="488" t="s">
        <v>39249</v>
      </c>
      <c r="O2217" s="36" t="s">
        <v>39248</v>
      </c>
      <c r="P2217" s="36" t="s">
        <v>39248</v>
      </c>
    </row>
    <row r="2218" spans="1:16" ht="15" customHeight="1">
      <c r="A2218" s="132">
        <v>2217</v>
      </c>
      <c r="B2218" s="36" t="s">
        <v>2884</v>
      </c>
      <c r="C2218" s="36" t="s">
        <v>2883</v>
      </c>
      <c r="D2218" s="36" t="s">
        <v>27203</v>
      </c>
      <c r="E2218" s="36" t="s">
        <v>2881</v>
      </c>
      <c r="F2218" s="36" t="s">
        <v>2882</v>
      </c>
      <c r="G2218" s="36" t="s">
        <v>2883</v>
      </c>
      <c r="H2218" s="36" t="s">
        <v>2884</v>
      </c>
      <c r="I2218" s="36" t="s">
        <v>2884</v>
      </c>
      <c r="J2218" s="488" t="s">
        <v>2886</v>
      </c>
      <c r="K2218" s="36" t="s">
        <v>2882</v>
      </c>
      <c r="L2218" s="36" t="s">
        <v>2887</v>
      </c>
      <c r="M2218" s="488" t="s">
        <v>2884</v>
      </c>
      <c r="N2218" s="488" t="s">
        <v>2888</v>
      </c>
      <c r="O2218" s="36" t="s">
        <v>2884</v>
      </c>
      <c r="P2218" s="36" t="s">
        <v>2884</v>
      </c>
    </row>
    <row r="2219" spans="1:16" ht="15" customHeight="1">
      <c r="A2219" s="132">
        <v>2218</v>
      </c>
      <c r="B2219" s="116" t="s">
        <v>27204</v>
      </c>
      <c r="C2219" s="36" t="s">
        <v>27205</v>
      </c>
      <c r="D2219" s="36" t="s">
        <v>27206</v>
      </c>
      <c r="E2219" s="116" t="s">
        <v>27207</v>
      </c>
      <c r="F2219" s="116" t="s">
        <v>27208</v>
      </c>
      <c r="G2219" s="36" t="s">
        <v>27209</v>
      </c>
      <c r="H2219" s="116" t="s">
        <v>27210</v>
      </c>
      <c r="I2219" s="116" t="s">
        <v>27211</v>
      </c>
      <c r="J2219" s="558" t="s">
        <v>7307</v>
      </c>
      <c r="K2219" s="36" t="s">
        <v>27212</v>
      </c>
      <c r="L2219" s="36" t="s">
        <v>27213</v>
      </c>
      <c r="M2219" s="116" t="s">
        <v>27214</v>
      </c>
      <c r="N2219" s="116" t="s">
        <v>27215</v>
      </c>
      <c r="O2219" s="116" t="s">
        <v>27216</v>
      </c>
      <c r="P2219" s="116" t="s">
        <v>27204</v>
      </c>
    </row>
    <row r="2220" spans="1:16" ht="15" customHeight="1">
      <c r="A2220" s="132">
        <v>2219</v>
      </c>
      <c r="B2220" s="116" t="s">
        <v>27217</v>
      </c>
      <c r="C2220" s="36" t="s">
        <v>27218</v>
      </c>
      <c r="D2220" s="36" t="s">
        <v>27219</v>
      </c>
      <c r="E2220" s="116" t="s">
        <v>27220</v>
      </c>
      <c r="F2220" s="116" t="s">
        <v>27221</v>
      </c>
      <c r="G2220" s="36" t="s">
        <v>27222</v>
      </c>
      <c r="H2220" s="116" t="s">
        <v>27223</v>
      </c>
      <c r="I2220" s="116" t="s">
        <v>27224</v>
      </c>
      <c r="J2220" s="558" t="s">
        <v>7307</v>
      </c>
      <c r="K2220" s="36" t="s">
        <v>27225</v>
      </c>
      <c r="L2220" s="36" t="s">
        <v>27226</v>
      </c>
      <c r="M2220" s="116" t="s">
        <v>27227</v>
      </c>
      <c r="N2220" s="116" t="s">
        <v>27228</v>
      </c>
      <c r="O2220" s="116" t="s">
        <v>27229</v>
      </c>
      <c r="P2220" s="116" t="s">
        <v>27217</v>
      </c>
    </row>
    <row r="2221" spans="1:16" ht="15" customHeight="1">
      <c r="A2221" s="132">
        <v>2220</v>
      </c>
      <c r="B2221" s="116" t="s">
        <v>27230</v>
      </c>
      <c r="C2221" s="36" t="s">
        <v>27231</v>
      </c>
      <c r="D2221" s="36" t="s">
        <v>27232</v>
      </c>
      <c r="E2221" s="116" t="s">
        <v>27233</v>
      </c>
      <c r="F2221" s="116" t="s">
        <v>27234</v>
      </c>
      <c r="G2221" s="36" t="s">
        <v>27235</v>
      </c>
      <c r="H2221" s="116" t="s">
        <v>27236</v>
      </c>
      <c r="I2221" s="116" t="s">
        <v>27237</v>
      </c>
      <c r="J2221" s="558" t="s">
        <v>7307</v>
      </c>
      <c r="K2221" s="36" t="s">
        <v>27238</v>
      </c>
      <c r="L2221" s="36" t="s">
        <v>27239</v>
      </c>
      <c r="M2221" s="116" t="s">
        <v>27240</v>
      </c>
      <c r="N2221" s="116" t="s">
        <v>27241</v>
      </c>
      <c r="O2221" s="116" t="s">
        <v>27242</v>
      </c>
      <c r="P2221" s="116" t="s">
        <v>27230</v>
      </c>
    </row>
    <row r="2222" spans="1:16" ht="15" customHeight="1">
      <c r="A2222" s="132">
        <v>2221</v>
      </c>
      <c r="B2222" s="116" t="s">
        <v>27243</v>
      </c>
      <c r="C2222" s="36" t="s">
        <v>27244</v>
      </c>
      <c r="D2222" s="36" t="s">
        <v>27245</v>
      </c>
      <c r="E2222" s="116" t="s">
        <v>27246</v>
      </c>
      <c r="F2222" s="116" t="s">
        <v>27247</v>
      </c>
      <c r="G2222" s="36" t="s">
        <v>27248</v>
      </c>
      <c r="H2222" s="116" t="s">
        <v>27249</v>
      </c>
      <c r="I2222" s="116" t="s">
        <v>27250</v>
      </c>
      <c r="J2222" s="558" t="s">
        <v>7307</v>
      </c>
      <c r="K2222" s="36" t="s">
        <v>27251</v>
      </c>
      <c r="L2222" s="36" t="s">
        <v>27252</v>
      </c>
      <c r="M2222" s="116" t="s">
        <v>27253</v>
      </c>
      <c r="N2222" s="116" t="s">
        <v>27254</v>
      </c>
      <c r="O2222" s="116" t="s">
        <v>27255</v>
      </c>
      <c r="P2222" s="116" t="s">
        <v>27243</v>
      </c>
    </row>
    <row r="2223" spans="1:16" ht="15" customHeight="1">
      <c r="A2223" s="132">
        <v>2222</v>
      </c>
      <c r="B2223" s="116" t="s">
        <v>39130</v>
      </c>
      <c r="C2223" s="116" t="s">
        <v>39131</v>
      </c>
      <c r="D2223" s="116" t="s">
        <v>39132</v>
      </c>
      <c r="E2223" s="116" t="s">
        <v>39133</v>
      </c>
      <c r="F2223" s="116" t="s">
        <v>39134</v>
      </c>
      <c r="G2223" s="116" t="s">
        <v>39135</v>
      </c>
      <c r="H2223" s="116" t="s">
        <v>39136</v>
      </c>
      <c r="I2223" s="116" t="s">
        <v>39137</v>
      </c>
      <c r="J2223" s="116" t="s">
        <v>39138</v>
      </c>
      <c r="K2223" s="116" t="s">
        <v>39139</v>
      </c>
      <c r="L2223" s="116" t="s">
        <v>39140</v>
      </c>
      <c r="M2223" s="116" t="s">
        <v>39141</v>
      </c>
      <c r="N2223" s="116" t="s">
        <v>39142</v>
      </c>
      <c r="O2223" s="116" t="s">
        <v>39143</v>
      </c>
      <c r="P2223" s="116" t="s">
        <v>39130</v>
      </c>
    </row>
    <row r="2224" spans="1:16" ht="15" customHeight="1">
      <c r="A2224" s="132">
        <v>2223</v>
      </c>
      <c r="B2224" s="116" t="s">
        <v>39144</v>
      </c>
      <c r="C2224" s="116" t="s">
        <v>39145</v>
      </c>
      <c r="D2224" s="116" t="s">
        <v>39146</v>
      </c>
      <c r="E2224" s="116" t="s">
        <v>39147</v>
      </c>
      <c r="F2224" s="116" t="s">
        <v>39148</v>
      </c>
      <c r="G2224" s="116" t="s">
        <v>39149</v>
      </c>
      <c r="H2224" s="116" t="s">
        <v>39150</v>
      </c>
      <c r="I2224" s="116" t="s">
        <v>39151</v>
      </c>
      <c r="J2224" s="116" t="s">
        <v>7307</v>
      </c>
      <c r="K2224" s="116" t="s">
        <v>39152</v>
      </c>
      <c r="L2224" s="116" t="s">
        <v>39153</v>
      </c>
      <c r="M2224" s="116" t="s">
        <v>39154</v>
      </c>
      <c r="N2224" s="116" t="s">
        <v>39155</v>
      </c>
      <c r="O2224" s="116" t="s">
        <v>39156</v>
      </c>
      <c r="P2224" s="116" t="s">
        <v>39144</v>
      </c>
    </row>
    <row r="2225" spans="1:16">
      <c r="A2225" s="132">
        <v>2224</v>
      </c>
      <c r="B2225" s="36" t="s">
        <v>27256</v>
      </c>
      <c r="C2225" s="36" t="s">
        <v>7994</v>
      </c>
      <c r="D2225" s="36" t="s">
        <v>27257</v>
      </c>
      <c r="E2225" s="36" t="s">
        <v>7996</v>
      </c>
      <c r="F2225" s="490" t="s">
        <v>30986</v>
      </c>
      <c r="G2225" s="36" t="s">
        <v>27258</v>
      </c>
      <c r="H2225" s="36" t="s">
        <v>27259</v>
      </c>
      <c r="I2225" s="36" t="s">
        <v>27260</v>
      </c>
      <c r="J2225" s="36" t="s">
        <v>27261</v>
      </c>
      <c r="K2225" s="490" t="s">
        <v>30987</v>
      </c>
      <c r="L2225" s="36" t="s">
        <v>27262</v>
      </c>
      <c r="M2225" s="36" t="s">
        <v>27263</v>
      </c>
      <c r="N2225" s="36" t="s">
        <v>27264</v>
      </c>
      <c r="O2225" s="36" t="s">
        <v>27265</v>
      </c>
      <c r="P2225" s="36" t="s">
        <v>27256</v>
      </c>
    </row>
    <row r="2226" spans="1:16">
      <c r="A2226" s="132">
        <v>2225</v>
      </c>
      <c r="B2226" s="36" t="s">
        <v>18821</v>
      </c>
      <c r="C2226" s="36" t="s">
        <v>18822</v>
      </c>
      <c r="D2226" s="36" t="s">
        <v>18823</v>
      </c>
      <c r="E2226" s="36" t="s">
        <v>27266</v>
      </c>
      <c r="F2226" s="36" t="s">
        <v>18825</v>
      </c>
      <c r="G2226" s="36" t="s">
        <v>18826</v>
      </c>
      <c r="H2226" s="36" t="s">
        <v>18827</v>
      </c>
      <c r="I2226" s="36" t="s">
        <v>18828</v>
      </c>
      <c r="J2226" s="36" t="s">
        <v>18829</v>
      </c>
      <c r="K2226" s="36" t="s">
        <v>18830</v>
      </c>
      <c r="L2226" s="36" t="s">
        <v>18831</v>
      </c>
      <c r="M2226" s="36" t="s">
        <v>18832</v>
      </c>
      <c r="N2226" s="36" t="s">
        <v>18833</v>
      </c>
      <c r="O2226" s="36" t="s">
        <v>18834</v>
      </c>
      <c r="P2226" s="36" t="s">
        <v>18821</v>
      </c>
    </row>
    <row r="2227" spans="1:16" ht="13.95" customHeight="1">
      <c r="A2227" s="132">
        <v>2226</v>
      </c>
      <c r="B2227" s="36" t="s">
        <v>27267</v>
      </c>
      <c r="C2227" s="36" t="s">
        <v>9320</v>
      </c>
      <c r="D2227" s="36" t="s">
        <v>27268</v>
      </c>
      <c r="E2227" s="36" t="s">
        <v>9227</v>
      </c>
      <c r="F2227" s="36" t="s">
        <v>9369</v>
      </c>
      <c r="G2227" s="36" t="s">
        <v>9370</v>
      </c>
      <c r="H2227" s="36" t="s">
        <v>9371</v>
      </c>
      <c r="I2227" s="36" t="s">
        <v>9323</v>
      </c>
      <c r="J2227" s="488" t="s">
        <v>9372</v>
      </c>
      <c r="K2227" s="36" t="s">
        <v>9373</v>
      </c>
      <c r="L2227" s="36" t="s">
        <v>9374</v>
      </c>
      <c r="M2227" s="488" t="s">
        <v>9375</v>
      </c>
      <c r="N2227" s="488" t="s">
        <v>9376</v>
      </c>
      <c r="O2227" s="36" t="s">
        <v>27269</v>
      </c>
      <c r="P2227" s="36" t="s">
        <v>27267</v>
      </c>
    </row>
    <row r="2228" spans="1:16" ht="13.95" customHeight="1">
      <c r="A2228" s="132">
        <v>2227</v>
      </c>
      <c r="B2228" s="36" t="s">
        <v>27270</v>
      </c>
      <c r="C2228" s="36" t="s">
        <v>27271</v>
      </c>
      <c r="D2228" s="36" t="s">
        <v>27272</v>
      </c>
      <c r="E2228" s="36" t="s">
        <v>27273</v>
      </c>
      <c r="F2228" s="36" t="s">
        <v>27274</v>
      </c>
      <c r="G2228" s="36" t="s">
        <v>27275</v>
      </c>
      <c r="H2228" s="36" t="s">
        <v>27276</v>
      </c>
      <c r="I2228" s="36" t="s">
        <v>27277</v>
      </c>
      <c r="J2228" s="488" t="s">
        <v>27278</v>
      </c>
      <c r="K2228" s="36" t="s">
        <v>27279</v>
      </c>
      <c r="L2228" s="36" t="s">
        <v>27280</v>
      </c>
      <c r="M2228" s="488" t="s">
        <v>27281</v>
      </c>
      <c r="N2228" s="488" t="s">
        <v>27282</v>
      </c>
      <c r="O2228" s="36" t="s">
        <v>27283</v>
      </c>
      <c r="P2228" s="36" t="s">
        <v>27270</v>
      </c>
    </row>
    <row r="2229" spans="1:16" ht="13.95" customHeight="1">
      <c r="A2229" s="132">
        <v>2228</v>
      </c>
      <c r="B2229" s="36" t="s">
        <v>27284</v>
      </c>
      <c r="C2229" s="36" t="s">
        <v>27285</v>
      </c>
      <c r="D2229" s="36" t="s">
        <v>27286</v>
      </c>
      <c r="E2229" s="36" t="s">
        <v>27287</v>
      </c>
      <c r="F2229" s="36" t="s">
        <v>27288</v>
      </c>
      <c r="G2229" s="36" t="s">
        <v>27289</v>
      </c>
      <c r="H2229" s="36" t="s">
        <v>27290</v>
      </c>
      <c r="I2229" s="36" t="s">
        <v>27291</v>
      </c>
      <c r="J2229" s="488" t="s">
        <v>27292</v>
      </c>
      <c r="K2229" s="36" t="s">
        <v>27293</v>
      </c>
      <c r="L2229" s="36" t="s">
        <v>27294</v>
      </c>
      <c r="M2229" s="488" t="s">
        <v>27295</v>
      </c>
      <c r="N2229" s="488" t="s">
        <v>27296</v>
      </c>
      <c r="O2229" s="36" t="s">
        <v>27297</v>
      </c>
      <c r="P2229" s="36" t="s">
        <v>27284</v>
      </c>
    </row>
    <row r="2230" spans="1:16" ht="13.95" customHeight="1">
      <c r="A2230" s="132">
        <v>2229</v>
      </c>
      <c r="B2230" s="36" t="s">
        <v>27298</v>
      </c>
      <c r="C2230" s="36" t="s">
        <v>27299</v>
      </c>
      <c r="D2230" s="36" t="s">
        <v>27300</v>
      </c>
      <c r="E2230" s="36" t="s">
        <v>27301</v>
      </c>
      <c r="F2230" s="36" t="s">
        <v>27302</v>
      </c>
      <c r="G2230" s="36" t="s">
        <v>27303</v>
      </c>
      <c r="H2230" s="36" t="s">
        <v>27304</v>
      </c>
      <c r="I2230" s="36" t="s">
        <v>27305</v>
      </c>
      <c r="J2230" s="488" t="s">
        <v>27306</v>
      </c>
      <c r="K2230" s="36" t="s">
        <v>27307</v>
      </c>
      <c r="L2230" s="36" t="s">
        <v>27308</v>
      </c>
      <c r="M2230" s="488" t="s">
        <v>27309</v>
      </c>
      <c r="N2230" s="488" t="s">
        <v>27310</v>
      </c>
      <c r="O2230" s="36" t="s">
        <v>27311</v>
      </c>
      <c r="P2230" s="36" t="s">
        <v>27298</v>
      </c>
    </row>
    <row r="2231" spans="1:16" ht="13.95" customHeight="1">
      <c r="A2231" s="132">
        <v>2230</v>
      </c>
      <c r="B2231" s="36" t="s">
        <v>27312</v>
      </c>
      <c r="C2231" s="36" t="s">
        <v>27313</v>
      </c>
      <c r="D2231" s="36" t="s">
        <v>27314</v>
      </c>
      <c r="E2231" s="36" t="s">
        <v>27315</v>
      </c>
      <c r="F2231" s="36" t="s">
        <v>27316</v>
      </c>
      <c r="G2231" s="36" t="s">
        <v>27317</v>
      </c>
      <c r="H2231" s="36" t="s">
        <v>27318</v>
      </c>
      <c r="I2231" s="36" t="s">
        <v>27319</v>
      </c>
      <c r="J2231" s="488" t="s">
        <v>27320</v>
      </c>
      <c r="K2231" s="36" t="s">
        <v>27321</v>
      </c>
      <c r="L2231" s="36" t="s">
        <v>27322</v>
      </c>
      <c r="M2231" s="488" t="s">
        <v>27323</v>
      </c>
      <c r="N2231" s="488" t="s">
        <v>27324</v>
      </c>
      <c r="O2231" s="36" t="s">
        <v>27325</v>
      </c>
      <c r="P2231" s="36" t="s">
        <v>27312</v>
      </c>
    </row>
    <row r="2232" spans="1:16" ht="13.95" customHeight="1">
      <c r="A2232" s="132">
        <v>2231</v>
      </c>
      <c r="B2232" s="36" t="s">
        <v>27326</v>
      </c>
      <c r="C2232" s="36" t="s">
        <v>27327</v>
      </c>
      <c r="D2232" s="36" t="s">
        <v>27328</v>
      </c>
      <c r="E2232" s="36" t="s">
        <v>27329</v>
      </c>
      <c r="F2232" s="36" t="s">
        <v>27330</v>
      </c>
      <c r="G2232" s="36" t="s">
        <v>27331</v>
      </c>
      <c r="H2232" s="36" t="s">
        <v>27332</v>
      </c>
      <c r="I2232" s="36" t="s">
        <v>27333</v>
      </c>
      <c r="J2232" s="488" t="s">
        <v>27334</v>
      </c>
      <c r="K2232" s="36" t="s">
        <v>27335</v>
      </c>
      <c r="L2232" s="36" t="s">
        <v>27336</v>
      </c>
      <c r="M2232" s="488" t="s">
        <v>27337</v>
      </c>
      <c r="N2232" s="488" t="s">
        <v>27338</v>
      </c>
      <c r="O2232" s="36" t="s">
        <v>27339</v>
      </c>
      <c r="P2232" s="36" t="s">
        <v>27326</v>
      </c>
    </row>
    <row r="2233" spans="1:16" ht="13.95" customHeight="1">
      <c r="A2233" s="132">
        <v>2232</v>
      </c>
      <c r="B2233" s="36" t="s">
        <v>27340</v>
      </c>
      <c r="C2233" s="36" t="s">
        <v>27341</v>
      </c>
      <c r="D2233" s="36" t="s">
        <v>27342</v>
      </c>
      <c r="E2233" s="36" t="s">
        <v>27343</v>
      </c>
      <c r="F2233" s="36" t="s">
        <v>27344</v>
      </c>
      <c r="G2233" s="36" t="s">
        <v>27345</v>
      </c>
      <c r="H2233" s="36" t="s">
        <v>27346</v>
      </c>
      <c r="I2233" s="36" t="s">
        <v>27347</v>
      </c>
      <c r="J2233" s="488" t="s">
        <v>27348</v>
      </c>
      <c r="K2233" s="36" t="s">
        <v>27349</v>
      </c>
      <c r="L2233" s="36" t="s">
        <v>27350</v>
      </c>
      <c r="M2233" s="488" t="s">
        <v>27351</v>
      </c>
      <c r="N2233" s="488" t="s">
        <v>27352</v>
      </c>
      <c r="O2233" s="36" t="s">
        <v>27353</v>
      </c>
      <c r="P2233" s="36" t="s">
        <v>27340</v>
      </c>
    </row>
    <row r="2234" spans="1:16" ht="13.95" customHeight="1">
      <c r="A2234" s="132">
        <v>2233</v>
      </c>
      <c r="B2234" s="36" t="s">
        <v>3275</v>
      </c>
      <c r="C2234" s="36" t="s">
        <v>3275</v>
      </c>
      <c r="D2234" s="36" t="s">
        <v>3275</v>
      </c>
      <c r="E2234" s="36" t="s">
        <v>3276</v>
      </c>
      <c r="F2234" s="36" t="s">
        <v>3276</v>
      </c>
      <c r="G2234" s="36" t="s">
        <v>3275</v>
      </c>
      <c r="H2234" s="36" t="s">
        <v>3275</v>
      </c>
      <c r="I2234" s="36" t="s">
        <v>3275</v>
      </c>
      <c r="J2234" s="488" t="s">
        <v>3275</v>
      </c>
      <c r="K2234" s="36" t="s">
        <v>3276</v>
      </c>
      <c r="L2234" s="36" t="s">
        <v>3275</v>
      </c>
      <c r="M2234" s="488" t="s">
        <v>3275</v>
      </c>
      <c r="N2234" s="488" t="s">
        <v>3275</v>
      </c>
      <c r="O2234" s="36" t="s">
        <v>3275</v>
      </c>
      <c r="P2234" s="36" t="s">
        <v>3275</v>
      </c>
    </row>
    <row r="2235" spans="1:16">
      <c r="A2235" s="132">
        <v>2234</v>
      </c>
      <c r="B2235" s="36" t="s">
        <v>27354</v>
      </c>
      <c r="C2235" s="36" t="s">
        <v>27355</v>
      </c>
      <c r="D2235" s="36" t="s">
        <v>27356</v>
      </c>
      <c r="E2235" s="36" t="s">
        <v>27357</v>
      </c>
      <c r="F2235" s="36" t="s">
        <v>27358</v>
      </c>
      <c r="G2235" s="36" t="s">
        <v>27359</v>
      </c>
      <c r="H2235" s="36" t="s">
        <v>27360</v>
      </c>
      <c r="I2235" s="36" t="s">
        <v>27361</v>
      </c>
      <c r="J2235" s="36" t="s">
        <v>27362</v>
      </c>
      <c r="K2235" s="36" t="s">
        <v>27363</v>
      </c>
      <c r="L2235" s="36" t="s">
        <v>27364</v>
      </c>
      <c r="M2235" s="36" t="s">
        <v>27365</v>
      </c>
      <c r="N2235" s="36" t="s">
        <v>27366</v>
      </c>
      <c r="O2235" s="36" t="s">
        <v>27367</v>
      </c>
      <c r="P2235" s="36" t="s">
        <v>27354</v>
      </c>
    </row>
    <row r="2236" spans="1:16">
      <c r="A2236" s="132">
        <v>2235</v>
      </c>
      <c r="B2236" s="36" t="s">
        <v>27368</v>
      </c>
      <c r="C2236" s="36" t="s">
        <v>27369</v>
      </c>
      <c r="D2236" s="36" t="s">
        <v>27370</v>
      </c>
      <c r="E2236" s="36" t="s">
        <v>27371</v>
      </c>
      <c r="F2236" s="490" t="s">
        <v>30988</v>
      </c>
      <c r="G2236" s="490" t="s">
        <v>30989</v>
      </c>
      <c r="H2236" s="490" t="s">
        <v>30990</v>
      </c>
      <c r="I2236" s="490" t="s">
        <v>30991</v>
      </c>
      <c r="J2236" s="490" t="s">
        <v>30992</v>
      </c>
      <c r="K2236" s="490" t="s">
        <v>30993</v>
      </c>
      <c r="L2236" s="490" t="s">
        <v>30994</v>
      </c>
      <c r="M2236" s="490" t="s">
        <v>30995</v>
      </c>
      <c r="N2236" s="490" t="s">
        <v>30996</v>
      </c>
      <c r="O2236" s="490" t="s">
        <v>30997</v>
      </c>
      <c r="P2236" s="36" t="s">
        <v>27368</v>
      </c>
    </row>
    <row r="2237" spans="1:16">
      <c r="A2237" s="132">
        <v>2236</v>
      </c>
      <c r="B2237" s="36" t="s">
        <v>27372</v>
      </c>
      <c r="C2237" s="36" t="s">
        <v>27373</v>
      </c>
      <c r="D2237" s="36" t="s">
        <v>27374</v>
      </c>
      <c r="E2237" s="36" t="s">
        <v>27375</v>
      </c>
      <c r="F2237" s="490" t="s">
        <v>30998</v>
      </c>
      <c r="G2237" s="490" t="s">
        <v>30999</v>
      </c>
      <c r="H2237" s="490" t="s">
        <v>31000</v>
      </c>
      <c r="I2237" s="490" t="s">
        <v>31001</v>
      </c>
      <c r="J2237" s="490" t="s">
        <v>31002</v>
      </c>
      <c r="K2237" s="490" t="s">
        <v>31003</v>
      </c>
      <c r="L2237" s="490" t="s">
        <v>31004</v>
      </c>
      <c r="M2237" s="490" t="s">
        <v>31005</v>
      </c>
      <c r="N2237" s="490" t="s">
        <v>31006</v>
      </c>
      <c r="O2237" s="490" t="s">
        <v>31007</v>
      </c>
      <c r="P2237" s="36" t="s">
        <v>27372</v>
      </c>
    </row>
    <row r="2238" spans="1:16">
      <c r="A2238" s="132">
        <v>2237</v>
      </c>
      <c r="B2238" s="36" t="s">
        <v>27376</v>
      </c>
      <c r="C2238" s="36" t="s">
        <v>27377</v>
      </c>
      <c r="D2238" s="36" t="s">
        <v>27378</v>
      </c>
      <c r="E2238" s="36" t="s">
        <v>27379</v>
      </c>
      <c r="F2238" s="36" t="s">
        <v>27380</v>
      </c>
      <c r="G2238" s="36" t="s">
        <v>27381</v>
      </c>
      <c r="H2238" s="36" t="s">
        <v>27381</v>
      </c>
      <c r="I2238" s="36" t="s">
        <v>27382</v>
      </c>
      <c r="J2238" s="36" t="s">
        <v>27383</v>
      </c>
      <c r="K2238" s="36" t="s">
        <v>27384</v>
      </c>
      <c r="L2238" s="36" t="s">
        <v>27385</v>
      </c>
      <c r="M2238" s="36" t="s">
        <v>27386</v>
      </c>
      <c r="N2238" s="36" t="s">
        <v>27387</v>
      </c>
      <c r="O2238" s="36" t="s">
        <v>27388</v>
      </c>
      <c r="P2238" s="36" t="s">
        <v>27376</v>
      </c>
    </row>
    <row r="2239" spans="1:16">
      <c r="A2239" s="132">
        <v>2238</v>
      </c>
      <c r="B2239" s="36" t="s">
        <v>27389</v>
      </c>
      <c r="C2239" s="36" t="s">
        <v>27390</v>
      </c>
      <c r="D2239" s="36" t="s">
        <v>27391</v>
      </c>
      <c r="E2239" s="36" t="s">
        <v>27392</v>
      </c>
      <c r="F2239" s="36" t="s">
        <v>27393</v>
      </c>
      <c r="G2239" s="36" t="s">
        <v>6425</v>
      </c>
      <c r="H2239" s="36" t="s">
        <v>6426</v>
      </c>
      <c r="I2239" s="36" t="s">
        <v>27394</v>
      </c>
      <c r="J2239" s="36" t="s">
        <v>27395</v>
      </c>
      <c r="K2239" s="36" t="s">
        <v>27396</v>
      </c>
      <c r="L2239" s="36" t="s">
        <v>27397</v>
      </c>
      <c r="M2239" s="36" t="s">
        <v>27398</v>
      </c>
      <c r="N2239" s="36" t="s">
        <v>27399</v>
      </c>
      <c r="O2239" s="36" t="s">
        <v>27400</v>
      </c>
      <c r="P2239" s="36" t="s">
        <v>27389</v>
      </c>
    </row>
    <row r="2240" spans="1:16">
      <c r="A2240" s="132">
        <v>2239</v>
      </c>
      <c r="B2240" s="36" t="s">
        <v>27401</v>
      </c>
      <c r="C2240" s="36" t="s">
        <v>27402</v>
      </c>
      <c r="D2240" s="36" t="s">
        <v>27403</v>
      </c>
      <c r="E2240" s="36" t="s">
        <v>27404</v>
      </c>
      <c r="F2240" s="36" t="s">
        <v>27405</v>
      </c>
      <c r="G2240" s="36" t="s">
        <v>27406</v>
      </c>
      <c r="H2240" s="36" t="s">
        <v>27407</v>
      </c>
      <c r="I2240" s="36" t="s">
        <v>27408</v>
      </c>
      <c r="J2240" s="36" t="s">
        <v>27409</v>
      </c>
      <c r="K2240" s="36" t="s">
        <v>27410</v>
      </c>
      <c r="L2240" s="36" t="s">
        <v>27411</v>
      </c>
      <c r="M2240" s="36" t="s">
        <v>27412</v>
      </c>
      <c r="N2240" s="36" t="s">
        <v>27413</v>
      </c>
      <c r="O2240" s="36" t="s">
        <v>27414</v>
      </c>
      <c r="P2240" s="36" t="s">
        <v>27401</v>
      </c>
    </row>
    <row r="2241" spans="1:16">
      <c r="A2241" s="132">
        <v>2240</v>
      </c>
      <c r="B2241" s="36" t="s">
        <v>27415</v>
      </c>
      <c r="C2241" s="36" t="s">
        <v>27416</v>
      </c>
      <c r="D2241" s="36" t="s">
        <v>27417</v>
      </c>
      <c r="E2241" s="36" t="s">
        <v>27418</v>
      </c>
      <c r="F2241" s="36" t="s">
        <v>27419</v>
      </c>
      <c r="G2241" s="36" t="s">
        <v>27420</v>
      </c>
      <c r="H2241" s="36" t="s">
        <v>27421</v>
      </c>
      <c r="I2241" s="36" t="s">
        <v>27422</v>
      </c>
      <c r="J2241" s="36" t="s">
        <v>27423</v>
      </c>
      <c r="K2241" s="36" t="s">
        <v>27424</v>
      </c>
      <c r="L2241" s="36" t="s">
        <v>27425</v>
      </c>
      <c r="M2241" s="36" t="s">
        <v>27426</v>
      </c>
      <c r="N2241" s="36" t="s">
        <v>27427</v>
      </c>
      <c r="O2241" s="36" t="s">
        <v>27428</v>
      </c>
      <c r="P2241" s="36" t="s">
        <v>27415</v>
      </c>
    </row>
    <row r="2242" spans="1:16">
      <c r="A2242" s="132">
        <v>2241</v>
      </c>
      <c r="B2242" s="36" t="s">
        <v>27429</v>
      </c>
      <c r="C2242" s="36" t="s">
        <v>27430</v>
      </c>
      <c r="D2242" s="36" t="s">
        <v>27431</v>
      </c>
      <c r="E2242" s="36" t="s">
        <v>27432</v>
      </c>
      <c r="F2242" s="36" t="s">
        <v>27433</v>
      </c>
      <c r="G2242" s="36" t="s">
        <v>27434</v>
      </c>
      <c r="H2242" s="36" t="s">
        <v>27435</v>
      </c>
      <c r="I2242" s="36" t="s">
        <v>27436</v>
      </c>
      <c r="J2242" s="36" t="s">
        <v>27437</v>
      </c>
      <c r="K2242" s="36" t="s">
        <v>27438</v>
      </c>
      <c r="L2242" s="36" t="s">
        <v>27439</v>
      </c>
      <c r="M2242" s="36" t="s">
        <v>27440</v>
      </c>
      <c r="N2242" s="36" t="s">
        <v>27441</v>
      </c>
      <c r="O2242" s="36" t="s">
        <v>27442</v>
      </c>
      <c r="P2242" s="36" t="s">
        <v>27429</v>
      </c>
    </row>
    <row r="2243" spans="1:16">
      <c r="A2243" s="132">
        <v>2242</v>
      </c>
      <c r="B2243" s="36" t="s">
        <v>15132</v>
      </c>
      <c r="C2243" s="36" t="s">
        <v>15133</v>
      </c>
      <c r="D2243" s="36" t="s">
        <v>15134</v>
      </c>
      <c r="E2243" s="36" t="s">
        <v>27443</v>
      </c>
      <c r="F2243" s="36" t="s">
        <v>15136</v>
      </c>
      <c r="G2243" s="36" t="s">
        <v>15137</v>
      </c>
      <c r="H2243" s="36" t="s">
        <v>15138</v>
      </c>
      <c r="I2243" s="36" t="s">
        <v>15139</v>
      </c>
      <c r="J2243" s="36" t="s">
        <v>15140</v>
      </c>
      <c r="K2243" s="36" t="s">
        <v>15141</v>
      </c>
      <c r="L2243" s="36" t="s">
        <v>15142</v>
      </c>
      <c r="M2243" s="36" t="s">
        <v>15143</v>
      </c>
      <c r="N2243" s="36" t="s">
        <v>15144</v>
      </c>
      <c r="O2243" s="36" t="s">
        <v>15145</v>
      </c>
      <c r="P2243" s="36" t="s">
        <v>15132</v>
      </c>
    </row>
    <row r="2244" spans="1:16">
      <c r="A2244" s="132">
        <v>2243</v>
      </c>
      <c r="B2244" s="36" t="s">
        <v>27444</v>
      </c>
      <c r="C2244" s="36" t="s">
        <v>27445</v>
      </c>
      <c r="D2244" s="36" t="s">
        <v>27446</v>
      </c>
      <c r="E2244" s="36" t="s">
        <v>27447</v>
      </c>
      <c r="F2244" s="36" t="s">
        <v>27444</v>
      </c>
      <c r="G2244" s="36" t="s">
        <v>27444</v>
      </c>
      <c r="H2244" s="36" t="s">
        <v>27444</v>
      </c>
      <c r="I2244" s="36" t="s">
        <v>27444</v>
      </c>
      <c r="J2244" s="36" t="s">
        <v>27445</v>
      </c>
      <c r="K2244" s="36" t="s">
        <v>27444</v>
      </c>
      <c r="L2244" s="36" t="s">
        <v>27444</v>
      </c>
      <c r="M2244" s="36" t="s">
        <v>27444</v>
      </c>
      <c r="N2244" s="36" t="s">
        <v>27448</v>
      </c>
      <c r="O2244" s="36" t="s">
        <v>27444</v>
      </c>
      <c r="P2244" s="36" t="s">
        <v>27444</v>
      </c>
    </row>
    <row r="2245" spans="1:16">
      <c r="A2245" s="132">
        <v>2244</v>
      </c>
      <c r="B2245" s="36" t="s">
        <v>27449</v>
      </c>
      <c r="C2245" s="490" t="s">
        <v>31008</v>
      </c>
      <c r="D2245" s="490" t="s">
        <v>31009</v>
      </c>
      <c r="E2245" s="36" t="s">
        <v>27450</v>
      </c>
      <c r="F2245" s="490" t="s">
        <v>31010</v>
      </c>
      <c r="G2245" s="490" t="s">
        <v>31011</v>
      </c>
      <c r="H2245" s="490" t="s">
        <v>31012</v>
      </c>
      <c r="I2245" s="490" t="s">
        <v>31013</v>
      </c>
      <c r="J2245" s="490" t="s">
        <v>31014</v>
      </c>
      <c r="K2245" s="490" t="s">
        <v>31015</v>
      </c>
      <c r="L2245" s="490" t="s">
        <v>31016</v>
      </c>
      <c r="M2245" s="490" t="s">
        <v>31017</v>
      </c>
      <c r="N2245" s="490" t="s">
        <v>31017</v>
      </c>
      <c r="O2245" s="490" t="s">
        <v>31018</v>
      </c>
      <c r="P2245" s="36" t="s">
        <v>27449</v>
      </c>
    </row>
    <row r="2246" spans="1:16">
      <c r="A2246" s="132">
        <v>2245</v>
      </c>
      <c r="B2246" s="36" t="s">
        <v>27451</v>
      </c>
      <c r="C2246" s="36" t="s">
        <v>27452</v>
      </c>
      <c r="D2246" s="36" t="s">
        <v>27453</v>
      </c>
      <c r="E2246" s="36" t="s">
        <v>27454</v>
      </c>
      <c r="F2246" s="36" t="s">
        <v>27455</v>
      </c>
      <c r="G2246" s="36" t="s">
        <v>27456</v>
      </c>
      <c r="H2246" s="36" t="s">
        <v>27457</v>
      </c>
      <c r="I2246" s="36" t="s">
        <v>27455</v>
      </c>
      <c r="J2246" s="36" t="s">
        <v>27458</v>
      </c>
      <c r="K2246" s="36" t="s">
        <v>27459</v>
      </c>
      <c r="L2246" s="36" t="s">
        <v>27460</v>
      </c>
      <c r="M2246" s="36" t="s">
        <v>27461</v>
      </c>
      <c r="N2246" s="36" t="s">
        <v>27462</v>
      </c>
      <c r="O2246" s="36" t="s">
        <v>27459</v>
      </c>
      <c r="P2246" s="36" t="s">
        <v>27451</v>
      </c>
    </row>
    <row r="2247" spans="1:16">
      <c r="A2247" s="132">
        <v>2246</v>
      </c>
      <c r="B2247" s="36" t="s">
        <v>27463</v>
      </c>
      <c r="C2247" s="36" t="s">
        <v>27464</v>
      </c>
      <c r="D2247" s="36" t="s">
        <v>27465</v>
      </c>
      <c r="E2247" s="36" t="s">
        <v>27466</v>
      </c>
      <c r="F2247" s="36" t="s">
        <v>27467</v>
      </c>
      <c r="G2247" s="36" t="s">
        <v>27468</v>
      </c>
      <c r="H2247" s="36" t="s">
        <v>27469</v>
      </c>
      <c r="I2247" s="36" t="s">
        <v>27470</v>
      </c>
      <c r="J2247" s="36" t="s">
        <v>27471</v>
      </c>
      <c r="K2247" s="36" t="s">
        <v>27472</v>
      </c>
      <c r="L2247" s="36" t="s">
        <v>27473</v>
      </c>
      <c r="M2247" s="36" t="s">
        <v>27474</v>
      </c>
      <c r="N2247" s="36" t="s">
        <v>27475</v>
      </c>
      <c r="O2247" s="36" t="s">
        <v>27476</v>
      </c>
      <c r="P2247" s="36" t="s">
        <v>27463</v>
      </c>
    </row>
    <row r="2248" spans="1:16">
      <c r="A2248" s="132">
        <v>2247</v>
      </c>
      <c r="B2248" s="36" t="s">
        <v>27477</v>
      </c>
      <c r="C2248" s="36" t="s">
        <v>27478</v>
      </c>
      <c r="D2248" s="36" t="s">
        <v>27479</v>
      </c>
      <c r="E2248" s="36" t="s">
        <v>27480</v>
      </c>
      <c r="F2248" s="36" t="s">
        <v>27481</v>
      </c>
      <c r="G2248" s="36" t="s">
        <v>27482</v>
      </c>
      <c r="H2248" s="36" t="s">
        <v>27483</v>
      </c>
      <c r="I2248" s="36" t="s">
        <v>27484</v>
      </c>
      <c r="J2248" s="36" t="s">
        <v>27485</v>
      </c>
      <c r="K2248" s="36" t="s">
        <v>27486</v>
      </c>
      <c r="L2248" s="36" t="s">
        <v>27487</v>
      </c>
      <c r="M2248" s="36" t="s">
        <v>27488</v>
      </c>
      <c r="N2248" s="36" t="s">
        <v>27487</v>
      </c>
      <c r="O2248" s="36" t="s">
        <v>27489</v>
      </c>
      <c r="P2248" s="36" t="s">
        <v>27477</v>
      </c>
    </row>
    <row r="2249" spans="1:16">
      <c r="A2249" s="132">
        <v>2248</v>
      </c>
      <c r="B2249" s="36" t="s">
        <v>27490</v>
      </c>
      <c r="C2249" s="36" t="s">
        <v>27491</v>
      </c>
      <c r="D2249" s="36" t="s">
        <v>27492</v>
      </c>
      <c r="E2249" s="36" t="s">
        <v>27493</v>
      </c>
      <c r="F2249" s="36" t="s">
        <v>27494</v>
      </c>
      <c r="G2249" s="36" t="s">
        <v>27495</v>
      </c>
      <c r="H2249" s="36" t="s">
        <v>27496</v>
      </c>
      <c r="I2249" s="36" t="s">
        <v>27497</v>
      </c>
      <c r="J2249" s="36" t="s">
        <v>27498</v>
      </c>
      <c r="K2249" s="36" t="s">
        <v>27499</v>
      </c>
      <c r="L2249" s="36" t="s">
        <v>27500</v>
      </c>
      <c r="M2249" s="36" t="s">
        <v>27501</v>
      </c>
      <c r="N2249" s="36" t="s">
        <v>27502</v>
      </c>
      <c r="O2249" s="36" t="s">
        <v>27503</v>
      </c>
      <c r="P2249" s="36" t="s">
        <v>27490</v>
      </c>
    </row>
    <row r="2250" spans="1:16">
      <c r="A2250" s="132">
        <v>2249</v>
      </c>
      <c r="B2250" s="36" t="s">
        <v>27504</v>
      </c>
      <c r="C2250" s="36" t="s">
        <v>27505</v>
      </c>
      <c r="D2250" s="36" t="s">
        <v>27506</v>
      </c>
      <c r="E2250" s="36" t="s">
        <v>27507</v>
      </c>
      <c r="F2250" s="36" t="s">
        <v>27508</v>
      </c>
      <c r="G2250" s="36" t="s">
        <v>27509</v>
      </c>
      <c r="H2250" s="36" t="s">
        <v>27510</v>
      </c>
      <c r="I2250" s="36" t="s">
        <v>27511</v>
      </c>
      <c r="J2250" s="36" t="s">
        <v>27512</v>
      </c>
      <c r="K2250" s="36" t="s">
        <v>27513</v>
      </c>
      <c r="L2250" s="36" t="s">
        <v>27514</v>
      </c>
      <c r="M2250" s="36" t="s">
        <v>27515</v>
      </c>
      <c r="N2250" s="36" t="s">
        <v>27516</v>
      </c>
      <c r="O2250" s="36" t="s">
        <v>27517</v>
      </c>
      <c r="P2250" s="36" t="s">
        <v>27504</v>
      </c>
    </row>
    <row r="2251" spans="1:16" ht="16.2">
      <c r="A2251" s="132">
        <v>2250</v>
      </c>
      <c r="B2251" s="36" t="s">
        <v>27518</v>
      </c>
      <c r="C2251" s="36" t="s">
        <v>27519</v>
      </c>
      <c r="D2251" s="36" t="s">
        <v>27520</v>
      </c>
      <c r="E2251" s="36" t="s">
        <v>27521</v>
      </c>
      <c r="F2251" s="36" t="s">
        <v>27522</v>
      </c>
      <c r="G2251" s="36" t="s">
        <v>27523</v>
      </c>
      <c r="H2251" s="36" t="s">
        <v>27524</v>
      </c>
      <c r="I2251" s="36" t="s">
        <v>27525</v>
      </c>
      <c r="J2251" s="36" t="s">
        <v>27526</v>
      </c>
      <c r="K2251" s="36" t="s">
        <v>27527</v>
      </c>
      <c r="L2251" s="36" t="s">
        <v>27528</v>
      </c>
      <c r="M2251" s="36" t="s">
        <v>27529</v>
      </c>
      <c r="N2251" s="36" t="s">
        <v>27528</v>
      </c>
      <c r="O2251" s="36" t="s">
        <v>27530</v>
      </c>
      <c r="P2251" s="36" t="s">
        <v>27518</v>
      </c>
    </row>
    <row r="2252" spans="1:16" ht="16.2">
      <c r="A2252" s="132">
        <v>2251</v>
      </c>
      <c r="B2252" s="36" t="s">
        <v>27531</v>
      </c>
      <c r="C2252" s="36" t="s">
        <v>27532</v>
      </c>
      <c r="D2252" s="36" t="s">
        <v>27533</v>
      </c>
      <c r="E2252" s="36" t="s">
        <v>27534</v>
      </c>
      <c r="F2252" s="36" t="s">
        <v>27535</v>
      </c>
      <c r="G2252" s="36" t="s">
        <v>27536</v>
      </c>
      <c r="H2252" s="36" t="s">
        <v>27537</v>
      </c>
      <c r="I2252" s="36" t="s">
        <v>27538</v>
      </c>
      <c r="J2252" s="36" t="s">
        <v>27539</v>
      </c>
      <c r="K2252" s="36" t="s">
        <v>27540</v>
      </c>
      <c r="L2252" s="36" t="s">
        <v>27541</v>
      </c>
      <c r="M2252" s="36" t="s">
        <v>27542</v>
      </c>
      <c r="N2252" s="36" t="s">
        <v>27541</v>
      </c>
      <c r="O2252" s="36" t="s">
        <v>27543</v>
      </c>
      <c r="P2252" s="36" t="s">
        <v>27531</v>
      </c>
    </row>
    <row r="2253" spans="1:16">
      <c r="A2253" s="132">
        <v>2252</v>
      </c>
      <c r="B2253" s="36" t="s">
        <v>27544</v>
      </c>
      <c r="C2253" s="36" t="s">
        <v>27545</v>
      </c>
      <c r="D2253" s="36" t="s">
        <v>27546</v>
      </c>
      <c r="E2253" s="36" t="s">
        <v>27547</v>
      </c>
      <c r="F2253" s="36" t="s">
        <v>27548</v>
      </c>
      <c r="G2253" s="36" t="s">
        <v>27549</v>
      </c>
      <c r="H2253" s="36" t="s">
        <v>27550</v>
      </c>
      <c r="I2253" s="36" t="s">
        <v>27551</v>
      </c>
      <c r="J2253" s="36" t="s">
        <v>27552</v>
      </c>
      <c r="K2253" s="36" t="s">
        <v>27553</v>
      </c>
      <c r="L2253" s="36" t="s">
        <v>27554</v>
      </c>
      <c r="M2253" s="36" t="s">
        <v>27555</v>
      </c>
      <c r="N2253" s="36" t="s">
        <v>27556</v>
      </c>
      <c r="O2253" s="36" t="s">
        <v>27557</v>
      </c>
      <c r="P2253" s="36" t="s">
        <v>27544</v>
      </c>
    </row>
    <row r="2254" spans="1:16">
      <c r="A2254" s="132">
        <v>2253</v>
      </c>
      <c r="B2254" s="36" t="s">
        <v>27558</v>
      </c>
      <c r="C2254" s="36" t="s">
        <v>27559</v>
      </c>
      <c r="D2254" s="36" t="s">
        <v>27560</v>
      </c>
      <c r="E2254" s="36" t="s">
        <v>27561</v>
      </c>
      <c r="F2254" s="36" t="s">
        <v>27562</v>
      </c>
      <c r="G2254" s="36" t="s">
        <v>27563</v>
      </c>
      <c r="H2254" s="36" t="s">
        <v>27564</v>
      </c>
      <c r="I2254" s="36" t="s">
        <v>27565</v>
      </c>
      <c r="J2254" s="36" t="s">
        <v>27566</v>
      </c>
      <c r="K2254" s="36" t="s">
        <v>27567</v>
      </c>
      <c r="L2254" s="36" t="s">
        <v>27568</v>
      </c>
      <c r="M2254" s="36" t="s">
        <v>27569</v>
      </c>
      <c r="N2254" s="36" t="s">
        <v>27570</v>
      </c>
      <c r="O2254" s="36" t="s">
        <v>27571</v>
      </c>
      <c r="P2254" s="36" t="s">
        <v>27558</v>
      </c>
    </row>
    <row r="2255" spans="1:16">
      <c r="A2255" s="132">
        <v>2254</v>
      </c>
      <c r="B2255" s="36" t="s">
        <v>31019</v>
      </c>
      <c r="C2255" s="36" t="s">
        <v>31020</v>
      </c>
      <c r="D2255" s="36" t="s">
        <v>31021</v>
      </c>
      <c r="E2255" s="36" t="s">
        <v>31022</v>
      </c>
      <c r="F2255" s="36" t="s">
        <v>31023</v>
      </c>
      <c r="G2255" s="36" t="s">
        <v>31024</v>
      </c>
      <c r="H2255" s="36" t="s">
        <v>31025</v>
      </c>
      <c r="I2255" s="36" t="s">
        <v>31026</v>
      </c>
      <c r="J2255" s="36" t="s">
        <v>31027</v>
      </c>
      <c r="K2255" s="36" t="s">
        <v>31028</v>
      </c>
      <c r="L2255" s="36" t="s">
        <v>31029</v>
      </c>
      <c r="M2255" s="36" t="s">
        <v>31030</v>
      </c>
      <c r="N2255" s="36" t="s">
        <v>31031</v>
      </c>
      <c r="O2255" s="36" t="s">
        <v>31032</v>
      </c>
      <c r="P2255" s="36" t="s">
        <v>31019</v>
      </c>
    </row>
    <row r="2256" spans="1:16">
      <c r="A2256" s="132">
        <v>2255</v>
      </c>
      <c r="B2256" s="36" t="s">
        <v>27572</v>
      </c>
      <c r="C2256" s="36" t="s">
        <v>27573</v>
      </c>
      <c r="D2256" s="36" t="s">
        <v>27574</v>
      </c>
      <c r="E2256" s="36" t="s">
        <v>27575</v>
      </c>
      <c r="F2256" s="36" t="s">
        <v>27576</v>
      </c>
      <c r="G2256" s="36" t="s">
        <v>27577</v>
      </c>
      <c r="H2256" s="36" t="s">
        <v>27578</v>
      </c>
      <c r="I2256" s="36" t="s">
        <v>27579</v>
      </c>
      <c r="J2256" s="36" t="s">
        <v>27580</v>
      </c>
      <c r="K2256" s="36" t="s">
        <v>27581</v>
      </c>
      <c r="L2256" s="36" t="s">
        <v>27582</v>
      </c>
      <c r="M2256" s="36" t="s">
        <v>27583</v>
      </c>
      <c r="N2256" s="36" t="s">
        <v>27584</v>
      </c>
      <c r="O2256" s="36" t="s">
        <v>27585</v>
      </c>
      <c r="P2256" s="36" t="s">
        <v>27572</v>
      </c>
    </row>
    <row r="2257" spans="1:16">
      <c r="A2257" s="132">
        <v>2256</v>
      </c>
      <c r="B2257" s="36" t="s">
        <v>27586</v>
      </c>
      <c r="C2257" s="36" t="s">
        <v>27587</v>
      </c>
      <c r="D2257" s="36" t="s">
        <v>27588</v>
      </c>
      <c r="E2257" s="36" t="s">
        <v>27589</v>
      </c>
      <c r="F2257" s="36" t="s">
        <v>27590</v>
      </c>
      <c r="G2257" s="36" t="s">
        <v>27591</v>
      </c>
      <c r="H2257" s="36" t="s">
        <v>27592</v>
      </c>
      <c r="I2257" s="36" t="s">
        <v>27593</v>
      </c>
      <c r="J2257" s="36" t="s">
        <v>27594</v>
      </c>
      <c r="K2257" s="36" t="s">
        <v>27595</v>
      </c>
      <c r="L2257" s="36" t="s">
        <v>27596</v>
      </c>
      <c r="M2257" s="36" t="s">
        <v>27597</v>
      </c>
      <c r="N2257" s="36" t="s">
        <v>27598</v>
      </c>
      <c r="O2257" s="36" t="s">
        <v>27599</v>
      </c>
      <c r="P2257" s="36" t="s">
        <v>27586</v>
      </c>
    </row>
    <row r="2258" spans="1:16">
      <c r="A2258" s="132">
        <v>2257</v>
      </c>
      <c r="B2258" s="36" t="s">
        <v>27600</v>
      </c>
      <c r="C2258" s="36" t="s">
        <v>27601</v>
      </c>
      <c r="D2258" s="36" t="s">
        <v>27602</v>
      </c>
      <c r="E2258" s="36" t="s">
        <v>27603</v>
      </c>
      <c r="F2258" s="36" t="s">
        <v>27604</v>
      </c>
      <c r="G2258" s="36" t="s">
        <v>27605</v>
      </c>
      <c r="H2258" s="36" t="s">
        <v>27606</v>
      </c>
      <c r="I2258" s="36" t="s">
        <v>27607</v>
      </c>
      <c r="J2258" s="36" t="s">
        <v>27608</v>
      </c>
      <c r="K2258" s="36" t="s">
        <v>27609</v>
      </c>
      <c r="L2258" s="36" t="s">
        <v>27610</v>
      </c>
      <c r="M2258" s="36" t="s">
        <v>27611</v>
      </c>
      <c r="N2258" s="36" t="s">
        <v>27612</v>
      </c>
      <c r="O2258" s="36" t="s">
        <v>27613</v>
      </c>
      <c r="P2258" s="36" t="s">
        <v>27600</v>
      </c>
    </row>
    <row r="2259" spans="1:16">
      <c r="A2259" s="132">
        <v>2258</v>
      </c>
      <c r="B2259" s="36" t="s">
        <v>27614</v>
      </c>
      <c r="C2259" s="490" t="s">
        <v>31033</v>
      </c>
      <c r="D2259" s="490" t="s">
        <v>31034</v>
      </c>
      <c r="E2259" s="36" t="s">
        <v>27615</v>
      </c>
      <c r="F2259" s="490" t="s">
        <v>31035</v>
      </c>
      <c r="G2259" s="490" t="s">
        <v>31036</v>
      </c>
      <c r="H2259" s="490" t="s">
        <v>31037</v>
      </c>
      <c r="I2259" s="490" t="s">
        <v>31038</v>
      </c>
      <c r="J2259" s="490" t="s">
        <v>31039</v>
      </c>
      <c r="K2259" s="490" t="s">
        <v>31040</v>
      </c>
      <c r="L2259" s="490" t="s">
        <v>31041</v>
      </c>
      <c r="M2259" s="490" t="s">
        <v>31042</v>
      </c>
      <c r="N2259" s="490" t="s">
        <v>31043</v>
      </c>
      <c r="O2259" s="490" t="s">
        <v>31044</v>
      </c>
      <c r="P2259" s="36" t="s">
        <v>27614</v>
      </c>
    </row>
    <row r="2260" spans="1:16">
      <c r="A2260" s="132">
        <v>2259</v>
      </c>
      <c r="B2260" s="36" t="s">
        <v>27616</v>
      </c>
      <c r="C2260" s="490" t="s">
        <v>31045</v>
      </c>
      <c r="D2260" s="36" t="s">
        <v>26450</v>
      </c>
      <c r="E2260" s="490" t="s">
        <v>21234</v>
      </c>
      <c r="F2260" s="490" t="s">
        <v>31046</v>
      </c>
      <c r="G2260" s="490" t="s">
        <v>31047</v>
      </c>
      <c r="H2260" s="490" t="s">
        <v>31048</v>
      </c>
      <c r="I2260" s="490" t="s">
        <v>31049</v>
      </c>
      <c r="J2260" s="490" t="s">
        <v>31050</v>
      </c>
      <c r="K2260" s="490" t="s">
        <v>31051</v>
      </c>
      <c r="L2260" s="490" t="s">
        <v>31052</v>
      </c>
      <c r="M2260" s="490" t="s">
        <v>31053</v>
      </c>
      <c r="N2260" s="490" t="s">
        <v>31054</v>
      </c>
      <c r="O2260" s="490" t="s">
        <v>31055</v>
      </c>
      <c r="P2260" s="36" t="s">
        <v>27616</v>
      </c>
    </row>
    <row r="2261" spans="1:16">
      <c r="A2261" s="132">
        <v>2260</v>
      </c>
      <c r="B2261" s="36" t="s">
        <v>27617</v>
      </c>
      <c r="C2261" s="36" t="s">
        <v>27618</v>
      </c>
      <c r="D2261" s="36" t="s">
        <v>27619</v>
      </c>
      <c r="E2261" s="490" t="s">
        <v>31056</v>
      </c>
      <c r="F2261" s="490" t="s">
        <v>31057</v>
      </c>
      <c r="G2261" s="490" t="s">
        <v>31058</v>
      </c>
      <c r="H2261" s="490" t="s">
        <v>31059</v>
      </c>
      <c r="I2261" s="490" t="s">
        <v>31060</v>
      </c>
      <c r="J2261" s="490" t="s">
        <v>31061</v>
      </c>
      <c r="K2261" s="490" t="s">
        <v>31062</v>
      </c>
      <c r="L2261" s="490" t="s">
        <v>31063</v>
      </c>
      <c r="M2261" s="490" t="s">
        <v>31064</v>
      </c>
      <c r="N2261" s="490" t="s">
        <v>31065</v>
      </c>
      <c r="O2261" s="490" t="s">
        <v>31066</v>
      </c>
      <c r="P2261" s="36" t="s">
        <v>27617</v>
      </c>
    </row>
    <row r="2262" spans="1:16">
      <c r="A2262" s="132">
        <v>2261</v>
      </c>
      <c r="B2262" s="36" t="s">
        <v>27620</v>
      </c>
      <c r="C2262" s="36" t="s">
        <v>27621</v>
      </c>
      <c r="D2262" s="36" t="s">
        <v>27622</v>
      </c>
      <c r="E2262" s="490" t="s">
        <v>31067</v>
      </c>
      <c r="F2262" s="490" t="s">
        <v>31068</v>
      </c>
      <c r="G2262" s="490" t="s">
        <v>31069</v>
      </c>
      <c r="H2262" s="490" t="s">
        <v>31070</v>
      </c>
      <c r="I2262" s="490" t="s">
        <v>31068</v>
      </c>
      <c r="J2262" s="490" t="s">
        <v>31071</v>
      </c>
      <c r="K2262" s="490" t="s">
        <v>31072</v>
      </c>
      <c r="L2262" s="490" t="s">
        <v>31073</v>
      </c>
      <c r="M2262" s="490" t="s">
        <v>31074</v>
      </c>
      <c r="N2262" s="490" t="s">
        <v>31075</v>
      </c>
      <c r="O2262" s="490" t="s">
        <v>31076</v>
      </c>
      <c r="P2262" s="36" t="s">
        <v>27620</v>
      </c>
    </row>
    <row r="2263" spans="1:16">
      <c r="A2263" s="132">
        <v>2262</v>
      </c>
      <c r="B2263" s="36" t="s">
        <v>27623</v>
      </c>
      <c r="C2263" s="36" t="s">
        <v>27624</v>
      </c>
      <c r="D2263" s="36" t="s">
        <v>27625</v>
      </c>
      <c r="E2263" s="490" t="s">
        <v>31077</v>
      </c>
      <c r="F2263" s="490" t="s">
        <v>31078</v>
      </c>
      <c r="G2263" s="490" t="s">
        <v>31079</v>
      </c>
      <c r="H2263" s="490" t="s">
        <v>31080</v>
      </c>
      <c r="I2263" s="490" t="s">
        <v>31078</v>
      </c>
      <c r="J2263" s="490" t="s">
        <v>31081</v>
      </c>
      <c r="K2263" s="490" t="s">
        <v>31082</v>
      </c>
      <c r="L2263" s="490" t="s">
        <v>31083</v>
      </c>
      <c r="M2263" s="490" t="s">
        <v>31084</v>
      </c>
      <c r="N2263" s="490" t="s">
        <v>31085</v>
      </c>
      <c r="O2263" s="490" t="s">
        <v>31086</v>
      </c>
      <c r="P2263" s="36" t="s">
        <v>27623</v>
      </c>
    </row>
    <row r="2264" spans="1:16">
      <c r="A2264" s="132">
        <v>2263</v>
      </c>
      <c r="B2264" s="36" t="s">
        <v>27626</v>
      </c>
      <c r="C2264" s="36" t="s">
        <v>27627</v>
      </c>
      <c r="D2264" s="36" t="s">
        <v>27628</v>
      </c>
      <c r="E2264" s="490" t="s">
        <v>31087</v>
      </c>
      <c r="F2264" s="490" t="s">
        <v>31088</v>
      </c>
      <c r="G2264" s="490" t="s">
        <v>31089</v>
      </c>
      <c r="H2264" s="490" t="s">
        <v>31090</v>
      </c>
      <c r="I2264" s="490" t="s">
        <v>31088</v>
      </c>
      <c r="J2264" s="490" t="s">
        <v>31091</v>
      </c>
      <c r="K2264" s="490" t="s">
        <v>31092</v>
      </c>
      <c r="L2264" s="490" t="s">
        <v>31093</v>
      </c>
      <c r="M2264" s="490" t="s">
        <v>31094</v>
      </c>
      <c r="N2264" s="490" t="s">
        <v>31095</v>
      </c>
      <c r="O2264" s="490" t="s">
        <v>31096</v>
      </c>
      <c r="P2264" s="36" t="s">
        <v>27626</v>
      </c>
    </row>
    <row r="2265" spans="1:16">
      <c r="A2265" s="132">
        <v>2264</v>
      </c>
      <c r="B2265" s="36" t="s">
        <v>27629</v>
      </c>
      <c r="C2265" s="36" t="s">
        <v>27630</v>
      </c>
      <c r="D2265" s="36" t="s">
        <v>27631</v>
      </c>
      <c r="E2265" s="490" t="s">
        <v>31097</v>
      </c>
      <c r="F2265" s="490" t="s">
        <v>31098</v>
      </c>
      <c r="G2265" s="490" t="s">
        <v>31099</v>
      </c>
      <c r="H2265" s="490" t="s">
        <v>31100</v>
      </c>
      <c r="I2265" s="490" t="s">
        <v>31098</v>
      </c>
      <c r="J2265" s="490" t="s">
        <v>31101</v>
      </c>
      <c r="K2265" s="490" t="s">
        <v>31102</v>
      </c>
      <c r="L2265" s="490" t="s">
        <v>31103</v>
      </c>
      <c r="M2265" s="490" t="s">
        <v>31104</v>
      </c>
      <c r="N2265" s="490" t="s">
        <v>31105</v>
      </c>
      <c r="O2265" s="490" t="s">
        <v>31106</v>
      </c>
      <c r="P2265" s="36" t="s">
        <v>27629</v>
      </c>
    </row>
    <row r="2266" spans="1:16">
      <c r="A2266" s="132">
        <v>2265</v>
      </c>
      <c r="B2266" s="36" t="s">
        <v>27632</v>
      </c>
      <c r="C2266" s="36" t="s">
        <v>27633</v>
      </c>
      <c r="D2266" s="36" t="s">
        <v>27634</v>
      </c>
      <c r="E2266" s="490" t="s">
        <v>31107</v>
      </c>
      <c r="F2266" s="490" t="s">
        <v>31108</v>
      </c>
      <c r="G2266" s="490" t="s">
        <v>31109</v>
      </c>
      <c r="H2266" s="490" t="s">
        <v>31110</v>
      </c>
      <c r="I2266" s="490" t="s">
        <v>31108</v>
      </c>
      <c r="J2266" s="490" t="s">
        <v>31111</v>
      </c>
      <c r="K2266" s="490" t="s">
        <v>31112</v>
      </c>
      <c r="L2266" s="490" t="s">
        <v>31113</v>
      </c>
      <c r="M2266" s="490" t="s">
        <v>31114</v>
      </c>
      <c r="N2266" s="490" t="s">
        <v>31115</v>
      </c>
      <c r="O2266" s="490" t="s">
        <v>31116</v>
      </c>
      <c r="P2266" s="36" t="s">
        <v>27632</v>
      </c>
    </row>
    <row r="2267" spans="1:16">
      <c r="A2267" s="132">
        <v>2266</v>
      </c>
      <c r="B2267" s="36" t="s">
        <v>27635</v>
      </c>
      <c r="C2267" s="36" t="s">
        <v>27636</v>
      </c>
      <c r="D2267" s="36" t="s">
        <v>27637</v>
      </c>
      <c r="E2267" s="490" t="s">
        <v>31117</v>
      </c>
      <c r="F2267" s="490" t="s">
        <v>31118</v>
      </c>
      <c r="G2267" s="490" t="s">
        <v>31119</v>
      </c>
      <c r="H2267" s="490" t="s">
        <v>31120</v>
      </c>
      <c r="I2267" s="490" t="s">
        <v>31118</v>
      </c>
      <c r="J2267" s="490" t="s">
        <v>31121</v>
      </c>
      <c r="K2267" s="490" t="s">
        <v>31122</v>
      </c>
      <c r="L2267" s="490" t="s">
        <v>31123</v>
      </c>
      <c r="M2267" s="490" t="s">
        <v>31124</v>
      </c>
      <c r="N2267" s="490" t="s">
        <v>31125</v>
      </c>
      <c r="O2267" s="490" t="s">
        <v>31126</v>
      </c>
      <c r="P2267" s="36" t="s">
        <v>27635</v>
      </c>
    </row>
    <row r="2268" spans="1:16">
      <c r="A2268" s="132">
        <v>2267</v>
      </c>
      <c r="B2268" s="36" t="s">
        <v>27638</v>
      </c>
      <c r="C2268" s="36" t="s">
        <v>27639</v>
      </c>
      <c r="D2268" s="36" t="s">
        <v>27640</v>
      </c>
      <c r="E2268" s="490" t="s">
        <v>31127</v>
      </c>
      <c r="F2268" s="490" t="s">
        <v>31128</v>
      </c>
      <c r="G2268" s="490" t="s">
        <v>31129</v>
      </c>
      <c r="H2268" s="490" t="s">
        <v>31130</v>
      </c>
      <c r="I2268" s="490" t="s">
        <v>31131</v>
      </c>
      <c r="J2268" s="490" t="s">
        <v>31132</v>
      </c>
      <c r="K2268" s="490" t="s">
        <v>31133</v>
      </c>
      <c r="L2268" s="490" t="s">
        <v>31134</v>
      </c>
      <c r="M2268" s="490" t="s">
        <v>31135</v>
      </c>
      <c r="N2268" s="490" t="s">
        <v>31136</v>
      </c>
      <c r="O2268" s="490" t="s">
        <v>31137</v>
      </c>
      <c r="P2268" s="36" t="s">
        <v>27638</v>
      </c>
    </row>
    <row r="2269" spans="1:16">
      <c r="A2269" s="132">
        <v>2268</v>
      </c>
      <c r="B2269" s="36" t="s">
        <v>27641</v>
      </c>
      <c r="C2269" s="36" t="s">
        <v>27642</v>
      </c>
      <c r="D2269" s="36" t="s">
        <v>27643</v>
      </c>
      <c r="E2269" s="490" t="s">
        <v>6298</v>
      </c>
      <c r="F2269" s="490" t="s">
        <v>31138</v>
      </c>
      <c r="G2269" s="490" t="s">
        <v>31139</v>
      </c>
      <c r="H2269" s="490" t="s">
        <v>31140</v>
      </c>
      <c r="I2269" s="490" t="s">
        <v>31141</v>
      </c>
      <c r="J2269" s="490" t="s">
        <v>31142</v>
      </c>
      <c r="K2269" s="490" t="s">
        <v>31143</v>
      </c>
      <c r="L2269" s="490" t="s">
        <v>31144</v>
      </c>
      <c r="M2269" s="490" t="s">
        <v>31145</v>
      </c>
      <c r="N2269" s="490" t="s">
        <v>31146</v>
      </c>
      <c r="O2269" s="490" t="s">
        <v>31147</v>
      </c>
      <c r="P2269" s="36" t="s">
        <v>27641</v>
      </c>
    </row>
    <row r="2270" spans="1:16">
      <c r="A2270" s="132">
        <v>2269</v>
      </c>
      <c r="B2270" s="36" t="s">
        <v>27644</v>
      </c>
      <c r="C2270" s="36" t="s">
        <v>27645</v>
      </c>
      <c r="D2270" s="36" t="s">
        <v>27646</v>
      </c>
      <c r="E2270" s="490" t="s">
        <v>31148</v>
      </c>
      <c r="F2270" s="490" t="s">
        <v>31149</v>
      </c>
      <c r="G2270" s="490" t="s">
        <v>31150</v>
      </c>
      <c r="H2270" s="490" t="s">
        <v>31151</v>
      </c>
      <c r="I2270" s="490" t="s">
        <v>31152</v>
      </c>
      <c r="J2270" s="490" t="s">
        <v>31153</v>
      </c>
      <c r="K2270" s="490" t="s">
        <v>31154</v>
      </c>
      <c r="L2270" s="490" t="s">
        <v>31155</v>
      </c>
      <c r="M2270" s="490" t="s">
        <v>31156</v>
      </c>
      <c r="N2270" s="490" t="s">
        <v>31146</v>
      </c>
      <c r="O2270" s="490" t="s">
        <v>31157</v>
      </c>
      <c r="P2270" s="36" t="s">
        <v>27644</v>
      </c>
    </row>
    <row r="2271" spans="1:16">
      <c r="A2271" s="132">
        <v>2270</v>
      </c>
      <c r="B2271" s="36" t="s">
        <v>27647</v>
      </c>
      <c r="C2271" s="36" t="s">
        <v>27648</v>
      </c>
      <c r="D2271" s="36" t="s">
        <v>27649</v>
      </c>
      <c r="E2271" s="490" t="s">
        <v>31158</v>
      </c>
      <c r="F2271" s="490" t="s">
        <v>31159</v>
      </c>
      <c r="G2271" s="490" t="s">
        <v>31160</v>
      </c>
      <c r="H2271" s="490" t="s">
        <v>31161</v>
      </c>
      <c r="I2271" s="490" t="s">
        <v>31162</v>
      </c>
      <c r="J2271" s="490" t="s">
        <v>31163</v>
      </c>
      <c r="K2271" s="490" t="s">
        <v>31164</v>
      </c>
      <c r="L2271" s="490" t="s">
        <v>31165</v>
      </c>
      <c r="M2271" s="490" t="s">
        <v>31166</v>
      </c>
      <c r="N2271" s="490" t="s">
        <v>31167</v>
      </c>
      <c r="O2271" s="490" t="s">
        <v>31168</v>
      </c>
      <c r="P2271" s="36" t="s">
        <v>27647</v>
      </c>
    </row>
    <row r="2272" spans="1:16">
      <c r="A2272" s="132">
        <v>2271</v>
      </c>
      <c r="B2272" s="36" t="s">
        <v>27650</v>
      </c>
      <c r="C2272" s="36" t="s">
        <v>27651</v>
      </c>
      <c r="D2272" s="36" t="s">
        <v>27652</v>
      </c>
      <c r="E2272" s="490" t="s">
        <v>31169</v>
      </c>
      <c r="F2272" s="490" t="s">
        <v>31170</v>
      </c>
      <c r="G2272" s="490" t="s">
        <v>31171</v>
      </c>
      <c r="H2272" s="490" t="s">
        <v>31172</v>
      </c>
      <c r="I2272" s="490" t="s">
        <v>31173</v>
      </c>
      <c r="J2272" s="490" t="s">
        <v>31174</v>
      </c>
      <c r="K2272" s="490" t="s">
        <v>31175</v>
      </c>
      <c r="L2272" s="490" t="s">
        <v>31176</v>
      </c>
      <c r="M2272" s="490" t="s">
        <v>31177</v>
      </c>
      <c r="N2272" s="490" t="s">
        <v>31178</v>
      </c>
      <c r="O2272" s="490" t="s">
        <v>31179</v>
      </c>
      <c r="P2272" s="36" t="s">
        <v>27650</v>
      </c>
    </row>
    <row r="2273" spans="1:16">
      <c r="A2273" s="132">
        <v>2272</v>
      </c>
      <c r="B2273" s="36" t="s">
        <v>27653</v>
      </c>
      <c r="C2273" s="36" t="s">
        <v>27654</v>
      </c>
      <c r="D2273" s="490" t="s">
        <v>31180</v>
      </c>
      <c r="E2273" s="490" t="s">
        <v>31181</v>
      </c>
      <c r="F2273" s="490" t="s">
        <v>31182</v>
      </c>
      <c r="G2273" s="490" t="s">
        <v>31183</v>
      </c>
      <c r="H2273" s="490" t="s">
        <v>31184</v>
      </c>
      <c r="I2273" s="490" t="s">
        <v>31185</v>
      </c>
      <c r="J2273" s="490" t="s">
        <v>31186</v>
      </c>
      <c r="K2273" s="490" t="s">
        <v>31187</v>
      </c>
      <c r="L2273" s="490" t="s">
        <v>31188</v>
      </c>
      <c r="M2273" s="490" t="s">
        <v>31189</v>
      </c>
      <c r="N2273" s="490" t="s">
        <v>31189</v>
      </c>
      <c r="O2273" s="490" t="s">
        <v>31190</v>
      </c>
      <c r="P2273" s="36" t="s">
        <v>27653</v>
      </c>
    </row>
    <row r="2274" spans="1:16">
      <c r="A2274" s="132">
        <v>2273</v>
      </c>
      <c r="B2274" s="36" t="s">
        <v>27655</v>
      </c>
      <c r="C2274" s="36" t="s">
        <v>27656</v>
      </c>
      <c r="D2274" s="490" t="s">
        <v>31191</v>
      </c>
      <c r="E2274" s="490" t="s">
        <v>31192</v>
      </c>
      <c r="F2274" s="490" t="s">
        <v>31193</v>
      </c>
      <c r="G2274" s="490" t="s">
        <v>31194</v>
      </c>
      <c r="H2274" s="490" t="s">
        <v>31195</v>
      </c>
      <c r="I2274" s="490" t="s">
        <v>31193</v>
      </c>
      <c r="J2274" s="490" t="s">
        <v>31196</v>
      </c>
      <c r="K2274" s="490" t="s">
        <v>31197</v>
      </c>
      <c r="L2274" s="490" t="s">
        <v>31198</v>
      </c>
      <c r="M2274" s="490" t="s">
        <v>31199</v>
      </c>
      <c r="N2274" s="490" t="s">
        <v>31199</v>
      </c>
      <c r="O2274" s="490" t="s">
        <v>31200</v>
      </c>
      <c r="P2274" s="36" t="s">
        <v>27655</v>
      </c>
    </row>
    <row r="2275" spans="1:16">
      <c r="A2275" s="132">
        <v>2274</v>
      </c>
      <c r="B2275" s="36" t="s">
        <v>27657</v>
      </c>
      <c r="C2275" s="36" t="s">
        <v>27658</v>
      </c>
      <c r="D2275" s="36" t="s">
        <v>27659</v>
      </c>
      <c r="E2275" s="490" t="s">
        <v>31201</v>
      </c>
      <c r="F2275" s="490" t="s">
        <v>31202</v>
      </c>
      <c r="G2275" s="490" t="s">
        <v>31203</v>
      </c>
      <c r="H2275" s="490" t="s">
        <v>31204</v>
      </c>
      <c r="I2275" s="490" t="s">
        <v>31205</v>
      </c>
      <c r="J2275" s="490" t="s">
        <v>31206</v>
      </c>
      <c r="K2275" s="490" t="s">
        <v>31207</v>
      </c>
      <c r="L2275" s="490" t="s">
        <v>31208</v>
      </c>
      <c r="M2275" s="490" t="s">
        <v>31209</v>
      </c>
      <c r="N2275" s="490" t="s">
        <v>31209</v>
      </c>
      <c r="O2275" s="490" t="s">
        <v>31210</v>
      </c>
      <c r="P2275" s="36" t="s">
        <v>27657</v>
      </c>
    </row>
    <row r="2276" spans="1:16">
      <c r="A2276" s="132">
        <v>2275</v>
      </c>
      <c r="B2276" s="36" t="s">
        <v>27660</v>
      </c>
      <c r="C2276" s="36" t="s">
        <v>27661</v>
      </c>
      <c r="D2276" s="36" t="s">
        <v>27662</v>
      </c>
      <c r="E2276" s="490" t="s">
        <v>31211</v>
      </c>
      <c r="F2276" s="490" t="s">
        <v>31212</v>
      </c>
      <c r="G2276" s="490" t="s">
        <v>31213</v>
      </c>
      <c r="H2276" s="490" t="s">
        <v>31214</v>
      </c>
      <c r="I2276" s="490" t="s">
        <v>31212</v>
      </c>
      <c r="J2276" s="490" t="s">
        <v>31215</v>
      </c>
      <c r="K2276" s="490" t="s">
        <v>31216</v>
      </c>
      <c r="L2276" s="490" t="s">
        <v>31217</v>
      </c>
      <c r="M2276" s="490" t="s">
        <v>31218</v>
      </c>
      <c r="N2276" s="490" t="s">
        <v>31218</v>
      </c>
      <c r="O2276" s="490" t="s">
        <v>31219</v>
      </c>
      <c r="P2276" s="36" t="s">
        <v>27660</v>
      </c>
    </row>
    <row r="2277" spans="1:16">
      <c r="A2277" s="132">
        <v>2276</v>
      </c>
      <c r="B2277" s="36" t="s">
        <v>27663</v>
      </c>
      <c r="C2277" s="36" t="s">
        <v>27664</v>
      </c>
      <c r="D2277" s="36" t="s">
        <v>27665</v>
      </c>
      <c r="E2277" s="490" t="s">
        <v>31220</v>
      </c>
      <c r="F2277" s="490" t="s">
        <v>31221</v>
      </c>
      <c r="G2277" s="490" t="s">
        <v>31222</v>
      </c>
      <c r="H2277" s="490" t="s">
        <v>31223</v>
      </c>
      <c r="I2277" s="490" t="s">
        <v>31221</v>
      </c>
      <c r="J2277" s="490" t="s">
        <v>31224</v>
      </c>
      <c r="K2277" s="490" t="s">
        <v>31225</v>
      </c>
      <c r="L2277" s="490" t="s">
        <v>31226</v>
      </c>
      <c r="M2277" s="490" t="s">
        <v>31227</v>
      </c>
      <c r="N2277" s="490" t="s">
        <v>31227</v>
      </c>
      <c r="O2277" s="490" t="s">
        <v>31228</v>
      </c>
      <c r="P2277" s="36" t="s">
        <v>27663</v>
      </c>
    </row>
    <row r="2278" spans="1:16">
      <c r="A2278" s="132">
        <v>2277</v>
      </c>
      <c r="B2278" s="36" t="s">
        <v>27666</v>
      </c>
      <c r="C2278" s="36" t="s">
        <v>27667</v>
      </c>
      <c r="D2278" s="490" t="s">
        <v>31229</v>
      </c>
      <c r="E2278" s="490" t="s">
        <v>31230</v>
      </c>
      <c r="F2278" s="490" t="s">
        <v>31231</v>
      </c>
      <c r="G2278" s="490" t="s">
        <v>31232</v>
      </c>
      <c r="H2278" s="490" t="s">
        <v>31233</v>
      </c>
      <c r="I2278" s="490" t="s">
        <v>31234</v>
      </c>
      <c r="J2278" s="490" t="s">
        <v>31235</v>
      </c>
      <c r="K2278" s="490" t="s">
        <v>31236</v>
      </c>
      <c r="L2278" s="490" t="s">
        <v>31237</v>
      </c>
      <c r="M2278" s="490" t="s">
        <v>31238</v>
      </c>
      <c r="N2278" s="490" t="s">
        <v>31239</v>
      </c>
      <c r="O2278" s="490" t="s">
        <v>31240</v>
      </c>
      <c r="P2278" s="36" t="s">
        <v>27666</v>
      </c>
    </row>
    <row r="2279" spans="1:16">
      <c r="A2279" s="132">
        <v>2278</v>
      </c>
      <c r="B2279" s="36" t="s">
        <v>27668</v>
      </c>
      <c r="C2279" s="36" t="s">
        <v>27669</v>
      </c>
      <c r="D2279" s="36" t="s">
        <v>27670</v>
      </c>
      <c r="E2279" s="490" t="s">
        <v>31241</v>
      </c>
      <c r="F2279" s="490" t="s">
        <v>31242</v>
      </c>
      <c r="G2279" s="490" t="s">
        <v>31243</v>
      </c>
      <c r="H2279" s="490" t="s">
        <v>31244</v>
      </c>
      <c r="I2279" s="490" t="s">
        <v>31242</v>
      </c>
      <c r="J2279" s="490" t="s">
        <v>31245</v>
      </c>
      <c r="K2279" s="490" t="s">
        <v>31246</v>
      </c>
      <c r="L2279" s="490" t="s">
        <v>31247</v>
      </c>
      <c r="M2279" s="490" t="s">
        <v>31248</v>
      </c>
      <c r="N2279" s="490" t="s">
        <v>31248</v>
      </c>
      <c r="O2279" s="490" t="s">
        <v>31249</v>
      </c>
      <c r="P2279" s="36" t="s">
        <v>27668</v>
      </c>
    </row>
    <row r="2280" spans="1:16">
      <c r="A2280" s="132">
        <v>2279</v>
      </c>
      <c r="B2280" s="36" t="s">
        <v>27671</v>
      </c>
      <c r="C2280" s="36" t="s">
        <v>27672</v>
      </c>
      <c r="D2280" s="490" t="s">
        <v>31250</v>
      </c>
      <c r="E2280" s="490" t="s">
        <v>31251</v>
      </c>
      <c r="F2280" s="490" t="s">
        <v>31252</v>
      </c>
      <c r="G2280" s="490" t="s">
        <v>31253</v>
      </c>
      <c r="H2280" s="490" t="s">
        <v>31254</v>
      </c>
      <c r="I2280" s="490" t="s">
        <v>31252</v>
      </c>
      <c r="J2280" s="490" t="s">
        <v>31255</v>
      </c>
      <c r="K2280" s="490" t="s">
        <v>31256</v>
      </c>
      <c r="L2280" s="490" t="s">
        <v>31257</v>
      </c>
      <c r="M2280" s="490" t="s">
        <v>31258</v>
      </c>
      <c r="N2280" s="490" t="s">
        <v>31258</v>
      </c>
      <c r="O2280" s="490" t="s">
        <v>31259</v>
      </c>
      <c r="P2280" s="36" t="s">
        <v>27671</v>
      </c>
    </row>
    <row r="2281" spans="1:16">
      <c r="A2281" s="132">
        <v>2280</v>
      </c>
      <c r="B2281" s="36" t="s">
        <v>27673</v>
      </c>
      <c r="C2281" s="36" t="s">
        <v>27674</v>
      </c>
      <c r="D2281" s="36" t="s">
        <v>27675</v>
      </c>
      <c r="E2281" s="490" t="s">
        <v>31260</v>
      </c>
      <c r="F2281" s="490" t="s">
        <v>31261</v>
      </c>
      <c r="G2281" s="490" t="s">
        <v>31262</v>
      </c>
      <c r="H2281" s="490" t="s">
        <v>31263</v>
      </c>
      <c r="I2281" s="490" t="s">
        <v>31261</v>
      </c>
      <c r="J2281" s="490" t="s">
        <v>31264</v>
      </c>
      <c r="K2281" s="490" t="s">
        <v>31265</v>
      </c>
      <c r="L2281" s="490" t="s">
        <v>31266</v>
      </c>
      <c r="M2281" s="490" t="s">
        <v>31267</v>
      </c>
      <c r="N2281" s="490" t="s">
        <v>31267</v>
      </c>
      <c r="O2281" s="490" t="s">
        <v>31268</v>
      </c>
      <c r="P2281" s="36" t="s">
        <v>27673</v>
      </c>
    </row>
    <row r="2282" spans="1:16">
      <c r="A2282" s="132">
        <v>2281</v>
      </c>
      <c r="B2282" s="36" t="s">
        <v>27676</v>
      </c>
      <c r="C2282" s="36" t="s">
        <v>27677</v>
      </c>
      <c r="D2282" s="490" t="s">
        <v>31269</v>
      </c>
      <c r="E2282" s="490" t="s">
        <v>31270</v>
      </c>
      <c r="F2282" s="490" t="s">
        <v>31271</v>
      </c>
      <c r="G2282" s="490" t="s">
        <v>31272</v>
      </c>
      <c r="H2282" s="490" t="s">
        <v>31273</v>
      </c>
      <c r="I2282" s="490" t="s">
        <v>31274</v>
      </c>
      <c r="J2282" s="490" t="s">
        <v>31275</v>
      </c>
      <c r="K2282" s="490" t="s">
        <v>31276</v>
      </c>
      <c r="L2282" s="490" t="s">
        <v>31277</v>
      </c>
      <c r="M2282" s="490" t="s">
        <v>31278</v>
      </c>
      <c r="N2282" s="490" t="s">
        <v>31279</v>
      </c>
      <c r="O2282" s="490" t="s">
        <v>31280</v>
      </c>
      <c r="P2282" s="36" t="s">
        <v>27676</v>
      </c>
    </row>
    <row r="2283" spans="1:16">
      <c r="A2283" s="132">
        <v>2282</v>
      </c>
      <c r="B2283" s="36" t="s">
        <v>27678</v>
      </c>
      <c r="C2283" s="36" t="s">
        <v>27679</v>
      </c>
      <c r="D2283" s="490" t="s">
        <v>31281</v>
      </c>
      <c r="E2283" s="490" t="s">
        <v>31282</v>
      </c>
      <c r="F2283" s="490" t="s">
        <v>31283</v>
      </c>
      <c r="G2283" s="490" t="s">
        <v>31284</v>
      </c>
      <c r="H2283" s="490" t="s">
        <v>31285</v>
      </c>
      <c r="I2283" s="490" t="s">
        <v>31286</v>
      </c>
      <c r="J2283" s="490" t="s">
        <v>31287</v>
      </c>
      <c r="K2283" s="490" t="s">
        <v>31288</v>
      </c>
      <c r="L2283" s="490" t="s">
        <v>31289</v>
      </c>
      <c r="M2283" s="490" t="s">
        <v>31290</v>
      </c>
      <c r="N2283" s="490" t="s">
        <v>31290</v>
      </c>
      <c r="O2283" s="490" t="s">
        <v>31291</v>
      </c>
      <c r="P2283" s="36" t="s">
        <v>27678</v>
      </c>
    </row>
    <row r="2284" spans="1:16">
      <c r="A2284" s="132">
        <v>2283</v>
      </c>
      <c r="B2284" s="36" t="s">
        <v>27680</v>
      </c>
      <c r="C2284" s="36" t="s">
        <v>27681</v>
      </c>
      <c r="D2284" s="36" t="s">
        <v>27682</v>
      </c>
      <c r="E2284" s="490" t="s">
        <v>31292</v>
      </c>
      <c r="F2284" s="490" t="s">
        <v>31293</v>
      </c>
      <c r="G2284" s="490" t="s">
        <v>31294</v>
      </c>
      <c r="H2284" s="490" t="s">
        <v>31295</v>
      </c>
      <c r="I2284" s="490" t="s">
        <v>31296</v>
      </c>
      <c r="J2284" s="490" t="s">
        <v>31297</v>
      </c>
      <c r="K2284" s="490" t="s">
        <v>31298</v>
      </c>
      <c r="L2284" s="490" t="s">
        <v>31299</v>
      </c>
      <c r="M2284" s="490" t="s">
        <v>31300</v>
      </c>
      <c r="N2284" s="490" t="s">
        <v>31301</v>
      </c>
      <c r="O2284" s="490" t="s">
        <v>31302</v>
      </c>
      <c r="P2284" s="36" t="s">
        <v>27680</v>
      </c>
    </row>
    <row r="2285" spans="1:16">
      <c r="A2285" s="132">
        <v>2284</v>
      </c>
      <c r="B2285" s="36" t="s">
        <v>27683</v>
      </c>
      <c r="C2285" s="36" t="s">
        <v>27684</v>
      </c>
      <c r="D2285" s="36" t="s">
        <v>27685</v>
      </c>
      <c r="E2285" s="490" t="s">
        <v>31303</v>
      </c>
      <c r="F2285" s="490" t="s">
        <v>31304</v>
      </c>
      <c r="G2285" s="490" t="s">
        <v>31305</v>
      </c>
      <c r="H2285" s="490" t="s">
        <v>31306</v>
      </c>
      <c r="I2285" s="490" t="s">
        <v>31307</v>
      </c>
      <c r="J2285" s="490" t="s">
        <v>31308</v>
      </c>
      <c r="K2285" s="490" t="s">
        <v>31309</v>
      </c>
      <c r="L2285" s="490" t="s">
        <v>31310</v>
      </c>
      <c r="M2285" s="490" t="s">
        <v>31311</v>
      </c>
      <c r="N2285" s="490" t="s">
        <v>31312</v>
      </c>
      <c r="O2285" s="490" t="s">
        <v>31313</v>
      </c>
      <c r="P2285" s="36" t="s">
        <v>27683</v>
      </c>
    </row>
    <row r="2286" spans="1:16">
      <c r="A2286" s="132">
        <v>2285</v>
      </c>
      <c r="B2286" s="36" t="s">
        <v>27686</v>
      </c>
      <c r="C2286" s="36" t="s">
        <v>27687</v>
      </c>
      <c r="D2286" s="36" t="s">
        <v>27688</v>
      </c>
      <c r="E2286" s="490" t="s">
        <v>31314</v>
      </c>
      <c r="F2286" s="490" t="s">
        <v>31315</v>
      </c>
      <c r="G2286" s="490" t="s">
        <v>31316</v>
      </c>
      <c r="H2286" s="490" t="s">
        <v>31317</v>
      </c>
      <c r="I2286" s="490" t="s">
        <v>31318</v>
      </c>
      <c r="J2286" s="490" t="s">
        <v>31319</v>
      </c>
      <c r="K2286" s="490" t="s">
        <v>31320</v>
      </c>
      <c r="L2286" s="490" t="s">
        <v>31321</v>
      </c>
      <c r="M2286" s="490" t="s">
        <v>31322</v>
      </c>
      <c r="N2286" s="490" t="s">
        <v>31323</v>
      </c>
      <c r="O2286" s="490" t="s">
        <v>31324</v>
      </c>
      <c r="P2286" s="36" t="s">
        <v>27686</v>
      </c>
    </row>
    <row r="2287" spans="1:16">
      <c r="A2287" s="132">
        <v>2286</v>
      </c>
      <c r="B2287" s="36" t="s">
        <v>27689</v>
      </c>
      <c r="C2287" s="36" t="s">
        <v>27690</v>
      </c>
      <c r="D2287" s="36" t="s">
        <v>27691</v>
      </c>
      <c r="E2287" s="490" t="s">
        <v>31325</v>
      </c>
      <c r="F2287" s="490" t="s">
        <v>31326</v>
      </c>
      <c r="G2287" s="490" t="s">
        <v>31327</v>
      </c>
      <c r="H2287" s="490" t="s">
        <v>31328</v>
      </c>
      <c r="I2287" s="490" t="s">
        <v>31329</v>
      </c>
      <c r="J2287" s="490" t="s">
        <v>31330</v>
      </c>
      <c r="K2287" s="490" t="s">
        <v>31331</v>
      </c>
      <c r="L2287" s="490" t="s">
        <v>31332</v>
      </c>
      <c r="M2287" s="490" t="s">
        <v>31333</v>
      </c>
      <c r="N2287" s="490" t="s">
        <v>31334</v>
      </c>
      <c r="O2287" s="490" t="s">
        <v>31335</v>
      </c>
      <c r="P2287" s="36" t="s">
        <v>27689</v>
      </c>
    </row>
    <row r="2288" spans="1:16">
      <c r="A2288" s="132">
        <v>2287</v>
      </c>
      <c r="B2288" s="36" t="s">
        <v>27692</v>
      </c>
      <c r="C2288" s="36" t="s">
        <v>27693</v>
      </c>
      <c r="D2288" s="36" t="s">
        <v>27694</v>
      </c>
      <c r="E2288" s="490" t="s">
        <v>31336</v>
      </c>
      <c r="F2288" s="490" t="s">
        <v>31337</v>
      </c>
      <c r="G2288" s="490" t="s">
        <v>31338</v>
      </c>
      <c r="H2288" s="490" t="s">
        <v>31339</v>
      </c>
      <c r="I2288" s="490" t="s">
        <v>31340</v>
      </c>
      <c r="J2288" s="490" t="s">
        <v>31341</v>
      </c>
      <c r="K2288" s="490" t="s">
        <v>31342</v>
      </c>
      <c r="L2288" s="490" t="s">
        <v>31343</v>
      </c>
      <c r="M2288" s="490" t="s">
        <v>31343</v>
      </c>
      <c r="N2288" s="490" t="s">
        <v>31344</v>
      </c>
      <c r="O2288" s="490" t="s">
        <v>31342</v>
      </c>
      <c r="P2288" s="36" t="s">
        <v>27692</v>
      </c>
    </row>
    <row r="2289" spans="1:16">
      <c r="A2289" s="132">
        <v>2288</v>
      </c>
      <c r="B2289" s="36" t="s">
        <v>27695</v>
      </c>
      <c r="C2289" s="36" t="s">
        <v>27696</v>
      </c>
      <c r="D2289" s="36" t="s">
        <v>27697</v>
      </c>
      <c r="E2289" s="490" t="s">
        <v>31345</v>
      </c>
      <c r="F2289" s="490" t="s">
        <v>31346</v>
      </c>
      <c r="G2289" s="490" t="s">
        <v>31347</v>
      </c>
      <c r="H2289" s="490" t="s">
        <v>31348</v>
      </c>
      <c r="I2289" s="490" t="s">
        <v>31346</v>
      </c>
      <c r="J2289" s="490" t="s">
        <v>31349</v>
      </c>
      <c r="K2289" s="490" t="s">
        <v>31350</v>
      </c>
      <c r="L2289" s="490" t="s">
        <v>31351</v>
      </c>
      <c r="M2289" s="490" t="s">
        <v>31352</v>
      </c>
      <c r="N2289" s="490" t="s">
        <v>31351</v>
      </c>
      <c r="O2289" s="490" t="s">
        <v>31353</v>
      </c>
      <c r="P2289" s="36" t="s">
        <v>27695</v>
      </c>
    </row>
    <row r="2290" spans="1:16">
      <c r="A2290" s="132">
        <v>2289</v>
      </c>
      <c r="B2290" s="36" t="s">
        <v>27698</v>
      </c>
      <c r="C2290" s="36" t="s">
        <v>27699</v>
      </c>
      <c r="D2290" s="36" t="s">
        <v>27700</v>
      </c>
      <c r="E2290" s="490" t="s">
        <v>31354</v>
      </c>
      <c r="F2290" s="490" t="s">
        <v>31355</v>
      </c>
      <c r="G2290" s="490" t="s">
        <v>31356</v>
      </c>
      <c r="H2290" s="490" t="s">
        <v>31357</v>
      </c>
      <c r="I2290" s="490" t="s">
        <v>31355</v>
      </c>
      <c r="J2290" s="490" t="s">
        <v>31358</v>
      </c>
      <c r="K2290" s="490" t="s">
        <v>31359</v>
      </c>
      <c r="L2290" s="490" t="s">
        <v>31358</v>
      </c>
      <c r="M2290" s="490" t="s">
        <v>31358</v>
      </c>
      <c r="N2290" s="490" t="s">
        <v>31358</v>
      </c>
      <c r="O2290" s="490" t="s">
        <v>31360</v>
      </c>
      <c r="P2290" s="36" t="s">
        <v>27698</v>
      </c>
    </row>
    <row r="2291" spans="1:16">
      <c r="A2291" s="132">
        <v>2290</v>
      </c>
      <c r="B2291" s="36" t="s">
        <v>27701</v>
      </c>
      <c r="C2291" s="36" t="s">
        <v>4182</v>
      </c>
      <c r="D2291" s="490" t="s">
        <v>31361</v>
      </c>
      <c r="E2291" s="490" t="s">
        <v>31362</v>
      </c>
      <c r="F2291" s="490" t="s">
        <v>31363</v>
      </c>
      <c r="G2291" s="490" t="s">
        <v>31364</v>
      </c>
      <c r="H2291" s="490" t="s">
        <v>4187</v>
      </c>
      <c r="I2291" s="490" t="s">
        <v>31363</v>
      </c>
      <c r="J2291" s="490" t="s">
        <v>31365</v>
      </c>
      <c r="K2291" s="490" t="s">
        <v>31366</v>
      </c>
      <c r="L2291" s="490" t="s">
        <v>31365</v>
      </c>
      <c r="M2291" s="490" t="s">
        <v>31365</v>
      </c>
      <c r="N2291" s="490" t="s">
        <v>31365</v>
      </c>
      <c r="O2291" s="490" t="s">
        <v>31367</v>
      </c>
      <c r="P2291" s="36" t="s">
        <v>27701</v>
      </c>
    </row>
    <row r="2292" spans="1:16">
      <c r="A2292" s="132">
        <v>2291</v>
      </c>
      <c r="B2292" s="36" t="s">
        <v>4191</v>
      </c>
      <c r="C2292" s="36" t="s">
        <v>4182</v>
      </c>
      <c r="D2292" s="490" t="s">
        <v>31368</v>
      </c>
      <c r="E2292" s="490" t="s">
        <v>31369</v>
      </c>
      <c r="F2292" s="490" t="s">
        <v>31370</v>
      </c>
      <c r="G2292" s="490" t="s">
        <v>31371</v>
      </c>
      <c r="H2292" s="490" t="s">
        <v>4187</v>
      </c>
      <c r="I2292" s="490" t="s">
        <v>31370</v>
      </c>
      <c r="J2292" s="490" t="s">
        <v>4191</v>
      </c>
      <c r="K2292" s="490" t="s">
        <v>31372</v>
      </c>
      <c r="L2292" s="490" t="s">
        <v>4191</v>
      </c>
      <c r="M2292" s="490" t="s">
        <v>4191</v>
      </c>
      <c r="N2292" s="490" t="s">
        <v>31373</v>
      </c>
      <c r="O2292" s="490" t="s">
        <v>31374</v>
      </c>
      <c r="P2292" s="36" t="s">
        <v>4191</v>
      </c>
    </row>
    <row r="2293" spans="1:16">
      <c r="A2293" s="132">
        <v>2292</v>
      </c>
      <c r="B2293" s="36" t="s">
        <v>27702</v>
      </c>
      <c r="C2293" s="36" t="s">
        <v>27703</v>
      </c>
      <c r="D2293" s="490" t="s">
        <v>31375</v>
      </c>
      <c r="E2293" s="490" t="s">
        <v>31376</v>
      </c>
      <c r="F2293" s="490" t="s">
        <v>31377</v>
      </c>
      <c r="G2293" s="490" t="s">
        <v>31378</v>
      </c>
      <c r="H2293" s="490" t="s">
        <v>31379</v>
      </c>
      <c r="I2293" s="490" t="s">
        <v>31380</v>
      </c>
      <c r="J2293" s="490" t="s">
        <v>31381</v>
      </c>
      <c r="K2293" s="490" t="s">
        <v>31382</v>
      </c>
      <c r="L2293" s="490" t="s">
        <v>31383</v>
      </c>
      <c r="M2293" s="490" t="s">
        <v>31384</v>
      </c>
      <c r="N2293" s="490" t="s">
        <v>31385</v>
      </c>
      <c r="O2293" s="490" t="s">
        <v>31386</v>
      </c>
      <c r="P2293" s="36" t="s">
        <v>27702</v>
      </c>
    </row>
    <row r="2294" spans="1:16">
      <c r="A2294" s="132">
        <v>2293</v>
      </c>
      <c r="B2294" s="36" t="s">
        <v>27704</v>
      </c>
      <c r="C2294" s="36" t="s">
        <v>27705</v>
      </c>
      <c r="D2294" s="36" t="s">
        <v>27706</v>
      </c>
      <c r="E2294" s="490" t="s">
        <v>31387</v>
      </c>
      <c r="F2294" s="490" t="s">
        <v>31388</v>
      </c>
      <c r="G2294" s="490" t="s">
        <v>31389</v>
      </c>
      <c r="H2294" s="490" t="s">
        <v>31390</v>
      </c>
      <c r="I2294" s="490" t="s">
        <v>31391</v>
      </c>
      <c r="J2294" s="490" t="s">
        <v>31392</v>
      </c>
      <c r="K2294" s="490" t="s">
        <v>31393</v>
      </c>
      <c r="L2294" s="490" t="s">
        <v>31394</v>
      </c>
      <c r="M2294" s="490" t="s">
        <v>31395</v>
      </c>
      <c r="N2294" s="490" t="s">
        <v>31396</v>
      </c>
      <c r="O2294" s="490" t="s">
        <v>31397</v>
      </c>
      <c r="P2294" s="36" t="s">
        <v>27704</v>
      </c>
    </row>
    <row r="2295" spans="1:16">
      <c r="A2295" s="132">
        <v>2294</v>
      </c>
      <c r="B2295" s="36" t="s">
        <v>27707</v>
      </c>
      <c r="C2295" s="36" t="s">
        <v>27708</v>
      </c>
      <c r="D2295" s="36" t="s">
        <v>27709</v>
      </c>
      <c r="E2295" s="490" t="s">
        <v>31398</v>
      </c>
      <c r="F2295" s="490" t="s">
        <v>31399</v>
      </c>
      <c r="G2295" s="490" t="s">
        <v>31400</v>
      </c>
      <c r="H2295" s="490" t="s">
        <v>31401</v>
      </c>
      <c r="I2295" s="490" t="s">
        <v>31402</v>
      </c>
      <c r="J2295" s="490" t="s">
        <v>31403</v>
      </c>
      <c r="K2295" s="490" t="s">
        <v>31404</v>
      </c>
      <c r="L2295" s="490" t="s">
        <v>31405</v>
      </c>
      <c r="M2295" s="490" t="s">
        <v>31406</v>
      </c>
      <c r="N2295" s="490" t="s">
        <v>31407</v>
      </c>
      <c r="O2295" s="490" t="s">
        <v>31408</v>
      </c>
      <c r="P2295" s="36" t="s">
        <v>27707</v>
      </c>
    </row>
    <row r="2296" spans="1:16">
      <c r="A2296" s="132">
        <v>2295</v>
      </c>
      <c r="B2296" s="36" t="s">
        <v>27710</v>
      </c>
      <c r="C2296" s="36" t="s">
        <v>27711</v>
      </c>
      <c r="D2296" s="36" t="s">
        <v>27712</v>
      </c>
      <c r="E2296" s="490" t="s">
        <v>31409</v>
      </c>
      <c r="F2296" s="490" t="s">
        <v>31410</v>
      </c>
      <c r="G2296" s="490" t="s">
        <v>31411</v>
      </c>
      <c r="H2296" s="490" t="s">
        <v>31412</v>
      </c>
      <c r="I2296" s="490" t="s">
        <v>31410</v>
      </c>
      <c r="J2296" s="490" t="s">
        <v>31413</v>
      </c>
      <c r="K2296" s="490" t="s">
        <v>31414</v>
      </c>
      <c r="L2296" s="490" t="s">
        <v>31415</v>
      </c>
      <c r="M2296" s="490" t="s">
        <v>31416</v>
      </c>
      <c r="N2296" s="490" t="s">
        <v>31417</v>
      </c>
      <c r="O2296" s="490" t="s">
        <v>31418</v>
      </c>
      <c r="P2296" s="36" t="s">
        <v>27710</v>
      </c>
    </row>
    <row r="2297" spans="1:16">
      <c r="A2297" s="132">
        <v>2296</v>
      </c>
      <c r="B2297" s="36" t="s">
        <v>27713</v>
      </c>
      <c r="C2297" s="36" t="s">
        <v>27714</v>
      </c>
      <c r="D2297" s="36" t="s">
        <v>27715</v>
      </c>
      <c r="E2297" s="490" t="s">
        <v>31419</v>
      </c>
      <c r="F2297" s="490" t="s">
        <v>31420</v>
      </c>
      <c r="G2297" s="490" t="s">
        <v>31421</v>
      </c>
      <c r="H2297" s="490" t="s">
        <v>31422</v>
      </c>
      <c r="I2297" s="490" t="s">
        <v>31423</v>
      </c>
      <c r="J2297" s="490" t="s">
        <v>31424</v>
      </c>
      <c r="K2297" s="490" t="s">
        <v>31425</v>
      </c>
      <c r="L2297" s="490" t="s">
        <v>31426</v>
      </c>
      <c r="M2297" s="490" t="s">
        <v>31427</v>
      </c>
      <c r="N2297" s="490" t="s">
        <v>31428</v>
      </c>
      <c r="O2297" s="490" t="s">
        <v>31429</v>
      </c>
      <c r="P2297" s="36" t="s">
        <v>27713</v>
      </c>
    </row>
    <row r="2298" spans="1:16">
      <c r="A2298" s="132">
        <v>2297</v>
      </c>
      <c r="B2298" s="36" t="s">
        <v>27716</v>
      </c>
      <c r="C2298" s="36" t="s">
        <v>27717</v>
      </c>
      <c r="D2298" s="36" t="s">
        <v>27718</v>
      </c>
      <c r="E2298" s="490" t="s">
        <v>31430</v>
      </c>
      <c r="F2298" s="490" t="s">
        <v>31431</v>
      </c>
      <c r="G2298" s="490" t="s">
        <v>31432</v>
      </c>
      <c r="H2298" s="490" t="s">
        <v>31433</v>
      </c>
      <c r="I2298" s="490" t="s">
        <v>31434</v>
      </c>
      <c r="J2298" s="490" t="s">
        <v>31435</v>
      </c>
      <c r="K2298" s="490" t="s">
        <v>31436</v>
      </c>
      <c r="L2298" s="490" t="s">
        <v>31437</v>
      </c>
      <c r="M2298" s="490" t="s">
        <v>31438</v>
      </c>
      <c r="N2298" s="490" t="s">
        <v>31438</v>
      </c>
      <c r="O2298" s="490" t="s">
        <v>31439</v>
      </c>
      <c r="P2298" s="36" t="s">
        <v>27716</v>
      </c>
    </row>
    <row r="2299" spans="1:16">
      <c r="A2299" s="132">
        <v>2298</v>
      </c>
      <c r="B2299" s="36" t="s">
        <v>27719</v>
      </c>
      <c r="C2299" s="36" t="s">
        <v>27720</v>
      </c>
      <c r="D2299" s="36" t="s">
        <v>27721</v>
      </c>
      <c r="E2299" s="490" t="s">
        <v>31440</v>
      </c>
      <c r="F2299" s="490" t="s">
        <v>31441</v>
      </c>
      <c r="G2299" s="490" t="s">
        <v>31442</v>
      </c>
      <c r="H2299" s="490" t="s">
        <v>31443</v>
      </c>
      <c r="I2299" s="490" t="s">
        <v>31444</v>
      </c>
      <c r="J2299" s="490" t="s">
        <v>31445</v>
      </c>
      <c r="K2299" s="490" t="s">
        <v>31446</v>
      </c>
      <c r="L2299" s="490" t="s">
        <v>31447</v>
      </c>
      <c r="M2299" s="490" t="s">
        <v>31448</v>
      </c>
      <c r="N2299" s="490" t="s">
        <v>31449</v>
      </c>
      <c r="O2299" s="490" t="s">
        <v>31450</v>
      </c>
      <c r="P2299" s="36" t="s">
        <v>27719</v>
      </c>
    </row>
    <row r="2300" spans="1:16">
      <c r="A2300" s="132">
        <v>2299</v>
      </c>
      <c r="B2300" s="36" t="s">
        <v>27722</v>
      </c>
      <c r="C2300" s="36" t="s">
        <v>27723</v>
      </c>
      <c r="D2300" s="36" t="s">
        <v>27724</v>
      </c>
      <c r="E2300" s="490" t="s">
        <v>31451</v>
      </c>
      <c r="F2300" s="490" t="s">
        <v>31452</v>
      </c>
      <c r="G2300" s="490" t="s">
        <v>31453</v>
      </c>
      <c r="H2300" s="490" t="s">
        <v>31454</v>
      </c>
      <c r="I2300" s="490" t="s">
        <v>31452</v>
      </c>
      <c r="J2300" s="490" t="s">
        <v>31455</v>
      </c>
      <c r="K2300" s="490" t="s">
        <v>31456</v>
      </c>
      <c r="L2300" s="490" t="s">
        <v>31457</v>
      </c>
      <c r="M2300" s="490" t="s">
        <v>31458</v>
      </c>
      <c r="N2300" s="490" t="s">
        <v>31459</v>
      </c>
      <c r="O2300" s="490" t="s">
        <v>31460</v>
      </c>
      <c r="P2300" s="36" t="s">
        <v>27722</v>
      </c>
    </row>
    <row r="2301" spans="1:16" ht="14.4">
      <c r="A2301" s="132">
        <v>2300</v>
      </c>
      <c r="B2301" s="36" t="s">
        <v>27725</v>
      </c>
      <c r="C2301" s="36" t="s">
        <v>27726</v>
      </c>
      <c r="D2301" s="485" t="s">
        <v>31461</v>
      </c>
      <c r="E2301" s="485" t="s">
        <v>31462</v>
      </c>
      <c r="F2301" s="485" t="s">
        <v>31463</v>
      </c>
      <c r="G2301" s="487" t="s">
        <v>31464</v>
      </c>
      <c r="H2301" s="487" t="s">
        <v>31465</v>
      </c>
      <c r="I2301" s="487" t="s">
        <v>31466</v>
      </c>
      <c r="J2301" s="487" t="s">
        <v>31467</v>
      </c>
      <c r="K2301" s="487" t="s">
        <v>31468</v>
      </c>
      <c r="L2301" s="487" t="s">
        <v>31469</v>
      </c>
      <c r="M2301" s="487" t="s">
        <v>31470</v>
      </c>
      <c r="N2301" s="485" t="s">
        <v>31471</v>
      </c>
      <c r="O2301" s="487" t="s">
        <v>31472</v>
      </c>
      <c r="P2301" s="36" t="s">
        <v>27725</v>
      </c>
    </row>
    <row r="2302" spans="1:16">
      <c r="A2302" s="132">
        <v>2301</v>
      </c>
      <c r="B2302" s="36" t="s">
        <v>27727</v>
      </c>
      <c r="C2302" s="36" t="s">
        <v>27728</v>
      </c>
      <c r="D2302" s="36" t="s">
        <v>27729</v>
      </c>
      <c r="E2302" s="490" t="s">
        <v>31473</v>
      </c>
      <c r="F2302" s="490" t="s">
        <v>31474</v>
      </c>
      <c r="G2302" s="490" t="s">
        <v>31475</v>
      </c>
      <c r="H2302" s="490" t="s">
        <v>31476</v>
      </c>
      <c r="I2302" s="490" t="s">
        <v>31477</v>
      </c>
      <c r="J2302" s="490" t="s">
        <v>31478</v>
      </c>
      <c r="K2302" s="490" t="s">
        <v>31479</v>
      </c>
      <c r="L2302" s="490" t="s">
        <v>31480</v>
      </c>
      <c r="M2302" s="490" t="s">
        <v>31481</v>
      </c>
      <c r="N2302" s="490" t="s">
        <v>31482</v>
      </c>
      <c r="O2302" s="491" t="s">
        <v>31483</v>
      </c>
      <c r="P2302" s="36" t="s">
        <v>27727</v>
      </c>
    </row>
    <row r="2303" spans="1:16">
      <c r="A2303" s="132">
        <v>2302</v>
      </c>
      <c r="B2303" s="36" t="s">
        <v>27730</v>
      </c>
      <c r="C2303" s="36" t="s">
        <v>27731</v>
      </c>
      <c r="D2303" s="36" t="s">
        <v>27732</v>
      </c>
      <c r="E2303" s="36" t="s">
        <v>27733</v>
      </c>
      <c r="F2303" s="36" t="s">
        <v>27734</v>
      </c>
      <c r="G2303" s="36" t="s">
        <v>27735</v>
      </c>
      <c r="H2303" s="36" t="s">
        <v>27736</v>
      </c>
      <c r="I2303" s="36" t="s">
        <v>27737</v>
      </c>
      <c r="J2303" s="36" t="s">
        <v>27738</v>
      </c>
      <c r="K2303" s="36" t="s">
        <v>27739</v>
      </c>
      <c r="L2303" s="36" t="s">
        <v>27740</v>
      </c>
      <c r="M2303" s="36" t="s">
        <v>27741</v>
      </c>
      <c r="N2303" s="36" t="s">
        <v>27742</v>
      </c>
      <c r="O2303" s="36" t="s">
        <v>27743</v>
      </c>
      <c r="P2303" s="36" t="s">
        <v>27730</v>
      </c>
    </row>
    <row r="2304" spans="1:16">
      <c r="A2304" s="132">
        <v>2303</v>
      </c>
      <c r="B2304" s="491" t="s">
        <v>27744</v>
      </c>
      <c r="C2304" s="36" t="s">
        <v>27745</v>
      </c>
      <c r="D2304" s="490" t="s">
        <v>31484</v>
      </c>
      <c r="E2304" s="490" t="s">
        <v>31485</v>
      </c>
      <c r="F2304" s="490" t="s">
        <v>31486</v>
      </c>
      <c r="G2304" s="490" t="s">
        <v>31487</v>
      </c>
      <c r="H2304" s="490" t="s">
        <v>31488</v>
      </c>
      <c r="I2304" s="490" t="s">
        <v>31489</v>
      </c>
      <c r="J2304" s="490" t="s">
        <v>31490</v>
      </c>
      <c r="K2304" s="490" t="s">
        <v>31491</v>
      </c>
      <c r="L2304" s="490" t="s">
        <v>31492</v>
      </c>
      <c r="M2304" s="490" t="s">
        <v>31493</v>
      </c>
      <c r="N2304" s="490" t="s">
        <v>31494</v>
      </c>
      <c r="O2304" s="490" t="s">
        <v>31495</v>
      </c>
      <c r="P2304" s="36" t="s">
        <v>27744</v>
      </c>
    </row>
    <row r="2305" spans="1:16">
      <c r="A2305" s="132">
        <v>2304</v>
      </c>
      <c r="B2305" s="36" t="s">
        <v>27746</v>
      </c>
      <c r="C2305" s="36" t="s">
        <v>27747</v>
      </c>
      <c r="D2305" s="36" t="s">
        <v>27748</v>
      </c>
      <c r="E2305" s="490" t="s">
        <v>31496</v>
      </c>
      <c r="F2305" s="490" t="s">
        <v>31497</v>
      </c>
      <c r="G2305" s="490" t="s">
        <v>31498</v>
      </c>
      <c r="H2305" s="490" t="s">
        <v>31499</v>
      </c>
      <c r="I2305" s="490" t="s">
        <v>31500</v>
      </c>
      <c r="J2305" s="490" t="s">
        <v>31501</v>
      </c>
      <c r="K2305" s="490" t="s">
        <v>31502</v>
      </c>
      <c r="L2305" s="490" t="s">
        <v>31503</v>
      </c>
      <c r="M2305" s="490" t="s">
        <v>31504</v>
      </c>
      <c r="N2305" s="490" t="s">
        <v>31505</v>
      </c>
      <c r="O2305" s="490" t="s">
        <v>31506</v>
      </c>
      <c r="P2305" s="36" t="s">
        <v>27746</v>
      </c>
    </row>
    <row r="2306" spans="1:16">
      <c r="A2306" s="132">
        <v>2305</v>
      </c>
      <c r="B2306" s="36" t="s">
        <v>27749</v>
      </c>
      <c r="C2306" s="36" t="s">
        <v>27750</v>
      </c>
      <c r="D2306" s="36" t="s">
        <v>27751</v>
      </c>
      <c r="E2306" s="490" t="s">
        <v>31507</v>
      </c>
      <c r="F2306" s="490" t="s">
        <v>31508</v>
      </c>
      <c r="G2306" s="490" t="s">
        <v>31509</v>
      </c>
      <c r="H2306" s="490" t="s">
        <v>31510</v>
      </c>
      <c r="I2306" s="490" t="s">
        <v>31511</v>
      </c>
      <c r="J2306" s="490" t="s">
        <v>31512</v>
      </c>
      <c r="K2306" s="490" t="s">
        <v>31513</v>
      </c>
      <c r="L2306" s="490" t="s">
        <v>31514</v>
      </c>
      <c r="M2306" s="490" t="s">
        <v>31515</v>
      </c>
      <c r="N2306" s="490" t="s">
        <v>31516</v>
      </c>
      <c r="O2306" s="490" t="s">
        <v>31517</v>
      </c>
      <c r="P2306" s="36" t="s">
        <v>27749</v>
      </c>
    </row>
    <row r="2307" spans="1:16">
      <c r="A2307" s="132">
        <v>2306</v>
      </c>
      <c r="B2307" s="36" t="s">
        <v>27752</v>
      </c>
      <c r="C2307" s="36" t="s">
        <v>27753</v>
      </c>
      <c r="D2307" s="36" t="s">
        <v>27754</v>
      </c>
      <c r="E2307" s="490" t="s">
        <v>31518</v>
      </c>
      <c r="F2307" s="490" t="s">
        <v>31519</v>
      </c>
      <c r="G2307" s="490" t="s">
        <v>31520</v>
      </c>
      <c r="H2307" s="490" t="s">
        <v>31521</v>
      </c>
      <c r="I2307" s="490" t="s">
        <v>31522</v>
      </c>
      <c r="J2307" s="490" t="s">
        <v>31523</v>
      </c>
      <c r="K2307" s="490" t="s">
        <v>31524</v>
      </c>
      <c r="L2307" s="490" t="s">
        <v>31525</v>
      </c>
      <c r="M2307" s="490" t="s">
        <v>31525</v>
      </c>
      <c r="N2307" s="490" t="s">
        <v>31526</v>
      </c>
      <c r="O2307" s="490" t="s">
        <v>31527</v>
      </c>
      <c r="P2307" s="36" t="s">
        <v>27752</v>
      </c>
    </row>
    <row r="2308" spans="1:16">
      <c r="A2308" s="132">
        <v>2307</v>
      </c>
      <c r="B2308" s="36" t="s">
        <v>27755</v>
      </c>
      <c r="C2308" s="36" t="s">
        <v>27756</v>
      </c>
      <c r="D2308" s="490" t="s">
        <v>25364</v>
      </c>
      <c r="E2308" s="490" t="s">
        <v>31528</v>
      </c>
      <c r="F2308" s="490" t="s">
        <v>30637</v>
      </c>
      <c r="G2308" s="490" t="s">
        <v>31529</v>
      </c>
      <c r="H2308" s="490" t="s">
        <v>31530</v>
      </c>
      <c r="I2308" s="490" t="s">
        <v>30637</v>
      </c>
      <c r="J2308" s="490" t="s">
        <v>30636</v>
      </c>
      <c r="K2308" s="490" t="s">
        <v>30641</v>
      </c>
      <c r="L2308" s="490" t="s">
        <v>31531</v>
      </c>
      <c r="M2308" s="490" t="s">
        <v>31532</v>
      </c>
      <c r="N2308" s="490" t="s">
        <v>31532</v>
      </c>
      <c r="O2308" s="490" t="s">
        <v>30643</v>
      </c>
      <c r="P2308" s="36" t="s">
        <v>27755</v>
      </c>
    </row>
    <row r="2309" spans="1:16">
      <c r="A2309" s="132">
        <v>2308</v>
      </c>
      <c r="B2309" s="36" t="s">
        <v>27757</v>
      </c>
      <c r="C2309" s="36" t="s">
        <v>27758</v>
      </c>
      <c r="D2309" s="491" t="s">
        <v>31533</v>
      </c>
      <c r="E2309" s="490" t="s">
        <v>31534</v>
      </c>
      <c r="F2309" s="490" t="s">
        <v>31535</v>
      </c>
      <c r="G2309" s="490" t="s">
        <v>31536</v>
      </c>
      <c r="H2309" s="490" t="s">
        <v>31537</v>
      </c>
      <c r="I2309" s="490" t="s">
        <v>31538</v>
      </c>
      <c r="J2309" s="490" t="s">
        <v>31539</v>
      </c>
      <c r="K2309" s="490" t="s">
        <v>31540</v>
      </c>
      <c r="L2309" s="490" t="s">
        <v>31541</v>
      </c>
      <c r="M2309" s="490" t="s">
        <v>31542</v>
      </c>
      <c r="N2309" s="490" t="s">
        <v>31543</v>
      </c>
      <c r="O2309" s="490" t="s">
        <v>31544</v>
      </c>
      <c r="P2309" s="36" t="s">
        <v>27757</v>
      </c>
    </row>
    <row r="2310" spans="1:16">
      <c r="A2310" s="132">
        <v>2309</v>
      </c>
      <c r="B2310" s="36" t="s">
        <v>27759</v>
      </c>
      <c r="C2310" s="36" t="s">
        <v>27760</v>
      </c>
      <c r="D2310" s="36" t="s">
        <v>27761</v>
      </c>
      <c r="E2310" s="490" t="s">
        <v>31545</v>
      </c>
      <c r="F2310" s="490" t="s">
        <v>31546</v>
      </c>
      <c r="G2310" s="490" t="s">
        <v>31547</v>
      </c>
      <c r="H2310" s="490" t="s">
        <v>31548</v>
      </c>
      <c r="I2310" s="490" t="s">
        <v>31549</v>
      </c>
      <c r="J2310" s="490" t="s">
        <v>31550</v>
      </c>
      <c r="K2310" s="490" t="s">
        <v>31551</v>
      </c>
      <c r="L2310" s="490" t="s">
        <v>31552</v>
      </c>
      <c r="M2310" s="490" t="s">
        <v>31553</v>
      </c>
      <c r="N2310" s="490" t="s">
        <v>31553</v>
      </c>
      <c r="O2310" s="490" t="s">
        <v>31554</v>
      </c>
      <c r="P2310" s="36" t="s">
        <v>27759</v>
      </c>
    </row>
    <row r="2311" spans="1:16">
      <c r="A2311" s="132">
        <v>2310</v>
      </c>
      <c r="B2311" s="36" t="s">
        <v>27762</v>
      </c>
      <c r="C2311" s="36" t="s">
        <v>27763</v>
      </c>
      <c r="D2311" s="36" t="s">
        <v>27764</v>
      </c>
      <c r="E2311" s="490" t="s">
        <v>31555</v>
      </c>
      <c r="F2311" s="490" t="s">
        <v>31556</v>
      </c>
      <c r="G2311" s="490" t="s">
        <v>31557</v>
      </c>
      <c r="H2311" s="490" t="s">
        <v>31558</v>
      </c>
      <c r="I2311" s="490" t="s">
        <v>31556</v>
      </c>
      <c r="J2311" s="490" t="s">
        <v>31559</v>
      </c>
      <c r="K2311" s="490" t="s">
        <v>31560</v>
      </c>
      <c r="L2311" s="490" t="s">
        <v>31561</v>
      </c>
      <c r="M2311" s="490" t="s">
        <v>31562</v>
      </c>
      <c r="N2311" s="490" t="s">
        <v>31562</v>
      </c>
      <c r="O2311" s="490" t="s">
        <v>31563</v>
      </c>
      <c r="P2311" s="36" t="s">
        <v>27762</v>
      </c>
    </row>
    <row r="2312" spans="1:16">
      <c r="A2312" s="132">
        <v>2311</v>
      </c>
      <c r="B2312" s="36" t="s">
        <v>27765</v>
      </c>
      <c r="C2312" s="36" t="s">
        <v>27766</v>
      </c>
      <c r="D2312" s="36" t="s">
        <v>27767</v>
      </c>
      <c r="E2312" s="490" t="s">
        <v>31564</v>
      </c>
      <c r="F2312" s="490" t="s">
        <v>31565</v>
      </c>
      <c r="G2312" s="490" t="s">
        <v>31566</v>
      </c>
      <c r="H2312" s="490" t="s">
        <v>31567</v>
      </c>
      <c r="I2312" s="490" t="s">
        <v>31565</v>
      </c>
      <c r="J2312" s="490" t="s">
        <v>31568</v>
      </c>
      <c r="K2312" s="490" t="s">
        <v>31569</v>
      </c>
      <c r="L2312" s="490" t="s">
        <v>31570</v>
      </c>
      <c r="M2312" s="490" t="s">
        <v>31571</v>
      </c>
      <c r="N2312" s="490" t="s">
        <v>31572</v>
      </c>
      <c r="O2312" s="490" t="s">
        <v>31573</v>
      </c>
      <c r="P2312" s="36" t="s">
        <v>27765</v>
      </c>
    </row>
    <row r="2313" spans="1:16">
      <c r="A2313" s="132">
        <v>2312</v>
      </c>
      <c r="B2313" s="36" t="s">
        <v>27768</v>
      </c>
      <c r="C2313" s="36" t="s">
        <v>27769</v>
      </c>
      <c r="D2313" s="36" t="s">
        <v>27770</v>
      </c>
      <c r="E2313" s="490" t="s">
        <v>31574</v>
      </c>
      <c r="F2313" s="490" t="s">
        <v>31575</v>
      </c>
      <c r="G2313" s="490" t="s">
        <v>31576</v>
      </c>
      <c r="H2313" s="490" t="s">
        <v>31577</v>
      </c>
      <c r="I2313" s="490" t="s">
        <v>31578</v>
      </c>
      <c r="J2313" s="490" t="s">
        <v>31579</v>
      </c>
      <c r="K2313" s="490" t="s">
        <v>31580</v>
      </c>
      <c r="L2313" s="490" t="s">
        <v>31581</v>
      </c>
      <c r="M2313" s="490" t="s">
        <v>31582</v>
      </c>
      <c r="N2313" s="490" t="s">
        <v>31583</v>
      </c>
      <c r="O2313" s="490" t="s">
        <v>31584</v>
      </c>
      <c r="P2313" s="36" t="s">
        <v>27768</v>
      </c>
    </row>
    <row r="2314" spans="1:16">
      <c r="A2314" s="132">
        <v>2313</v>
      </c>
      <c r="B2314" s="36" t="s">
        <v>27771</v>
      </c>
      <c r="C2314" s="36" t="s">
        <v>27772</v>
      </c>
      <c r="D2314" s="36" t="s">
        <v>27773</v>
      </c>
      <c r="E2314" s="490" t="s">
        <v>31585</v>
      </c>
      <c r="F2314" s="490" t="s">
        <v>31586</v>
      </c>
      <c r="G2314" s="490" t="s">
        <v>31587</v>
      </c>
      <c r="H2314" s="490" t="s">
        <v>31588</v>
      </c>
      <c r="I2314" s="490" t="s">
        <v>31589</v>
      </c>
      <c r="J2314" s="490" t="s">
        <v>31590</v>
      </c>
      <c r="K2314" s="490" t="s">
        <v>31591</v>
      </c>
      <c r="L2314" s="490" t="s">
        <v>31592</v>
      </c>
      <c r="M2314" s="490" t="s">
        <v>31593</v>
      </c>
      <c r="N2314" s="490" t="s">
        <v>31594</v>
      </c>
      <c r="O2314" s="490" t="s">
        <v>31595</v>
      </c>
      <c r="P2314" s="36" t="s">
        <v>27771</v>
      </c>
    </row>
    <row r="2315" spans="1:16">
      <c r="A2315" s="132">
        <v>2314</v>
      </c>
      <c r="B2315" s="36" t="s">
        <v>27774</v>
      </c>
      <c r="C2315" s="36" t="s">
        <v>27775</v>
      </c>
      <c r="D2315" s="490" t="s">
        <v>31596</v>
      </c>
      <c r="E2315" s="490" t="s">
        <v>31597</v>
      </c>
      <c r="F2315" s="490" t="s">
        <v>31598</v>
      </c>
      <c r="G2315" s="490" t="s">
        <v>31599</v>
      </c>
      <c r="H2315" s="490" t="s">
        <v>31600</v>
      </c>
      <c r="I2315" s="490" t="s">
        <v>31601</v>
      </c>
      <c r="J2315" s="490" t="s">
        <v>31602</v>
      </c>
      <c r="K2315" s="490" t="s">
        <v>31603</v>
      </c>
      <c r="L2315" s="490" t="s">
        <v>31604</v>
      </c>
      <c r="M2315" s="490" t="s">
        <v>31605</v>
      </c>
      <c r="N2315" s="490" t="s">
        <v>31606</v>
      </c>
      <c r="O2315" s="490" t="s">
        <v>31607</v>
      </c>
      <c r="P2315" s="36" t="s">
        <v>27774</v>
      </c>
    </row>
    <row r="2316" spans="1:16">
      <c r="A2316" s="132">
        <v>2315</v>
      </c>
      <c r="B2316" s="36" t="s">
        <v>27776</v>
      </c>
      <c r="C2316" s="36" t="s">
        <v>27777</v>
      </c>
      <c r="D2316" s="36" t="s">
        <v>27778</v>
      </c>
      <c r="E2316" s="490" t="s">
        <v>31608</v>
      </c>
      <c r="F2316" s="490" t="s">
        <v>31609</v>
      </c>
      <c r="G2316" s="490" t="s">
        <v>31610</v>
      </c>
      <c r="H2316" s="490" t="s">
        <v>31611</v>
      </c>
      <c r="I2316" s="490" t="s">
        <v>31612</v>
      </c>
      <c r="J2316" s="490" t="s">
        <v>31613</v>
      </c>
      <c r="K2316" s="490" t="s">
        <v>31614</v>
      </c>
      <c r="L2316" s="490" t="s">
        <v>31615</v>
      </c>
      <c r="M2316" s="490" t="s">
        <v>31616</v>
      </c>
      <c r="N2316" s="490" t="s">
        <v>31617</v>
      </c>
      <c r="O2316" s="490" t="s">
        <v>31618</v>
      </c>
      <c r="P2316" s="36" t="s">
        <v>27776</v>
      </c>
    </row>
    <row r="2317" spans="1:16">
      <c r="A2317" s="132">
        <v>2316</v>
      </c>
      <c r="B2317" s="36" t="s">
        <v>27779</v>
      </c>
      <c r="C2317" s="36" t="s">
        <v>27780</v>
      </c>
      <c r="D2317" s="490" t="s">
        <v>31619</v>
      </c>
      <c r="E2317" s="490" t="s">
        <v>31620</v>
      </c>
      <c r="F2317" s="490" t="s">
        <v>31621</v>
      </c>
      <c r="G2317" s="490" t="s">
        <v>31622</v>
      </c>
      <c r="H2317" s="490" t="s">
        <v>31623</v>
      </c>
      <c r="I2317" s="490" t="s">
        <v>31624</v>
      </c>
      <c r="J2317" s="490" t="s">
        <v>31625</v>
      </c>
      <c r="K2317" s="490" t="s">
        <v>31626</v>
      </c>
      <c r="L2317" s="490" t="s">
        <v>31627</v>
      </c>
      <c r="M2317" s="490" t="s">
        <v>31628</v>
      </c>
      <c r="N2317" s="490" t="s">
        <v>31629</v>
      </c>
      <c r="O2317" s="490" t="s">
        <v>31630</v>
      </c>
      <c r="P2317" s="36" t="s">
        <v>27779</v>
      </c>
    </row>
    <row r="2318" spans="1:16">
      <c r="A2318" s="132">
        <v>2317</v>
      </c>
      <c r="B2318" s="36" t="s">
        <v>27781</v>
      </c>
      <c r="C2318" s="36" t="s">
        <v>4555</v>
      </c>
      <c r="D2318" s="36" t="s">
        <v>27782</v>
      </c>
      <c r="E2318" s="490" t="s">
        <v>31631</v>
      </c>
      <c r="F2318" s="490" t="s">
        <v>31632</v>
      </c>
      <c r="G2318" s="490" t="s">
        <v>4559</v>
      </c>
      <c r="H2318" s="490" t="s">
        <v>31633</v>
      </c>
      <c r="I2318" s="490" t="s">
        <v>31632</v>
      </c>
      <c r="J2318" s="490" t="s">
        <v>31634</v>
      </c>
      <c r="K2318" s="490" t="s">
        <v>31635</v>
      </c>
      <c r="L2318" s="490" t="s">
        <v>31636</v>
      </c>
      <c r="M2318" s="490" t="s">
        <v>31637</v>
      </c>
      <c r="N2318" s="490" t="s">
        <v>31638</v>
      </c>
      <c r="O2318" s="490" t="s">
        <v>31639</v>
      </c>
      <c r="P2318" s="36" t="s">
        <v>27781</v>
      </c>
    </row>
    <row r="2319" spans="1:16">
      <c r="A2319" s="132">
        <v>2318</v>
      </c>
      <c r="B2319" s="36" t="s">
        <v>27783</v>
      </c>
      <c r="C2319" s="36" t="s">
        <v>27784</v>
      </c>
      <c r="D2319" s="490" t="s">
        <v>31640</v>
      </c>
      <c r="E2319" s="490" t="s">
        <v>31641</v>
      </c>
      <c r="F2319" s="490" t="s">
        <v>31642</v>
      </c>
      <c r="G2319" s="490" t="s">
        <v>31643</v>
      </c>
      <c r="H2319" s="490" t="s">
        <v>31644</v>
      </c>
      <c r="I2319" s="490" t="s">
        <v>31645</v>
      </c>
      <c r="J2319" s="490" t="s">
        <v>31646</v>
      </c>
      <c r="K2319" s="490" t="s">
        <v>31647</v>
      </c>
      <c r="L2319" s="490" t="s">
        <v>31648</v>
      </c>
      <c r="M2319" s="490" t="s">
        <v>31649</v>
      </c>
      <c r="N2319" s="490" t="s">
        <v>31650</v>
      </c>
      <c r="O2319" s="490" t="s">
        <v>31651</v>
      </c>
      <c r="P2319" s="36" t="s">
        <v>27783</v>
      </c>
    </row>
    <row r="2320" spans="1:16">
      <c r="A2320" s="132">
        <v>2319</v>
      </c>
      <c r="B2320" s="36" t="s">
        <v>27785</v>
      </c>
      <c r="C2320" s="36" t="s">
        <v>27786</v>
      </c>
      <c r="D2320" s="36" t="s">
        <v>27787</v>
      </c>
      <c r="E2320" s="490" t="s">
        <v>31652</v>
      </c>
      <c r="F2320" s="490" t="s">
        <v>31653</v>
      </c>
      <c r="G2320" s="490" t="s">
        <v>31654</v>
      </c>
      <c r="H2320" s="490" t="s">
        <v>31655</v>
      </c>
      <c r="I2320" s="490" t="s">
        <v>31656</v>
      </c>
      <c r="J2320" s="490" t="s">
        <v>31657</v>
      </c>
      <c r="K2320" s="490" t="s">
        <v>31658</v>
      </c>
      <c r="L2320" s="490" t="s">
        <v>31659</v>
      </c>
      <c r="M2320" s="490" t="s">
        <v>31660</v>
      </c>
      <c r="N2320" s="490" t="s">
        <v>31661</v>
      </c>
      <c r="O2320" s="490" t="s">
        <v>31662</v>
      </c>
      <c r="P2320" s="36" t="s">
        <v>27785</v>
      </c>
    </row>
    <row r="2321" spans="1:16">
      <c r="A2321" s="132">
        <v>2320</v>
      </c>
      <c r="B2321" s="36" t="s">
        <v>27788</v>
      </c>
      <c r="C2321" s="36" t="s">
        <v>27789</v>
      </c>
      <c r="D2321" s="490" t="s">
        <v>31663</v>
      </c>
      <c r="E2321" s="490" t="s">
        <v>31664</v>
      </c>
      <c r="F2321" s="490" t="s">
        <v>31665</v>
      </c>
      <c r="G2321" s="490" t="s">
        <v>31666</v>
      </c>
      <c r="H2321" s="490" t="s">
        <v>31667</v>
      </c>
      <c r="I2321" s="490" t="s">
        <v>31668</v>
      </c>
      <c r="J2321" s="490" t="s">
        <v>31669</v>
      </c>
      <c r="K2321" s="490" t="s">
        <v>31670</v>
      </c>
      <c r="L2321" s="490" t="s">
        <v>31671</v>
      </c>
      <c r="M2321" s="490" t="s">
        <v>31672</v>
      </c>
      <c r="N2321" s="490" t="s">
        <v>31672</v>
      </c>
      <c r="O2321" s="490" t="s">
        <v>31673</v>
      </c>
      <c r="P2321" s="36" t="s">
        <v>27788</v>
      </c>
    </row>
    <row r="2322" spans="1:16">
      <c r="A2322" s="132">
        <v>2321</v>
      </c>
      <c r="B2322" s="36" t="s">
        <v>27790</v>
      </c>
      <c r="C2322" s="36" t="s">
        <v>27791</v>
      </c>
      <c r="D2322" s="490" t="s">
        <v>31674</v>
      </c>
      <c r="E2322" s="490" t="s">
        <v>31675</v>
      </c>
      <c r="F2322" s="490" t="s">
        <v>31676</v>
      </c>
      <c r="G2322" s="490" t="s">
        <v>31677</v>
      </c>
      <c r="H2322" s="490" t="s">
        <v>31678</v>
      </c>
      <c r="I2322" s="490" t="s">
        <v>31676</v>
      </c>
      <c r="J2322" s="490" t="s">
        <v>31679</v>
      </c>
      <c r="K2322" s="490" t="s">
        <v>31680</v>
      </c>
      <c r="L2322" s="490" t="s">
        <v>31681</v>
      </c>
      <c r="M2322" s="490" t="s">
        <v>31681</v>
      </c>
      <c r="N2322" s="490" t="s">
        <v>31681</v>
      </c>
      <c r="O2322" s="490" t="s">
        <v>31680</v>
      </c>
      <c r="P2322" s="36" t="s">
        <v>27790</v>
      </c>
    </row>
    <row r="2323" spans="1:16">
      <c r="A2323" s="132">
        <v>2322</v>
      </c>
      <c r="B2323" s="36" t="s">
        <v>27792</v>
      </c>
      <c r="C2323" s="36" t="s">
        <v>27793</v>
      </c>
      <c r="D2323" s="36" t="s">
        <v>27794</v>
      </c>
      <c r="E2323" s="490" t="s">
        <v>31682</v>
      </c>
      <c r="F2323" s="490" t="s">
        <v>31683</v>
      </c>
      <c r="G2323" s="490" t="s">
        <v>31684</v>
      </c>
      <c r="H2323" s="490" t="s">
        <v>31685</v>
      </c>
      <c r="I2323" s="490" t="s">
        <v>31683</v>
      </c>
      <c r="J2323" s="490" t="s">
        <v>31686</v>
      </c>
      <c r="K2323" s="490" t="s">
        <v>31687</v>
      </c>
      <c r="L2323" s="490" t="s">
        <v>31688</v>
      </c>
      <c r="M2323" s="490" t="s">
        <v>31689</v>
      </c>
      <c r="N2323" s="490" t="s">
        <v>31690</v>
      </c>
      <c r="O2323" s="490" t="s">
        <v>31691</v>
      </c>
      <c r="P2323" s="36" t="s">
        <v>27792</v>
      </c>
    </row>
    <row r="2324" spans="1:16">
      <c r="A2324" s="132">
        <v>2323</v>
      </c>
      <c r="B2324" s="36" t="s">
        <v>27795</v>
      </c>
      <c r="C2324" s="36" t="s">
        <v>27795</v>
      </c>
      <c r="D2324" s="36" t="s">
        <v>27796</v>
      </c>
      <c r="E2324" s="490" t="s">
        <v>27795</v>
      </c>
      <c r="F2324" s="490" t="s">
        <v>27795</v>
      </c>
      <c r="G2324" s="490" t="s">
        <v>27795</v>
      </c>
      <c r="H2324" s="490" t="s">
        <v>27795</v>
      </c>
      <c r="I2324" s="490" t="s">
        <v>27795</v>
      </c>
      <c r="J2324" s="490" t="s">
        <v>27795</v>
      </c>
      <c r="K2324" s="490" t="s">
        <v>27795</v>
      </c>
      <c r="L2324" s="490" t="s">
        <v>27795</v>
      </c>
      <c r="M2324" s="490" t="s">
        <v>27795</v>
      </c>
      <c r="N2324" s="490" t="s">
        <v>27795</v>
      </c>
      <c r="O2324" s="490" t="s">
        <v>27795</v>
      </c>
      <c r="P2324" s="36" t="s">
        <v>27795</v>
      </c>
    </row>
    <row r="2325" spans="1:16">
      <c r="A2325" s="132">
        <v>2324</v>
      </c>
      <c r="B2325" s="36" t="s">
        <v>27797</v>
      </c>
      <c r="C2325" s="36" t="s">
        <v>27798</v>
      </c>
      <c r="D2325" s="36" t="s">
        <v>27799</v>
      </c>
      <c r="E2325" s="490" t="s">
        <v>27797</v>
      </c>
      <c r="F2325" s="490" t="s">
        <v>27797</v>
      </c>
      <c r="G2325" s="490" t="s">
        <v>27797</v>
      </c>
      <c r="H2325" s="490" t="s">
        <v>27797</v>
      </c>
      <c r="I2325" s="490" t="s">
        <v>27797</v>
      </c>
      <c r="J2325" s="490" t="s">
        <v>27797</v>
      </c>
      <c r="K2325" s="490" t="s">
        <v>27797</v>
      </c>
      <c r="L2325" s="490" t="s">
        <v>27797</v>
      </c>
      <c r="M2325" s="490" t="s">
        <v>27797</v>
      </c>
      <c r="N2325" s="490" t="s">
        <v>27797</v>
      </c>
      <c r="O2325" s="490" t="s">
        <v>27797</v>
      </c>
      <c r="P2325" s="36" t="s">
        <v>27797</v>
      </c>
    </row>
    <row r="2326" spans="1:16">
      <c r="A2326" s="132">
        <v>2325</v>
      </c>
      <c r="B2326" s="36" t="s">
        <v>27800</v>
      </c>
      <c r="C2326" s="36" t="s">
        <v>27801</v>
      </c>
      <c r="D2326" s="36" t="s">
        <v>5000</v>
      </c>
      <c r="E2326" s="490" t="s">
        <v>31692</v>
      </c>
      <c r="F2326" s="490" t="s">
        <v>31693</v>
      </c>
      <c r="G2326" s="490" t="s">
        <v>31694</v>
      </c>
      <c r="H2326" s="490" t="s">
        <v>31695</v>
      </c>
      <c r="I2326" s="490" t="s">
        <v>31696</v>
      </c>
      <c r="J2326" s="490" t="s">
        <v>31697</v>
      </c>
      <c r="K2326" s="490" t="s">
        <v>31698</v>
      </c>
      <c r="L2326" s="490" t="s">
        <v>31699</v>
      </c>
      <c r="M2326" s="490" t="s">
        <v>31700</v>
      </c>
      <c r="N2326" s="490" t="s">
        <v>31701</v>
      </c>
      <c r="O2326" s="490" t="s">
        <v>31702</v>
      </c>
      <c r="P2326" s="36" t="s">
        <v>27800</v>
      </c>
    </row>
    <row r="2327" spans="1:16">
      <c r="A2327" s="132">
        <v>2326</v>
      </c>
      <c r="B2327" s="36" t="s">
        <v>27802</v>
      </c>
      <c r="C2327" s="36" t="s">
        <v>27803</v>
      </c>
      <c r="D2327" s="36" t="s">
        <v>27804</v>
      </c>
      <c r="E2327" s="490" t="s">
        <v>31703</v>
      </c>
      <c r="F2327" s="490" t="s">
        <v>31704</v>
      </c>
      <c r="G2327" s="490" t="s">
        <v>31705</v>
      </c>
      <c r="H2327" s="490" t="s">
        <v>31706</v>
      </c>
      <c r="I2327" s="490" t="s">
        <v>31707</v>
      </c>
      <c r="J2327" s="490" t="s">
        <v>31708</v>
      </c>
      <c r="K2327" s="490" t="s">
        <v>31709</v>
      </c>
      <c r="L2327" s="490" t="s">
        <v>31710</v>
      </c>
      <c r="M2327" s="490" t="s">
        <v>31711</v>
      </c>
      <c r="N2327" s="490" t="s">
        <v>31712</v>
      </c>
      <c r="O2327" s="490" t="s">
        <v>31713</v>
      </c>
      <c r="P2327" s="36" t="s">
        <v>27802</v>
      </c>
    </row>
    <row r="2328" spans="1:16">
      <c r="A2328" s="132">
        <v>2327</v>
      </c>
      <c r="B2328" s="36" t="s">
        <v>27805</v>
      </c>
      <c r="C2328" s="36" t="s">
        <v>27806</v>
      </c>
      <c r="D2328" s="36" t="s">
        <v>5014</v>
      </c>
      <c r="E2328" s="490" t="s">
        <v>31714</v>
      </c>
      <c r="F2328" s="490" t="s">
        <v>31715</v>
      </c>
      <c r="G2328" s="490" t="s">
        <v>31716</v>
      </c>
      <c r="H2328" s="490" t="s">
        <v>5018</v>
      </c>
      <c r="I2328" s="490" t="s">
        <v>31715</v>
      </c>
      <c r="J2328" s="490" t="s">
        <v>5019</v>
      </c>
      <c r="K2328" s="490" t="s">
        <v>31717</v>
      </c>
      <c r="L2328" s="490" t="s">
        <v>31718</v>
      </c>
      <c r="M2328" s="490" t="s">
        <v>31719</v>
      </c>
      <c r="N2328" s="490" t="s">
        <v>31720</v>
      </c>
      <c r="O2328" s="490" t="s">
        <v>31721</v>
      </c>
      <c r="P2328" s="36" t="s">
        <v>27805</v>
      </c>
    </row>
    <row r="2329" spans="1:16">
      <c r="A2329" s="132">
        <v>2328</v>
      </c>
      <c r="B2329" s="36" t="s">
        <v>27807</v>
      </c>
      <c r="C2329" s="36" t="s">
        <v>27808</v>
      </c>
      <c r="D2329" s="36" t="s">
        <v>27809</v>
      </c>
      <c r="E2329" s="490" t="s">
        <v>31722</v>
      </c>
      <c r="F2329" s="490" t="s">
        <v>31723</v>
      </c>
      <c r="G2329" s="490" t="s">
        <v>31724</v>
      </c>
      <c r="H2329" s="490" t="s">
        <v>31725</v>
      </c>
      <c r="I2329" s="490" t="s">
        <v>31723</v>
      </c>
      <c r="J2329" s="490" t="s">
        <v>19530</v>
      </c>
      <c r="K2329" s="490" t="s">
        <v>19531</v>
      </c>
      <c r="L2329" s="490" t="s">
        <v>31726</v>
      </c>
      <c r="M2329" s="490" t="s">
        <v>19533</v>
      </c>
      <c r="N2329" s="490" t="s">
        <v>19534</v>
      </c>
      <c r="O2329" s="490" t="s">
        <v>31727</v>
      </c>
      <c r="P2329" s="36" t="s">
        <v>27807</v>
      </c>
    </row>
    <row r="2330" spans="1:16">
      <c r="A2330" s="132">
        <v>2329</v>
      </c>
      <c r="B2330" s="36" t="s">
        <v>27810</v>
      </c>
      <c r="C2330" s="36" t="s">
        <v>27811</v>
      </c>
      <c r="D2330" s="36" t="s">
        <v>3653</v>
      </c>
      <c r="E2330" s="490" t="s">
        <v>31728</v>
      </c>
      <c r="F2330" s="490" t="s">
        <v>20959</v>
      </c>
      <c r="G2330" s="490" t="s">
        <v>20957</v>
      </c>
      <c r="H2330" s="490" t="s">
        <v>31729</v>
      </c>
      <c r="I2330" s="490" t="s">
        <v>20959</v>
      </c>
      <c r="J2330" s="490" t="s">
        <v>3662</v>
      </c>
      <c r="K2330" s="490" t="s">
        <v>17737</v>
      </c>
      <c r="L2330" s="490" t="s">
        <v>31730</v>
      </c>
      <c r="M2330" s="490" t="s">
        <v>31731</v>
      </c>
      <c r="N2330" s="490" t="s">
        <v>3662</v>
      </c>
      <c r="O2330" s="490" t="s">
        <v>17737</v>
      </c>
      <c r="P2330" s="36" t="s">
        <v>27810</v>
      </c>
    </row>
    <row r="2331" spans="1:16">
      <c r="A2331" s="132">
        <v>2330</v>
      </c>
      <c r="B2331" s="36" t="s">
        <v>27812</v>
      </c>
      <c r="C2331" s="36" t="s">
        <v>27813</v>
      </c>
      <c r="D2331" s="36" t="s">
        <v>27814</v>
      </c>
      <c r="E2331" s="490" t="s">
        <v>31732</v>
      </c>
      <c r="F2331" s="490" t="s">
        <v>31733</v>
      </c>
      <c r="G2331" s="490" t="s">
        <v>31734</v>
      </c>
      <c r="H2331" s="490" t="s">
        <v>31735</v>
      </c>
      <c r="I2331" s="490" t="s">
        <v>31736</v>
      </c>
      <c r="J2331" s="490" t="s">
        <v>31737</v>
      </c>
      <c r="K2331" s="490" t="s">
        <v>31738</v>
      </c>
      <c r="L2331" s="490" t="s">
        <v>31739</v>
      </c>
      <c r="M2331" s="490" t="s">
        <v>31740</v>
      </c>
      <c r="N2331" s="490" t="s">
        <v>31741</v>
      </c>
      <c r="O2331" s="490" t="s">
        <v>31742</v>
      </c>
      <c r="P2331" s="36" t="s">
        <v>27812</v>
      </c>
    </row>
    <row r="2332" spans="1:16">
      <c r="A2332" s="132">
        <v>2331</v>
      </c>
      <c r="B2332" s="36" t="s">
        <v>27815</v>
      </c>
      <c r="C2332" s="36" t="s">
        <v>27816</v>
      </c>
      <c r="D2332" s="36" t="s">
        <v>27817</v>
      </c>
      <c r="E2332" s="490" t="s">
        <v>31743</v>
      </c>
      <c r="F2332" s="490" t="s">
        <v>31744</v>
      </c>
      <c r="G2332" s="490" t="s">
        <v>31745</v>
      </c>
      <c r="H2332" s="490" t="s">
        <v>31746</v>
      </c>
      <c r="I2332" s="490" t="s">
        <v>31747</v>
      </c>
      <c r="J2332" s="490" t="s">
        <v>31748</v>
      </c>
      <c r="K2332" s="490" t="s">
        <v>31749</v>
      </c>
      <c r="L2332" s="490" t="s">
        <v>31750</v>
      </c>
      <c r="M2332" s="490" t="s">
        <v>31751</v>
      </c>
      <c r="N2332" s="490" t="s">
        <v>31752</v>
      </c>
      <c r="O2332" s="490" t="s">
        <v>31753</v>
      </c>
      <c r="P2332" s="36" t="s">
        <v>27815</v>
      </c>
    </row>
    <row r="2333" spans="1:16">
      <c r="A2333" s="132">
        <v>2332</v>
      </c>
      <c r="B2333" s="36" t="s">
        <v>27818</v>
      </c>
      <c r="C2333" s="36" t="s">
        <v>27819</v>
      </c>
      <c r="D2333" s="36" t="s">
        <v>27820</v>
      </c>
      <c r="E2333" s="490" t="s">
        <v>31754</v>
      </c>
      <c r="F2333" s="490" t="s">
        <v>31755</v>
      </c>
      <c r="G2333" s="490" t="s">
        <v>31756</v>
      </c>
      <c r="H2333" s="490" t="s">
        <v>31757</v>
      </c>
      <c r="I2333" s="490" t="s">
        <v>31758</v>
      </c>
      <c r="J2333" s="490" t="s">
        <v>31759</v>
      </c>
      <c r="K2333" s="490" t="s">
        <v>31760</v>
      </c>
      <c r="L2333" s="490" t="s">
        <v>31761</v>
      </c>
      <c r="M2333" s="490" t="s">
        <v>31761</v>
      </c>
      <c r="N2333" s="490" t="s">
        <v>31762</v>
      </c>
      <c r="O2333" s="490" t="s">
        <v>31763</v>
      </c>
      <c r="P2333" s="36" t="s">
        <v>27818</v>
      </c>
    </row>
    <row r="2334" spans="1:16">
      <c r="A2334" s="132">
        <v>2333</v>
      </c>
      <c r="B2334" s="36" t="s">
        <v>27821</v>
      </c>
      <c r="C2334" s="36" t="s">
        <v>27822</v>
      </c>
      <c r="D2334" s="491" t="s">
        <v>31764</v>
      </c>
      <c r="E2334" s="490" t="s">
        <v>31765</v>
      </c>
      <c r="F2334" s="490" t="s">
        <v>31766</v>
      </c>
      <c r="G2334" s="490" t="s">
        <v>31767</v>
      </c>
      <c r="H2334" s="490" t="s">
        <v>31768</v>
      </c>
      <c r="I2334" s="490" t="s">
        <v>31769</v>
      </c>
      <c r="J2334" s="490" t="s">
        <v>31770</v>
      </c>
      <c r="K2334" s="490" t="s">
        <v>31771</v>
      </c>
      <c r="L2334" s="490" t="s">
        <v>31772</v>
      </c>
      <c r="M2334" s="490" t="s">
        <v>31772</v>
      </c>
      <c r="N2334" s="490" t="s">
        <v>31773</v>
      </c>
      <c r="O2334" s="490" t="s">
        <v>31774</v>
      </c>
      <c r="P2334" s="36" t="s">
        <v>27821</v>
      </c>
    </row>
    <row r="2335" spans="1:16">
      <c r="A2335" s="132">
        <v>2334</v>
      </c>
      <c r="B2335" s="36" t="s">
        <v>27823</v>
      </c>
      <c r="C2335" s="36" t="s">
        <v>27824</v>
      </c>
      <c r="D2335" s="491" t="s">
        <v>31775</v>
      </c>
      <c r="E2335" s="490" t="s">
        <v>31776</v>
      </c>
      <c r="F2335" s="490" t="s">
        <v>31777</v>
      </c>
      <c r="G2335" s="490" t="s">
        <v>31778</v>
      </c>
      <c r="H2335" s="490" t="s">
        <v>31779</v>
      </c>
      <c r="I2335" s="490" t="s">
        <v>31780</v>
      </c>
      <c r="J2335" s="490" t="s">
        <v>31781</v>
      </c>
      <c r="K2335" s="490" t="s">
        <v>31782</v>
      </c>
      <c r="L2335" s="490" t="s">
        <v>31783</v>
      </c>
      <c r="M2335" s="490" t="s">
        <v>31784</v>
      </c>
      <c r="N2335" s="490" t="s">
        <v>19724</v>
      </c>
      <c r="O2335" s="490" t="s">
        <v>31785</v>
      </c>
      <c r="P2335" s="36" t="s">
        <v>27823</v>
      </c>
    </row>
    <row r="2336" spans="1:16">
      <c r="A2336" s="132">
        <v>2335</v>
      </c>
      <c r="B2336" s="36" t="s">
        <v>27825</v>
      </c>
      <c r="C2336" s="36" t="s">
        <v>27826</v>
      </c>
      <c r="D2336" s="491" t="s">
        <v>31786</v>
      </c>
      <c r="E2336" s="490" t="s">
        <v>31787</v>
      </c>
      <c r="F2336" s="490" t="s">
        <v>31788</v>
      </c>
      <c r="G2336" s="490" t="s">
        <v>31789</v>
      </c>
      <c r="H2336" s="490" t="s">
        <v>31790</v>
      </c>
      <c r="I2336" s="490" t="s">
        <v>31791</v>
      </c>
      <c r="J2336" s="490" t="s">
        <v>31792</v>
      </c>
      <c r="K2336" s="490" t="s">
        <v>31793</v>
      </c>
      <c r="L2336" s="490" t="s">
        <v>31794</v>
      </c>
      <c r="M2336" s="490" t="s">
        <v>31792</v>
      </c>
      <c r="N2336" s="490" t="s">
        <v>31792</v>
      </c>
      <c r="O2336" s="490" t="s">
        <v>31795</v>
      </c>
      <c r="P2336" s="36" t="s">
        <v>27825</v>
      </c>
    </row>
    <row r="2337" spans="1:16">
      <c r="A2337" s="132">
        <v>2336</v>
      </c>
      <c r="B2337" s="36" t="s">
        <v>27827</v>
      </c>
      <c r="C2337" s="36" t="s">
        <v>27828</v>
      </c>
      <c r="D2337" s="36" t="s">
        <v>27829</v>
      </c>
      <c r="E2337" s="490" t="s">
        <v>31796</v>
      </c>
      <c r="F2337" s="490" t="s">
        <v>31797</v>
      </c>
      <c r="G2337" s="490" t="s">
        <v>31798</v>
      </c>
      <c r="H2337" s="490" t="s">
        <v>31799</v>
      </c>
      <c r="I2337" s="490" t="s">
        <v>31800</v>
      </c>
      <c r="J2337" s="490" t="s">
        <v>31801</v>
      </c>
      <c r="K2337" s="490" t="s">
        <v>31802</v>
      </c>
      <c r="L2337" s="490" t="s">
        <v>31803</v>
      </c>
      <c r="M2337" s="490" t="s">
        <v>31803</v>
      </c>
      <c r="N2337" s="490" t="s">
        <v>31803</v>
      </c>
      <c r="O2337" s="490" t="s">
        <v>31804</v>
      </c>
      <c r="P2337" s="36" t="s">
        <v>27827</v>
      </c>
    </row>
    <row r="2338" spans="1:16">
      <c r="A2338" s="132">
        <v>2337</v>
      </c>
      <c r="B2338" s="36" t="s">
        <v>27830</v>
      </c>
      <c r="C2338" s="36" t="s">
        <v>27831</v>
      </c>
      <c r="D2338" s="36" t="s">
        <v>27832</v>
      </c>
      <c r="E2338" s="490" t="s">
        <v>31805</v>
      </c>
      <c r="F2338" s="490" t="s">
        <v>31806</v>
      </c>
      <c r="G2338" s="490" t="s">
        <v>31807</v>
      </c>
      <c r="H2338" s="490" t="s">
        <v>31808</v>
      </c>
      <c r="I2338" s="490" t="s">
        <v>31806</v>
      </c>
      <c r="J2338" s="490" t="s">
        <v>31809</v>
      </c>
      <c r="K2338" s="490" t="s">
        <v>31810</v>
      </c>
      <c r="L2338" s="490" t="s">
        <v>31811</v>
      </c>
      <c r="M2338" s="490" t="s">
        <v>31812</v>
      </c>
      <c r="N2338" s="490" t="s">
        <v>31813</v>
      </c>
      <c r="O2338" s="490" t="s">
        <v>31814</v>
      </c>
      <c r="P2338" s="36" t="s">
        <v>27830</v>
      </c>
    </row>
    <row r="2339" spans="1:16">
      <c r="A2339" s="132">
        <v>2338</v>
      </c>
      <c r="B2339" s="36" t="s">
        <v>27833</v>
      </c>
      <c r="C2339" s="36" t="s">
        <v>27834</v>
      </c>
      <c r="D2339" s="490" t="s">
        <v>27833</v>
      </c>
      <c r="E2339" s="490" t="s">
        <v>31815</v>
      </c>
      <c r="F2339" s="490" t="s">
        <v>31816</v>
      </c>
      <c r="G2339" s="490" t="s">
        <v>31817</v>
      </c>
      <c r="H2339" s="490" t="s">
        <v>31816</v>
      </c>
      <c r="I2339" s="490" t="s">
        <v>31816</v>
      </c>
      <c r="J2339" s="490" t="s">
        <v>31818</v>
      </c>
      <c r="K2339" s="490" t="s">
        <v>31819</v>
      </c>
      <c r="L2339" s="490" t="s">
        <v>31818</v>
      </c>
      <c r="M2339" s="490" t="s">
        <v>27833</v>
      </c>
      <c r="N2339" s="490" t="s">
        <v>31820</v>
      </c>
      <c r="O2339" s="490" t="s">
        <v>31821</v>
      </c>
      <c r="P2339" s="36" t="s">
        <v>27833</v>
      </c>
    </row>
    <row r="2340" spans="1:16">
      <c r="A2340" s="132">
        <v>2339</v>
      </c>
      <c r="B2340" s="36" t="s">
        <v>27835</v>
      </c>
      <c r="C2340" s="36" t="s">
        <v>27835</v>
      </c>
      <c r="D2340" s="490" t="s">
        <v>27835</v>
      </c>
      <c r="E2340" s="490" t="s">
        <v>27835</v>
      </c>
      <c r="F2340" s="490" t="s">
        <v>27835</v>
      </c>
      <c r="G2340" s="490" t="s">
        <v>27835</v>
      </c>
      <c r="H2340" s="490" t="s">
        <v>27835</v>
      </c>
      <c r="I2340" s="490" t="s">
        <v>27835</v>
      </c>
      <c r="J2340" s="490" t="s">
        <v>27835</v>
      </c>
      <c r="K2340" s="490" t="s">
        <v>27835</v>
      </c>
      <c r="L2340" s="490" t="s">
        <v>27835</v>
      </c>
      <c r="M2340" s="490" t="s">
        <v>27835</v>
      </c>
      <c r="N2340" s="490" t="s">
        <v>27835</v>
      </c>
      <c r="O2340" s="490" t="s">
        <v>27835</v>
      </c>
      <c r="P2340" s="36" t="s">
        <v>27835</v>
      </c>
    </row>
    <row r="2341" spans="1:16">
      <c r="A2341" s="132">
        <v>2340</v>
      </c>
      <c r="B2341" s="36" t="s">
        <v>27836</v>
      </c>
      <c r="C2341" s="36" t="s">
        <v>27837</v>
      </c>
      <c r="D2341" s="36" t="s">
        <v>27838</v>
      </c>
      <c r="E2341" s="490" t="s">
        <v>31822</v>
      </c>
      <c r="F2341" s="490" t="s">
        <v>31823</v>
      </c>
      <c r="G2341" s="490" t="s">
        <v>31824</v>
      </c>
      <c r="H2341" s="490" t="s">
        <v>31825</v>
      </c>
      <c r="I2341" s="490" t="s">
        <v>31826</v>
      </c>
      <c r="J2341" s="490" t="s">
        <v>31827</v>
      </c>
      <c r="K2341" s="490" t="s">
        <v>31828</v>
      </c>
      <c r="L2341" s="490" t="s">
        <v>31829</v>
      </c>
      <c r="M2341" s="490" t="s">
        <v>31830</v>
      </c>
      <c r="N2341" s="490" t="s">
        <v>31831</v>
      </c>
      <c r="O2341" s="490" t="s">
        <v>31832</v>
      </c>
      <c r="P2341" s="36" t="s">
        <v>27836</v>
      </c>
    </row>
    <row r="2342" spans="1:16">
      <c r="A2342" s="132">
        <v>2341</v>
      </c>
      <c r="B2342" s="36" t="s">
        <v>27839</v>
      </c>
      <c r="C2342" s="36" t="s">
        <v>27840</v>
      </c>
      <c r="D2342" s="490" t="s">
        <v>31833</v>
      </c>
      <c r="E2342" s="490" t="s">
        <v>27839</v>
      </c>
      <c r="F2342" s="490" t="s">
        <v>27839</v>
      </c>
      <c r="G2342" s="490" t="s">
        <v>27839</v>
      </c>
      <c r="H2342" s="490" t="s">
        <v>27839</v>
      </c>
      <c r="I2342" s="490" t="s">
        <v>27839</v>
      </c>
      <c r="J2342" s="490" t="s">
        <v>27839</v>
      </c>
      <c r="K2342" s="490" t="s">
        <v>27839</v>
      </c>
      <c r="L2342" s="490" t="s">
        <v>27839</v>
      </c>
      <c r="M2342" s="490" t="s">
        <v>27839</v>
      </c>
      <c r="N2342" s="490" t="s">
        <v>27839</v>
      </c>
      <c r="O2342" s="490" t="s">
        <v>27839</v>
      </c>
      <c r="P2342" s="36" t="s">
        <v>27839</v>
      </c>
    </row>
    <row r="2343" spans="1:16">
      <c r="A2343" s="132">
        <v>2342</v>
      </c>
      <c r="B2343" s="36" t="s">
        <v>27841</v>
      </c>
      <c r="C2343" s="36" t="s">
        <v>27842</v>
      </c>
      <c r="D2343" s="36" t="s">
        <v>27842</v>
      </c>
      <c r="E2343" s="490" t="s">
        <v>31834</v>
      </c>
      <c r="F2343" s="490" t="s">
        <v>31835</v>
      </c>
      <c r="G2343" s="490" t="s">
        <v>31836</v>
      </c>
      <c r="H2343" s="490" t="s">
        <v>31837</v>
      </c>
      <c r="I2343" s="490" t="s">
        <v>31838</v>
      </c>
      <c r="J2343" s="490" t="s">
        <v>27841</v>
      </c>
      <c r="K2343" s="490" t="s">
        <v>31839</v>
      </c>
      <c r="L2343" s="490" t="s">
        <v>27841</v>
      </c>
      <c r="M2343" s="490" t="s">
        <v>27841</v>
      </c>
      <c r="N2343" s="490" t="s">
        <v>27841</v>
      </c>
      <c r="O2343" s="490" t="s">
        <v>31840</v>
      </c>
      <c r="P2343" s="36" t="s">
        <v>27841</v>
      </c>
    </row>
    <row r="2344" spans="1:16">
      <c r="A2344" s="132">
        <v>2343</v>
      </c>
      <c r="B2344" s="36" t="s">
        <v>27843</v>
      </c>
      <c r="C2344" s="36" t="s">
        <v>27844</v>
      </c>
      <c r="D2344" s="36" t="s">
        <v>27845</v>
      </c>
      <c r="E2344" s="490" t="s">
        <v>31841</v>
      </c>
      <c r="F2344" s="490" t="s">
        <v>31842</v>
      </c>
      <c r="G2344" s="490" t="s">
        <v>31843</v>
      </c>
      <c r="H2344" s="490" t="s">
        <v>31844</v>
      </c>
      <c r="I2344" s="490" t="s">
        <v>31845</v>
      </c>
      <c r="J2344" s="490" t="s">
        <v>31846</v>
      </c>
      <c r="K2344" s="490" t="s">
        <v>31847</v>
      </c>
      <c r="L2344" s="490" t="s">
        <v>31848</v>
      </c>
      <c r="M2344" s="490" t="s">
        <v>31849</v>
      </c>
      <c r="N2344" s="490" t="s">
        <v>31850</v>
      </c>
      <c r="O2344" s="490" t="s">
        <v>31851</v>
      </c>
      <c r="P2344" s="36" t="s">
        <v>27843</v>
      </c>
    </row>
    <row r="2345" spans="1:16">
      <c r="A2345" s="132">
        <v>2344</v>
      </c>
      <c r="B2345" s="36" t="s">
        <v>27846</v>
      </c>
      <c r="C2345" s="36" t="s">
        <v>27847</v>
      </c>
      <c r="D2345" s="36" t="s">
        <v>27848</v>
      </c>
      <c r="E2345" s="490" t="s">
        <v>31852</v>
      </c>
      <c r="F2345" s="490" t="s">
        <v>31853</v>
      </c>
      <c r="G2345" s="490" t="s">
        <v>31854</v>
      </c>
      <c r="H2345" s="490" t="s">
        <v>31855</v>
      </c>
      <c r="I2345" s="490" t="s">
        <v>31856</v>
      </c>
      <c r="J2345" s="490" t="s">
        <v>31857</v>
      </c>
      <c r="K2345" s="490" t="s">
        <v>31858</v>
      </c>
      <c r="L2345" s="490" t="s">
        <v>31859</v>
      </c>
      <c r="M2345" s="490" t="s">
        <v>31860</v>
      </c>
      <c r="N2345" s="490" t="s">
        <v>31861</v>
      </c>
      <c r="O2345" s="490" t="s">
        <v>31862</v>
      </c>
      <c r="P2345" s="36" t="s">
        <v>27846</v>
      </c>
    </row>
    <row r="2346" spans="1:16">
      <c r="A2346" s="132">
        <v>2345</v>
      </c>
      <c r="B2346" s="36" t="s">
        <v>27849</v>
      </c>
      <c r="C2346" s="36" t="s">
        <v>27850</v>
      </c>
      <c r="D2346" s="490" t="s">
        <v>31863</v>
      </c>
      <c r="E2346" s="490" t="s">
        <v>31864</v>
      </c>
      <c r="F2346" s="490" t="s">
        <v>31865</v>
      </c>
      <c r="G2346" s="490" t="s">
        <v>31866</v>
      </c>
      <c r="H2346" s="490" t="s">
        <v>31867</v>
      </c>
      <c r="I2346" s="490" t="s">
        <v>31868</v>
      </c>
      <c r="J2346" s="490" t="s">
        <v>31869</v>
      </c>
      <c r="K2346" s="490" t="s">
        <v>31870</v>
      </c>
      <c r="L2346" s="490" t="s">
        <v>31871</v>
      </c>
      <c r="M2346" s="490" t="s">
        <v>31872</v>
      </c>
      <c r="N2346" s="490" t="s">
        <v>31873</v>
      </c>
      <c r="O2346" s="490" t="s">
        <v>31874</v>
      </c>
      <c r="P2346" s="36" t="s">
        <v>27849</v>
      </c>
    </row>
    <row r="2347" spans="1:16">
      <c r="A2347" s="132">
        <v>2346</v>
      </c>
      <c r="B2347" s="36" t="s">
        <v>27851</v>
      </c>
      <c r="C2347" s="36" t="s">
        <v>27852</v>
      </c>
      <c r="D2347" s="36" t="s">
        <v>27853</v>
      </c>
      <c r="E2347" s="490" t="s">
        <v>31875</v>
      </c>
      <c r="F2347" s="490" t="s">
        <v>31876</v>
      </c>
      <c r="G2347" s="490" t="s">
        <v>31877</v>
      </c>
      <c r="H2347" s="490" t="s">
        <v>31878</v>
      </c>
      <c r="I2347" s="490" t="s">
        <v>31879</v>
      </c>
      <c r="J2347" s="490" t="s">
        <v>31880</v>
      </c>
      <c r="K2347" s="490" t="s">
        <v>31881</v>
      </c>
      <c r="L2347" s="490" t="s">
        <v>31882</v>
      </c>
      <c r="M2347" s="490" t="s">
        <v>31883</v>
      </c>
      <c r="N2347" s="490" t="s">
        <v>31884</v>
      </c>
      <c r="O2347" s="490" t="s">
        <v>31885</v>
      </c>
      <c r="P2347" s="36" t="s">
        <v>27851</v>
      </c>
    </row>
    <row r="2348" spans="1:16">
      <c r="A2348" s="132">
        <v>2347</v>
      </c>
      <c r="B2348" s="36" t="s">
        <v>27854</v>
      </c>
      <c r="C2348" s="36" t="s">
        <v>27855</v>
      </c>
      <c r="D2348" s="36" t="s">
        <v>27856</v>
      </c>
      <c r="E2348" s="490" t="s">
        <v>31886</v>
      </c>
      <c r="F2348" s="490" t="s">
        <v>31887</v>
      </c>
      <c r="G2348" s="490" t="s">
        <v>31888</v>
      </c>
      <c r="H2348" s="490" t="s">
        <v>31889</v>
      </c>
      <c r="I2348" s="490" t="s">
        <v>31890</v>
      </c>
      <c r="J2348" s="490" t="s">
        <v>31891</v>
      </c>
      <c r="K2348" s="490" t="s">
        <v>31892</v>
      </c>
      <c r="L2348" s="490" t="s">
        <v>31893</v>
      </c>
      <c r="M2348" s="490" t="s">
        <v>31894</v>
      </c>
      <c r="N2348" s="490" t="s">
        <v>31895</v>
      </c>
      <c r="O2348" s="490" t="s">
        <v>31896</v>
      </c>
      <c r="P2348" s="36" t="s">
        <v>27854</v>
      </c>
    </row>
    <row r="2349" spans="1:16">
      <c r="A2349" s="132">
        <v>2348</v>
      </c>
      <c r="B2349" s="36" t="s">
        <v>27857</v>
      </c>
      <c r="C2349" s="36" t="s">
        <v>27858</v>
      </c>
      <c r="D2349" s="36" t="s">
        <v>27859</v>
      </c>
      <c r="E2349" s="490" t="s">
        <v>31897</v>
      </c>
      <c r="F2349" s="490" t="s">
        <v>31898</v>
      </c>
      <c r="G2349" s="490" t="s">
        <v>31899</v>
      </c>
      <c r="H2349" s="490" t="s">
        <v>31900</v>
      </c>
      <c r="I2349" s="490" t="s">
        <v>31901</v>
      </c>
      <c r="J2349" s="490" t="s">
        <v>31902</v>
      </c>
      <c r="K2349" s="490" t="s">
        <v>31903</v>
      </c>
      <c r="L2349" s="490" t="s">
        <v>31904</v>
      </c>
      <c r="M2349" s="490" t="s">
        <v>31905</v>
      </c>
      <c r="N2349" s="490" t="s">
        <v>31906</v>
      </c>
      <c r="O2349" s="490" t="s">
        <v>31907</v>
      </c>
      <c r="P2349" s="36" t="s">
        <v>27857</v>
      </c>
    </row>
    <row r="2350" spans="1:16">
      <c r="A2350" s="132">
        <v>2349</v>
      </c>
      <c r="B2350" s="36" t="s">
        <v>27860</v>
      </c>
      <c r="C2350" s="36" t="s">
        <v>27861</v>
      </c>
      <c r="D2350" s="36" t="s">
        <v>27862</v>
      </c>
      <c r="E2350" s="490" t="s">
        <v>31908</v>
      </c>
      <c r="F2350" s="490" t="s">
        <v>31909</v>
      </c>
      <c r="G2350" s="490" t="s">
        <v>31910</v>
      </c>
      <c r="H2350" s="490" t="s">
        <v>31911</v>
      </c>
      <c r="I2350" s="490" t="s">
        <v>31912</v>
      </c>
      <c r="J2350" s="490" t="s">
        <v>31913</v>
      </c>
      <c r="K2350" s="490" t="s">
        <v>31914</v>
      </c>
      <c r="L2350" s="490" t="s">
        <v>31915</v>
      </c>
      <c r="M2350" s="490" t="s">
        <v>31916</v>
      </c>
      <c r="N2350" s="490" t="s">
        <v>31917</v>
      </c>
      <c r="O2350" s="490" t="s">
        <v>31918</v>
      </c>
      <c r="P2350" s="36" t="s">
        <v>27860</v>
      </c>
    </row>
    <row r="2351" spans="1:16">
      <c r="A2351" s="132">
        <v>2350</v>
      </c>
      <c r="B2351" s="36" t="s">
        <v>27863</v>
      </c>
      <c r="C2351" s="36" t="s">
        <v>27864</v>
      </c>
      <c r="D2351" s="490" t="s">
        <v>31919</v>
      </c>
      <c r="E2351" s="490" t="s">
        <v>31920</v>
      </c>
      <c r="F2351" s="490" t="s">
        <v>31921</v>
      </c>
      <c r="G2351" s="490" t="s">
        <v>31922</v>
      </c>
      <c r="H2351" s="490" t="s">
        <v>31923</v>
      </c>
      <c r="I2351" s="490" t="s">
        <v>31924</v>
      </c>
      <c r="J2351" s="490" t="s">
        <v>31925</v>
      </c>
      <c r="K2351" s="490" t="s">
        <v>31926</v>
      </c>
      <c r="L2351" s="490" t="s">
        <v>31927</v>
      </c>
      <c r="M2351" s="490" t="s">
        <v>31928</v>
      </c>
      <c r="N2351" s="490" t="s">
        <v>31929</v>
      </c>
      <c r="O2351" s="490" t="s">
        <v>31930</v>
      </c>
      <c r="P2351" s="36" t="s">
        <v>27863</v>
      </c>
    </row>
    <row r="2352" spans="1:16">
      <c r="A2352" s="132">
        <v>2351</v>
      </c>
      <c r="B2352" s="36" t="s">
        <v>27865</v>
      </c>
      <c r="C2352" s="36" t="s">
        <v>27866</v>
      </c>
      <c r="D2352" s="36" t="s">
        <v>27867</v>
      </c>
      <c r="E2352" s="490" t="s">
        <v>31931</v>
      </c>
      <c r="F2352" s="490" t="s">
        <v>31932</v>
      </c>
      <c r="G2352" s="490" t="s">
        <v>31933</v>
      </c>
      <c r="H2352" s="490" t="s">
        <v>31934</v>
      </c>
      <c r="I2352" s="490" t="s">
        <v>31935</v>
      </c>
      <c r="J2352" s="490" t="s">
        <v>31936</v>
      </c>
      <c r="K2352" s="490" t="s">
        <v>31937</v>
      </c>
      <c r="L2352" s="490" t="s">
        <v>31938</v>
      </c>
      <c r="M2352" s="490" t="s">
        <v>31939</v>
      </c>
      <c r="N2352" s="490" t="s">
        <v>31938</v>
      </c>
      <c r="O2352" s="490" t="s">
        <v>31940</v>
      </c>
      <c r="P2352" s="36" t="s">
        <v>27865</v>
      </c>
    </row>
    <row r="2353" spans="1:16">
      <c r="A2353" s="132">
        <v>2352</v>
      </c>
      <c r="B2353" s="36" t="s">
        <v>27868</v>
      </c>
      <c r="C2353" s="36" t="s">
        <v>27869</v>
      </c>
      <c r="D2353" s="36" t="s">
        <v>27870</v>
      </c>
      <c r="E2353" s="490" t="s">
        <v>31941</v>
      </c>
      <c r="F2353" s="490" t="s">
        <v>31942</v>
      </c>
      <c r="G2353" s="490" t="s">
        <v>31943</v>
      </c>
      <c r="H2353" s="490" t="s">
        <v>31944</v>
      </c>
      <c r="I2353" s="490" t="s">
        <v>31945</v>
      </c>
      <c r="J2353" s="490" t="s">
        <v>31946</v>
      </c>
      <c r="K2353" s="490" t="s">
        <v>31947</v>
      </c>
      <c r="L2353" s="490" t="s">
        <v>31948</v>
      </c>
      <c r="M2353" s="490" t="s">
        <v>31949</v>
      </c>
      <c r="N2353" s="490" t="s">
        <v>31948</v>
      </c>
      <c r="O2353" s="490" t="s">
        <v>31950</v>
      </c>
      <c r="P2353" s="36" t="s">
        <v>27868</v>
      </c>
    </row>
    <row r="2354" spans="1:16">
      <c r="A2354" s="132">
        <v>2353</v>
      </c>
      <c r="B2354" s="36" t="s">
        <v>27871</v>
      </c>
      <c r="C2354" s="36" t="s">
        <v>27872</v>
      </c>
      <c r="D2354" s="36" t="s">
        <v>27873</v>
      </c>
      <c r="E2354" s="490" t="s">
        <v>31951</v>
      </c>
      <c r="F2354" s="490" t="s">
        <v>31952</v>
      </c>
      <c r="G2354" s="490" t="s">
        <v>31953</v>
      </c>
      <c r="H2354" s="490" t="s">
        <v>31954</v>
      </c>
      <c r="I2354" s="490" t="s">
        <v>31955</v>
      </c>
      <c r="J2354" s="490" t="s">
        <v>31956</v>
      </c>
      <c r="K2354" s="490" t="s">
        <v>31957</v>
      </c>
      <c r="L2354" s="490" t="s">
        <v>31958</v>
      </c>
      <c r="M2354" s="490" t="s">
        <v>31959</v>
      </c>
      <c r="N2354" s="490" t="s">
        <v>31958</v>
      </c>
      <c r="O2354" s="490" t="s">
        <v>31960</v>
      </c>
      <c r="P2354" s="36" t="s">
        <v>27871</v>
      </c>
    </row>
    <row r="2355" spans="1:16">
      <c r="A2355" s="132">
        <v>2354</v>
      </c>
      <c r="B2355" s="36" t="s">
        <v>27874</v>
      </c>
      <c r="C2355" s="36" t="s">
        <v>27875</v>
      </c>
      <c r="D2355" s="490" t="s">
        <v>31961</v>
      </c>
      <c r="E2355" s="490" t="s">
        <v>31962</v>
      </c>
      <c r="F2355" s="490" t="s">
        <v>31963</v>
      </c>
      <c r="G2355" s="490" t="s">
        <v>31964</v>
      </c>
      <c r="H2355" s="490" t="s">
        <v>31965</v>
      </c>
      <c r="I2355" s="490" t="s">
        <v>31966</v>
      </c>
      <c r="J2355" s="490" t="s">
        <v>31967</v>
      </c>
      <c r="K2355" s="490" t="s">
        <v>31968</v>
      </c>
      <c r="L2355" s="490" t="s">
        <v>31969</v>
      </c>
      <c r="M2355" s="490" t="s">
        <v>31970</v>
      </c>
      <c r="N2355" s="490" t="s">
        <v>31971</v>
      </c>
      <c r="O2355" s="490" t="s">
        <v>31972</v>
      </c>
      <c r="P2355" s="36" t="s">
        <v>27874</v>
      </c>
    </row>
    <row r="2356" spans="1:16">
      <c r="A2356" s="132">
        <v>2355</v>
      </c>
      <c r="B2356" s="36" t="s">
        <v>27876</v>
      </c>
      <c r="C2356" s="36" t="s">
        <v>27877</v>
      </c>
      <c r="D2356" s="36" t="s">
        <v>27878</v>
      </c>
      <c r="E2356" s="490" t="s">
        <v>31973</v>
      </c>
      <c r="F2356" s="490" t="s">
        <v>31974</v>
      </c>
      <c r="G2356" s="490" t="s">
        <v>31975</v>
      </c>
      <c r="H2356" s="490" t="s">
        <v>31976</v>
      </c>
      <c r="I2356" s="490" t="s">
        <v>31977</v>
      </c>
      <c r="J2356" s="490" t="s">
        <v>31978</v>
      </c>
      <c r="K2356" s="490" t="s">
        <v>31979</v>
      </c>
      <c r="L2356" s="490" t="s">
        <v>31980</v>
      </c>
      <c r="M2356" s="490" t="s">
        <v>31981</v>
      </c>
      <c r="N2356" s="490" t="s">
        <v>31980</v>
      </c>
      <c r="O2356" s="490" t="s">
        <v>31982</v>
      </c>
      <c r="P2356" s="36" t="s">
        <v>27876</v>
      </c>
    </row>
    <row r="2357" spans="1:16">
      <c r="A2357" s="132">
        <v>2356</v>
      </c>
      <c r="B2357" s="36" t="s">
        <v>27879</v>
      </c>
      <c r="C2357" s="36" t="s">
        <v>27880</v>
      </c>
      <c r="D2357" s="36" t="s">
        <v>27881</v>
      </c>
      <c r="E2357" s="490" t="s">
        <v>31983</v>
      </c>
      <c r="F2357" s="490" t="s">
        <v>31984</v>
      </c>
      <c r="G2357" s="490" t="s">
        <v>31985</v>
      </c>
      <c r="H2357" s="490" t="s">
        <v>31986</v>
      </c>
      <c r="I2357" s="490" t="s">
        <v>31987</v>
      </c>
      <c r="J2357" s="490" t="s">
        <v>31988</v>
      </c>
      <c r="K2357" s="490" t="s">
        <v>31989</v>
      </c>
      <c r="L2357" s="490" t="s">
        <v>31990</v>
      </c>
      <c r="M2357" s="490" t="s">
        <v>31991</v>
      </c>
      <c r="N2357" s="490" t="s">
        <v>31992</v>
      </c>
      <c r="O2357" s="490" t="s">
        <v>31993</v>
      </c>
      <c r="P2357" s="36" t="s">
        <v>27879</v>
      </c>
    </row>
    <row r="2358" spans="1:16">
      <c r="A2358" s="132">
        <v>2357</v>
      </c>
      <c r="B2358" s="36" t="s">
        <v>27882</v>
      </c>
      <c r="C2358" s="36" t="s">
        <v>27883</v>
      </c>
      <c r="D2358" s="36" t="s">
        <v>27884</v>
      </c>
      <c r="E2358" s="490" t="s">
        <v>31994</v>
      </c>
      <c r="F2358" s="490" t="s">
        <v>31995</v>
      </c>
      <c r="G2358" s="490" t="s">
        <v>31996</v>
      </c>
      <c r="H2358" s="490" t="s">
        <v>31997</v>
      </c>
      <c r="I2358" s="490" t="s">
        <v>31998</v>
      </c>
      <c r="J2358" s="490" t="s">
        <v>31999</v>
      </c>
      <c r="K2358" s="490" t="s">
        <v>32000</v>
      </c>
      <c r="L2358" s="490" t="s">
        <v>32001</v>
      </c>
      <c r="M2358" s="490" t="s">
        <v>32002</v>
      </c>
      <c r="N2358" s="490" t="s">
        <v>32001</v>
      </c>
      <c r="O2358" s="490" t="s">
        <v>32003</v>
      </c>
      <c r="P2358" s="36" t="s">
        <v>27882</v>
      </c>
    </row>
    <row r="2359" spans="1:16">
      <c r="A2359" s="132">
        <v>2358</v>
      </c>
      <c r="B2359" s="36" t="s">
        <v>27885</v>
      </c>
      <c r="C2359" s="36" t="s">
        <v>27886</v>
      </c>
      <c r="D2359" s="36" t="s">
        <v>27887</v>
      </c>
      <c r="E2359" s="490" t="s">
        <v>32004</v>
      </c>
      <c r="F2359" s="490" t="s">
        <v>32005</v>
      </c>
      <c r="G2359" s="490" t="s">
        <v>32006</v>
      </c>
      <c r="H2359" s="490" t="s">
        <v>32007</v>
      </c>
      <c r="I2359" s="490" t="s">
        <v>32008</v>
      </c>
      <c r="J2359" s="490" t="s">
        <v>32009</v>
      </c>
      <c r="K2359" s="490" t="s">
        <v>32010</v>
      </c>
      <c r="L2359" s="490" t="s">
        <v>32011</v>
      </c>
      <c r="M2359" s="490" t="s">
        <v>32012</v>
      </c>
      <c r="N2359" s="490" t="s">
        <v>32013</v>
      </c>
      <c r="O2359" s="490" t="s">
        <v>32014</v>
      </c>
      <c r="P2359" s="36" t="s">
        <v>27885</v>
      </c>
    </row>
    <row r="2360" spans="1:16">
      <c r="A2360" s="132">
        <v>2359</v>
      </c>
      <c r="B2360" s="36" t="s">
        <v>27888</v>
      </c>
      <c r="C2360" s="36" t="s">
        <v>27889</v>
      </c>
      <c r="D2360" s="36" t="s">
        <v>27890</v>
      </c>
      <c r="E2360" s="490" t="s">
        <v>32015</v>
      </c>
      <c r="F2360" s="490" t="s">
        <v>32016</v>
      </c>
      <c r="G2360" s="490" t="s">
        <v>32017</v>
      </c>
      <c r="H2360" s="490" t="s">
        <v>32018</v>
      </c>
      <c r="I2360" s="490" t="s">
        <v>32019</v>
      </c>
      <c r="J2360" s="490" t="s">
        <v>32020</v>
      </c>
      <c r="K2360" s="490" t="s">
        <v>32021</v>
      </c>
      <c r="L2360" s="490" t="s">
        <v>32022</v>
      </c>
      <c r="M2360" s="490" t="s">
        <v>32023</v>
      </c>
      <c r="N2360" s="490" t="s">
        <v>32024</v>
      </c>
      <c r="O2360" s="490" t="s">
        <v>32025</v>
      </c>
      <c r="P2360" s="36" t="s">
        <v>27888</v>
      </c>
    </row>
    <row r="2361" spans="1:16">
      <c r="A2361" s="132">
        <v>2360</v>
      </c>
      <c r="B2361" s="36" t="s">
        <v>27891</v>
      </c>
      <c r="C2361" s="36" t="s">
        <v>27892</v>
      </c>
      <c r="D2361" s="36" t="s">
        <v>27893</v>
      </c>
      <c r="E2361" s="490" t="s">
        <v>32026</v>
      </c>
      <c r="F2361" s="490" t="s">
        <v>32027</v>
      </c>
      <c r="G2361" s="490" t="s">
        <v>32028</v>
      </c>
      <c r="H2361" s="490" t="s">
        <v>32029</v>
      </c>
      <c r="I2361" s="490" t="s">
        <v>32030</v>
      </c>
      <c r="J2361" s="490" t="s">
        <v>32031</v>
      </c>
      <c r="K2361" s="490" t="s">
        <v>32032</v>
      </c>
      <c r="L2361" s="490" t="s">
        <v>32033</v>
      </c>
      <c r="M2361" s="490" t="s">
        <v>32034</v>
      </c>
      <c r="N2361" s="490" t="s">
        <v>32035</v>
      </c>
      <c r="O2361" s="490" t="s">
        <v>32036</v>
      </c>
      <c r="P2361" s="36" t="s">
        <v>27891</v>
      </c>
    </row>
    <row r="2362" spans="1:16">
      <c r="A2362" s="132">
        <v>2361</v>
      </c>
      <c r="B2362" s="36" t="s">
        <v>27894</v>
      </c>
      <c r="C2362" s="36" t="s">
        <v>27895</v>
      </c>
      <c r="D2362" s="36" t="s">
        <v>27896</v>
      </c>
      <c r="E2362" s="490" t="s">
        <v>32037</v>
      </c>
      <c r="F2362" s="490" t="s">
        <v>32038</v>
      </c>
      <c r="G2362" s="490" t="s">
        <v>32039</v>
      </c>
      <c r="H2362" s="490" t="s">
        <v>32040</v>
      </c>
      <c r="I2362" s="490" t="s">
        <v>32041</v>
      </c>
      <c r="J2362" s="490" t="s">
        <v>32042</v>
      </c>
      <c r="K2362" s="490" t="s">
        <v>32043</v>
      </c>
      <c r="L2362" s="490" t="s">
        <v>32044</v>
      </c>
      <c r="M2362" s="490" t="s">
        <v>32045</v>
      </c>
      <c r="N2362" s="490" t="s">
        <v>32046</v>
      </c>
      <c r="O2362" s="490" t="s">
        <v>32047</v>
      </c>
      <c r="P2362" s="36" t="s">
        <v>27894</v>
      </c>
    </row>
    <row r="2363" spans="1:16">
      <c r="A2363" s="132">
        <v>2362</v>
      </c>
      <c r="B2363" s="36" t="s">
        <v>27897</v>
      </c>
      <c r="C2363" s="36" t="s">
        <v>27898</v>
      </c>
      <c r="D2363" s="36" t="s">
        <v>27899</v>
      </c>
      <c r="E2363" s="490" t="s">
        <v>32048</v>
      </c>
      <c r="F2363" s="490" t="s">
        <v>32049</v>
      </c>
      <c r="G2363" s="490" t="s">
        <v>32050</v>
      </c>
      <c r="H2363" s="490" t="s">
        <v>32051</v>
      </c>
      <c r="I2363" s="490" t="s">
        <v>32052</v>
      </c>
      <c r="J2363" s="490" t="s">
        <v>32053</v>
      </c>
      <c r="K2363" s="490" t="s">
        <v>32054</v>
      </c>
      <c r="L2363" s="490" t="s">
        <v>32055</v>
      </c>
      <c r="M2363" s="490" t="s">
        <v>32056</v>
      </c>
      <c r="N2363" s="490" t="s">
        <v>32057</v>
      </c>
      <c r="O2363" s="490" t="s">
        <v>32058</v>
      </c>
      <c r="P2363" s="36" t="s">
        <v>27897</v>
      </c>
    </row>
    <row r="2364" spans="1:16">
      <c r="A2364" s="132">
        <v>2363</v>
      </c>
      <c r="B2364" s="36" t="s">
        <v>27900</v>
      </c>
      <c r="C2364" s="36" t="s">
        <v>27901</v>
      </c>
      <c r="D2364" s="36" t="s">
        <v>27902</v>
      </c>
      <c r="E2364" s="490" t="s">
        <v>32059</v>
      </c>
      <c r="F2364" s="490" t="s">
        <v>32060</v>
      </c>
      <c r="G2364" s="490" t="s">
        <v>32061</v>
      </c>
      <c r="H2364" s="490" t="s">
        <v>32062</v>
      </c>
      <c r="I2364" s="490" t="s">
        <v>32063</v>
      </c>
      <c r="J2364" s="490" t="s">
        <v>32064</v>
      </c>
      <c r="K2364" s="490" t="s">
        <v>32065</v>
      </c>
      <c r="L2364" s="490" t="s">
        <v>32066</v>
      </c>
      <c r="M2364" s="490" t="s">
        <v>32067</v>
      </c>
      <c r="N2364" s="490" t="s">
        <v>32068</v>
      </c>
      <c r="O2364" s="490" t="s">
        <v>32069</v>
      </c>
      <c r="P2364" s="36" t="s">
        <v>27900</v>
      </c>
    </row>
    <row r="2365" spans="1:16">
      <c r="A2365" s="132">
        <v>2364</v>
      </c>
      <c r="B2365" s="36" t="s">
        <v>27903</v>
      </c>
      <c r="C2365" s="36" t="s">
        <v>27904</v>
      </c>
      <c r="D2365" s="36" t="s">
        <v>27905</v>
      </c>
      <c r="E2365" s="490" t="s">
        <v>32070</v>
      </c>
      <c r="F2365" s="490" t="s">
        <v>32071</v>
      </c>
      <c r="G2365" s="490" t="s">
        <v>32072</v>
      </c>
      <c r="H2365" s="490" t="s">
        <v>32073</v>
      </c>
      <c r="I2365" s="490" t="s">
        <v>32074</v>
      </c>
      <c r="J2365" s="490" t="s">
        <v>32075</v>
      </c>
      <c r="K2365" s="490" t="s">
        <v>32076</v>
      </c>
      <c r="L2365" s="490" t="s">
        <v>32077</v>
      </c>
      <c r="M2365" s="490" t="s">
        <v>32078</v>
      </c>
      <c r="N2365" s="490" t="s">
        <v>32079</v>
      </c>
      <c r="O2365" s="490" t="s">
        <v>32080</v>
      </c>
      <c r="P2365" s="36" t="s">
        <v>27903</v>
      </c>
    </row>
    <row r="2366" spans="1:16">
      <c r="A2366" s="132">
        <v>2365</v>
      </c>
      <c r="B2366" s="36" t="s">
        <v>27906</v>
      </c>
      <c r="C2366" s="36" t="s">
        <v>5797</v>
      </c>
      <c r="D2366" s="36" t="s">
        <v>5784</v>
      </c>
      <c r="E2366" s="490" t="s">
        <v>32081</v>
      </c>
      <c r="F2366" s="490" t="s">
        <v>32082</v>
      </c>
      <c r="G2366" s="490" t="s">
        <v>32083</v>
      </c>
      <c r="H2366" s="490" t="s">
        <v>32084</v>
      </c>
      <c r="I2366" s="490" t="s">
        <v>32085</v>
      </c>
      <c r="J2366" s="490" t="s">
        <v>32086</v>
      </c>
      <c r="K2366" s="490" t="s">
        <v>32087</v>
      </c>
      <c r="L2366" s="490" t="s">
        <v>32088</v>
      </c>
      <c r="M2366" s="490" t="s">
        <v>32089</v>
      </c>
      <c r="N2366" s="490" t="s">
        <v>32090</v>
      </c>
      <c r="O2366" s="490" t="s">
        <v>32091</v>
      </c>
      <c r="P2366" s="36" t="s">
        <v>27906</v>
      </c>
    </row>
    <row r="2367" spans="1:16">
      <c r="A2367" s="132">
        <v>2366</v>
      </c>
      <c r="B2367" s="36" t="s">
        <v>27907</v>
      </c>
      <c r="C2367" s="36" t="s">
        <v>27908</v>
      </c>
      <c r="D2367" s="36" t="s">
        <v>27909</v>
      </c>
      <c r="E2367" s="490" t="s">
        <v>32092</v>
      </c>
      <c r="F2367" s="490" t="s">
        <v>32093</v>
      </c>
      <c r="G2367" s="490" t="s">
        <v>32094</v>
      </c>
      <c r="H2367" s="490" t="s">
        <v>32095</v>
      </c>
      <c r="I2367" s="490" t="s">
        <v>32096</v>
      </c>
      <c r="J2367" s="490" t="s">
        <v>32097</v>
      </c>
      <c r="K2367" s="490" t="s">
        <v>32098</v>
      </c>
      <c r="L2367" s="490" t="s">
        <v>32099</v>
      </c>
      <c r="M2367" s="490" t="s">
        <v>32100</v>
      </c>
      <c r="N2367" s="490" t="s">
        <v>32101</v>
      </c>
      <c r="O2367" s="490" t="s">
        <v>32102</v>
      </c>
      <c r="P2367" s="36" t="s">
        <v>27907</v>
      </c>
    </row>
    <row r="2368" spans="1:16">
      <c r="A2368" s="132">
        <v>2367</v>
      </c>
      <c r="B2368" s="36" t="s">
        <v>27910</v>
      </c>
      <c r="C2368" s="36" t="s">
        <v>27911</v>
      </c>
      <c r="D2368" s="490" t="s">
        <v>32103</v>
      </c>
      <c r="E2368" s="490" t="s">
        <v>32104</v>
      </c>
      <c r="F2368" s="490" t="s">
        <v>32105</v>
      </c>
      <c r="G2368" s="490" t="s">
        <v>32106</v>
      </c>
      <c r="H2368" s="490" t="s">
        <v>32107</v>
      </c>
      <c r="I2368" s="490" t="s">
        <v>32108</v>
      </c>
      <c r="J2368" s="490" t="s">
        <v>5804</v>
      </c>
      <c r="K2368" s="490" t="s">
        <v>32109</v>
      </c>
      <c r="L2368" s="490" t="s">
        <v>31144</v>
      </c>
      <c r="M2368" s="490" t="s">
        <v>32110</v>
      </c>
      <c r="N2368" s="490" t="s">
        <v>32111</v>
      </c>
      <c r="O2368" s="490" t="s">
        <v>32112</v>
      </c>
      <c r="P2368" s="36" t="s">
        <v>27910</v>
      </c>
    </row>
    <row r="2369" spans="1:16">
      <c r="A2369" s="132">
        <v>2368</v>
      </c>
      <c r="B2369" s="36" t="s">
        <v>27912</v>
      </c>
      <c r="C2369" s="36" t="s">
        <v>27913</v>
      </c>
      <c r="D2369" s="36" t="s">
        <v>27914</v>
      </c>
      <c r="E2369" s="490" t="s">
        <v>32113</v>
      </c>
      <c r="F2369" s="490" t="s">
        <v>32114</v>
      </c>
      <c r="G2369" s="490" t="s">
        <v>32115</v>
      </c>
      <c r="H2369" s="490" t="s">
        <v>32116</v>
      </c>
      <c r="I2369" s="490" t="s">
        <v>32117</v>
      </c>
      <c r="J2369" s="490" t="s">
        <v>32118</v>
      </c>
      <c r="K2369" s="490" t="s">
        <v>32119</v>
      </c>
      <c r="L2369" s="490" t="s">
        <v>32120</v>
      </c>
      <c r="M2369" s="490" t="s">
        <v>32121</v>
      </c>
      <c r="N2369" s="490" t="s">
        <v>32122</v>
      </c>
      <c r="O2369" s="490" t="s">
        <v>32123</v>
      </c>
      <c r="P2369" s="36" t="s">
        <v>27912</v>
      </c>
    </row>
    <row r="2370" spans="1:16">
      <c r="A2370" s="132">
        <v>2369</v>
      </c>
      <c r="B2370" s="36" t="s">
        <v>27915</v>
      </c>
      <c r="C2370" s="36" t="s">
        <v>27916</v>
      </c>
      <c r="D2370" s="36" t="s">
        <v>27917</v>
      </c>
      <c r="E2370" s="490" t="s">
        <v>32124</v>
      </c>
      <c r="F2370" s="490" t="s">
        <v>32125</v>
      </c>
      <c r="G2370" s="490" t="s">
        <v>32126</v>
      </c>
      <c r="H2370" s="490" t="s">
        <v>32127</v>
      </c>
      <c r="I2370" s="490" t="s">
        <v>32128</v>
      </c>
      <c r="J2370" s="490" t="s">
        <v>32129</v>
      </c>
      <c r="K2370" s="490" t="s">
        <v>32130</v>
      </c>
      <c r="L2370" s="490" t="s">
        <v>32131</v>
      </c>
      <c r="M2370" s="490" t="s">
        <v>32132</v>
      </c>
      <c r="N2370" s="490" t="s">
        <v>32133</v>
      </c>
      <c r="O2370" s="490" t="s">
        <v>32134</v>
      </c>
      <c r="P2370" s="36" t="s">
        <v>27915</v>
      </c>
    </row>
    <row r="2371" spans="1:16">
      <c r="A2371" s="132">
        <v>2370</v>
      </c>
      <c r="B2371" s="36" t="s">
        <v>27918</v>
      </c>
      <c r="C2371" s="36" t="s">
        <v>27919</v>
      </c>
      <c r="D2371" s="490" t="s">
        <v>32135</v>
      </c>
      <c r="E2371" s="490" t="s">
        <v>32136</v>
      </c>
      <c r="F2371" s="490" t="s">
        <v>32137</v>
      </c>
      <c r="G2371" s="490" t="s">
        <v>32138</v>
      </c>
      <c r="H2371" s="490" t="s">
        <v>32139</v>
      </c>
      <c r="I2371" s="490" t="s">
        <v>32137</v>
      </c>
      <c r="J2371" s="490" t="s">
        <v>32140</v>
      </c>
      <c r="K2371" s="490" t="s">
        <v>32141</v>
      </c>
      <c r="L2371" s="490" t="s">
        <v>32142</v>
      </c>
      <c r="M2371" s="490" t="s">
        <v>32143</v>
      </c>
      <c r="N2371" s="490" t="s">
        <v>32144</v>
      </c>
      <c r="O2371" s="490" t="s">
        <v>32145</v>
      </c>
      <c r="P2371" s="36" t="s">
        <v>27918</v>
      </c>
    </row>
    <row r="2372" spans="1:16">
      <c r="A2372" s="132">
        <v>2371</v>
      </c>
      <c r="B2372" s="36" t="s">
        <v>2358</v>
      </c>
      <c r="C2372" s="36" t="s">
        <v>2358</v>
      </c>
      <c r="D2372" s="36" t="s">
        <v>2358</v>
      </c>
      <c r="E2372" s="490" t="s">
        <v>2358</v>
      </c>
      <c r="F2372" s="490" t="s">
        <v>2358</v>
      </c>
      <c r="G2372" s="490" t="s">
        <v>2358</v>
      </c>
      <c r="H2372" s="490" t="s">
        <v>2358</v>
      </c>
      <c r="I2372" s="490" t="s">
        <v>2358</v>
      </c>
      <c r="J2372" s="490" t="s">
        <v>2358</v>
      </c>
      <c r="K2372" s="490" t="s">
        <v>2358</v>
      </c>
      <c r="L2372" s="490" t="s">
        <v>2358</v>
      </c>
      <c r="M2372" s="490" t="s">
        <v>2358</v>
      </c>
      <c r="N2372" s="490" t="s">
        <v>2358</v>
      </c>
      <c r="O2372" s="490" t="s">
        <v>2358</v>
      </c>
      <c r="P2372" s="36" t="s">
        <v>2358</v>
      </c>
    </row>
    <row r="2373" spans="1:16">
      <c r="A2373" s="132">
        <v>2372</v>
      </c>
      <c r="B2373" s="36" t="s">
        <v>27920</v>
      </c>
      <c r="C2373" s="36" t="s">
        <v>27921</v>
      </c>
      <c r="D2373" s="490" t="s">
        <v>32146</v>
      </c>
      <c r="E2373" s="490" t="s">
        <v>32147</v>
      </c>
      <c r="F2373" s="490" t="s">
        <v>32148</v>
      </c>
      <c r="G2373" s="490" t="s">
        <v>32149</v>
      </c>
      <c r="H2373" s="490" t="s">
        <v>32150</v>
      </c>
      <c r="I2373" s="490" t="s">
        <v>32151</v>
      </c>
      <c r="J2373" s="490" t="s">
        <v>32152</v>
      </c>
      <c r="K2373" s="490" t="s">
        <v>32153</v>
      </c>
      <c r="L2373" s="490" t="s">
        <v>32154</v>
      </c>
      <c r="M2373" s="490" t="s">
        <v>32155</v>
      </c>
      <c r="N2373" s="490" t="s">
        <v>32156</v>
      </c>
      <c r="O2373" s="490" t="s">
        <v>32157</v>
      </c>
      <c r="P2373" s="36" t="s">
        <v>27920</v>
      </c>
    </row>
    <row r="2374" spans="1:16">
      <c r="A2374" s="132">
        <v>2373</v>
      </c>
      <c r="B2374" s="36" t="s">
        <v>27922</v>
      </c>
      <c r="C2374" s="36" t="s">
        <v>27923</v>
      </c>
      <c r="D2374" s="36" t="s">
        <v>27924</v>
      </c>
      <c r="E2374" s="490" t="s">
        <v>32158</v>
      </c>
      <c r="F2374" s="490" t="s">
        <v>32159</v>
      </c>
      <c r="G2374" s="490" t="s">
        <v>32160</v>
      </c>
      <c r="H2374" s="490" t="s">
        <v>32161</v>
      </c>
      <c r="I2374" s="490" t="s">
        <v>32162</v>
      </c>
      <c r="J2374" s="490" t="s">
        <v>32163</v>
      </c>
      <c r="K2374" s="490" t="s">
        <v>32164</v>
      </c>
      <c r="L2374" s="490" t="s">
        <v>32165</v>
      </c>
      <c r="M2374" s="490" t="s">
        <v>32166</v>
      </c>
      <c r="N2374" s="490" t="s">
        <v>32167</v>
      </c>
      <c r="O2374" s="490" t="s">
        <v>32168</v>
      </c>
      <c r="P2374" s="36" t="s">
        <v>27922</v>
      </c>
    </row>
    <row r="2375" spans="1:16">
      <c r="A2375" s="132">
        <v>2374</v>
      </c>
      <c r="B2375" s="36" t="s">
        <v>27925</v>
      </c>
      <c r="C2375" s="36" t="s">
        <v>27926</v>
      </c>
      <c r="D2375" s="36" t="s">
        <v>27927</v>
      </c>
      <c r="E2375" s="490" t="s">
        <v>32169</v>
      </c>
      <c r="F2375" s="490" t="s">
        <v>32170</v>
      </c>
      <c r="G2375" s="490" t="s">
        <v>32171</v>
      </c>
      <c r="H2375" s="490" t="s">
        <v>32172</v>
      </c>
      <c r="I2375" s="490" t="s">
        <v>32173</v>
      </c>
      <c r="J2375" s="490" t="s">
        <v>32174</v>
      </c>
      <c r="K2375" s="490" t="s">
        <v>32175</v>
      </c>
      <c r="L2375" s="490" t="s">
        <v>32176</v>
      </c>
      <c r="M2375" s="490" t="s">
        <v>32177</v>
      </c>
      <c r="N2375" s="490" t="s">
        <v>32178</v>
      </c>
      <c r="O2375" s="490" t="s">
        <v>32179</v>
      </c>
      <c r="P2375" s="36" t="s">
        <v>27925</v>
      </c>
    </row>
    <row r="2376" spans="1:16">
      <c r="A2376" s="132">
        <v>2375</v>
      </c>
      <c r="B2376" s="36" t="s">
        <v>27928</v>
      </c>
      <c r="C2376" s="36" t="s">
        <v>27926</v>
      </c>
      <c r="D2376" s="36" t="s">
        <v>27929</v>
      </c>
      <c r="E2376" s="490" t="s">
        <v>32180</v>
      </c>
      <c r="F2376" s="490" t="s">
        <v>32181</v>
      </c>
      <c r="G2376" s="490" t="s">
        <v>32182</v>
      </c>
      <c r="H2376" s="490" t="s">
        <v>32183</v>
      </c>
      <c r="I2376" s="490" t="s">
        <v>32184</v>
      </c>
      <c r="J2376" s="490" t="s">
        <v>32185</v>
      </c>
      <c r="K2376" s="490" t="s">
        <v>32186</v>
      </c>
      <c r="L2376" s="490" t="s">
        <v>32187</v>
      </c>
      <c r="M2376" s="490" t="s">
        <v>32188</v>
      </c>
      <c r="N2376" s="490" t="s">
        <v>32189</v>
      </c>
      <c r="O2376" s="490" t="s">
        <v>32190</v>
      </c>
      <c r="P2376" s="36" t="s">
        <v>27928</v>
      </c>
    </row>
    <row r="2377" spans="1:16">
      <c r="A2377" s="132">
        <v>2376</v>
      </c>
      <c r="B2377" s="36" t="s">
        <v>27930</v>
      </c>
      <c r="C2377" s="36" t="s">
        <v>27931</v>
      </c>
      <c r="D2377" s="36" t="s">
        <v>27932</v>
      </c>
      <c r="E2377" s="490" t="s">
        <v>32191</v>
      </c>
      <c r="F2377" s="490" t="s">
        <v>32192</v>
      </c>
      <c r="G2377" s="490" t="s">
        <v>32193</v>
      </c>
      <c r="H2377" s="490" t="s">
        <v>32194</v>
      </c>
      <c r="I2377" s="490" t="s">
        <v>32195</v>
      </c>
      <c r="J2377" s="490" t="s">
        <v>32196</v>
      </c>
      <c r="K2377" s="490" t="s">
        <v>32197</v>
      </c>
      <c r="L2377" s="490" t="s">
        <v>32196</v>
      </c>
      <c r="M2377" s="490" t="s">
        <v>32196</v>
      </c>
      <c r="N2377" s="490" t="s">
        <v>32196</v>
      </c>
      <c r="O2377" s="490" t="s">
        <v>32198</v>
      </c>
      <c r="P2377" s="36" t="s">
        <v>27930</v>
      </c>
    </row>
    <row r="2378" spans="1:16">
      <c r="A2378" s="132">
        <v>2377</v>
      </c>
      <c r="B2378" s="36" t="s">
        <v>27933</v>
      </c>
      <c r="C2378" s="36" t="s">
        <v>27934</v>
      </c>
      <c r="D2378" s="490" t="s">
        <v>32199</v>
      </c>
      <c r="E2378" s="490" t="s">
        <v>32200</v>
      </c>
      <c r="F2378" s="490" t="s">
        <v>32201</v>
      </c>
      <c r="G2378" s="490" t="s">
        <v>32202</v>
      </c>
      <c r="H2378" s="490" t="s">
        <v>32203</v>
      </c>
      <c r="I2378" s="490" t="s">
        <v>32204</v>
      </c>
      <c r="J2378" s="490" t="s">
        <v>32205</v>
      </c>
      <c r="K2378" s="490" t="s">
        <v>32206</v>
      </c>
      <c r="L2378" s="490" t="s">
        <v>32207</v>
      </c>
      <c r="M2378" s="490" t="s">
        <v>32208</v>
      </c>
      <c r="N2378" s="490" t="s">
        <v>32209</v>
      </c>
      <c r="O2378" s="490" t="s">
        <v>32210</v>
      </c>
      <c r="P2378" s="36" t="s">
        <v>27933</v>
      </c>
    </row>
    <row r="2379" spans="1:16">
      <c r="A2379" s="132">
        <v>2378</v>
      </c>
      <c r="B2379" s="36" t="s">
        <v>27935</v>
      </c>
      <c r="C2379" s="36" t="s">
        <v>27936</v>
      </c>
      <c r="D2379" s="36" t="s">
        <v>27937</v>
      </c>
      <c r="E2379" s="490" t="s">
        <v>32211</v>
      </c>
      <c r="F2379" s="490" t="s">
        <v>32212</v>
      </c>
      <c r="G2379" s="490" t="s">
        <v>32213</v>
      </c>
      <c r="H2379" s="490" t="s">
        <v>32214</v>
      </c>
      <c r="I2379" s="490" t="s">
        <v>32215</v>
      </c>
      <c r="J2379" s="490" t="s">
        <v>32216</v>
      </c>
      <c r="K2379" s="490" t="s">
        <v>32217</v>
      </c>
      <c r="L2379" s="490" t="s">
        <v>32218</v>
      </c>
      <c r="M2379" s="490" t="s">
        <v>32219</v>
      </c>
      <c r="N2379" s="490" t="s">
        <v>32220</v>
      </c>
      <c r="O2379" s="490" t="s">
        <v>32221</v>
      </c>
      <c r="P2379" s="36" t="s">
        <v>27935</v>
      </c>
    </row>
    <row r="2380" spans="1:16">
      <c r="A2380" s="132">
        <v>2379</v>
      </c>
      <c r="B2380" s="36" t="s">
        <v>27938</v>
      </c>
      <c r="C2380" s="36" t="s">
        <v>27939</v>
      </c>
      <c r="D2380" s="36" t="s">
        <v>27940</v>
      </c>
      <c r="E2380" s="490" t="s">
        <v>32222</v>
      </c>
      <c r="F2380" s="490" t="s">
        <v>32223</v>
      </c>
      <c r="G2380" s="490" t="s">
        <v>32224</v>
      </c>
      <c r="H2380" s="490" t="s">
        <v>32225</v>
      </c>
      <c r="I2380" s="490" t="s">
        <v>32223</v>
      </c>
      <c r="J2380" s="490" t="s">
        <v>32226</v>
      </c>
      <c r="K2380" s="490" t="s">
        <v>32227</v>
      </c>
      <c r="L2380" s="490" t="s">
        <v>32228</v>
      </c>
      <c r="M2380" s="490" t="s">
        <v>32229</v>
      </c>
      <c r="N2380" s="490" t="s">
        <v>32229</v>
      </c>
      <c r="O2380" s="490" t="s">
        <v>32230</v>
      </c>
      <c r="P2380" s="36" t="s">
        <v>27938</v>
      </c>
    </row>
    <row r="2381" spans="1:16">
      <c r="A2381" s="132">
        <v>2380</v>
      </c>
      <c r="B2381" s="36" t="s">
        <v>27941</v>
      </c>
      <c r="C2381" s="36" t="s">
        <v>27942</v>
      </c>
      <c r="D2381" s="36" t="s">
        <v>27943</v>
      </c>
      <c r="E2381" s="490" t="s">
        <v>32231</v>
      </c>
      <c r="F2381" s="490" t="s">
        <v>32232</v>
      </c>
      <c r="G2381" s="490" t="s">
        <v>32233</v>
      </c>
      <c r="H2381" s="490" t="s">
        <v>32234</v>
      </c>
      <c r="I2381" s="490" t="s">
        <v>32232</v>
      </c>
      <c r="J2381" s="490" t="s">
        <v>32235</v>
      </c>
      <c r="K2381" s="490" t="s">
        <v>32236</v>
      </c>
      <c r="L2381" s="490" t="s">
        <v>32237</v>
      </c>
      <c r="M2381" s="490" t="s">
        <v>32238</v>
      </c>
      <c r="N2381" s="490" t="s">
        <v>32239</v>
      </c>
      <c r="O2381" s="490" t="s">
        <v>32240</v>
      </c>
      <c r="P2381" s="36" t="s">
        <v>27941</v>
      </c>
    </row>
    <row r="2382" spans="1:16">
      <c r="A2382" s="132">
        <v>2381</v>
      </c>
      <c r="B2382" s="36" t="s">
        <v>27944</v>
      </c>
      <c r="C2382" s="36" t="s">
        <v>27945</v>
      </c>
      <c r="D2382" s="490" t="s">
        <v>32241</v>
      </c>
      <c r="E2382" s="490" t="s">
        <v>32242</v>
      </c>
      <c r="F2382" s="490" t="s">
        <v>32243</v>
      </c>
      <c r="G2382" s="490" t="s">
        <v>32244</v>
      </c>
      <c r="H2382" s="490" t="s">
        <v>32245</v>
      </c>
      <c r="I2382" s="490" t="s">
        <v>32246</v>
      </c>
      <c r="J2382" s="490" t="s">
        <v>32247</v>
      </c>
      <c r="K2382" s="490" t="s">
        <v>32248</v>
      </c>
      <c r="L2382" s="490" t="s">
        <v>32249</v>
      </c>
      <c r="M2382" s="490" t="s">
        <v>32250</v>
      </c>
      <c r="N2382" s="490" t="s">
        <v>32251</v>
      </c>
      <c r="O2382" s="490" t="s">
        <v>32252</v>
      </c>
      <c r="P2382" s="36" t="s">
        <v>27944</v>
      </c>
    </row>
    <row r="2383" spans="1:16">
      <c r="A2383" s="132">
        <v>2382</v>
      </c>
      <c r="B2383" s="36" t="s">
        <v>27946</v>
      </c>
      <c r="C2383" s="36" t="s">
        <v>27947</v>
      </c>
      <c r="D2383" s="36" t="s">
        <v>27948</v>
      </c>
      <c r="E2383" s="490" t="s">
        <v>32253</v>
      </c>
      <c r="F2383" s="490" t="s">
        <v>32254</v>
      </c>
      <c r="G2383" s="490" t="s">
        <v>32255</v>
      </c>
      <c r="H2383" s="490" t="s">
        <v>32256</v>
      </c>
      <c r="I2383" s="490" t="s">
        <v>32257</v>
      </c>
      <c r="J2383" s="490" t="s">
        <v>32258</v>
      </c>
      <c r="K2383" s="490" t="s">
        <v>32259</v>
      </c>
      <c r="L2383" s="490" t="s">
        <v>32260</v>
      </c>
      <c r="M2383" s="490" t="s">
        <v>32261</v>
      </c>
      <c r="N2383" s="490" t="s">
        <v>32262</v>
      </c>
      <c r="O2383" s="490" t="s">
        <v>32263</v>
      </c>
      <c r="P2383" s="36" t="s">
        <v>27946</v>
      </c>
    </row>
    <row r="2384" spans="1:16">
      <c r="A2384" s="132">
        <v>2383</v>
      </c>
      <c r="B2384" s="36" t="s">
        <v>27949</v>
      </c>
      <c r="C2384" s="36" t="s">
        <v>27950</v>
      </c>
      <c r="D2384" s="490" t="s">
        <v>32264</v>
      </c>
      <c r="E2384" s="490" t="s">
        <v>32265</v>
      </c>
      <c r="F2384" s="490" t="s">
        <v>32266</v>
      </c>
      <c r="G2384" s="490" t="s">
        <v>32267</v>
      </c>
      <c r="H2384" s="490" t="s">
        <v>32268</v>
      </c>
      <c r="I2384" s="490" t="s">
        <v>32269</v>
      </c>
      <c r="J2384" s="490" t="s">
        <v>32270</v>
      </c>
      <c r="K2384" s="490" t="s">
        <v>32271</v>
      </c>
      <c r="L2384" s="490" t="s">
        <v>32272</v>
      </c>
      <c r="M2384" s="490" t="s">
        <v>32273</v>
      </c>
      <c r="N2384" s="490" t="s">
        <v>32274</v>
      </c>
      <c r="O2384" s="490" t="s">
        <v>32275</v>
      </c>
      <c r="P2384" s="36" t="s">
        <v>27949</v>
      </c>
    </row>
    <row r="2385" spans="1:16">
      <c r="A2385" s="132">
        <v>2384</v>
      </c>
      <c r="B2385" s="36" t="s">
        <v>27951</v>
      </c>
      <c r="C2385" s="36" t="s">
        <v>27952</v>
      </c>
      <c r="D2385" s="36" t="s">
        <v>27953</v>
      </c>
      <c r="E2385" s="490" t="s">
        <v>32276</v>
      </c>
      <c r="F2385" s="490" t="s">
        <v>31138</v>
      </c>
      <c r="G2385" s="490" t="s">
        <v>31139</v>
      </c>
      <c r="H2385" s="490" t="s">
        <v>32277</v>
      </c>
      <c r="I2385" s="490" t="s">
        <v>32278</v>
      </c>
      <c r="J2385" s="490" t="s">
        <v>32279</v>
      </c>
      <c r="K2385" s="490" t="s">
        <v>32280</v>
      </c>
      <c r="L2385" s="490" t="s">
        <v>32281</v>
      </c>
      <c r="M2385" s="490" t="s">
        <v>32282</v>
      </c>
      <c r="N2385" s="490" t="s">
        <v>32283</v>
      </c>
      <c r="O2385" s="490" t="s">
        <v>32280</v>
      </c>
      <c r="P2385" s="36" t="s">
        <v>27951</v>
      </c>
    </row>
    <row r="2386" spans="1:16">
      <c r="A2386" s="132">
        <v>2385</v>
      </c>
      <c r="B2386" s="36" t="s">
        <v>27954</v>
      </c>
      <c r="C2386" s="36" t="s">
        <v>27955</v>
      </c>
      <c r="D2386" s="36" t="s">
        <v>27956</v>
      </c>
      <c r="E2386" s="490" t="s">
        <v>32284</v>
      </c>
      <c r="F2386" s="490" t="s">
        <v>32285</v>
      </c>
      <c r="G2386" s="490" t="s">
        <v>32286</v>
      </c>
      <c r="H2386" s="490" t="s">
        <v>32287</v>
      </c>
      <c r="I2386" s="490" t="s">
        <v>32288</v>
      </c>
      <c r="J2386" s="490" t="s">
        <v>32289</v>
      </c>
      <c r="K2386" s="490" t="s">
        <v>32290</v>
      </c>
      <c r="L2386" s="490" t="s">
        <v>32291</v>
      </c>
      <c r="M2386" s="490" t="s">
        <v>32292</v>
      </c>
      <c r="N2386" s="490" t="s">
        <v>32293</v>
      </c>
      <c r="O2386" s="490" t="s">
        <v>32290</v>
      </c>
      <c r="P2386" s="36" t="s">
        <v>27954</v>
      </c>
    </row>
    <row r="2387" spans="1:16">
      <c r="A2387" s="132">
        <v>2386</v>
      </c>
      <c r="B2387" s="36" t="s">
        <v>27957</v>
      </c>
      <c r="C2387" s="36" t="s">
        <v>27958</v>
      </c>
      <c r="D2387" s="36" t="s">
        <v>27959</v>
      </c>
      <c r="E2387" s="490" t="s">
        <v>32294</v>
      </c>
      <c r="F2387" s="490" t="s">
        <v>31138</v>
      </c>
      <c r="G2387" s="490" t="s">
        <v>31150</v>
      </c>
      <c r="H2387" s="490" t="s">
        <v>32295</v>
      </c>
      <c r="I2387" s="490" t="s">
        <v>32296</v>
      </c>
      <c r="J2387" s="490" t="s">
        <v>32297</v>
      </c>
      <c r="K2387" s="490" t="s">
        <v>32298</v>
      </c>
      <c r="L2387" s="490" t="s">
        <v>32299</v>
      </c>
      <c r="M2387" s="490" t="s">
        <v>32300</v>
      </c>
      <c r="N2387" s="490" t="s">
        <v>32301</v>
      </c>
      <c r="O2387" s="490" t="s">
        <v>32298</v>
      </c>
      <c r="P2387" s="36" t="s">
        <v>27957</v>
      </c>
    </row>
    <row r="2388" spans="1:16">
      <c r="A2388" s="132">
        <v>2387</v>
      </c>
      <c r="B2388" s="36" t="s">
        <v>27960</v>
      </c>
      <c r="C2388" s="36" t="s">
        <v>27961</v>
      </c>
      <c r="D2388" s="36" t="s">
        <v>27962</v>
      </c>
      <c r="E2388" s="490" t="s">
        <v>32302</v>
      </c>
      <c r="F2388" s="490" t="s">
        <v>32303</v>
      </c>
      <c r="G2388" s="490" t="s">
        <v>32304</v>
      </c>
      <c r="H2388" s="490" t="s">
        <v>31140</v>
      </c>
      <c r="I2388" s="490" t="s">
        <v>32305</v>
      </c>
      <c r="J2388" s="490" t="s">
        <v>32306</v>
      </c>
      <c r="K2388" s="490" t="s">
        <v>32307</v>
      </c>
      <c r="L2388" s="490" t="s">
        <v>32308</v>
      </c>
      <c r="M2388" s="490" t="s">
        <v>32309</v>
      </c>
      <c r="N2388" s="490" t="s">
        <v>32310</v>
      </c>
      <c r="O2388" s="490" t="s">
        <v>32311</v>
      </c>
      <c r="P2388" s="36" t="s">
        <v>27960</v>
      </c>
    </row>
    <row r="2389" spans="1:16">
      <c r="A2389" s="132">
        <v>2388</v>
      </c>
      <c r="B2389" s="36" t="s">
        <v>27963</v>
      </c>
      <c r="C2389" s="36" t="s">
        <v>27964</v>
      </c>
      <c r="D2389" s="490" t="s">
        <v>32312</v>
      </c>
      <c r="E2389" s="490" t="s">
        <v>32313</v>
      </c>
      <c r="F2389" s="490" t="s">
        <v>32314</v>
      </c>
      <c r="G2389" s="490" t="s">
        <v>32315</v>
      </c>
      <c r="H2389" s="490" t="s">
        <v>32316</v>
      </c>
      <c r="I2389" s="490" t="s">
        <v>32317</v>
      </c>
      <c r="J2389" s="490" t="s">
        <v>32318</v>
      </c>
      <c r="K2389" s="490" t="s">
        <v>32319</v>
      </c>
      <c r="L2389" s="490" t="s">
        <v>32320</v>
      </c>
      <c r="M2389" s="490" t="s">
        <v>32321</v>
      </c>
      <c r="N2389" s="490" t="s">
        <v>32322</v>
      </c>
      <c r="O2389" s="490" t="s">
        <v>32323</v>
      </c>
      <c r="P2389" s="36" t="s">
        <v>27963</v>
      </c>
    </row>
    <row r="2390" spans="1:16">
      <c r="A2390" s="132">
        <v>2389</v>
      </c>
      <c r="B2390" s="36" t="s">
        <v>27965</v>
      </c>
      <c r="C2390" s="36" t="s">
        <v>27966</v>
      </c>
      <c r="D2390" s="490" t="s">
        <v>32324</v>
      </c>
      <c r="E2390" s="490" t="s">
        <v>32325</v>
      </c>
      <c r="F2390" s="490" t="s">
        <v>32326</v>
      </c>
      <c r="G2390" s="490" t="s">
        <v>32327</v>
      </c>
      <c r="H2390" s="490" t="s">
        <v>32328</v>
      </c>
      <c r="I2390" s="490" t="s">
        <v>32329</v>
      </c>
      <c r="J2390" s="490" t="s">
        <v>32330</v>
      </c>
      <c r="K2390" s="490" t="s">
        <v>32331</v>
      </c>
      <c r="L2390" s="490" t="s">
        <v>32332</v>
      </c>
      <c r="M2390" s="490" t="s">
        <v>32333</v>
      </c>
      <c r="N2390" s="490" t="s">
        <v>32334</v>
      </c>
      <c r="O2390" s="490" t="s">
        <v>32335</v>
      </c>
      <c r="P2390" s="36" t="s">
        <v>27965</v>
      </c>
    </row>
    <row r="2391" spans="1:16">
      <c r="A2391" s="132">
        <v>2390</v>
      </c>
      <c r="B2391" s="36" t="s">
        <v>27967</v>
      </c>
      <c r="C2391" s="36" t="s">
        <v>27968</v>
      </c>
      <c r="D2391" s="36" t="s">
        <v>27969</v>
      </c>
      <c r="E2391" s="490" t="s">
        <v>32336</v>
      </c>
      <c r="F2391" s="490" t="s">
        <v>32337</v>
      </c>
      <c r="G2391" s="490" t="s">
        <v>32338</v>
      </c>
      <c r="H2391" s="490" t="s">
        <v>32339</v>
      </c>
      <c r="I2391" s="490" t="s">
        <v>32340</v>
      </c>
      <c r="J2391" s="490" t="s">
        <v>32341</v>
      </c>
      <c r="K2391" s="490" t="s">
        <v>32342</v>
      </c>
      <c r="L2391" s="490" t="s">
        <v>32343</v>
      </c>
      <c r="M2391" s="490" t="s">
        <v>32344</v>
      </c>
      <c r="N2391" s="490" t="s">
        <v>32345</v>
      </c>
      <c r="O2391" s="490" t="s">
        <v>32346</v>
      </c>
      <c r="P2391" s="36" t="s">
        <v>27967</v>
      </c>
    </row>
    <row r="2392" spans="1:16">
      <c r="A2392" s="132">
        <v>2391</v>
      </c>
      <c r="B2392" s="36" t="s">
        <v>27970</v>
      </c>
      <c r="C2392" s="36" t="s">
        <v>27971</v>
      </c>
      <c r="D2392" s="36" t="s">
        <v>27972</v>
      </c>
      <c r="E2392" s="490" t="s">
        <v>32347</v>
      </c>
      <c r="F2392" s="490" t="s">
        <v>32348</v>
      </c>
      <c r="G2392" s="490" t="s">
        <v>32349</v>
      </c>
      <c r="H2392" s="490" t="s">
        <v>32350</v>
      </c>
      <c r="I2392" s="490" t="s">
        <v>32351</v>
      </c>
      <c r="J2392" s="490" t="s">
        <v>32352</v>
      </c>
      <c r="K2392" s="490" t="s">
        <v>32353</v>
      </c>
      <c r="L2392" s="490" t="s">
        <v>32354</v>
      </c>
      <c r="M2392" s="490" t="s">
        <v>32355</v>
      </c>
      <c r="N2392" s="490" t="s">
        <v>32356</v>
      </c>
      <c r="O2392" s="490" t="s">
        <v>32357</v>
      </c>
      <c r="P2392" s="36" t="s">
        <v>27970</v>
      </c>
    </row>
    <row r="2393" spans="1:16">
      <c r="A2393" s="132">
        <v>2392</v>
      </c>
      <c r="B2393" s="36" t="s">
        <v>27973</v>
      </c>
      <c r="C2393" s="36" t="s">
        <v>27974</v>
      </c>
      <c r="D2393" s="36" t="s">
        <v>27975</v>
      </c>
      <c r="E2393" s="490" t="s">
        <v>32358</v>
      </c>
      <c r="F2393" s="490" t="s">
        <v>32359</v>
      </c>
      <c r="G2393" s="490" t="s">
        <v>32360</v>
      </c>
      <c r="H2393" s="490" t="s">
        <v>32361</v>
      </c>
      <c r="I2393" s="490" t="s">
        <v>32362</v>
      </c>
      <c r="J2393" s="490" t="s">
        <v>32363</v>
      </c>
      <c r="K2393" s="490" t="s">
        <v>32364</v>
      </c>
      <c r="L2393" s="490" t="s">
        <v>32365</v>
      </c>
      <c r="M2393" s="490" t="s">
        <v>32366</v>
      </c>
      <c r="N2393" s="490" t="s">
        <v>32367</v>
      </c>
      <c r="O2393" s="490" t="s">
        <v>32368</v>
      </c>
      <c r="P2393" s="36" t="s">
        <v>27973</v>
      </c>
    </row>
    <row r="2394" spans="1:16">
      <c r="A2394" s="132">
        <v>2393</v>
      </c>
      <c r="B2394" s="36" t="s">
        <v>27976</v>
      </c>
      <c r="C2394" s="36" t="s">
        <v>27977</v>
      </c>
      <c r="D2394" s="36" t="s">
        <v>27978</v>
      </c>
      <c r="E2394" s="490" t="s">
        <v>32369</v>
      </c>
      <c r="F2394" s="490" t="s">
        <v>32370</v>
      </c>
      <c r="G2394" s="490" t="s">
        <v>32371</v>
      </c>
      <c r="H2394" s="490" t="s">
        <v>32372</v>
      </c>
      <c r="I2394" s="490" t="s">
        <v>32373</v>
      </c>
      <c r="J2394" s="490" t="s">
        <v>32374</v>
      </c>
      <c r="K2394" s="490" t="s">
        <v>32375</v>
      </c>
      <c r="L2394" s="490" t="s">
        <v>32376</v>
      </c>
      <c r="M2394" s="490" t="s">
        <v>32377</v>
      </c>
      <c r="N2394" s="490" t="s">
        <v>32378</v>
      </c>
      <c r="O2394" s="490" t="s">
        <v>32379</v>
      </c>
      <c r="P2394" s="36" t="s">
        <v>27976</v>
      </c>
    </row>
    <row r="2395" spans="1:16">
      <c r="A2395" s="132">
        <v>2394</v>
      </c>
      <c r="B2395" s="36" t="s">
        <v>27979</v>
      </c>
      <c r="C2395" s="36" t="s">
        <v>27980</v>
      </c>
      <c r="D2395" s="36" t="s">
        <v>27981</v>
      </c>
      <c r="E2395" s="490" t="s">
        <v>32380</v>
      </c>
      <c r="F2395" s="490" t="s">
        <v>32381</v>
      </c>
      <c r="G2395" s="490" t="s">
        <v>32382</v>
      </c>
      <c r="H2395" s="490" t="s">
        <v>32383</v>
      </c>
      <c r="I2395" s="490" t="s">
        <v>32381</v>
      </c>
      <c r="J2395" s="490" t="s">
        <v>32384</v>
      </c>
      <c r="K2395" s="490" t="s">
        <v>32385</v>
      </c>
      <c r="L2395" s="490" t="s">
        <v>32386</v>
      </c>
      <c r="M2395" s="490" t="s">
        <v>32387</v>
      </c>
      <c r="N2395" s="490" t="s">
        <v>32387</v>
      </c>
      <c r="O2395" s="490" t="s">
        <v>32388</v>
      </c>
      <c r="P2395" s="36" t="s">
        <v>27979</v>
      </c>
    </row>
    <row r="2396" spans="1:16">
      <c r="A2396" s="132">
        <v>2395</v>
      </c>
      <c r="B2396" s="36" t="s">
        <v>27982</v>
      </c>
      <c r="C2396" s="36" t="s">
        <v>27983</v>
      </c>
      <c r="D2396" s="36" t="s">
        <v>27984</v>
      </c>
      <c r="E2396" s="490" t="s">
        <v>32389</v>
      </c>
      <c r="F2396" s="490" t="s">
        <v>32390</v>
      </c>
      <c r="G2396" s="490" t="s">
        <v>32391</v>
      </c>
      <c r="H2396" s="490" t="s">
        <v>32392</v>
      </c>
      <c r="I2396" s="490" t="s">
        <v>32390</v>
      </c>
      <c r="J2396" s="490" t="s">
        <v>32393</v>
      </c>
      <c r="K2396" s="490" t="s">
        <v>32394</v>
      </c>
      <c r="L2396" s="490" t="s">
        <v>32395</v>
      </c>
      <c r="M2396" s="490" t="s">
        <v>32396</v>
      </c>
      <c r="N2396" s="490" t="s">
        <v>32397</v>
      </c>
      <c r="O2396" s="490" t="s">
        <v>32398</v>
      </c>
      <c r="P2396" s="36" t="s">
        <v>27982</v>
      </c>
    </row>
    <row r="2397" spans="1:16">
      <c r="A2397" s="132">
        <v>2396</v>
      </c>
      <c r="B2397" s="36" t="s">
        <v>27985</v>
      </c>
      <c r="C2397" s="36" t="s">
        <v>27986</v>
      </c>
      <c r="D2397" s="36" t="s">
        <v>27987</v>
      </c>
      <c r="E2397" s="490" t="s">
        <v>32399</v>
      </c>
      <c r="F2397" s="490" t="s">
        <v>32400</v>
      </c>
      <c r="G2397" s="490" t="s">
        <v>32401</v>
      </c>
      <c r="H2397" s="490" t="s">
        <v>32402</v>
      </c>
      <c r="I2397" s="490" t="s">
        <v>32403</v>
      </c>
      <c r="J2397" s="490" t="s">
        <v>32404</v>
      </c>
      <c r="K2397" s="490" t="s">
        <v>32405</v>
      </c>
      <c r="L2397" s="490" t="s">
        <v>32406</v>
      </c>
      <c r="M2397" s="490" t="s">
        <v>32407</v>
      </c>
      <c r="N2397" s="490" t="s">
        <v>32408</v>
      </c>
      <c r="O2397" s="490" t="s">
        <v>32409</v>
      </c>
      <c r="P2397" s="36" t="s">
        <v>27985</v>
      </c>
    </row>
    <row r="2398" spans="1:16">
      <c r="A2398" s="132">
        <v>2397</v>
      </c>
      <c r="B2398" s="36" t="s">
        <v>27988</v>
      </c>
      <c r="C2398" s="36" t="s">
        <v>27989</v>
      </c>
      <c r="D2398" s="490" t="s">
        <v>32410</v>
      </c>
      <c r="E2398" s="490" t="s">
        <v>32411</v>
      </c>
      <c r="F2398" s="490" t="s">
        <v>32412</v>
      </c>
      <c r="G2398" s="490" t="s">
        <v>32413</v>
      </c>
      <c r="H2398" s="490" t="s">
        <v>32414</v>
      </c>
      <c r="I2398" s="490" t="s">
        <v>32415</v>
      </c>
      <c r="J2398" s="490" t="s">
        <v>32416</v>
      </c>
      <c r="K2398" s="490" t="s">
        <v>32417</v>
      </c>
      <c r="L2398" s="490" t="s">
        <v>32418</v>
      </c>
      <c r="M2398" s="490" t="s">
        <v>32419</v>
      </c>
      <c r="N2398" s="490" t="s">
        <v>32420</v>
      </c>
      <c r="O2398" s="490" t="s">
        <v>32421</v>
      </c>
      <c r="P2398" s="36" t="s">
        <v>27988</v>
      </c>
    </row>
    <row r="2399" spans="1:16">
      <c r="A2399" s="132">
        <v>2398</v>
      </c>
      <c r="B2399" s="36" t="s">
        <v>27990</v>
      </c>
      <c r="C2399" s="36" t="s">
        <v>27991</v>
      </c>
      <c r="D2399" s="490" t="s">
        <v>32422</v>
      </c>
      <c r="E2399" s="490" t="s">
        <v>32423</v>
      </c>
      <c r="F2399" s="490" t="s">
        <v>32424</v>
      </c>
      <c r="G2399" s="490" t="s">
        <v>32425</v>
      </c>
      <c r="H2399" s="490" t="s">
        <v>32426</v>
      </c>
      <c r="I2399" s="490" t="s">
        <v>32427</v>
      </c>
      <c r="J2399" s="490" t="s">
        <v>32428</v>
      </c>
      <c r="K2399" s="490" t="s">
        <v>32429</v>
      </c>
      <c r="L2399" s="490" t="s">
        <v>32430</v>
      </c>
      <c r="M2399" s="490" t="s">
        <v>32431</v>
      </c>
      <c r="N2399" s="490" t="s">
        <v>32432</v>
      </c>
      <c r="O2399" s="490" t="s">
        <v>32433</v>
      </c>
      <c r="P2399" s="36" t="s">
        <v>27990</v>
      </c>
    </row>
    <row r="2400" spans="1:16">
      <c r="A2400" s="132">
        <v>2399</v>
      </c>
      <c r="B2400" s="36" t="s">
        <v>27992</v>
      </c>
      <c r="C2400" s="36" t="s">
        <v>27993</v>
      </c>
      <c r="D2400" s="36" t="s">
        <v>27994</v>
      </c>
      <c r="E2400" s="490" t="s">
        <v>32434</v>
      </c>
      <c r="F2400" s="490" t="s">
        <v>32435</v>
      </c>
      <c r="G2400" s="490" t="s">
        <v>32436</v>
      </c>
      <c r="H2400" s="490" t="s">
        <v>32437</v>
      </c>
      <c r="I2400" s="490" t="s">
        <v>32438</v>
      </c>
      <c r="J2400" s="490" t="s">
        <v>32439</v>
      </c>
      <c r="K2400" s="490" t="s">
        <v>32440</v>
      </c>
      <c r="L2400" s="490" t="s">
        <v>32441</v>
      </c>
      <c r="M2400" s="490" t="s">
        <v>32442</v>
      </c>
      <c r="N2400" s="490" t="s">
        <v>32443</v>
      </c>
      <c r="O2400" s="490" t="s">
        <v>32444</v>
      </c>
      <c r="P2400" s="36" t="s">
        <v>27992</v>
      </c>
    </row>
    <row r="2401" spans="1:16">
      <c r="A2401" s="132">
        <v>2400</v>
      </c>
      <c r="B2401" s="36" t="s">
        <v>27995</v>
      </c>
      <c r="C2401" s="36" t="s">
        <v>27996</v>
      </c>
      <c r="D2401" s="36" t="s">
        <v>27997</v>
      </c>
      <c r="E2401" s="490" t="s">
        <v>32445</v>
      </c>
      <c r="F2401" s="490" t="s">
        <v>32446</v>
      </c>
      <c r="G2401" s="490" t="s">
        <v>32447</v>
      </c>
      <c r="H2401" s="490" t="s">
        <v>32448</v>
      </c>
      <c r="I2401" s="490" t="s">
        <v>32449</v>
      </c>
      <c r="J2401" s="490" t="s">
        <v>32450</v>
      </c>
      <c r="K2401" s="490" t="s">
        <v>32451</v>
      </c>
      <c r="L2401" s="490" t="s">
        <v>32452</v>
      </c>
      <c r="M2401" s="490" t="s">
        <v>32453</v>
      </c>
      <c r="N2401" s="490" t="s">
        <v>32454</v>
      </c>
      <c r="O2401" s="490" t="s">
        <v>32455</v>
      </c>
      <c r="P2401" s="36" t="s">
        <v>27995</v>
      </c>
    </row>
    <row r="2402" spans="1:16">
      <c r="A2402" s="132">
        <v>2401</v>
      </c>
      <c r="B2402" s="36" t="s">
        <v>27998</v>
      </c>
      <c r="C2402" s="36" t="s">
        <v>27999</v>
      </c>
      <c r="D2402" s="36" t="s">
        <v>28000</v>
      </c>
      <c r="E2402" s="490" t="s">
        <v>32456</v>
      </c>
      <c r="F2402" s="490" t="s">
        <v>32457</v>
      </c>
      <c r="G2402" s="490" t="s">
        <v>32458</v>
      </c>
      <c r="H2402" s="490" t="s">
        <v>32459</v>
      </c>
      <c r="I2402" s="490" t="s">
        <v>32460</v>
      </c>
      <c r="J2402" s="490" t="s">
        <v>32461</v>
      </c>
      <c r="K2402" s="490" t="s">
        <v>32462</v>
      </c>
      <c r="L2402" s="490" t="s">
        <v>32463</v>
      </c>
      <c r="M2402" s="490" t="s">
        <v>32464</v>
      </c>
      <c r="N2402" s="490" t="s">
        <v>32465</v>
      </c>
      <c r="O2402" s="490" t="s">
        <v>32466</v>
      </c>
      <c r="P2402" s="36" t="s">
        <v>27998</v>
      </c>
    </row>
    <row r="2403" spans="1:16">
      <c r="A2403" s="132">
        <v>2402</v>
      </c>
      <c r="B2403" s="36" t="s">
        <v>28001</v>
      </c>
      <c r="C2403" s="36" t="s">
        <v>28002</v>
      </c>
      <c r="D2403" s="36" t="s">
        <v>28003</v>
      </c>
      <c r="E2403" s="490" t="s">
        <v>32467</v>
      </c>
      <c r="F2403" s="490" t="s">
        <v>32468</v>
      </c>
      <c r="G2403" s="490" t="s">
        <v>32469</v>
      </c>
      <c r="H2403" s="490" t="s">
        <v>32470</v>
      </c>
      <c r="I2403" s="490" t="s">
        <v>32471</v>
      </c>
      <c r="J2403" s="490" t="s">
        <v>32472</v>
      </c>
      <c r="K2403" s="490" t="s">
        <v>32473</v>
      </c>
      <c r="L2403" s="490" t="s">
        <v>32474</v>
      </c>
      <c r="M2403" s="490" t="s">
        <v>32474</v>
      </c>
      <c r="N2403" s="490" t="s">
        <v>32475</v>
      </c>
      <c r="O2403" s="490" t="s">
        <v>32476</v>
      </c>
      <c r="P2403" s="36" t="s">
        <v>28001</v>
      </c>
    </row>
    <row r="2404" spans="1:16">
      <c r="A2404" s="132">
        <v>2403</v>
      </c>
      <c r="B2404" s="36" t="s">
        <v>28004</v>
      </c>
      <c r="C2404" s="36" t="s">
        <v>28005</v>
      </c>
      <c r="D2404" s="36" t="s">
        <v>28006</v>
      </c>
      <c r="E2404" s="490" t="s">
        <v>32477</v>
      </c>
      <c r="F2404" s="490" t="s">
        <v>32478</v>
      </c>
      <c r="G2404" s="490" t="s">
        <v>32479</v>
      </c>
      <c r="H2404" s="490" t="s">
        <v>32480</v>
      </c>
      <c r="I2404" s="490" t="s">
        <v>32481</v>
      </c>
      <c r="J2404" s="490" t="s">
        <v>32482</v>
      </c>
      <c r="K2404" s="490" t="s">
        <v>32483</v>
      </c>
      <c r="L2404" s="490" t="s">
        <v>32484</v>
      </c>
      <c r="M2404" s="490" t="s">
        <v>32485</v>
      </c>
      <c r="N2404" s="490" t="s">
        <v>32486</v>
      </c>
      <c r="O2404" s="490" t="s">
        <v>32487</v>
      </c>
      <c r="P2404" s="36" t="s">
        <v>28004</v>
      </c>
    </row>
    <row r="2405" spans="1:16">
      <c r="A2405" s="132">
        <v>2404</v>
      </c>
      <c r="B2405" s="36" t="s">
        <v>28007</v>
      </c>
      <c r="C2405" s="36" t="s">
        <v>28008</v>
      </c>
      <c r="D2405" s="36" t="s">
        <v>28009</v>
      </c>
      <c r="E2405" s="490" t="s">
        <v>32488</v>
      </c>
      <c r="F2405" s="490" t="s">
        <v>32489</v>
      </c>
      <c r="G2405" s="490" t="s">
        <v>32490</v>
      </c>
      <c r="H2405" s="490" t="s">
        <v>32491</v>
      </c>
      <c r="I2405" s="490" t="s">
        <v>32492</v>
      </c>
      <c r="J2405" s="490" t="s">
        <v>32493</v>
      </c>
      <c r="K2405" s="490" t="s">
        <v>32494</v>
      </c>
      <c r="L2405" s="490" t="s">
        <v>32495</v>
      </c>
      <c r="M2405" s="490" t="s">
        <v>32496</v>
      </c>
      <c r="N2405" s="490" t="s">
        <v>32497</v>
      </c>
      <c r="O2405" s="490" t="s">
        <v>32498</v>
      </c>
      <c r="P2405" s="36" t="s">
        <v>28007</v>
      </c>
    </row>
    <row r="2406" spans="1:16">
      <c r="A2406" s="132">
        <v>2405</v>
      </c>
      <c r="B2406" s="36" t="s">
        <v>28010</v>
      </c>
      <c r="C2406" s="36" t="s">
        <v>28011</v>
      </c>
      <c r="D2406" s="36" t="s">
        <v>28012</v>
      </c>
      <c r="E2406" s="490" t="s">
        <v>32499</v>
      </c>
      <c r="F2406" s="490" t="s">
        <v>32500</v>
      </c>
      <c r="G2406" s="490" t="s">
        <v>32501</v>
      </c>
      <c r="H2406" s="490" t="s">
        <v>32502</v>
      </c>
      <c r="I2406" s="490" t="s">
        <v>32503</v>
      </c>
      <c r="J2406" s="490" t="s">
        <v>32504</v>
      </c>
      <c r="K2406" s="490" t="s">
        <v>32505</v>
      </c>
      <c r="L2406" s="490" t="s">
        <v>32506</v>
      </c>
      <c r="M2406" s="490" t="s">
        <v>32506</v>
      </c>
      <c r="N2406" s="490" t="s">
        <v>32506</v>
      </c>
      <c r="O2406" s="490" t="s">
        <v>32507</v>
      </c>
      <c r="P2406" s="36" t="s">
        <v>28010</v>
      </c>
    </row>
    <row r="2407" spans="1:16">
      <c r="A2407" s="132">
        <v>2406</v>
      </c>
      <c r="B2407" s="36" t="s">
        <v>28013</v>
      </c>
      <c r="C2407" s="36" t="s">
        <v>28014</v>
      </c>
      <c r="D2407" s="36" t="s">
        <v>6786</v>
      </c>
      <c r="E2407" s="490" t="s">
        <v>32508</v>
      </c>
      <c r="F2407" s="490" t="s">
        <v>32509</v>
      </c>
      <c r="G2407" s="490" t="s">
        <v>32510</v>
      </c>
      <c r="H2407" s="490" t="s">
        <v>32511</v>
      </c>
      <c r="I2407" s="490" t="s">
        <v>32512</v>
      </c>
      <c r="J2407" s="490" t="s">
        <v>32513</v>
      </c>
      <c r="K2407" s="490" t="s">
        <v>32514</v>
      </c>
      <c r="L2407" s="490" t="s">
        <v>32515</v>
      </c>
      <c r="M2407" s="490" t="s">
        <v>32516</v>
      </c>
      <c r="N2407" s="490" t="s">
        <v>32517</v>
      </c>
      <c r="O2407" s="490" t="s">
        <v>32518</v>
      </c>
      <c r="P2407" s="36" t="s">
        <v>28013</v>
      </c>
    </row>
    <row r="2408" spans="1:16">
      <c r="A2408" s="132">
        <v>2407</v>
      </c>
      <c r="B2408" s="36" t="s">
        <v>28015</v>
      </c>
      <c r="C2408" s="36" t="s">
        <v>28016</v>
      </c>
      <c r="D2408" s="36" t="s">
        <v>28017</v>
      </c>
      <c r="E2408" s="490" t="s">
        <v>32519</v>
      </c>
      <c r="F2408" s="490" t="s">
        <v>32520</v>
      </c>
      <c r="G2408" s="490" t="s">
        <v>32521</v>
      </c>
      <c r="H2408" s="490" t="s">
        <v>32522</v>
      </c>
      <c r="I2408" s="490" t="s">
        <v>32520</v>
      </c>
      <c r="J2408" s="490" t="s">
        <v>28016</v>
      </c>
      <c r="K2408" s="490" t="s">
        <v>32520</v>
      </c>
      <c r="L2408" s="490" t="s">
        <v>32523</v>
      </c>
      <c r="M2408" s="490" t="s">
        <v>32523</v>
      </c>
      <c r="N2408" s="490" t="s">
        <v>32523</v>
      </c>
      <c r="O2408" s="490" t="s">
        <v>32520</v>
      </c>
      <c r="P2408" s="36" t="s">
        <v>28015</v>
      </c>
    </row>
    <row r="2409" spans="1:16">
      <c r="A2409" s="132">
        <v>2408</v>
      </c>
      <c r="B2409" s="36" t="s">
        <v>28018</v>
      </c>
      <c r="C2409" s="36" t="s">
        <v>28019</v>
      </c>
      <c r="D2409" s="490" t="s">
        <v>32524</v>
      </c>
      <c r="E2409" s="490" t="s">
        <v>32525</v>
      </c>
      <c r="F2409" s="490" t="s">
        <v>32526</v>
      </c>
      <c r="G2409" s="490" t="s">
        <v>32527</v>
      </c>
      <c r="H2409" s="490" t="s">
        <v>32528</v>
      </c>
      <c r="I2409" s="490" t="s">
        <v>32529</v>
      </c>
      <c r="J2409" s="490" t="s">
        <v>32530</v>
      </c>
      <c r="K2409" s="490" t="s">
        <v>32531</v>
      </c>
      <c r="L2409" s="490" t="s">
        <v>32532</v>
      </c>
      <c r="M2409" s="490" t="s">
        <v>32533</v>
      </c>
      <c r="N2409" s="490" t="s">
        <v>32533</v>
      </c>
      <c r="O2409" s="490" t="s">
        <v>32534</v>
      </c>
      <c r="P2409" s="36" t="s">
        <v>28018</v>
      </c>
    </row>
    <row r="2410" spans="1:16">
      <c r="A2410" s="132">
        <v>2409</v>
      </c>
      <c r="B2410" s="36" t="s">
        <v>28020</v>
      </c>
      <c r="C2410" s="36" t="s">
        <v>28021</v>
      </c>
      <c r="D2410" s="36" t="s">
        <v>28022</v>
      </c>
      <c r="E2410" s="490" t="s">
        <v>32535</v>
      </c>
      <c r="F2410" s="490" t="s">
        <v>32536</v>
      </c>
      <c r="G2410" s="490" t="s">
        <v>32537</v>
      </c>
      <c r="H2410" s="490" t="s">
        <v>32538</v>
      </c>
      <c r="I2410" s="490" t="s">
        <v>32539</v>
      </c>
      <c r="J2410" s="490" t="s">
        <v>32540</v>
      </c>
      <c r="K2410" s="490" t="s">
        <v>32541</v>
      </c>
      <c r="L2410" s="490" t="s">
        <v>32542</v>
      </c>
      <c r="M2410" s="490" t="s">
        <v>32543</v>
      </c>
      <c r="N2410" s="490" t="s">
        <v>32544</v>
      </c>
      <c r="O2410" s="490" t="s">
        <v>32545</v>
      </c>
      <c r="P2410" s="36" t="s">
        <v>28020</v>
      </c>
    </row>
    <row r="2411" spans="1:16">
      <c r="A2411" s="132">
        <v>2410</v>
      </c>
      <c r="B2411" s="36" t="s">
        <v>28023</v>
      </c>
      <c r="C2411" s="36" t="s">
        <v>28024</v>
      </c>
      <c r="D2411" s="36" t="s">
        <v>28025</v>
      </c>
      <c r="E2411" s="490" t="s">
        <v>32546</v>
      </c>
      <c r="F2411" s="490" t="s">
        <v>32547</v>
      </c>
      <c r="G2411" s="490" t="s">
        <v>32548</v>
      </c>
      <c r="H2411" s="490" t="s">
        <v>32549</v>
      </c>
      <c r="I2411" s="490" t="s">
        <v>32550</v>
      </c>
      <c r="J2411" s="490" t="s">
        <v>32551</v>
      </c>
      <c r="K2411" s="490" t="s">
        <v>32552</v>
      </c>
      <c r="L2411" s="490" t="s">
        <v>32553</v>
      </c>
      <c r="M2411" s="490" t="s">
        <v>32554</v>
      </c>
      <c r="N2411" s="490" t="s">
        <v>32555</v>
      </c>
      <c r="O2411" s="490" t="s">
        <v>32556</v>
      </c>
      <c r="P2411" s="36" t="s">
        <v>28023</v>
      </c>
    </row>
    <row r="2412" spans="1:16">
      <c r="A2412" s="132">
        <v>2411</v>
      </c>
      <c r="B2412" s="36" t="s">
        <v>28026</v>
      </c>
      <c r="C2412" s="36" t="s">
        <v>28027</v>
      </c>
      <c r="D2412" s="36" t="s">
        <v>28028</v>
      </c>
      <c r="E2412" s="490" t="s">
        <v>32557</v>
      </c>
      <c r="F2412" s="490" t="s">
        <v>32558</v>
      </c>
      <c r="G2412" s="490" t="s">
        <v>32559</v>
      </c>
      <c r="H2412" s="490" t="s">
        <v>32560</v>
      </c>
      <c r="I2412" s="490" t="s">
        <v>32561</v>
      </c>
      <c r="J2412" s="490" t="s">
        <v>32562</v>
      </c>
      <c r="K2412" s="490" t="s">
        <v>32563</v>
      </c>
      <c r="L2412" s="490" t="s">
        <v>32564</v>
      </c>
      <c r="M2412" s="490" t="s">
        <v>32565</v>
      </c>
      <c r="N2412" s="490" t="s">
        <v>32566</v>
      </c>
      <c r="O2412" s="490" t="s">
        <v>32567</v>
      </c>
      <c r="P2412" s="36" t="s">
        <v>28026</v>
      </c>
    </row>
    <row r="2413" spans="1:16">
      <c r="A2413" s="132">
        <v>2412</v>
      </c>
      <c r="B2413" s="36" t="s">
        <v>28029</v>
      </c>
      <c r="C2413" s="36" t="s">
        <v>28030</v>
      </c>
      <c r="D2413" s="36" t="s">
        <v>28031</v>
      </c>
      <c r="E2413" s="490" t="s">
        <v>32568</v>
      </c>
      <c r="F2413" s="490" t="s">
        <v>32569</v>
      </c>
      <c r="G2413" s="490" t="s">
        <v>32570</v>
      </c>
      <c r="H2413" s="490" t="s">
        <v>32571</v>
      </c>
      <c r="I2413" s="490" t="s">
        <v>32569</v>
      </c>
      <c r="J2413" s="490" t="s">
        <v>32572</v>
      </c>
      <c r="K2413" s="490" t="s">
        <v>32573</v>
      </c>
      <c r="L2413" s="490" t="s">
        <v>32574</v>
      </c>
      <c r="M2413" s="490" t="s">
        <v>32574</v>
      </c>
      <c r="N2413" s="490" t="s">
        <v>32575</v>
      </c>
      <c r="O2413" s="490" t="s">
        <v>32576</v>
      </c>
      <c r="P2413" s="36" t="s">
        <v>28029</v>
      </c>
    </row>
    <row r="2414" spans="1:16">
      <c r="A2414" s="132">
        <v>2413</v>
      </c>
      <c r="B2414" s="36" t="s">
        <v>28032</v>
      </c>
      <c r="C2414" s="36" t="s">
        <v>28033</v>
      </c>
      <c r="D2414" s="36" t="s">
        <v>28034</v>
      </c>
      <c r="E2414" s="490" t="s">
        <v>32577</v>
      </c>
      <c r="F2414" s="490" t="s">
        <v>32578</v>
      </c>
      <c r="G2414" s="490" t="s">
        <v>32579</v>
      </c>
      <c r="H2414" s="490" t="s">
        <v>32580</v>
      </c>
      <c r="I2414" s="490" t="s">
        <v>32581</v>
      </c>
      <c r="J2414" s="490" t="s">
        <v>32582</v>
      </c>
      <c r="K2414" s="490" t="s">
        <v>32583</v>
      </c>
      <c r="L2414" s="490" t="s">
        <v>32584</v>
      </c>
      <c r="M2414" s="490" t="s">
        <v>32585</v>
      </c>
      <c r="N2414" s="490" t="s">
        <v>32586</v>
      </c>
      <c r="O2414" s="490" t="s">
        <v>32587</v>
      </c>
      <c r="P2414" s="36" t="s">
        <v>28032</v>
      </c>
    </row>
    <row r="2415" spans="1:16">
      <c r="A2415" s="132">
        <v>2414</v>
      </c>
      <c r="B2415" s="36" t="s">
        <v>28035</v>
      </c>
      <c r="C2415" s="36" t="s">
        <v>28036</v>
      </c>
      <c r="D2415" s="36" t="s">
        <v>28037</v>
      </c>
      <c r="E2415" s="490" t="s">
        <v>32588</v>
      </c>
      <c r="F2415" s="490" t="s">
        <v>32589</v>
      </c>
      <c r="G2415" s="490" t="s">
        <v>32590</v>
      </c>
      <c r="H2415" s="490" t="s">
        <v>32591</v>
      </c>
      <c r="I2415" s="490" t="s">
        <v>32592</v>
      </c>
      <c r="J2415" s="490" t="s">
        <v>32593</v>
      </c>
      <c r="K2415" s="490" t="s">
        <v>32594</v>
      </c>
      <c r="L2415" s="490" t="s">
        <v>32595</v>
      </c>
      <c r="M2415" s="490" t="s">
        <v>32596</v>
      </c>
      <c r="N2415" s="490" t="s">
        <v>32597</v>
      </c>
      <c r="O2415" s="490" t="s">
        <v>32598</v>
      </c>
      <c r="P2415" s="36" t="s">
        <v>28035</v>
      </c>
    </row>
    <row r="2416" spans="1:16">
      <c r="A2416" s="132">
        <v>2415</v>
      </c>
      <c r="B2416" s="36" t="s">
        <v>28038</v>
      </c>
      <c r="C2416" s="36" t="s">
        <v>28039</v>
      </c>
      <c r="D2416" s="490" t="s">
        <v>32599</v>
      </c>
      <c r="E2416" s="490" t="s">
        <v>32600</v>
      </c>
      <c r="F2416" s="490" t="s">
        <v>32601</v>
      </c>
      <c r="G2416" s="490" t="s">
        <v>32602</v>
      </c>
      <c r="H2416" s="490" t="s">
        <v>32603</v>
      </c>
      <c r="I2416" s="490" t="s">
        <v>32604</v>
      </c>
      <c r="J2416" s="490" t="s">
        <v>32605</v>
      </c>
      <c r="K2416" s="490" t="s">
        <v>32606</v>
      </c>
      <c r="L2416" s="490" t="s">
        <v>32607</v>
      </c>
      <c r="M2416" s="490" t="s">
        <v>28039</v>
      </c>
      <c r="N2416" s="490" t="s">
        <v>32608</v>
      </c>
      <c r="O2416" s="490" t="s">
        <v>32609</v>
      </c>
      <c r="P2416" s="36" t="s">
        <v>28038</v>
      </c>
    </row>
    <row r="2417" spans="1:16">
      <c r="A2417" s="132">
        <v>2416</v>
      </c>
      <c r="B2417" s="36" t="s">
        <v>28040</v>
      </c>
      <c r="C2417" s="36" t="s">
        <v>28040</v>
      </c>
      <c r="D2417" s="36" t="s">
        <v>28040</v>
      </c>
      <c r="E2417" s="490" t="s">
        <v>28040</v>
      </c>
      <c r="F2417" s="490" t="s">
        <v>28040</v>
      </c>
      <c r="G2417" s="490" t="s">
        <v>28040</v>
      </c>
      <c r="H2417" s="490" t="s">
        <v>28040</v>
      </c>
      <c r="I2417" s="490" t="s">
        <v>28040</v>
      </c>
      <c r="J2417" s="490" t="s">
        <v>28040</v>
      </c>
      <c r="K2417" s="490" t="s">
        <v>28040</v>
      </c>
      <c r="L2417" s="490" t="s">
        <v>28040</v>
      </c>
      <c r="M2417" s="490" t="s">
        <v>28040</v>
      </c>
      <c r="N2417" s="490" t="s">
        <v>28040</v>
      </c>
      <c r="O2417" s="490" t="s">
        <v>28040</v>
      </c>
      <c r="P2417" s="36" t="s">
        <v>28040</v>
      </c>
    </row>
    <row r="2418" spans="1:16">
      <c r="A2418" s="132">
        <v>2417</v>
      </c>
      <c r="B2418" s="36" t="s">
        <v>28041</v>
      </c>
      <c r="C2418" s="36" t="s">
        <v>28042</v>
      </c>
      <c r="D2418" s="36" t="s">
        <v>28043</v>
      </c>
      <c r="E2418" s="490" t="s">
        <v>32610</v>
      </c>
      <c r="F2418" s="490" t="s">
        <v>32611</v>
      </c>
      <c r="G2418" s="490" t="s">
        <v>32612</v>
      </c>
      <c r="H2418" s="490" t="s">
        <v>32613</v>
      </c>
      <c r="I2418" s="490" t="s">
        <v>32614</v>
      </c>
      <c r="J2418" s="490" t="s">
        <v>32615</v>
      </c>
      <c r="K2418" s="490" t="s">
        <v>32616</v>
      </c>
      <c r="L2418" s="490" t="s">
        <v>32617</v>
      </c>
      <c r="M2418" s="490" t="s">
        <v>32618</v>
      </c>
      <c r="N2418" s="490" t="s">
        <v>32619</v>
      </c>
      <c r="O2418" s="490" t="s">
        <v>32620</v>
      </c>
      <c r="P2418" s="36" t="s">
        <v>28041</v>
      </c>
    </row>
    <row r="2419" spans="1:16">
      <c r="A2419" s="132">
        <v>2418</v>
      </c>
      <c r="B2419" s="36" t="s">
        <v>28044</v>
      </c>
      <c r="C2419" s="36" t="s">
        <v>28045</v>
      </c>
      <c r="D2419" s="490" t="s">
        <v>32621</v>
      </c>
      <c r="E2419" s="490" t="s">
        <v>32622</v>
      </c>
      <c r="F2419" s="490" t="s">
        <v>32623</v>
      </c>
      <c r="G2419" s="490" t="s">
        <v>32624</v>
      </c>
      <c r="H2419" s="490" t="s">
        <v>32625</v>
      </c>
      <c r="I2419" s="490" t="s">
        <v>32626</v>
      </c>
      <c r="J2419" s="490" t="s">
        <v>32627</v>
      </c>
      <c r="K2419" s="490" t="s">
        <v>32628</v>
      </c>
      <c r="L2419" s="490" t="s">
        <v>32629</v>
      </c>
      <c r="M2419" s="490" t="s">
        <v>32630</v>
      </c>
      <c r="N2419" s="490" t="s">
        <v>32631</v>
      </c>
      <c r="O2419" s="490" t="s">
        <v>32632</v>
      </c>
      <c r="P2419" s="36" t="s">
        <v>28044</v>
      </c>
    </row>
    <row r="2420" spans="1:16">
      <c r="A2420" s="132">
        <v>2419</v>
      </c>
      <c r="B2420" s="36" t="s">
        <v>28046</v>
      </c>
      <c r="C2420" s="36" t="s">
        <v>28047</v>
      </c>
      <c r="D2420" s="36" t="s">
        <v>28048</v>
      </c>
      <c r="E2420" s="490" t="s">
        <v>32633</v>
      </c>
      <c r="F2420" s="490" t="s">
        <v>32634</v>
      </c>
      <c r="G2420" s="490" t="s">
        <v>32635</v>
      </c>
      <c r="H2420" s="490" t="s">
        <v>32636</v>
      </c>
      <c r="I2420" s="490" t="s">
        <v>32637</v>
      </c>
      <c r="J2420" s="490" t="s">
        <v>32638</v>
      </c>
      <c r="K2420" s="490" t="s">
        <v>32639</v>
      </c>
      <c r="L2420" s="490" t="s">
        <v>32640</v>
      </c>
      <c r="M2420" s="490" t="s">
        <v>32641</v>
      </c>
      <c r="N2420" s="490" t="s">
        <v>32642</v>
      </c>
      <c r="O2420" s="490" t="s">
        <v>32643</v>
      </c>
      <c r="P2420" s="36" t="s">
        <v>28046</v>
      </c>
    </row>
    <row r="2421" spans="1:16">
      <c r="A2421" s="132">
        <v>2420</v>
      </c>
      <c r="B2421" s="36" t="s">
        <v>28049</v>
      </c>
      <c r="C2421" s="36" t="s">
        <v>28050</v>
      </c>
      <c r="D2421" s="490" t="s">
        <v>32644</v>
      </c>
      <c r="E2421" s="490" t="s">
        <v>32645</v>
      </c>
      <c r="F2421" s="490" t="s">
        <v>32646</v>
      </c>
      <c r="G2421" s="490" t="s">
        <v>32647</v>
      </c>
      <c r="H2421" s="490" t="s">
        <v>32648</v>
      </c>
      <c r="I2421" s="490" t="s">
        <v>32649</v>
      </c>
      <c r="J2421" s="490" t="s">
        <v>32650</v>
      </c>
      <c r="K2421" s="490" t="s">
        <v>32651</v>
      </c>
      <c r="L2421" s="490" t="s">
        <v>32652</v>
      </c>
      <c r="M2421" s="490" t="s">
        <v>32653</v>
      </c>
      <c r="N2421" s="490" t="s">
        <v>32654</v>
      </c>
      <c r="O2421" s="490" t="s">
        <v>32655</v>
      </c>
      <c r="P2421" s="36" t="s">
        <v>28049</v>
      </c>
    </row>
    <row r="2422" spans="1:16">
      <c r="A2422" s="132">
        <v>2421</v>
      </c>
      <c r="B2422" s="36" t="s">
        <v>28051</v>
      </c>
      <c r="C2422" s="36" t="s">
        <v>28052</v>
      </c>
      <c r="D2422" s="36" t="s">
        <v>28053</v>
      </c>
      <c r="E2422" s="490" t="s">
        <v>32656</v>
      </c>
      <c r="F2422" s="490" t="s">
        <v>32657</v>
      </c>
      <c r="G2422" s="490" t="s">
        <v>32658</v>
      </c>
      <c r="H2422" s="490" t="s">
        <v>32659</v>
      </c>
      <c r="I2422" s="490" t="s">
        <v>32660</v>
      </c>
      <c r="J2422" s="490" t="s">
        <v>32661</v>
      </c>
      <c r="K2422" s="490" t="s">
        <v>32662</v>
      </c>
      <c r="L2422" s="490" t="s">
        <v>32663</v>
      </c>
      <c r="M2422" s="490" t="s">
        <v>32664</v>
      </c>
      <c r="N2422" s="490" t="s">
        <v>32665</v>
      </c>
      <c r="O2422" s="490" t="s">
        <v>32666</v>
      </c>
      <c r="P2422" s="36" t="s">
        <v>28051</v>
      </c>
    </row>
    <row r="2423" spans="1:16">
      <c r="A2423" s="132">
        <v>2422</v>
      </c>
      <c r="B2423" s="36" t="s">
        <v>28054</v>
      </c>
      <c r="C2423" s="36" t="s">
        <v>28055</v>
      </c>
      <c r="D2423" s="36" t="s">
        <v>28056</v>
      </c>
      <c r="E2423" s="490" t="s">
        <v>32667</v>
      </c>
      <c r="F2423" s="490" t="s">
        <v>32668</v>
      </c>
      <c r="G2423" s="490" t="s">
        <v>32669</v>
      </c>
      <c r="H2423" s="490" t="s">
        <v>32670</v>
      </c>
      <c r="I2423" s="490" t="s">
        <v>32671</v>
      </c>
      <c r="J2423" s="490" t="s">
        <v>32672</v>
      </c>
      <c r="K2423" s="490" t="s">
        <v>32673</v>
      </c>
      <c r="L2423" s="490" t="s">
        <v>32674</v>
      </c>
      <c r="M2423" s="490" t="s">
        <v>32675</v>
      </c>
      <c r="N2423" s="490" t="s">
        <v>32676</v>
      </c>
      <c r="O2423" s="490" t="s">
        <v>32677</v>
      </c>
      <c r="P2423" s="36" t="s">
        <v>28054</v>
      </c>
    </row>
    <row r="2424" spans="1:16">
      <c r="A2424" s="132">
        <v>2423</v>
      </c>
      <c r="B2424" s="36" t="s">
        <v>28057</v>
      </c>
      <c r="C2424" s="36" t="s">
        <v>28058</v>
      </c>
      <c r="D2424" s="36" t="s">
        <v>28059</v>
      </c>
      <c r="E2424" s="490" t="s">
        <v>32678</v>
      </c>
      <c r="F2424" s="490" t="s">
        <v>32679</v>
      </c>
      <c r="G2424" s="490" t="s">
        <v>32680</v>
      </c>
      <c r="H2424" s="490" t="s">
        <v>32681</v>
      </c>
      <c r="I2424" s="490" t="s">
        <v>32682</v>
      </c>
      <c r="J2424" s="490" t="s">
        <v>32683</v>
      </c>
      <c r="K2424" s="490" t="s">
        <v>32684</v>
      </c>
      <c r="L2424" s="490" t="s">
        <v>32685</v>
      </c>
      <c r="M2424" s="490" t="s">
        <v>32686</v>
      </c>
      <c r="N2424" s="490" t="s">
        <v>32687</v>
      </c>
      <c r="O2424" s="490" t="s">
        <v>32688</v>
      </c>
      <c r="P2424" s="36" t="s">
        <v>28057</v>
      </c>
    </row>
    <row r="2425" spans="1:16">
      <c r="A2425" s="132">
        <v>2424</v>
      </c>
      <c r="B2425" s="36" t="s">
        <v>28060</v>
      </c>
      <c r="C2425" s="36" t="s">
        <v>28061</v>
      </c>
      <c r="D2425" s="36" t="s">
        <v>28062</v>
      </c>
      <c r="E2425" s="490" t="s">
        <v>32689</v>
      </c>
      <c r="F2425" s="490" t="s">
        <v>32690</v>
      </c>
      <c r="G2425" s="490" t="s">
        <v>32691</v>
      </c>
      <c r="H2425" s="490" t="s">
        <v>32692</v>
      </c>
      <c r="I2425" s="490" t="s">
        <v>32693</v>
      </c>
      <c r="J2425" s="490" t="s">
        <v>32694</v>
      </c>
      <c r="K2425" s="490" t="s">
        <v>32695</v>
      </c>
      <c r="L2425" s="490" t="s">
        <v>32696</v>
      </c>
      <c r="M2425" s="490" t="s">
        <v>32697</v>
      </c>
      <c r="N2425" s="490" t="s">
        <v>32698</v>
      </c>
      <c r="O2425" s="490" t="s">
        <v>32699</v>
      </c>
      <c r="P2425" s="36" t="s">
        <v>28060</v>
      </c>
    </row>
    <row r="2426" spans="1:16">
      <c r="A2426" s="132">
        <v>2425</v>
      </c>
      <c r="B2426" s="36" t="s">
        <v>28063</v>
      </c>
      <c r="C2426" s="36" t="s">
        <v>28064</v>
      </c>
      <c r="D2426" s="36" t="s">
        <v>28065</v>
      </c>
      <c r="E2426" s="490" t="s">
        <v>32700</v>
      </c>
      <c r="F2426" s="490" t="s">
        <v>32701</v>
      </c>
      <c r="G2426" s="490" t="s">
        <v>32702</v>
      </c>
      <c r="H2426" s="490" t="s">
        <v>32703</v>
      </c>
      <c r="I2426" s="490" t="s">
        <v>32704</v>
      </c>
      <c r="J2426" s="490" t="s">
        <v>32705</v>
      </c>
      <c r="K2426" s="490" t="s">
        <v>32706</v>
      </c>
      <c r="L2426" s="490" t="s">
        <v>32707</v>
      </c>
      <c r="M2426" s="490" t="s">
        <v>32708</v>
      </c>
      <c r="N2426" s="490" t="s">
        <v>32709</v>
      </c>
      <c r="O2426" s="490" t="s">
        <v>32710</v>
      </c>
      <c r="P2426" s="36" t="s">
        <v>28063</v>
      </c>
    </row>
    <row r="2427" spans="1:16">
      <c r="A2427" s="132">
        <v>2426</v>
      </c>
      <c r="B2427" s="36" t="s">
        <v>28066</v>
      </c>
      <c r="C2427" s="36" t="s">
        <v>28067</v>
      </c>
      <c r="D2427" s="36" t="s">
        <v>28068</v>
      </c>
      <c r="E2427" s="490" t="s">
        <v>32711</v>
      </c>
      <c r="F2427" s="490" t="s">
        <v>32712</v>
      </c>
      <c r="G2427" s="490" t="s">
        <v>32713</v>
      </c>
      <c r="H2427" s="490" t="s">
        <v>32714</v>
      </c>
      <c r="I2427" s="490" t="s">
        <v>32715</v>
      </c>
      <c r="J2427" s="490" t="s">
        <v>32716</v>
      </c>
      <c r="K2427" s="490" t="s">
        <v>32717</v>
      </c>
      <c r="L2427" s="490" t="s">
        <v>32718</v>
      </c>
      <c r="M2427" s="490" t="s">
        <v>32719</v>
      </c>
      <c r="N2427" s="490" t="s">
        <v>32720</v>
      </c>
      <c r="O2427" s="490" t="s">
        <v>32721</v>
      </c>
      <c r="P2427" s="36" t="s">
        <v>28066</v>
      </c>
    </row>
    <row r="2428" spans="1:16">
      <c r="A2428" s="132">
        <v>2427</v>
      </c>
      <c r="B2428" s="36" t="s">
        <v>28069</v>
      </c>
      <c r="C2428" s="36" t="s">
        <v>28070</v>
      </c>
      <c r="D2428" s="490" t="s">
        <v>32722</v>
      </c>
      <c r="E2428" s="490" t="s">
        <v>32723</v>
      </c>
      <c r="F2428" s="490" t="s">
        <v>32724</v>
      </c>
      <c r="G2428" s="490" t="s">
        <v>32725</v>
      </c>
      <c r="H2428" s="490" t="s">
        <v>32726</v>
      </c>
      <c r="I2428" s="490" t="s">
        <v>32727</v>
      </c>
      <c r="J2428" s="490" t="s">
        <v>32728</v>
      </c>
      <c r="K2428" s="490" t="s">
        <v>32729</v>
      </c>
      <c r="L2428" s="490" t="s">
        <v>32730</v>
      </c>
      <c r="M2428" s="490" t="s">
        <v>32731</v>
      </c>
      <c r="N2428" s="490" t="s">
        <v>32732</v>
      </c>
      <c r="O2428" s="490" t="s">
        <v>32733</v>
      </c>
      <c r="P2428" s="36" t="s">
        <v>28069</v>
      </c>
    </row>
    <row r="2429" spans="1:16">
      <c r="A2429" s="132">
        <v>2428</v>
      </c>
      <c r="B2429" s="36" t="s">
        <v>28071</v>
      </c>
      <c r="C2429" s="36" t="s">
        <v>28072</v>
      </c>
      <c r="D2429" s="490" t="s">
        <v>32734</v>
      </c>
      <c r="E2429" s="490" t="s">
        <v>32735</v>
      </c>
      <c r="F2429" s="490" t="s">
        <v>32736</v>
      </c>
      <c r="G2429" s="490" t="s">
        <v>32737</v>
      </c>
      <c r="H2429" s="490" t="s">
        <v>32738</v>
      </c>
      <c r="I2429" s="490" t="s">
        <v>32739</v>
      </c>
      <c r="J2429" s="490" t="s">
        <v>32740</v>
      </c>
      <c r="K2429" s="490" t="s">
        <v>32741</v>
      </c>
      <c r="L2429" s="490" t="s">
        <v>32742</v>
      </c>
      <c r="M2429" s="490" t="s">
        <v>32743</v>
      </c>
      <c r="N2429" s="490" t="s">
        <v>32744</v>
      </c>
      <c r="O2429" s="490" t="s">
        <v>32745</v>
      </c>
      <c r="P2429" s="36" t="s">
        <v>28071</v>
      </c>
    </row>
    <row r="2430" spans="1:16">
      <c r="A2430" s="132">
        <v>2429</v>
      </c>
      <c r="B2430" s="36" t="s">
        <v>28073</v>
      </c>
      <c r="C2430" s="36" t="s">
        <v>28074</v>
      </c>
      <c r="D2430" s="36" t="s">
        <v>28074</v>
      </c>
      <c r="E2430" s="490" t="s">
        <v>32746</v>
      </c>
      <c r="F2430" s="490" t="s">
        <v>32747</v>
      </c>
      <c r="G2430" s="490" t="s">
        <v>32748</v>
      </c>
      <c r="H2430" s="490" t="s">
        <v>32749</v>
      </c>
      <c r="I2430" s="490" t="s">
        <v>32747</v>
      </c>
      <c r="J2430" s="490" t="s">
        <v>32750</v>
      </c>
      <c r="K2430" s="490" t="s">
        <v>32748</v>
      </c>
      <c r="L2430" s="490" t="s">
        <v>32751</v>
      </c>
      <c r="M2430" s="490" t="s">
        <v>32752</v>
      </c>
      <c r="N2430" s="490" t="s">
        <v>32753</v>
      </c>
      <c r="O2430" s="490" t="s">
        <v>32748</v>
      </c>
      <c r="P2430" s="36" t="s">
        <v>28073</v>
      </c>
    </row>
    <row r="2431" spans="1:16">
      <c r="A2431" s="132">
        <v>2430</v>
      </c>
      <c r="B2431" s="36" t="s">
        <v>28075</v>
      </c>
      <c r="C2431" s="36" t="s">
        <v>28076</v>
      </c>
      <c r="D2431" s="36" t="s">
        <v>28077</v>
      </c>
      <c r="E2431" s="490" t="s">
        <v>32754</v>
      </c>
      <c r="F2431" s="490" t="s">
        <v>32755</v>
      </c>
      <c r="G2431" s="490" t="s">
        <v>32756</v>
      </c>
      <c r="H2431" s="490" t="s">
        <v>32757</v>
      </c>
      <c r="I2431" s="490" t="s">
        <v>32758</v>
      </c>
      <c r="J2431" s="490" t="s">
        <v>32759</v>
      </c>
      <c r="K2431" s="490" t="s">
        <v>32760</v>
      </c>
      <c r="L2431" s="490" t="s">
        <v>32761</v>
      </c>
      <c r="M2431" s="490" t="s">
        <v>32762</v>
      </c>
      <c r="N2431" s="490" t="s">
        <v>32763</v>
      </c>
      <c r="O2431" s="490" t="s">
        <v>32764</v>
      </c>
      <c r="P2431" s="36" t="s">
        <v>28075</v>
      </c>
    </row>
    <row r="2432" spans="1:16">
      <c r="A2432" s="132">
        <v>2431</v>
      </c>
      <c r="B2432" s="36" t="s">
        <v>28078</v>
      </c>
      <c r="C2432" s="36" t="s">
        <v>28076</v>
      </c>
      <c r="D2432" s="36" t="s">
        <v>28079</v>
      </c>
      <c r="E2432" s="490" t="s">
        <v>32765</v>
      </c>
      <c r="F2432" s="490" t="s">
        <v>32766</v>
      </c>
      <c r="G2432" s="490" t="s">
        <v>32767</v>
      </c>
      <c r="H2432" s="490" t="s">
        <v>32768</v>
      </c>
      <c r="I2432" s="490" t="s">
        <v>32769</v>
      </c>
      <c r="J2432" s="490" t="s">
        <v>32770</v>
      </c>
      <c r="K2432" s="490" t="s">
        <v>32771</v>
      </c>
      <c r="L2432" s="490" t="s">
        <v>32772</v>
      </c>
      <c r="M2432" s="490" t="s">
        <v>32773</v>
      </c>
      <c r="N2432" s="490" t="s">
        <v>32774</v>
      </c>
      <c r="O2432" s="490" t="s">
        <v>32775</v>
      </c>
      <c r="P2432" s="36" t="s">
        <v>28078</v>
      </c>
    </row>
    <row r="2433" spans="1:16" ht="13.95" customHeight="1">
      <c r="A2433" s="132">
        <v>2432</v>
      </c>
      <c r="B2433" s="36" t="s">
        <v>28080</v>
      </c>
      <c r="C2433" s="36" t="s">
        <v>28081</v>
      </c>
      <c r="D2433" s="490" t="s">
        <v>32776</v>
      </c>
      <c r="E2433" s="490" t="s">
        <v>32777</v>
      </c>
      <c r="F2433" s="490" t="s">
        <v>32778</v>
      </c>
      <c r="G2433" s="490" t="s">
        <v>32779</v>
      </c>
      <c r="H2433" s="490" t="s">
        <v>32780</v>
      </c>
      <c r="I2433" s="490" t="s">
        <v>32781</v>
      </c>
      <c r="J2433" s="490" t="s">
        <v>32782</v>
      </c>
      <c r="K2433" s="490" t="s">
        <v>32783</v>
      </c>
      <c r="L2433" s="490" t="s">
        <v>32784</v>
      </c>
      <c r="M2433" s="490" t="s">
        <v>32785</v>
      </c>
      <c r="N2433" s="490" t="s">
        <v>32786</v>
      </c>
      <c r="O2433" s="490" t="s">
        <v>32787</v>
      </c>
      <c r="P2433" s="36" t="s">
        <v>28080</v>
      </c>
    </row>
    <row r="2434" spans="1:16" ht="13.95" customHeight="1">
      <c r="A2434" s="132">
        <v>2433</v>
      </c>
      <c r="B2434" s="36" t="s">
        <v>28082</v>
      </c>
      <c r="C2434" s="36" t="s">
        <v>28083</v>
      </c>
      <c r="D2434" s="36" t="s">
        <v>28084</v>
      </c>
      <c r="E2434" s="490" t="s">
        <v>32788</v>
      </c>
      <c r="F2434" s="490" t="s">
        <v>32789</v>
      </c>
      <c r="G2434" s="490" t="s">
        <v>32790</v>
      </c>
      <c r="H2434" s="490" t="s">
        <v>32791</v>
      </c>
      <c r="I2434" s="490" t="s">
        <v>32792</v>
      </c>
      <c r="J2434" s="490" t="s">
        <v>32793</v>
      </c>
      <c r="K2434" s="490" t="s">
        <v>32794</v>
      </c>
      <c r="L2434" s="490" t="s">
        <v>32795</v>
      </c>
      <c r="M2434" s="490" t="s">
        <v>32796</v>
      </c>
      <c r="N2434" s="490" t="s">
        <v>32797</v>
      </c>
      <c r="O2434" s="490" t="s">
        <v>32798</v>
      </c>
      <c r="P2434" s="36" t="s">
        <v>28082</v>
      </c>
    </row>
    <row r="2435" spans="1:16">
      <c r="A2435" s="132">
        <v>2434</v>
      </c>
      <c r="B2435" s="36" t="s">
        <v>28085</v>
      </c>
      <c r="C2435" s="36" t="s">
        <v>28086</v>
      </c>
      <c r="D2435" s="490" t="s">
        <v>32799</v>
      </c>
      <c r="E2435" s="490" t="s">
        <v>32800</v>
      </c>
      <c r="F2435" s="490" t="s">
        <v>32801</v>
      </c>
      <c r="G2435" s="490" t="s">
        <v>32802</v>
      </c>
      <c r="H2435" s="490" t="s">
        <v>32803</v>
      </c>
      <c r="I2435" s="490" t="s">
        <v>32801</v>
      </c>
      <c r="J2435" s="490" t="s">
        <v>32804</v>
      </c>
      <c r="K2435" s="490" t="s">
        <v>32805</v>
      </c>
      <c r="L2435" s="490" t="s">
        <v>32806</v>
      </c>
      <c r="M2435" s="490" t="s">
        <v>32807</v>
      </c>
      <c r="N2435" s="490" t="s">
        <v>32808</v>
      </c>
      <c r="O2435" s="490" t="s">
        <v>32805</v>
      </c>
      <c r="P2435" s="36" t="s">
        <v>28085</v>
      </c>
    </row>
    <row r="2436" spans="1:16">
      <c r="A2436" s="132">
        <v>2435</v>
      </c>
      <c r="B2436" s="36" t="s">
        <v>28087</v>
      </c>
      <c r="C2436" s="36" t="s">
        <v>28088</v>
      </c>
      <c r="D2436" s="36" t="s">
        <v>28089</v>
      </c>
      <c r="E2436" s="490" t="s">
        <v>32809</v>
      </c>
      <c r="F2436" s="490" t="s">
        <v>32810</v>
      </c>
      <c r="G2436" s="490" t="s">
        <v>32811</v>
      </c>
      <c r="H2436" s="490" t="s">
        <v>32812</v>
      </c>
      <c r="I2436" s="490" t="s">
        <v>32813</v>
      </c>
      <c r="J2436" s="490" t="s">
        <v>32814</v>
      </c>
      <c r="K2436" s="490" t="s">
        <v>32815</v>
      </c>
      <c r="L2436" s="490" t="s">
        <v>32816</v>
      </c>
      <c r="M2436" s="490" t="s">
        <v>32817</v>
      </c>
      <c r="N2436" s="490" t="s">
        <v>32816</v>
      </c>
      <c r="O2436" s="490" t="s">
        <v>32818</v>
      </c>
      <c r="P2436" s="36" t="s">
        <v>28087</v>
      </c>
    </row>
    <row r="2437" spans="1:16">
      <c r="A2437" s="132">
        <v>2436</v>
      </c>
      <c r="B2437" s="36" t="s">
        <v>28090</v>
      </c>
      <c r="C2437" s="36" t="s">
        <v>28091</v>
      </c>
      <c r="D2437" s="36" t="s">
        <v>28092</v>
      </c>
      <c r="E2437" s="490" t="s">
        <v>32819</v>
      </c>
      <c r="F2437" s="490" t="s">
        <v>32820</v>
      </c>
      <c r="G2437" s="490" t="s">
        <v>32821</v>
      </c>
      <c r="H2437" s="490" t="s">
        <v>32822</v>
      </c>
      <c r="I2437" s="490" t="s">
        <v>32823</v>
      </c>
      <c r="J2437" s="490" t="s">
        <v>32824</v>
      </c>
      <c r="K2437" s="490" t="s">
        <v>32825</v>
      </c>
      <c r="L2437" s="490" t="s">
        <v>32826</v>
      </c>
      <c r="M2437" s="490" t="s">
        <v>32827</v>
      </c>
      <c r="N2437" s="490" t="s">
        <v>32826</v>
      </c>
      <c r="O2437" s="490" t="s">
        <v>32828</v>
      </c>
      <c r="P2437" s="36" t="s">
        <v>28090</v>
      </c>
    </row>
    <row r="2438" spans="1:16">
      <c r="A2438" s="132">
        <v>2437</v>
      </c>
      <c r="B2438" s="36" t="s">
        <v>28093</v>
      </c>
      <c r="C2438" s="36" t="s">
        <v>28094</v>
      </c>
      <c r="D2438" s="36" t="s">
        <v>28095</v>
      </c>
      <c r="E2438" s="490" t="s">
        <v>32829</v>
      </c>
      <c r="F2438" s="490" t="s">
        <v>32830</v>
      </c>
      <c r="G2438" s="490" t="s">
        <v>32831</v>
      </c>
      <c r="H2438" s="490" t="s">
        <v>32832</v>
      </c>
      <c r="I2438" s="490" t="s">
        <v>32833</v>
      </c>
      <c r="J2438" s="490" t="s">
        <v>32834</v>
      </c>
      <c r="K2438" s="490" t="s">
        <v>32835</v>
      </c>
      <c r="L2438" s="490" t="s">
        <v>32836</v>
      </c>
      <c r="M2438" s="490" t="s">
        <v>32837</v>
      </c>
      <c r="N2438" s="490" t="s">
        <v>32838</v>
      </c>
      <c r="O2438" s="490" t="s">
        <v>32839</v>
      </c>
      <c r="P2438" s="36" t="s">
        <v>28093</v>
      </c>
    </row>
    <row r="2439" spans="1:16">
      <c r="A2439" s="132">
        <v>2438</v>
      </c>
      <c r="B2439" s="36" t="s">
        <v>28096</v>
      </c>
      <c r="C2439" s="36" t="s">
        <v>28097</v>
      </c>
      <c r="D2439" s="36" t="s">
        <v>28074</v>
      </c>
      <c r="E2439" s="490" t="s">
        <v>32840</v>
      </c>
      <c r="F2439" s="490" t="s">
        <v>32841</v>
      </c>
      <c r="G2439" s="490" t="s">
        <v>32842</v>
      </c>
      <c r="H2439" s="490" t="s">
        <v>32843</v>
      </c>
      <c r="I2439" s="490" t="s">
        <v>32844</v>
      </c>
      <c r="J2439" s="490" t="s">
        <v>32845</v>
      </c>
      <c r="K2439" s="490" t="s">
        <v>32846</v>
      </c>
      <c r="L2439" s="490" t="s">
        <v>32847</v>
      </c>
      <c r="M2439" s="490" t="s">
        <v>32848</v>
      </c>
      <c r="N2439" s="490" t="s">
        <v>32849</v>
      </c>
      <c r="O2439" s="490" t="s">
        <v>32850</v>
      </c>
      <c r="P2439" s="36" t="s">
        <v>28096</v>
      </c>
    </row>
    <row r="2440" spans="1:16">
      <c r="A2440" s="132">
        <v>2439</v>
      </c>
      <c r="B2440" s="36" t="s">
        <v>28098</v>
      </c>
      <c r="C2440" s="36" t="s">
        <v>28099</v>
      </c>
      <c r="D2440" s="490" t="s">
        <v>32851</v>
      </c>
      <c r="E2440" s="490" t="s">
        <v>32852</v>
      </c>
      <c r="F2440" s="490" t="s">
        <v>32853</v>
      </c>
      <c r="G2440" s="490" t="s">
        <v>32854</v>
      </c>
      <c r="H2440" s="490" t="s">
        <v>32855</v>
      </c>
      <c r="I2440" s="490" t="s">
        <v>32856</v>
      </c>
      <c r="J2440" s="490" t="s">
        <v>32857</v>
      </c>
      <c r="K2440" s="490" t="s">
        <v>32858</v>
      </c>
      <c r="L2440" s="490" t="s">
        <v>32859</v>
      </c>
      <c r="M2440" s="490" t="s">
        <v>32860</v>
      </c>
      <c r="N2440" s="490" t="s">
        <v>32861</v>
      </c>
      <c r="O2440" s="490" t="s">
        <v>32862</v>
      </c>
      <c r="P2440" s="36" t="s">
        <v>28098</v>
      </c>
    </row>
    <row r="2441" spans="1:16">
      <c r="A2441" s="132">
        <v>2440</v>
      </c>
      <c r="B2441" s="36" t="s">
        <v>28100</v>
      </c>
      <c r="C2441" s="36" t="s">
        <v>28101</v>
      </c>
      <c r="D2441" s="490" t="s">
        <v>32863</v>
      </c>
      <c r="E2441" s="490" t="s">
        <v>32864</v>
      </c>
      <c r="F2441" s="490" t="s">
        <v>32865</v>
      </c>
      <c r="G2441" s="490" t="s">
        <v>32866</v>
      </c>
      <c r="H2441" s="490" t="s">
        <v>32867</v>
      </c>
      <c r="I2441" s="490" t="s">
        <v>32868</v>
      </c>
      <c r="J2441" s="490" t="s">
        <v>32869</v>
      </c>
      <c r="K2441" s="490" t="s">
        <v>32870</v>
      </c>
      <c r="L2441" s="490" t="s">
        <v>32871</v>
      </c>
      <c r="M2441" s="490" t="s">
        <v>32872</v>
      </c>
      <c r="N2441" s="490" t="s">
        <v>32873</v>
      </c>
      <c r="O2441" s="490" t="s">
        <v>32874</v>
      </c>
      <c r="P2441" s="36" t="s">
        <v>28100</v>
      </c>
    </row>
    <row r="2442" spans="1:16">
      <c r="A2442" s="132">
        <v>2441</v>
      </c>
      <c r="B2442" s="36" t="s">
        <v>28102</v>
      </c>
      <c r="C2442" s="36" t="s">
        <v>28103</v>
      </c>
      <c r="D2442" s="36" t="s">
        <v>28104</v>
      </c>
      <c r="E2442" s="490" t="s">
        <v>32875</v>
      </c>
      <c r="F2442" s="490" t="s">
        <v>32876</v>
      </c>
      <c r="G2442" s="490" t="s">
        <v>32877</v>
      </c>
      <c r="H2442" s="490" t="s">
        <v>32878</v>
      </c>
      <c r="I2442" s="490" t="s">
        <v>32879</v>
      </c>
      <c r="J2442" s="490" t="s">
        <v>32880</v>
      </c>
      <c r="K2442" s="490" t="s">
        <v>32881</v>
      </c>
      <c r="L2442" s="490" t="s">
        <v>32882</v>
      </c>
      <c r="M2442" s="490" t="s">
        <v>32883</v>
      </c>
      <c r="N2442" s="490" t="s">
        <v>32884</v>
      </c>
      <c r="O2442" s="490" t="s">
        <v>32885</v>
      </c>
      <c r="P2442" s="36" t="s">
        <v>28102</v>
      </c>
    </row>
    <row r="2443" spans="1:16">
      <c r="A2443" s="132">
        <v>2442</v>
      </c>
      <c r="B2443" s="36" t="s">
        <v>28105</v>
      </c>
      <c r="C2443" s="36" t="s">
        <v>28106</v>
      </c>
      <c r="D2443" s="490" t="s">
        <v>32886</v>
      </c>
      <c r="E2443" s="490" t="s">
        <v>32887</v>
      </c>
      <c r="F2443" s="490" t="s">
        <v>32888</v>
      </c>
      <c r="G2443" s="490" t="s">
        <v>32889</v>
      </c>
      <c r="H2443" s="490" t="s">
        <v>32890</v>
      </c>
      <c r="I2443" s="490" t="s">
        <v>32891</v>
      </c>
      <c r="J2443" s="490" t="s">
        <v>32892</v>
      </c>
      <c r="K2443" s="490" t="s">
        <v>32893</v>
      </c>
      <c r="L2443" s="490" t="s">
        <v>32894</v>
      </c>
      <c r="M2443" s="490" t="s">
        <v>32895</v>
      </c>
      <c r="N2443" s="490" t="s">
        <v>32896</v>
      </c>
      <c r="O2443" s="490" t="s">
        <v>32897</v>
      </c>
      <c r="P2443" s="36" t="s">
        <v>28105</v>
      </c>
    </row>
    <row r="2444" spans="1:16">
      <c r="A2444" s="132">
        <v>2443</v>
      </c>
      <c r="B2444" s="36" t="s">
        <v>28107</v>
      </c>
      <c r="C2444" s="36" t="s">
        <v>28108</v>
      </c>
      <c r="D2444" s="36" t="s">
        <v>28109</v>
      </c>
      <c r="E2444" s="490" t="s">
        <v>32898</v>
      </c>
      <c r="F2444" s="490" t="s">
        <v>32899</v>
      </c>
      <c r="G2444" s="490" t="s">
        <v>32900</v>
      </c>
      <c r="H2444" s="490" t="s">
        <v>32901</v>
      </c>
      <c r="I2444" s="490" t="s">
        <v>32902</v>
      </c>
      <c r="J2444" s="490" t="s">
        <v>32903</v>
      </c>
      <c r="K2444" s="490" t="s">
        <v>32904</v>
      </c>
      <c r="L2444" s="490" t="s">
        <v>32905</v>
      </c>
      <c r="M2444" s="490" t="s">
        <v>32906</v>
      </c>
      <c r="N2444" s="490" t="s">
        <v>32907</v>
      </c>
      <c r="O2444" s="490" t="s">
        <v>32908</v>
      </c>
      <c r="P2444" s="36" t="s">
        <v>28107</v>
      </c>
    </row>
    <row r="2445" spans="1:16">
      <c r="A2445" s="132">
        <v>2444</v>
      </c>
      <c r="B2445" s="36" t="s">
        <v>28110</v>
      </c>
      <c r="C2445" s="36" t="s">
        <v>28111</v>
      </c>
      <c r="D2445" s="36" t="s">
        <v>28112</v>
      </c>
      <c r="E2445" s="490" t="s">
        <v>32909</v>
      </c>
      <c r="F2445" s="490" t="s">
        <v>32910</v>
      </c>
      <c r="G2445" s="490" t="s">
        <v>32911</v>
      </c>
      <c r="H2445" s="490" t="s">
        <v>32912</v>
      </c>
      <c r="I2445" s="490" t="s">
        <v>32910</v>
      </c>
      <c r="J2445" s="490" t="s">
        <v>32913</v>
      </c>
      <c r="K2445" s="490" t="s">
        <v>32914</v>
      </c>
      <c r="L2445" s="490" t="s">
        <v>32915</v>
      </c>
      <c r="M2445" s="490" t="s">
        <v>32916</v>
      </c>
      <c r="N2445" s="490" t="s">
        <v>32917</v>
      </c>
      <c r="O2445" s="490" t="s">
        <v>32918</v>
      </c>
      <c r="P2445" s="36" t="s">
        <v>28110</v>
      </c>
    </row>
    <row r="2446" spans="1:16">
      <c r="A2446" s="132">
        <v>2445</v>
      </c>
      <c r="B2446" s="36" t="s">
        <v>28113</v>
      </c>
      <c r="C2446" s="36" t="s">
        <v>28114</v>
      </c>
      <c r="D2446" s="36" t="s">
        <v>28115</v>
      </c>
      <c r="E2446" s="490" t="s">
        <v>32919</v>
      </c>
      <c r="F2446" s="490" t="s">
        <v>32920</v>
      </c>
      <c r="G2446" s="490" t="s">
        <v>32921</v>
      </c>
      <c r="H2446" s="490" t="s">
        <v>32922</v>
      </c>
      <c r="I2446" s="490" t="s">
        <v>32923</v>
      </c>
      <c r="J2446" s="490" t="s">
        <v>32924</v>
      </c>
      <c r="K2446" s="490" t="s">
        <v>32925</v>
      </c>
      <c r="L2446" s="490" t="s">
        <v>32926</v>
      </c>
      <c r="M2446" s="490" t="s">
        <v>32927</v>
      </c>
      <c r="N2446" s="490" t="s">
        <v>32928</v>
      </c>
      <c r="O2446" s="490" t="s">
        <v>32929</v>
      </c>
      <c r="P2446" s="36" t="s">
        <v>28113</v>
      </c>
    </row>
    <row r="2447" spans="1:16">
      <c r="A2447" s="132">
        <v>2446</v>
      </c>
      <c r="B2447" s="36" t="s">
        <v>28116</v>
      </c>
      <c r="C2447" s="36" t="s">
        <v>28117</v>
      </c>
      <c r="D2447" s="490" t="s">
        <v>32930</v>
      </c>
      <c r="E2447" s="490" t="s">
        <v>32931</v>
      </c>
      <c r="F2447" s="490" t="s">
        <v>32932</v>
      </c>
      <c r="G2447" s="490" t="s">
        <v>32933</v>
      </c>
      <c r="H2447" s="490" t="s">
        <v>32934</v>
      </c>
      <c r="I2447" s="490" t="s">
        <v>32935</v>
      </c>
      <c r="J2447" s="490" t="s">
        <v>32936</v>
      </c>
      <c r="K2447" s="490" t="s">
        <v>32937</v>
      </c>
      <c r="L2447" s="490" t="s">
        <v>32938</v>
      </c>
      <c r="M2447" s="490" t="s">
        <v>32939</v>
      </c>
      <c r="N2447" s="490" t="s">
        <v>32940</v>
      </c>
      <c r="O2447" s="490" t="s">
        <v>32941</v>
      </c>
      <c r="P2447" s="36" t="s">
        <v>28116</v>
      </c>
    </row>
    <row r="2448" spans="1:16">
      <c r="A2448" s="132">
        <v>2447</v>
      </c>
      <c r="B2448" s="36" t="s">
        <v>28118</v>
      </c>
      <c r="C2448" s="36" t="s">
        <v>28119</v>
      </c>
      <c r="D2448" s="490" t="s">
        <v>32942</v>
      </c>
      <c r="E2448" s="490" t="s">
        <v>32943</v>
      </c>
      <c r="F2448" s="490" t="s">
        <v>32944</v>
      </c>
      <c r="G2448" s="490" t="s">
        <v>32945</v>
      </c>
      <c r="H2448" s="490" t="s">
        <v>32946</v>
      </c>
      <c r="I2448" s="490" t="s">
        <v>32947</v>
      </c>
      <c r="J2448" s="490" t="s">
        <v>32948</v>
      </c>
      <c r="K2448" s="490" t="s">
        <v>32949</v>
      </c>
      <c r="L2448" s="490" t="s">
        <v>32950</v>
      </c>
      <c r="M2448" s="490" t="s">
        <v>32951</v>
      </c>
      <c r="N2448" s="490" t="s">
        <v>32952</v>
      </c>
      <c r="O2448" s="490" t="s">
        <v>32953</v>
      </c>
      <c r="P2448" s="36" t="s">
        <v>28118</v>
      </c>
    </row>
    <row r="2449" spans="1:16">
      <c r="A2449" s="132">
        <v>2448</v>
      </c>
      <c r="B2449" s="36" t="s">
        <v>28120</v>
      </c>
      <c r="C2449" s="36" t="s">
        <v>28121</v>
      </c>
      <c r="D2449" s="36" t="s">
        <v>28122</v>
      </c>
      <c r="E2449" s="490" t="s">
        <v>32954</v>
      </c>
      <c r="F2449" s="490" t="s">
        <v>32955</v>
      </c>
      <c r="G2449" s="490" t="s">
        <v>32956</v>
      </c>
      <c r="H2449" s="490" t="s">
        <v>32957</v>
      </c>
      <c r="I2449" s="490" t="s">
        <v>32958</v>
      </c>
      <c r="J2449" s="490" t="s">
        <v>32959</v>
      </c>
      <c r="K2449" s="490" t="s">
        <v>32960</v>
      </c>
      <c r="L2449" s="490" t="s">
        <v>32961</v>
      </c>
      <c r="M2449" s="490" t="s">
        <v>32962</v>
      </c>
      <c r="N2449" s="490" t="s">
        <v>32963</v>
      </c>
      <c r="O2449" s="490" t="s">
        <v>32964</v>
      </c>
      <c r="P2449" s="36" t="s">
        <v>28120</v>
      </c>
    </row>
    <row r="2450" spans="1:16">
      <c r="A2450" s="132">
        <v>2449</v>
      </c>
      <c r="B2450" s="36" t="s">
        <v>28123</v>
      </c>
      <c r="C2450" s="36" t="s">
        <v>28124</v>
      </c>
      <c r="D2450" s="36" t="s">
        <v>27909</v>
      </c>
      <c r="E2450" s="490" t="s">
        <v>32965</v>
      </c>
      <c r="F2450" s="490" t="s">
        <v>32966</v>
      </c>
      <c r="G2450" s="490" t="s">
        <v>32967</v>
      </c>
      <c r="H2450" s="490" t="s">
        <v>32968</v>
      </c>
      <c r="I2450" s="490" t="s">
        <v>32969</v>
      </c>
      <c r="J2450" s="490" t="s">
        <v>32970</v>
      </c>
      <c r="K2450" s="490" t="s">
        <v>32971</v>
      </c>
      <c r="L2450" s="490" t="s">
        <v>32972</v>
      </c>
      <c r="M2450" s="490" t="s">
        <v>32973</v>
      </c>
      <c r="N2450" s="490" t="s">
        <v>32974</v>
      </c>
      <c r="O2450" s="490" t="s">
        <v>32975</v>
      </c>
      <c r="P2450" s="36" t="s">
        <v>28123</v>
      </c>
    </row>
    <row r="2451" spans="1:16">
      <c r="A2451" s="132">
        <v>2450</v>
      </c>
      <c r="B2451" s="36" t="s">
        <v>28125</v>
      </c>
      <c r="C2451" s="36" t="s">
        <v>28126</v>
      </c>
      <c r="D2451" s="36" t="s">
        <v>28127</v>
      </c>
      <c r="E2451" s="490" t="s">
        <v>32976</v>
      </c>
      <c r="F2451" s="490" t="s">
        <v>32977</v>
      </c>
      <c r="G2451" s="490" t="s">
        <v>32978</v>
      </c>
      <c r="H2451" s="490" t="s">
        <v>32979</v>
      </c>
      <c r="I2451" s="490" t="s">
        <v>32977</v>
      </c>
      <c r="J2451" s="490" t="s">
        <v>32980</v>
      </c>
      <c r="K2451" s="490" t="s">
        <v>32981</v>
      </c>
      <c r="L2451" s="490" t="s">
        <v>32982</v>
      </c>
      <c r="M2451" s="490" t="s">
        <v>32983</v>
      </c>
      <c r="N2451" s="490" t="s">
        <v>32984</v>
      </c>
      <c r="O2451" s="490" t="s">
        <v>32981</v>
      </c>
      <c r="P2451" s="36" t="s">
        <v>28125</v>
      </c>
    </row>
    <row r="2452" spans="1:16">
      <c r="A2452" s="132">
        <v>2451</v>
      </c>
      <c r="B2452" s="36" t="s">
        <v>28128</v>
      </c>
      <c r="C2452" s="36" t="s">
        <v>28129</v>
      </c>
      <c r="D2452" s="490" t="s">
        <v>32985</v>
      </c>
      <c r="E2452" s="490" t="s">
        <v>32986</v>
      </c>
      <c r="F2452" s="490" t="s">
        <v>32987</v>
      </c>
      <c r="G2452" s="490" t="s">
        <v>32988</v>
      </c>
      <c r="H2452" s="490" t="s">
        <v>32989</v>
      </c>
      <c r="I2452" s="490" t="s">
        <v>32990</v>
      </c>
      <c r="J2452" s="490" t="s">
        <v>32991</v>
      </c>
      <c r="K2452" s="490" t="s">
        <v>32992</v>
      </c>
      <c r="L2452" s="490" t="s">
        <v>32993</v>
      </c>
      <c r="M2452" s="490" t="s">
        <v>32994</v>
      </c>
      <c r="N2452" s="490" t="s">
        <v>32995</v>
      </c>
      <c r="O2452" s="490" t="s">
        <v>32996</v>
      </c>
      <c r="P2452" s="36" t="s">
        <v>28128</v>
      </c>
    </row>
    <row r="2453" spans="1:16">
      <c r="A2453" s="132">
        <v>2452</v>
      </c>
      <c r="B2453" s="36" t="s">
        <v>28130</v>
      </c>
      <c r="C2453" s="36" t="s">
        <v>28131</v>
      </c>
      <c r="D2453" s="490" t="s">
        <v>32997</v>
      </c>
      <c r="E2453" s="490" t="s">
        <v>32998</v>
      </c>
      <c r="F2453" s="490" t="s">
        <v>32999</v>
      </c>
      <c r="G2453" s="490" t="s">
        <v>33000</v>
      </c>
      <c r="H2453" s="490" t="s">
        <v>7243</v>
      </c>
      <c r="I2453" s="490" t="s">
        <v>7243</v>
      </c>
      <c r="J2453" s="490" t="s">
        <v>28130</v>
      </c>
      <c r="K2453" s="490" t="s">
        <v>28130</v>
      </c>
      <c r="L2453" s="490" t="s">
        <v>32997</v>
      </c>
      <c r="M2453" s="490" t="s">
        <v>28130</v>
      </c>
      <c r="N2453" s="490" t="s">
        <v>28130</v>
      </c>
      <c r="O2453" s="490" t="s">
        <v>28130</v>
      </c>
      <c r="P2453" s="36" t="s">
        <v>28130</v>
      </c>
    </row>
    <row r="2454" spans="1:16">
      <c r="A2454" s="132">
        <v>2453</v>
      </c>
      <c r="B2454" s="36" t="s">
        <v>28132</v>
      </c>
      <c r="C2454" s="36" t="s">
        <v>28133</v>
      </c>
      <c r="D2454" s="36" t="s">
        <v>28134</v>
      </c>
      <c r="E2454" s="490" t="s">
        <v>33001</v>
      </c>
      <c r="F2454" s="490" t="s">
        <v>33002</v>
      </c>
      <c r="G2454" s="490" t="s">
        <v>33003</v>
      </c>
      <c r="H2454" s="490" t="s">
        <v>33004</v>
      </c>
      <c r="I2454" s="490" t="s">
        <v>33005</v>
      </c>
      <c r="J2454" s="490" t="s">
        <v>33006</v>
      </c>
      <c r="K2454" s="490" t="s">
        <v>33007</v>
      </c>
      <c r="L2454" s="490" t="s">
        <v>33008</v>
      </c>
      <c r="M2454" s="490" t="s">
        <v>33009</v>
      </c>
      <c r="N2454" s="490" t="s">
        <v>33010</v>
      </c>
      <c r="O2454" s="490" t="s">
        <v>33011</v>
      </c>
      <c r="P2454" s="36" t="s">
        <v>28132</v>
      </c>
    </row>
    <row r="2455" spans="1:16">
      <c r="A2455" s="132">
        <v>2454</v>
      </c>
      <c r="B2455" s="36" t="s">
        <v>28135</v>
      </c>
      <c r="C2455" s="36" t="s">
        <v>28136</v>
      </c>
      <c r="D2455" s="36" t="s">
        <v>28137</v>
      </c>
      <c r="E2455" s="490" t="s">
        <v>33012</v>
      </c>
      <c r="F2455" s="490" t="s">
        <v>33013</v>
      </c>
      <c r="G2455" s="490" t="s">
        <v>33014</v>
      </c>
      <c r="H2455" s="490" t="s">
        <v>33015</v>
      </c>
      <c r="I2455" s="490" t="s">
        <v>33016</v>
      </c>
      <c r="J2455" s="490" t="s">
        <v>33017</v>
      </c>
      <c r="K2455" s="490" t="s">
        <v>33018</v>
      </c>
      <c r="L2455" s="490" t="s">
        <v>33019</v>
      </c>
      <c r="M2455" s="490" t="s">
        <v>33020</v>
      </c>
      <c r="N2455" s="490" t="s">
        <v>33021</v>
      </c>
      <c r="O2455" s="490" t="s">
        <v>33022</v>
      </c>
      <c r="P2455" s="36" t="s">
        <v>28135</v>
      </c>
    </row>
    <row r="2456" spans="1:16">
      <c r="A2456" s="132">
        <v>2455</v>
      </c>
      <c r="B2456" s="36" t="s">
        <v>28138</v>
      </c>
      <c r="C2456" s="36" t="s">
        <v>28139</v>
      </c>
      <c r="D2456" s="491" t="s">
        <v>33023</v>
      </c>
      <c r="E2456" s="490" t="s">
        <v>33024</v>
      </c>
      <c r="F2456" s="490" t="s">
        <v>33025</v>
      </c>
      <c r="G2456" s="490" t="s">
        <v>33026</v>
      </c>
      <c r="H2456" s="490" t="s">
        <v>33027</v>
      </c>
      <c r="I2456" s="490" t="s">
        <v>33028</v>
      </c>
      <c r="J2456" s="490" t="s">
        <v>33029</v>
      </c>
      <c r="K2456" s="490" t="s">
        <v>33030</v>
      </c>
      <c r="L2456" s="490" t="s">
        <v>33031</v>
      </c>
      <c r="M2456" s="490" t="s">
        <v>33032</v>
      </c>
      <c r="N2456" s="490" t="s">
        <v>33033</v>
      </c>
      <c r="O2456" s="490" t="s">
        <v>33034</v>
      </c>
      <c r="P2456" s="36" t="s">
        <v>28138</v>
      </c>
    </row>
    <row r="2457" spans="1:16">
      <c r="A2457" s="132">
        <v>2456</v>
      </c>
      <c r="B2457" s="36" t="s">
        <v>28140</v>
      </c>
      <c r="C2457" s="36" t="s">
        <v>28141</v>
      </c>
      <c r="D2457" s="491" t="s">
        <v>28142</v>
      </c>
      <c r="E2457" s="490" t="s">
        <v>33035</v>
      </c>
      <c r="F2457" s="490" t="s">
        <v>33036</v>
      </c>
      <c r="G2457" s="490" t="s">
        <v>33037</v>
      </c>
      <c r="H2457" s="490" t="s">
        <v>33038</v>
      </c>
      <c r="I2457" s="490" t="s">
        <v>33039</v>
      </c>
      <c r="J2457" s="490" t="s">
        <v>33040</v>
      </c>
      <c r="K2457" s="490" t="s">
        <v>33041</v>
      </c>
      <c r="L2457" s="490" t="s">
        <v>33042</v>
      </c>
      <c r="M2457" s="490" t="s">
        <v>33043</v>
      </c>
      <c r="N2457" s="490" t="s">
        <v>33044</v>
      </c>
      <c r="O2457" s="490" t="s">
        <v>33045</v>
      </c>
      <c r="P2457" s="36" t="s">
        <v>28140</v>
      </c>
    </row>
    <row r="2458" spans="1:16">
      <c r="A2458" s="132">
        <v>2457</v>
      </c>
      <c r="B2458" s="36" t="s">
        <v>28143</v>
      </c>
      <c r="C2458" s="36" t="s">
        <v>28144</v>
      </c>
      <c r="D2458" s="36" t="s">
        <v>28145</v>
      </c>
      <c r="E2458" s="490" t="s">
        <v>33046</v>
      </c>
      <c r="F2458" s="490" t="s">
        <v>33047</v>
      </c>
      <c r="G2458" s="490" t="s">
        <v>33048</v>
      </c>
      <c r="H2458" s="490" t="s">
        <v>33049</v>
      </c>
      <c r="I2458" s="490" t="s">
        <v>33050</v>
      </c>
      <c r="J2458" s="490" t="s">
        <v>33051</v>
      </c>
      <c r="K2458" s="490" t="s">
        <v>33052</v>
      </c>
      <c r="L2458" s="490" t="s">
        <v>33053</v>
      </c>
      <c r="M2458" s="490" t="s">
        <v>33054</v>
      </c>
      <c r="N2458" s="490" t="s">
        <v>33055</v>
      </c>
      <c r="O2458" s="490" t="s">
        <v>33056</v>
      </c>
      <c r="P2458" s="36" t="s">
        <v>28143</v>
      </c>
    </row>
    <row r="2459" spans="1:16">
      <c r="A2459" s="132">
        <v>2458</v>
      </c>
      <c r="B2459" s="36" t="s">
        <v>28146</v>
      </c>
      <c r="C2459" s="36" t="s">
        <v>28147</v>
      </c>
      <c r="D2459" s="490" t="s">
        <v>33057</v>
      </c>
      <c r="E2459" s="490" t="s">
        <v>33058</v>
      </c>
      <c r="F2459" s="490" t="s">
        <v>33059</v>
      </c>
      <c r="G2459" s="490" t="s">
        <v>33060</v>
      </c>
      <c r="H2459" s="490" t="s">
        <v>33061</v>
      </c>
      <c r="I2459" s="490" t="s">
        <v>33062</v>
      </c>
      <c r="J2459" s="490" t="s">
        <v>33063</v>
      </c>
      <c r="K2459" s="490" t="s">
        <v>33064</v>
      </c>
      <c r="L2459" s="490" t="s">
        <v>33065</v>
      </c>
      <c r="M2459" s="490" t="s">
        <v>33066</v>
      </c>
      <c r="N2459" s="490" t="s">
        <v>33067</v>
      </c>
      <c r="O2459" s="490" t="s">
        <v>33068</v>
      </c>
      <c r="P2459" s="36" t="s">
        <v>28146</v>
      </c>
    </row>
    <row r="2460" spans="1:16">
      <c r="A2460" s="132">
        <v>2459</v>
      </c>
      <c r="B2460" s="36" t="s">
        <v>28148</v>
      </c>
      <c r="C2460" s="36" t="s">
        <v>28149</v>
      </c>
      <c r="D2460" s="490" t="s">
        <v>33069</v>
      </c>
      <c r="E2460" s="490" t="s">
        <v>33070</v>
      </c>
      <c r="F2460" s="490" t="s">
        <v>33071</v>
      </c>
      <c r="G2460" s="490" t="s">
        <v>33072</v>
      </c>
      <c r="H2460" s="490" t="s">
        <v>33073</v>
      </c>
      <c r="I2460" s="490" t="s">
        <v>33074</v>
      </c>
      <c r="J2460" s="490" t="s">
        <v>33075</v>
      </c>
      <c r="K2460" s="490" t="s">
        <v>33076</v>
      </c>
      <c r="L2460" s="490" t="s">
        <v>33077</v>
      </c>
      <c r="M2460" s="490" t="s">
        <v>33078</v>
      </c>
      <c r="N2460" s="490" t="s">
        <v>33079</v>
      </c>
      <c r="O2460" s="490" t="s">
        <v>33080</v>
      </c>
      <c r="P2460" s="36" t="s">
        <v>28148</v>
      </c>
    </row>
    <row r="2461" spans="1:16">
      <c r="A2461" s="132">
        <v>2460</v>
      </c>
      <c r="B2461" s="36" t="s">
        <v>28150</v>
      </c>
      <c r="C2461" s="36" t="s">
        <v>28151</v>
      </c>
      <c r="D2461" s="36" t="s">
        <v>28152</v>
      </c>
      <c r="E2461" s="490" t="s">
        <v>33081</v>
      </c>
      <c r="F2461" s="490" t="s">
        <v>33082</v>
      </c>
      <c r="G2461" s="490" t="s">
        <v>33083</v>
      </c>
      <c r="H2461" s="490" t="s">
        <v>33084</v>
      </c>
      <c r="I2461" s="490" t="s">
        <v>33085</v>
      </c>
      <c r="J2461" s="490" t="s">
        <v>33086</v>
      </c>
      <c r="K2461" s="490" t="s">
        <v>33087</v>
      </c>
      <c r="L2461" s="490" t="s">
        <v>33088</v>
      </c>
      <c r="M2461" s="490" t="s">
        <v>33089</v>
      </c>
      <c r="N2461" s="490" t="s">
        <v>33090</v>
      </c>
      <c r="O2461" s="490" t="s">
        <v>33091</v>
      </c>
      <c r="P2461" s="36" t="s">
        <v>28150</v>
      </c>
    </row>
    <row r="2462" spans="1:16">
      <c r="A2462" s="132">
        <v>2461</v>
      </c>
      <c r="B2462" s="36" t="s">
        <v>28153</v>
      </c>
      <c r="C2462" s="36" t="s">
        <v>28154</v>
      </c>
      <c r="D2462" s="36" t="s">
        <v>28155</v>
      </c>
      <c r="E2462" s="490" t="s">
        <v>33092</v>
      </c>
      <c r="F2462" s="490" t="s">
        <v>33093</v>
      </c>
      <c r="G2462" s="490" t="s">
        <v>33094</v>
      </c>
      <c r="H2462" s="490" t="s">
        <v>33095</v>
      </c>
      <c r="I2462" s="490" t="s">
        <v>33096</v>
      </c>
      <c r="J2462" s="490" t="s">
        <v>33097</v>
      </c>
      <c r="K2462" s="490" t="s">
        <v>33098</v>
      </c>
      <c r="L2462" s="490" t="s">
        <v>33099</v>
      </c>
      <c r="M2462" s="490" t="s">
        <v>33100</v>
      </c>
      <c r="N2462" s="490" t="s">
        <v>33101</v>
      </c>
      <c r="O2462" s="490" t="s">
        <v>33102</v>
      </c>
      <c r="P2462" s="36" t="s">
        <v>28153</v>
      </c>
    </row>
    <row r="2463" spans="1:16">
      <c r="A2463" s="132">
        <v>2462</v>
      </c>
      <c r="B2463" s="36" t="s">
        <v>28156</v>
      </c>
      <c r="C2463" s="36" t="s">
        <v>28157</v>
      </c>
      <c r="D2463" s="490" t="s">
        <v>33103</v>
      </c>
      <c r="E2463" s="490" t="s">
        <v>33104</v>
      </c>
      <c r="F2463" s="490" t="s">
        <v>33105</v>
      </c>
      <c r="G2463" s="490" t="s">
        <v>33106</v>
      </c>
      <c r="H2463" s="490" t="s">
        <v>33107</v>
      </c>
      <c r="I2463" s="490" t="s">
        <v>33108</v>
      </c>
      <c r="J2463" s="490" t="s">
        <v>33109</v>
      </c>
      <c r="K2463" s="490" t="s">
        <v>33110</v>
      </c>
      <c r="L2463" s="490" t="s">
        <v>33111</v>
      </c>
      <c r="M2463" s="490" t="s">
        <v>33112</v>
      </c>
      <c r="N2463" s="490" t="s">
        <v>33113</v>
      </c>
      <c r="O2463" s="490" t="s">
        <v>33114</v>
      </c>
      <c r="P2463" s="36" t="s">
        <v>28156</v>
      </c>
    </row>
    <row r="2464" spans="1:16">
      <c r="A2464" s="132">
        <v>2463</v>
      </c>
      <c r="B2464" s="36" t="s">
        <v>28158</v>
      </c>
      <c r="C2464" s="36" t="s">
        <v>28159</v>
      </c>
      <c r="D2464" s="490" t="s">
        <v>33115</v>
      </c>
      <c r="E2464" s="490" t="s">
        <v>33116</v>
      </c>
      <c r="F2464" s="490" t="s">
        <v>33117</v>
      </c>
      <c r="G2464" s="490" t="s">
        <v>33118</v>
      </c>
      <c r="H2464" s="490" t="s">
        <v>33119</v>
      </c>
      <c r="I2464" s="490" t="s">
        <v>33120</v>
      </c>
      <c r="J2464" s="490" t="s">
        <v>33121</v>
      </c>
      <c r="K2464" s="490" t="s">
        <v>33122</v>
      </c>
      <c r="L2464" s="490" t="s">
        <v>33123</v>
      </c>
      <c r="M2464" s="490" t="s">
        <v>33124</v>
      </c>
      <c r="N2464" s="490" t="s">
        <v>33125</v>
      </c>
      <c r="O2464" s="490" t="s">
        <v>33126</v>
      </c>
      <c r="P2464" s="36" t="s">
        <v>28158</v>
      </c>
    </row>
    <row r="2465" spans="1:16">
      <c r="A2465" s="132">
        <v>2464</v>
      </c>
      <c r="B2465" s="36" t="s">
        <v>28160</v>
      </c>
      <c r="C2465" s="36" t="s">
        <v>28161</v>
      </c>
      <c r="D2465" s="490" t="s">
        <v>33127</v>
      </c>
      <c r="E2465" s="490" t="s">
        <v>33128</v>
      </c>
      <c r="F2465" s="490" t="s">
        <v>33129</v>
      </c>
      <c r="G2465" s="490" t="s">
        <v>33130</v>
      </c>
      <c r="H2465" s="490" t="s">
        <v>33131</v>
      </c>
      <c r="I2465" s="490" t="s">
        <v>33132</v>
      </c>
      <c r="J2465" s="490" t="s">
        <v>33133</v>
      </c>
      <c r="K2465" s="490" t="s">
        <v>33134</v>
      </c>
      <c r="L2465" s="490" t="s">
        <v>33135</v>
      </c>
      <c r="M2465" s="490" t="s">
        <v>33136</v>
      </c>
      <c r="N2465" s="490" t="s">
        <v>33137</v>
      </c>
      <c r="O2465" s="490" t="s">
        <v>33138</v>
      </c>
      <c r="P2465" s="36" t="s">
        <v>28160</v>
      </c>
    </row>
    <row r="2466" spans="1:16">
      <c r="A2466" s="132">
        <v>2465</v>
      </c>
      <c r="B2466" s="36" t="s">
        <v>2361</v>
      </c>
      <c r="C2466" s="36" t="s">
        <v>2361</v>
      </c>
      <c r="D2466" s="36" t="s">
        <v>2361</v>
      </c>
      <c r="E2466" s="490" t="s">
        <v>2361</v>
      </c>
      <c r="F2466" s="490" t="s">
        <v>2361</v>
      </c>
      <c r="G2466" s="490" t="s">
        <v>2361</v>
      </c>
      <c r="H2466" s="490" t="s">
        <v>2361</v>
      </c>
      <c r="I2466" s="490" t="s">
        <v>2361</v>
      </c>
      <c r="J2466" s="490" t="s">
        <v>2361</v>
      </c>
      <c r="K2466" s="490" t="s">
        <v>2361</v>
      </c>
      <c r="L2466" s="490" t="s">
        <v>2361</v>
      </c>
      <c r="M2466" s="490" t="s">
        <v>2361</v>
      </c>
      <c r="N2466" s="490" t="s">
        <v>2361</v>
      </c>
      <c r="O2466" s="490" t="s">
        <v>2361</v>
      </c>
      <c r="P2466" s="36" t="s">
        <v>2361</v>
      </c>
    </row>
    <row r="2467" spans="1:16">
      <c r="A2467" s="132">
        <v>2466</v>
      </c>
      <c r="B2467" s="36" t="s">
        <v>28162</v>
      </c>
      <c r="C2467" s="36" t="s">
        <v>28163</v>
      </c>
      <c r="D2467" s="490" t="s">
        <v>33139</v>
      </c>
      <c r="E2467" s="490" t="s">
        <v>33140</v>
      </c>
      <c r="F2467" s="490" t="s">
        <v>33141</v>
      </c>
      <c r="G2467" s="490" t="s">
        <v>33142</v>
      </c>
      <c r="H2467" s="490" t="s">
        <v>33143</v>
      </c>
      <c r="I2467" s="490" t="s">
        <v>33144</v>
      </c>
      <c r="J2467" s="490" t="s">
        <v>33145</v>
      </c>
      <c r="K2467" s="490" t="s">
        <v>33146</v>
      </c>
      <c r="L2467" s="490" t="s">
        <v>33147</v>
      </c>
      <c r="M2467" s="490" t="s">
        <v>33148</v>
      </c>
      <c r="N2467" s="490" t="s">
        <v>33149</v>
      </c>
      <c r="O2467" s="490" t="s">
        <v>33150</v>
      </c>
      <c r="P2467" s="36" t="s">
        <v>28162</v>
      </c>
    </row>
    <row r="2468" spans="1:16">
      <c r="A2468" s="132">
        <v>2467</v>
      </c>
      <c r="B2468" s="36" t="s">
        <v>28164</v>
      </c>
      <c r="C2468" s="36" t="s">
        <v>28165</v>
      </c>
      <c r="D2468" s="36" t="s">
        <v>28166</v>
      </c>
      <c r="E2468" s="490" t="s">
        <v>33151</v>
      </c>
      <c r="F2468" s="490" t="s">
        <v>33152</v>
      </c>
      <c r="G2468" s="490" t="s">
        <v>33153</v>
      </c>
      <c r="H2468" s="490" t="s">
        <v>33154</v>
      </c>
      <c r="I2468" s="490" t="s">
        <v>33155</v>
      </c>
      <c r="J2468" s="490" t="s">
        <v>33156</v>
      </c>
      <c r="K2468" s="490" t="s">
        <v>33157</v>
      </c>
      <c r="L2468" s="490" t="s">
        <v>33158</v>
      </c>
      <c r="M2468" s="490" t="s">
        <v>33159</v>
      </c>
      <c r="N2468" s="490" t="s">
        <v>33160</v>
      </c>
      <c r="O2468" s="490" t="s">
        <v>33161</v>
      </c>
      <c r="P2468" s="36" t="s">
        <v>28164</v>
      </c>
    </row>
    <row r="2469" spans="1:16">
      <c r="A2469" s="132">
        <v>2468</v>
      </c>
      <c r="B2469" s="36" t="s">
        <v>28167</v>
      </c>
      <c r="C2469" s="36" t="s">
        <v>28168</v>
      </c>
      <c r="D2469" s="490" t="s">
        <v>33162</v>
      </c>
      <c r="E2469" s="490" t="s">
        <v>33163</v>
      </c>
      <c r="F2469" s="490" t="s">
        <v>33164</v>
      </c>
      <c r="G2469" s="490" t="s">
        <v>33165</v>
      </c>
      <c r="H2469" s="490" t="s">
        <v>33166</v>
      </c>
      <c r="I2469" s="490" t="s">
        <v>33167</v>
      </c>
      <c r="J2469" s="490" t="s">
        <v>33168</v>
      </c>
      <c r="K2469" s="490" t="s">
        <v>33169</v>
      </c>
      <c r="L2469" s="490" t="s">
        <v>33170</v>
      </c>
      <c r="M2469" s="490" t="s">
        <v>33171</v>
      </c>
      <c r="N2469" s="490" t="s">
        <v>33170</v>
      </c>
      <c r="O2469" s="490" t="s">
        <v>33172</v>
      </c>
      <c r="P2469" s="36" t="s">
        <v>28167</v>
      </c>
    </row>
    <row r="2470" spans="1:16">
      <c r="A2470" s="132">
        <v>2469</v>
      </c>
      <c r="B2470" s="36" t="s">
        <v>28169</v>
      </c>
      <c r="C2470" s="36" t="s">
        <v>28170</v>
      </c>
      <c r="D2470" s="490" t="s">
        <v>33173</v>
      </c>
      <c r="E2470" s="490" t="s">
        <v>33174</v>
      </c>
      <c r="F2470" s="490" t="s">
        <v>33175</v>
      </c>
      <c r="G2470" s="490" t="s">
        <v>33176</v>
      </c>
      <c r="H2470" s="490" t="s">
        <v>33177</v>
      </c>
      <c r="I2470" s="490" t="s">
        <v>33178</v>
      </c>
      <c r="J2470" s="490" t="s">
        <v>33179</v>
      </c>
      <c r="K2470" s="490" t="s">
        <v>33180</v>
      </c>
      <c r="L2470" s="490" t="s">
        <v>33181</v>
      </c>
      <c r="M2470" s="490" t="s">
        <v>33182</v>
      </c>
      <c r="N2470" s="490" t="s">
        <v>33182</v>
      </c>
      <c r="O2470" s="490" t="s">
        <v>33183</v>
      </c>
      <c r="P2470" s="36" t="s">
        <v>28169</v>
      </c>
    </row>
    <row r="2471" spans="1:16">
      <c r="A2471" s="132">
        <v>2470</v>
      </c>
      <c r="B2471" s="36" t="s">
        <v>28171</v>
      </c>
      <c r="C2471" s="36" t="s">
        <v>28172</v>
      </c>
      <c r="D2471" s="36" t="s">
        <v>28173</v>
      </c>
      <c r="E2471" s="490" t="s">
        <v>33184</v>
      </c>
      <c r="F2471" s="490" t="s">
        <v>33185</v>
      </c>
      <c r="G2471" s="490" t="s">
        <v>33186</v>
      </c>
      <c r="H2471" s="490" t="s">
        <v>33187</v>
      </c>
      <c r="I2471" s="490" t="s">
        <v>33185</v>
      </c>
      <c r="J2471" s="490" t="s">
        <v>33188</v>
      </c>
      <c r="K2471" s="490" t="s">
        <v>33189</v>
      </c>
      <c r="L2471" s="490" t="s">
        <v>33190</v>
      </c>
      <c r="M2471" s="490" t="s">
        <v>33191</v>
      </c>
      <c r="N2471" s="490" t="s">
        <v>33192</v>
      </c>
      <c r="O2471" s="490" t="s">
        <v>33193</v>
      </c>
      <c r="P2471" s="36" t="s">
        <v>28171</v>
      </c>
    </row>
    <row r="2472" spans="1:16">
      <c r="A2472" s="132">
        <v>2471</v>
      </c>
      <c r="B2472" s="36" t="s">
        <v>28174</v>
      </c>
      <c r="C2472" s="36" t="s">
        <v>28175</v>
      </c>
      <c r="D2472" s="36" t="s">
        <v>28176</v>
      </c>
      <c r="E2472" s="490" t="s">
        <v>33194</v>
      </c>
      <c r="F2472" s="490" t="s">
        <v>33195</v>
      </c>
      <c r="G2472" s="490" t="s">
        <v>33196</v>
      </c>
      <c r="H2472" s="490" t="s">
        <v>33197</v>
      </c>
      <c r="I2472" s="490" t="s">
        <v>33198</v>
      </c>
      <c r="J2472" s="490" t="s">
        <v>33199</v>
      </c>
      <c r="K2472" s="490" t="s">
        <v>33200</v>
      </c>
      <c r="L2472" s="490" t="s">
        <v>33201</v>
      </c>
      <c r="M2472" s="490" t="s">
        <v>33202</v>
      </c>
      <c r="N2472" s="490" t="s">
        <v>33203</v>
      </c>
      <c r="O2472" s="490" t="s">
        <v>33204</v>
      </c>
      <c r="P2472" s="36" t="s">
        <v>28174</v>
      </c>
    </row>
    <row r="2473" spans="1:16">
      <c r="A2473" s="132">
        <v>2472</v>
      </c>
      <c r="B2473" s="36" t="s">
        <v>28177</v>
      </c>
      <c r="C2473" s="36" t="s">
        <v>28178</v>
      </c>
      <c r="D2473" s="490" t="s">
        <v>33205</v>
      </c>
      <c r="E2473" s="490" t="s">
        <v>33206</v>
      </c>
      <c r="F2473" s="490" t="s">
        <v>33207</v>
      </c>
      <c r="G2473" s="490" t="s">
        <v>33208</v>
      </c>
      <c r="H2473" s="490" t="s">
        <v>33209</v>
      </c>
      <c r="I2473" s="490" t="s">
        <v>33210</v>
      </c>
      <c r="J2473" s="490" t="s">
        <v>33211</v>
      </c>
      <c r="K2473" s="490" t="s">
        <v>33212</v>
      </c>
      <c r="L2473" s="490" t="s">
        <v>33213</v>
      </c>
      <c r="M2473" s="490" t="s">
        <v>33214</v>
      </c>
      <c r="N2473" s="490" t="s">
        <v>33215</v>
      </c>
      <c r="O2473" s="490" t="s">
        <v>33216</v>
      </c>
      <c r="P2473" s="36" t="s">
        <v>28177</v>
      </c>
    </row>
    <row r="2474" spans="1:16">
      <c r="A2474" s="132">
        <v>2473</v>
      </c>
      <c r="B2474" s="36" t="s">
        <v>28179</v>
      </c>
      <c r="C2474" s="36" t="s">
        <v>28180</v>
      </c>
      <c r="D2474" s="490" t="s">
        <v>33217</v>
      </c>
      <c r="E2474" s="490" t="s">
        <v>33218</v>
      </c>
      <c r="F2474" s="490" t="s">
        <v>33219</v>
      </c>
      <c r="G2474" s="490" t="s">
        <v>33220</v>
      </c>
      <c r="H2474" s="490" t="s">
        <v>33221</v>
      </c>
      <c r="I2474" s="490" t="s">
        <v>33222</v>
      </c>
      <c r="J2474" s="490" t="s">
        <v>33223</v>
      </c>
      <c r="K2474" s="490" t="s">
        <v>33224</v>
      </c>
      <c r="L2474" s="490" t="s">
        <v>33225</v>
      </c>
      <c r="M2474" s="490" t="s">
        <v>33226</v>
      </c>
      <c r="N2474" s="490" t="s">
        <v>33227</v>
      </c>
      <c r="O2474" s="490" t="s">
        <v>33228</v>
      </c>
      <c r="P2474" s="36" t="s">
        <v>28179</v>
      </c>
    </row>
    <row r="2475" spans="1:16">
      <c r="A2475" s="132">
        <v>2474</v>
      </c>
      <c r="B2475" s="36" t="s">
        <v>28181</v>
      </c>
      <c r="C2475" s="36" t="s">
        <v>28182</v>
      </c>
      <c r="D2475" s="36" t="s">
        <v>28183</v>
      </c>
      <c r="E2475" s="490" t="s">
        <v>33229</v>
      </c>
      <c r="F2475" s="490" t="s">
        <v>33230</v>
      </c>
      <c r="G2475" s="490" t="s">
        <v>33231</v>
      </c>
      <c r="H2475" s="490" t="s">
        <v>33232</v>
      </c>
      <c r="I2475" s="490" t="s">
        <v>33233</v>
      </c>
      <c r="J2475" s="490" t="s">
        <v>33234</v>
      </c>
      <c r="K2475" s="490" t="s">
        <v>33235</v>
      </c>
      <c r="L2475" s="490" t="s">
        <v>33236</v>
      </c>
      <c r="M2475" s="490" t="s">
        <v>33237</v>
      </c>
      <c r="N2475" s="490" t="s">
        <v>33238</v>
      </c>
      <c r="O2475" s="490" t="s">
        <v>33239</v>
      </c>
      <c r="P2475" s="36" t="s">
        <v>28181</v>
      </c>
    </row>
    <row r="2476" spans="1:16">
      <c r="A2476" s="132">
        <v>2475</v>
      </c>
      <c r="B2476" s="36" t="s">
        <v>28184</v>
      </c>
      <c r="C2476" s="36" t="s">
        <v>28185</v>
      </c>
      <c r="D2476" s="36" t="s">
        <v>28186</v>
      </c>
      <c r="E2476" s="490" t="s">
        <v>33240</v>
      </c>
      <c r="F2476" s="490" t="s">
        <v>33241</v>
      </c>
      <c r="G2476" s="490" t="s">
        <v>33242</v>
      </c>
      <c r="H2476" s="490" t="s">
        <v>33243</v>
      </c>
      <c r="I2476" s="490" t="s">
        <v>33244</v>
      </c>
      <c r="J2476" s="490" t="s">
        <v>33245</v>
      </c>
      <c r="K2476" s="490" t="s">
        <v>33246</v>
      </c>
      <c r="L2476" s="490" t="s">
        <v>33247</v>
      </c>
      <c r="M2476" s="490" t="s">
        <v>33248</v>
      </c>
      <c r="N2476" s="490" t="s">
        <v>33249</v>
      </c>
      <c r="O2476" s="490" t="s">
        <v>33250</v>
      </c>
      <c r="P2476" s="36" t="s">
        <v>28184</v>
      </c>
    </row>
    <row r="2477" spans="1:16">
      <c r="A2477" s="132">
        <v>2476</v>
      </c>
      <c r="B2477" s="36" t="s">
        <v>28187</v>
      </c>
      <c r="C2477" s="36" t="s">
        <v>28188</v>
      </c>
      <c r="D2477" s="36" t="s">
        <v>28189</v>
      </c>
      <c r="E2477" s="490" t="s">
        <v>33251</v>
      </c>
      <c r="F2477" s="490" t="s">
        <v>33252</v>
      </c>
      <c r="G2477" s="490" t="s">
        <v>33253</v>
      </c>
      <c r="H2477" s="490" t="s">
        <v>33254</v>
      </c>
      <c r="I2477" s="490" t="s">
        <v>33255</v>
      </c>
      <c r="J2477" s="490" t="s">
        <v>33256</v>
      </c>
      <c r="K2477" s="490" t="s">
        <v>33257</v>
      </c>
      <c r="L2477" s="490" t="s">
        <v>33258</v>
      </c>
      <c r="M2477" s="490" t="s">
        <v>33259</v>
      </c>
      <c r="N2477" s="490" t="s">
        <v>33260</v>
      </c>
      <c r="O2477" s="490" t="s">
        <v>33261</v>
      </c>
      <c r="P2477" s="36" t="s">
        <v>28187</v>
      </c>
    </row>
    <row r="2478" spans="1:16">
      <c r="A2478" s="132">
        <v>2477</v>
      </c>
      <c r="B2478" s="491" t="s">
        <v>28190</v>
      </c>
      <c r="C2478" s="36" t="s">
        <v>28191</v>
      </c>
      <c r="D2478" s="36" t="s">
        <v>28192</v>
      </c>
      <c r="E2478" s="490" t="s">
        <v>33262</v>
      </c>
      <c r="F2478" s="490" t="s">
        <v>33263</v>
      </c>
      <c r="G2478" s="490" t="s">
        <v>33264</v>
      </c>
      <c r="H2478" s="490" t="s">
        <v>33265</v>
      </c>
      <c r="I2478" s="490" t="s">
        <v>33263</v>
      </c>
      <c r="J2478" s="490" t="s">
        <v>33266</v>
      </c>
      <c r="K2478" s="490" t="s">
        <v>33267</v>
      </c>
      <c r="L2478" s="490" t="s">
        <v>33268</v>
      </c>
      <c r="M2478" s="490" t="s">
        <v>33269</v>
      </c>
      <c r="N2478" s="490" t="s">
        <v>33270</v>
      </c>
      <c r="O2478" s="490" t="s">
        <v>33271</v>
      </c>
      <c r="P2478" s="36" t="s">
        <v>28190</v>
      </c>
    </row>
    <row r="2479" spans="1:16">
      <c r="A2479" s="132">
        <v>2478</v>
      </c>
      <c r="B2479" s="36" t="s">
        <v>28193</v>
      </c>
      <c r="C2479" s="36" t="s">
        <v>28194</v>
      </c>
      <c r="D2479" s="36" t="s">
        <v>22376</v>
      </c>
      <c r="E2479" s="490" t="s">
        <v>33272</v>
      </c>
      <c r="F2479" s="490" t="s">
        <v>22378</v>
      </c>
      <c r="G2479" s="490" t="s">
        <v>33273</v>
      </c>
      <c r="H2479" s="490" t="s">
        <v>33274</v>
      </c>
      <c r="I2479" s="490" t="s">
        <v>22381</v>
      </c>
      <c r="J2479" s="490" t="s">
        <v>22382</v>
      </c>
      <c r="K2479" s="490" t="s">
        <v>22383</v>
      </c>
      <c r="L2479" s="490" t="s">
        <v>33275</v>
      </c>
      <c r="M2479" s="490" t="s">
        <v>22385</v>
      </c>
      <c r="N2479" s="490" t="s">
        <v>22386</v>
      </c>
      <c r="O2479" s="490" t="s">
        <v>22387</v>
      </c>
      <c r="P2479" s="36" t="s">
        <v>28193</v>
      </c>
    </row>
    <row r="2480" spans="1:16">
      <c r="A2480" s="132">
        <v>2479</v>
      </c>
      <c r="B2480" s="36" t="s">
        <v>28195</v>
      </c>
      <c r="C2480" s="36" t="s">
        <v>28196</v>
      </c>
      <c r="D2480" s="490" t="s">
        <v>33276</v>
      </c>
      <c r="E2480" s="490" t="s">
        <v>33277</v>
      </c>
      <c r="F2480" s="490" t="s">
        <v>33278</v>
      </c>
      <c r="G2480" s="490" t="s">
        <v>33279</v>
      </c>
      <c r="H2480" s="490" t="s">
        <v>33280</v>
      </c>
      <c r="I2480" s="490" t="s">
        <v>33281</v>
      </c>
      <c r="J2480" s="490" t="s">
        <v>33282</v>
      </c>
      <c r="K2480" s="490" t="s">
        <v>33283</v>
      </c>
      <c r="L2480" s="490" t="s">
        <v>33284</v>
      </c>
      <c r="M2480" s="490" t="s">
        <v>33285</v>
      </c>
      <c r="N2480" s="490" t="s">
        <v>33286</v>
      </c>
      <c r="O2480" s="490" t="s">
        <v>33287</v>
      </c>
      <c r="P2480" s="36" t="s">
        <v>28195</v>
      </c>
    </row>
    <row r="2481" spans="1:16">
      <c r="A2481" s="132">
        <v>2480</v>
      </c>
      <c r="B2481" s="36" t="s">
        <v>28197</v>
      </c>
      <c r="C2481" s="36" t="s">
        <v>28198</v>
      </c>
      <c r="D2481" s="490" t="s">
        <v>28173</v>
      </c>
      <c r="E2481" s="490" t="s">
        <v>33288</v>
      </c>
      <c r="F2481" s="490" t="s">
        <v>33289</v>
      </c>
      <c r="G2481" s="490" t="s">
        <v>33290</v>
      </c>
      <c r="H2481" s="490" t="s">
        <v>33291</v>
      </c>
      <c r="I2481" s="490" t="s">
        <v>33292</v>
      </c>
      <c r="J2481" s="490" t="s">
        <v>33293</v>
      </c>
      <c r="K2481" s="490" t="s">
        <v>33294</v>
      </c>
      <c r="L2481" s="490" t="s">
        <v>33295</v>
      </c>
      <c r="M2481" s="490" t="s">
        <v>33296</v>
      </c>
      <c r="N2481" s="490" t="s">
        <v>33297</v>
      </c>
      <c r="O2481" s="490" t="s">
        <v>33298</v>
      </c>
      <c r="P2481" s="36" t="s">
        <v>28197</v>
      </c>
    </row>
    <row r="2482" spans="1:16">
      <c r="A2482" s="132">
        <v>2481</v>
      </c>
      <c r="B2482" s="36" t="s">
        <v>28199</v>
      </c>
      <c r="C2482" s="36" t="s">
        <v>28200</v>
      </c>
      <c r="D2482" s="490" t="s">
        <v>33299</v>
      </c>
      <c r="E2482" s="490" t="s">
        <v>33300</v>
      </c>
      <c r="F2482" s="490" t="s">
        <v>33301</v>
      </c>
      <c r="G2482" s="490" t="s">
        <v>33302</v>
      </c>
      <c r="H2482" s="490" t="s">
        <v>33303</v>
      </c>
      <c r="I2482" s="490" t="s">
        <v>33304</v>
      </c>
      <c r="J2482" s="490" t="s">
        <v>33305</v>
      </c>
      <c r="K2482" s="490" t="s">
        <v>33306</v>
      </c>
      <c r="L2482" s="490" t="s">
        <v>33307</v>
      </c>
      <c r="M2482" s="490" t="s">
        <v>33308</v>
      </c>
      <c r="N2482" s="490" t="s">
        <v>33309</v>
      </c>
      <c r="O2482" s="490" t="s">
        <v>33310</v>
      </c>
      <c r="P2482" s="36" t="s">
        <v>28199</v>
      </c>
    </row>
    <row r="2483" spans="1:16">
      <c r="A2483" s="132">
        <v>2482</v>
      </c>
      <c r="B2483" s="36" t="s">
        <v>28201</v>
      </c>
      <c r="C2483" s="36" t="s">
        <v>28202</v>
      </c>
      <c r="D2483" s="490" t="s">
        <v>33311</v>
      </c>
      <c r="E2483" s="490" t="s">
        <v>33312</v>
      </c>
      <c r="F2483" s="490" t="s">
        <v>33313</v>
      </c>
      <c r="G2483" s="490" t="s">
        <v>33314</v>
      </c>
      <c r="H2483" s="490" t="s">
        <v>33315</v>
      </c>
      <c r="I2483" s="490" t="s">
        <v>33316</v>
      </c>
      <c r="J2483" s="490" t="s">
        <v>28201</v>
      </c>
      <c r="K2483" s="490" t="s">
        <v>33317</v>
      </c>
      <c r="L2483" s="490" t="s">
        <v>33318</v>
      </c>
      <c r="M2483" s="490" t="s">
        <v>33319</v>
      </c>
      <c r="N2483" s="490" t="s">
        <v>33320</v>
      </c>
      <c r="O2483" s="490" t="s">
        <v>33321</v>
      </c>
      <c r="P2483" s="36" t="s">
        <v>28201</v>
      </c>
    </row>
    <row r="2484" spans="1:16">
      <c r="A2484" s="132">
        <v>2483</v>
      </c>
      <c r="B2484" s="36" t="s">
        <v>28203</v>
      </c>
      <c r="C2484" s="36" t="s">
        <v>28204</v>
      </c>
      <c r="D2484" s="36" t="s">
        <v>28205</v>
      </c>
      <c r="E2484" s="490" t="s">
        <v>33322</v>
      </c>
      <c r="F2484" s="490" t="s">
        <v>33323</v>
      </c>
      <c r="G2484" s="490" t="s">
        <v>33324</v>
      </c>
      <c r="H2484" s="490" t="s">
        <v>33325</v>
      </c>
      <c r="I2484" s="490" t="s">
        <v>33326</v>
      </c>
      <c r="J2484" s="490" t="s">
        <v>33327</v>
      </c>
      <c r="K2484" s="490" t="s">
        <v>33328</v>
      </c>
      <c r="L2484" s="490" t="s">
        <v>33329</v>
      </c>
      <c r="M2484" s="490" t="s">
        <v>33330</v>
      </c>
      <c r="N2484" s="490" t="s">
        <v>33331</v>
      </c>
      <c r="O2484" s="490" t="s">
        <v>33332</v>
      </c>
      <c r="P2484" s="36" t="s">
        <v>28203</v>
      </c>
    </row>
    <row r="2485" spans="1:16">
      <c r="A2485" s="132">
        <v>2484</v>
      </c>
      <c r="B2485" s="36" t="s">
        <v>28206</v>
      </c>
      <c r="C2485" s="36" t="s">
        <v>28207</v>
      </c>
      <c r="D2485" s="36" t="s">
        <v>28208</v>
      </c>
      <c r="E2485" s="490" t="s">
        <v>33333</v>
      </c>
      <c r="F2485" s="490" t="s">
        <v>33334</v>
      </c>
      <c r="G2485" s="490" t="s">
        <v>33335</v>
      </c>
      <c r="H2485" s="490" t="s">
        <v>33336</v>
      </c>
      <c r="I2485" s="490" t="s">
        <v>33334</v>
      </c>
      <c r="J2485" s="490" t="s">
        <v>33337</v>
      </c>
      <c r="K2485" s="490" t="s">
        <v>33338</v>
      </c>
      <c r="L2485" s="490" t="s">
        <v>33339</v>
      </c>
      <c r="M2485" s="490" t="s">
        <v>33340</v>
      </c>
      <c r="N2485" s="490" t="s">
        <v>33341</v>
      </c>
      <c r="O2485" s="490" t="s">
        <v>33338</v>
      </c>
      <c r="P2485" s="36" t="s">
        <v>28206</v>
      </c>
    </row>
    <row r="2486" spans="1:16">
      <c r="A2486" s="132">
        <v>2485</v>
      </c>
      <c r="B2486" s="36" t="s">
        <v>28209</v>
      </c>
      <c r="C2486" s="36" t="s">
        <v>28210</v>
      </c>
      <c r="D2486" s="490" t="s">
        <v>33342</v>
      </c>
      <c r="E2486" s="490" t="s">
        <v>33343</v>
      </c>
      <c r="F2486" s="490" t="s">
        <v>33344</v>
      </c>
      <c r="G2486" s="490" t="s">
        <v>33345</v>
      </c>
      <c r="H2486" s="490" t="s">
        <v>33346</v>
      </c>
      <c r="I2486" s="490" t="s">
        <v>33347</v>
      </c>
      <c r="J2486" s="490" t="s">
        <v>33348</v>
      </c>
      <c r="K2486" s="490" t="s">
        <v>33349</v>
      </c>
      <c r="L2486" s="490" t="s">
        <v>33350</v>
      </c>
      <c r="M2486" s="490" t="s">
        <v>33351</v>
      </c>
      <c r="N2486" s="490" t="s">
        <v>33352</v>
      </c>
      <c r="O2486" s="490" t="s">
        <v>33353</v>
      </c>
      <c r="P2486" s="36" t="s">
        <v>28209</v>
      </c>
    </row>
    <row r="2487" spans="1:16">
      <c r="A2487" s="132">
        <v>2486</v>
      </c>
      <c r="B2487" s="36" t="s">
        <v>28211</v>
      </c>
      <c r="C2487" s="36" t="s">
        <v>28212</v>
      </c>
      <c r="D2487" s="36" t="s">
        <v>28213</v>
      </c>
      <c r="E2487" s="490" t="s">
        <v>33354</v>
      </c>
      <c r="F2487" s="490" t="s">
        <v>33355</v>
      </c>
      <c r="G2487" s="490" t="s">
        <v>33356</v>
      </c>
      <c r="H2487" s="490" t="s">
        <v>33357</v>
      </c>
      <c r="I2487" s="490" t="s">
        <v>33358</v>
      </c>
      <c r="J2487" s="490" t="s">
        <v>33359</v>
      </c>
      <c r="K2487" s="490" t="s">
        <v>33360</v>
      </c>
      <c r="L2487" s="490" t="s">
        <v>33361</v>
      </c>
      <c r="M2487" s="490" t="s">
        <v>33362</v>
      </c>
      <c r="N2487" s="490" t="s">
        <v>33362</v>
      </c>
      <c r="O2487" s="490" t="s">
        <v>33363</v>
      </c>
      <c r="P2487" s="36" t="s">
        <v>28211</v>
      </c>
    </row>
    <row r="2488" spans="1:16">
      <c r="A2488" s="132">
        <v>2487</v>
      </c>
      <c r="B2488" s="36" t="s">
        <v>28214</v>
      </c>
      <c r="C2488" s="36" t="s">
        <v>28215</v>
      </c>
      <c r="D2488" s="36" t="s">
        <v>28216</v>
      </c>
      <c r="E2488" s="490" t="s">
        <v>33364</v>
      </c>
      <c r="F2488" s="490" t="s">
        <v>33365</v>
      </c>
      <c r="G2488" s="490" t="s">
        <v>33366</v>
      </c>
      <c r="H2488" s="490" t="s">
        <v>33367</v>
      </c>
      <c r="I2488" s="490" t="s">
        <v>33368</v>
      </c>
      <c r="J2488" s="490" t="s">
        <v>33369</v>
      </c>
      <c r="K2488" s="490" t="s">
        <v>33370</v>
      </c>
      <c r="L2488" s="490" t="s">
        <v>33371</v>
      </c>
      <c r="M2488" s="490" t="s">
        <v>33372</v>
      </c>
      <c r="N2488" s="490" t="s">
        <v>33373</v>
      </c>
      <c r="O2488" s="490" t="s">
        <v>33374</v>
      </c>
      <c r="P2488" s="36" t="s">
        <v>28214</v>
      </c>
    </row>
    <row r="2489" spans="1:16">
      <c r="A2489" s="132">
        <v>2488</v>
      </c>
      <c r="B2489" s="36" t="s">
        <v>28217</v>
      </c>
      <c r="C2489" s="36" t="s">
        <v>28218</v>
      </c>
      <c r="D2489" s="490" t="s">
        <v>33375</v>
      </c>
      <c r="E2489" s="490" t="s">
        <v>33376</v>
      </c>
      <c r="F2489" s="490" t="s">
        <v>33377</v>
      </c>
      <c r="G2489" s="490" t="s">
        <v>33378</v>
      </c>
      <c r="H2489" s="490" t="s">
        <v>33379</v>
      </c>
      <c r="I2489" s="490" t="s">
        <v>33380</v>
      </c>
      <c r="J2489" s="490" t="s">
        <v>33381</v>
      </c>
      <c r="K2489" s="490" t="s">
        <v>33382</v>
      </c>
      <c r="L2489" s="490" t="s">
        <v>33383</v>
      </c>
      <c r="M2489" s="490" t="s">
        <v>33384</v>
      </c>
      <c r="N2489" s="490" t="s">
        <v>33385</v>
      </c>
      <c r="O2489" s="490" t="s">
        <v>33386</v>
      </c>
      <c r="P2489" s="36" t="s">
        <v>28217</v>
      </c>
    </row>
    <row r="2490" spans="1:16">
      <c r="A2490" s="132">
        <v>2489</v>
      </c>
      <c r="B2490" s="36" t="s">
        <v>28219</v>
      </c>
      <c r="C2490" s="36" t="s">
        <v>28220</v>
      </c>
      <c r="D2490" s="36" t="s">
        <v>28221</v>
      </c>
      <c r="E2490" s="490" t="s">
        <v>33387</v>
      </c>
      <c r="F2490" s="490" t="s">
        <v>33388</v>
      </c>
      <c r="G2490" s="490" t="s">
        <v>33389</v>
      </c>
      <c r="H2490" s="490" t="s">
        <v>33390</v>
      </c>
      <c r="I2490" s="490" t="s">
        <v>33391</v>
      </c>
      <c r="J2490" s="490" t="s">
        <v>33392</v>
      </c>
      <c r="K2490" s="490" t="s">
        <v>33393</v>
      </c>
      <c r="L2490" s="490" t="s">
        <v>33394</v>
      </c>
      <c r="M2490" s="490" t="s">
        <v>33395</v>
      </c>
      <c r="N2490" s="490" t="s">
        <v>33396</v>
      </c>
      <c r="O2490" s="490" t="s">
        <v>33397</v>
      </c>
      <c r="P2490" s="36" t="s">
        <v>28219</v>
      </c>
    </row>
    <row r="2491" spans="1:16">
      <c r="A2491" s="132">
        <v>2490</v>
      </c>
      <c r="B2491" s="36" t="s">
        <v>28222</v>
      </c>
      <c r="C2491" s="36" t="s">
        <v>28223</v>
      </c>
      <c r="D2491" s="36" t="s">
        <v>28112</v>
      </c>
      <c r="E2491" s="490" t="s">
        <v>33398</v>
      </c>
      <c r="F2491" s="490" t="s">
        <v>33399</v>
      </c>
      <c r="G2491" s="490" t="s">
        <v>33400</v>
      </c>
      <c r="H2491" s="490" t="s">
        <v>33401</v>
      </c>
      <c r="I2491" s="490" t="s">
        <v>33402</v>
      </c>
      <c r="J2491" s="490" t="s">
        <v>33403</v>
      </c>
      <c r="K2491" s="490" t="s">
        <v>33404</v>
      </c>
      <c r="L2491" s="490" t="s">
        <v>33405</v>
      </c>
      <c r="M2491" s="490" t="s">
        <v>33406</v>
      </c>
      <c r="N2491" s="490" t="s">
        <v>33406</v>
      </c>
      <c r="O2491" s="490" t="s">
        <v>33407</v>
      </c>
      <c r="P2491" s="36" t="s">
        <v>28222</v>
      </c>
    </row>
    <row r="2492" spans="1:16">
      <c r="A2492" s="132">
        <v>2491</v>
      </c>
      <c r="B2492" s="36" t="s">
        <v>28224</v>
      </c>
      <c r="C2492" s="36" t="s">
        <v>28225</v>
      </c>
      <c r="D2492" s="490" t="s">
        <v>33408</v>
      </c>
      <c r="E2492" s="490" t="s">
        <v>33409</v>
      </c>
      <c r="F2492" s="490" t="s">
        <v>33410</v>
      </c>
      <c r="G2492" s="490" t="s">
        <v>33411</v>
      </c>
      <c r="H2492" s="490" t="s">
        <v>33412</v>
      </c>
      <c r="I2492" s="490" t="s">
        <v>33413</v>
      </c>
      <c r="J2492" s="490" t="s">
        <v>33414</v>
      </c>
      <c r="K2492" s="490" t="s">
        <v>33415</v>
      </c>
      <c r="L2492" s="490" t="s">
        <v>33416</v>
      </c>
      <c r="M2492" s="490" t="s">
        <v>33417</v>
      </c>
      <c r="N2492" s="490" t="s">
        <v>33418</v>
      </c>
      <c r="O2492" s="490" t="s">
        <v>33419</v>
      </c>
      <c r="P2492" s="36" t="s">
        <v>28224</v>
      </c>
    </row>
    <row r="2493" spans="1:16">
      <c r="A2493" s="132">
        <v>2492</v>
      </c>
      <c r="B2493" s="36" t="s">
        <v>28226</v>
      </c>
      <c r="C2493" s="36" t="s">
        <v>28227</v>
      </c>
      <c r="D2493" s="36" t="s">
        <v>28228</v>
      </c>
      <c r="E2493" s="490" t="s">
        <v>33420</v>
      </c>
      <c r="F2493" s="490" t="s">
        <v>33421</v>
      </c>
      <c r="G2493" s="490" t="s">
        <v>33422</v>
      </c>
      <c r="H2493" s="490" t="s">
        <v>33423</v>
      </c>
      <c r="I2493" s="490" t="s">
        <v>33424</v>
      </c>
      <c r="J2493" s="490" t="s">
        <v>33425</v>
      </c>
      <c r="K2493" s="490" t="s">
        <v>33426</v>
      </c>
      <c r="L2493" s="490" t="s">
        <v>33427</v>
      </c>
      <c r="M2493" s="490" t="s">
        <v>33428</v>
      </c>
      <c r="N2493" s="490" t="s">
        <v>33429</v>
      </c>
      <c r="O2493" s="490" t="s">
        <v>33430</v>
      </c>
      <c r="P2493" s="36" t="s">
        <v>28226</v>
      </c>
    </row>
    <row r="2494" spans="1:16">
      <c r="A2494" s="132">
        <v>2493</v>
      </c>
      <c r="B2494" s="36" t="s">
        <v>28229</v>
      </c>
      <c r="C2494" s="36" t="s">
        <v>28230</v>
      </c>
      <c r="D2494" s="36" t="s">
        <v>28231</v>
      </c>
      <c r="E2494" s="490" t="s">
        <v>33431</v>
      </c>
      <c r="F2494" s="490" t="s">
        <v>33432</v>
      </c>
      <c r="G2494" s="490" t="s">
        <v>33433</v>
      </c>
      <c r="H2494" s="490" t="s">
        <v>33434</v>
      </c>
      <c r="I2494" s="490" t="s">
        <v>33432</v>
      </c>
      <c r="J2494" s="490" t="s">
        <v>33435</v>
      </c>
      <c r="K2494" s="490" t="s">
        <v>33436</v>
      </c>
      <c r="L2494" s="490" t="s">
        <v>33437</v>
      </c>
      <c r="M2494" s="490" t="s">
        <v>33438</v>
      </c>
      <c r="N2494" s="490" t="s">
        <v>33439</v>
      </c>
      <c r="O2494" s="490" t="s">
        <v>33436</v>
      </c>
      <c r="P2494" s="36" t="s">
        <v>28229</v>
      </c>
    </row>
    <row r="2495" spans="1:16">
      <c r="A2495" s="132">
        <v>2494</v>
      </c>
      <c r="B2495" s="36" t="s">
        <v>28232</v>
      </c>
      <c r="C2495" s="36" t="s">
        <v>28233</v>
      </c>
      <c r="D2495" s="491" t="s">
        <v>33440</v>
      </c>
      <c r="E2495" s="490" t="s">
        <v>33441</v>
      </c>
      <c r="F2495" s="490" t="s">
        <v>33442</v>
      </c>
      <c r="G2495" s="490" t="s">
        <v>33443</v>
      </c>
      <c r="H2495" s="490" t="s">
        <v>33444</v>
      </c>
      <c r="I2495" s="490" t="s">
        <v>33445</v>
      </c>
      <c r="J2495" s="490" t="s">
        <v>33446</v>
      </c>
      <c r="K2495" s="490" t="s">
        <v>33447</v>
      </c>
      <c r="L2495" s="490" t="s">
        <v>33448</v>
      </c>
      <c r="M2495" s="490" t="s">
        <v>33449</v>
      </c>
      <c r="N2495" s="490" t="s">
        <v>33450</v>
      </c>
      <c r="O2495" s="490" t="s">
        <v>33447</v>
      </c>
      <c r="P2495" s="36" t="s">
        <v>28232</v>
      </c>
    </row>
    <row r="2496" spans="1:16">
      <c r="A2496" s="132">
        <v>2495</v>
      </c>
      <c r="B2496" s="36" t="s">
        <v>28234</v>
      </c>
      <c r="C2496" s="36" t="s">
        <v>28235</v>
      </c>
      <c r="D2496" s="36" t="s">
        <v>28236</v>
      </c>
      <c r="E2496" s="490" t="s">
        <v>33451</v>
      </c>
      <c r="F2496" s="490" t="s">
        <v>33452</v>
      </c>
      <c r="G2496" s="490" t="s">
        <v>33453</v>
      </c>
      <c r="H2496" s="490" t="s">
        <v>33454</v>
      </c>
      <c r="I2496" s="490" t="s">
        <v>33455</v>
      </c>
      <c r="J2496" s="490" t="s">
        <v>33456</v>
      </c>
      <c r="K2496" s="490" t="s">
        <v>33457</v>
      </c>
      <c r="L2496" s="490" t="s">
        <v>33458</v>
      </c>
      <c r="M2496" s="490" t="s">
        <v>28234</v>
      </c>
      <c r="N2496" s="490" t="s">
        <v>33459</v>
      </c>
      <c r="O2496" s="490" t="s">
        <v>33457</v>
      </c>
      <c r="P2496" s="36" t="s">
        <v>28234</v>
      </c>
    </row>
    <row r="2497" spans="1:16">
      <c r="A2497" s="132">
        <v>2496</v>
      </c>
      <c r="B2497" s="36" t="s">
        <v>28237</v>
      </c>
      <c r="C2497" s="36" t="s">
        <v>28238</v>
      </c>
      <c r="D2497" s="36" t="s">
        <v>28239</v>
      </c>
      <c r="E2497" s="490" t="s">
        <v>33460</v>
      </c>
      <c r="F2497" s="490" t="s">
        <v>33461</v>
      </c>
      <c r="G2497" s="490" t="s">
        <v>33462</v>
      </c>
      <c r="H2497" s="490" t="s">
        <v>33463</v>
      </c>
      <c r="I2497" s="490" t="s">
        <v>33464</v>
      </c>
      <c r="J2497" s="490" t="s">
        <v>33465</v>
      </c>
      <c r="K2497" s="490" t="s">
        <v>33466</v>
      </c>
      <c r="L2497" s="490" t="s">
        <v>33467</v>
      </c>
      <c r="M2497" s="490" t="s">
        <v>28237</v>
      </c>
      <c r="N2497" s="490" t="s">
        <v>33468</v>
      </c>
      <c r="O2497" s="490" t="s">
        <v>33466</v>
      </c>
      <c r="P2497" s="36" t="s">
        <v>28237</v>
      </c>
    </row>
    <row r="2498" spans="1:16">
      <c r="A2498" s="132">
        <v>2497</v>
      </c>
      <c r="B2498" s="36" t="s">
        <v>28240</v>
      </c>
      <c r="C2498" s="36" t="s">
        <v>28241</v>
      </c>
      <c r="D2498" s="36" t="s">
        <v>28242</v>
      </c>
      <c r="E2498" s="490" t="s">
        <v>33469</v>
      </c>
      <c r="F2498" s="490" t="s">
        <v>33470</v>
      </c>
      <c r="G2498" s="490" t="s">
        <v>33471</v>
      </c>
      <c r="H2498" s="490" t="s">
        <v>33472</v>
      </c>
      <c r="I2498" s="490" t="s">
        <v>33473</v>
      </c>
      <c r="J2498" s="490" t="s">
        <v>33474</v>
      </c>
      <c r="K2498" s="490" t="s">
        <v>33475</v>
      </c>
      <c r="L2498" s="490" t="s">
        <v>33476</v>
      </c>
      <c r="M2498" s="490" t="s">
        <v>28240</v>
      </c>
      <c r="N2498" s="490" t="s">
        <v>33477</v>
      </c>
      <c r="O2498" s="490" t="s">
        <v>33475</v>
      </c>
      <c r="P2498" s="36" t="s">
        <v>28240</v>
      </c>
    </row>
    <row r="2499" spans="1:16">
      <c r="A2499" s="132">
        <v>2498</v>
      </c>
      <c r="B2499" s="36" t="s">
        <v>28243</v>
      </c>
      <c r="C2499" s="36" t="s">
        <v>28244</v>
      </c>
      <c r="D2499" s="490" t="s">
        <v>33478</v>
      </c>
      <c r="E2499" s="490" t="s">
        <v>33479</v>
      </c>
      <c r="F2499" s="490" t="s">
        <v>33480</v>
      </c>
      <c r="G2499" s="490" t="s">
        <v>33481</v>
      </c>
      <c r="H2499" s="490" t="s">
        <v>33482</v>
      </c>
      <c r="I2499" s="490" t="s">
        <v>33483</v>
      </c>
      <c r="J2499" s="490" t="s">
        <v>33484</v>
      </c>
      <c r="K2499" s="490" t="s">
        <v>33485</v>
      </c>
      <c r="L2499" s="490" t="s">
        <v>33486</v>
      </c>
      <c r="M2499" s="490" t="s">
        <v>33487</v>
      </c>
      <c r="N2499" s="490" t="s">
        <v>33488</v>
      </c>
      <c r="O2499" s="490" t="s">
        <v>33489</v>
      </c>
      <c r="P2499" s="36" t="s">
        <v>28243</v>
      </c>
    </row>
    <row r="2500" spans="1:16">
      <c r="A2500" s="132">
        <v>2499</v>
      </c>
      <c r="B2500" s="36" t="s">
        <v>28245</v>
      </c>
      <c r="C2500" s="36" t="s">
        <v>28246</v>
      </c>
      <c r="D2500" s="490" t="s">
        <v>33490</v>
      </c>
      <c r="E2500" s="490" t="s">
        <v>33491</v>
      </c>
      <c r="F2500" s="490" t="s">
        <v>33492</v>
      </c>
      <c r="G2500" s="490" t="s">
        <v>33493</v>
      </c>
      <c r="H2500" s="490" t="s">
        <v>33494</v>
      </c>
      <c r="I2500" s="490" t="s">
        <v>33495</v>
      </c>
      <c r="J2500" s="490" t="s">
        <v>33496</v>
      </c>
      <c r="K2500" s="490" t="s">
        <v>33497</v>
      </c>
      <c r="L2500" s="490" t="s">
        <v>33498</v>
      </c>
      <c r="M2500" s="490" t="s">
        <v>33499</v>
      </c>
      <c r="N2500" s="490" t="s">
        <v>33500</v>
      </c>
      <c r="O2500" s="490" t="s">
        <v>33501</v>
      </c>
      <c r="P2500" s="36" t="s">
        <v>28245</v>
      </c>
    </row>
    <row r="2501" spans="1:16">
      <c r="A2501" s="132">
        <v>2500</v>
      </c>
      <c r="B2501" s="36" t="s">
        <v>28247</v>
      </c>
      <c r="C2501" s="36" t="s">
        <v>28248</v>
      </c>
      <c r="D2501" s="36" t="s">
        <v>28249</v>
      </c>
      <c r="E2501" s="490" t="s">
        <v>33502</v>
      </c>
      <c r="F2501" s="490" t="s">
        <v>33503</v>
      </c>
      <c r="G2501" s="490" t="s">
        <v>33504</v>
      </c>
      <c r="H2501" s="490" t="s">
        <v>33505</v>
      </c>
      <c r="I2501" s="490" t="s">
        <v>33506</v>
      </c>
      <c r="J2501" s="490" t="s">
        <v>33507</v>
      </c>
      <c r="K2501" s="490" t="s">
        <v>33508</v>
      </c>
      <c r="L2501" s="490" t="s">
        <v>33509</v>
      </c>
      <c r="M2501" s="490" t="s">
        <v>33510</v>
      </c>
      <c r="N2501" s="490" t="s">
        <v>33511</v>
      </c>
      <c r="O2501" s="490" t="s">
        <v>33512</v>
      </c>
      <c r="P2501" s="36" t="s">
        <v>28247</v>
      </c>
    </row>
    <row r="2502" spans="1:16">
      <c r="A2502" s="132">
        <v>2501</v>
      </c>
      <c r="B2502" s="36" t="s">
        <v>28250</v>
      </c>
      <c r="C2502" s="36" t="s">
        <v>28251</v>
      </c>
      <c r="D2502" s="490" t="s">
        <v>33513</v>
      </c>
      <c r="E2502" s="490" t="s">
        <v>33514</v>
      </c>
      <c r="F2502" s="490" t="s">
        <v>33515</v>
      </c>
      <c r="G2502" s="490" t="s">
        <v>33516</v>
      </c>
      <c r="H2502" s="490" t="s">
        <v>33517</v>
      </c>
      <c r="I2502" s="490" t="s">
        <v>33518</v>
      </c>
      <c r="J2502" s="490" t="s">
        <v>33519</v>
      </c>
      <c r="K2502" s="490" t="s">
        <v>33520</v>
      </c>
      <c r="L2502" s="490" t="s">
        <v>33521</v>
      </c>
      <c r="M2502" s="490" t="s">
        <v>33522</v>
      </c>
      <c r="N2502" s="490" t="s">
        <v>33523</v>
      </c>
      <c r="O2502" s="490" t="s">
        <v>33524</v>
      </c>
      <c r="P2502" s="36" t="s">
        <v>28250</v>
      </c>
    </row>
    <row r="2503" spans="1:16">
      <c r="A2503" s="132">
        <v>2502</v>
      </c>
      <c r="B2503" s="36" t="s">
        <v>28252</v>
      </c>
      <c r="C2503" s="36" t="s">
        <v>28253</v>
      </c>
      <c r="D2503" s="36" t="s">
        <v>28254</v>
      </c>
      <c r="E2503" s="490" t="s">
        <v>33525</v>
      </c>
      <c r="F2503" s="490" t="s">
        <v>33526</v>
      </c>
      <c r="G2503" s="490" t="s">
        <v>33527</v>
      </c>
      <c r="H2503" s="490" t="s">
        <v>33528</v>
      </c>
      <c r="I2503" s="490" t="s">
        <v>33529</v>
      </c>
      <c r="J2503" s="490" t="s">
        <v>33530</v>
      </c>
      <c r="K2503" s="490" t="s">
        <v>33531</v>
      </c>
      <c r="L2503" s="490" t="s">
        <v>33532</v>
      </c>
      <c r="M2503" s="490" t="s">
        <v>33533</v>
      </c>
      <c r="N2503" s="490" t="s">
        <v>33534</v>
      </c>
      <c r="O2503" s="490" t="s">
        <v>33535</v>
      </c>
      <c r="P2503" s="36" t="s">
        <v>28252</v>
      </c>
    </row>
    <row r="2504" spans="1:16">
      <c r="A2504" s="132">
        <v>2503</v>
      </c>
      <c r="B2504" s="36" t="s">
        <v>28255</v>
      </c>
      <c r="C2504" s="36" t="s">
        <v>28256</v>
      </c>
      <c r="D2504" s="36" t="s">
        <v>28257</v>
      </c>
      <c r="E2504" s="490" t="s">
        <v>33536</v>
      </c>
      <c r="F2504" s="490" t="s">
        <v>33537</v>
      </c>
      <c r="G2504" s="490" t="s">
        <v>33538</v>
      </c>
      <c r="H2504" s="490" t="s">
        <v>33539</v>
      </c>
      <c r="I2504" s="490" t="s">
        <v>33540</v>
      </c>
      <c r="J2504" s="490" t="s">
        <v>33541</v>
      </c>
      <c r="K2504" s="490" t="s">
        <v>33542</v>
      </c>
      <c r="L2504" s="490" t="s">
        <v>33543</v>
      </c>
      <c r="M2504" s="490" t="s">
        <v>33544</v>
      </c>
      <c r="N2504" s="490" t="s">
        <v>33545</v>
      </c>
      <c r="O2504" s="490" t="s">
        <v>33546</v>
      </c>
      <c r="P2504" s="36" t="s">
        <v>28255</v>
      </c>
    </row>
    <row r="2505" spans="1:16">
      <c r="A2505" s="132">
        <v>2504</v>
      </c>
      <c r="B2505" s="36" t="s">
        <v>28258</v>
      </c>
      <c r="C2505" s="36" t="s">
        <v>28259</v>
      </c>
      <c r="D2505" s="36" t="s">
        <v>28260</v>
      </c>
      <c r="E2505" s="490" t="s">
        <v>33547</v>
      </c>
      <c r="F2505" s="490" t="s">
        <v>33548</v>
      </c>
      <c r="G2505" s="490" t="s">
        <v>33549</v>
      </c>
      <c r="H2505" s="490" t="s">
        <v>33550</v>
      </c>
      <c r="I2505" s="490" t="s">
        <v>33551</v>
      </c>
      <c r="J2505" s="490" t="s">
        <v>33552</v>
      </c>
      <c r="K2505" s="490" t="s">
        <v>33553</v>
      </c>
      <c r="L2505" s="490" t="s">
        <v>33554</v>
      </c>
      <c r="M2505" s="490" t="s">
        <v>33555</v>
      </c>
      <c r="N2505" s="490" t="s">
        <v>33556</v>
      </c>
      <c r="O2505" s="490" t="s">
        <v>33557</v>
      </c>
      <c r="P2505" s="36" t="s">
        <v>28258</v>
      </c>
    </row>
    <row r="2506" spans="1:16">
      <c r="A2506" s="132">
        <v>2505</v>
      </c>
      <c r="B2506" s="36" t="s">
        <v>28261</v>
      </c>
      <c r="C2506" s="36" t="s">
        <v>28262</v>
      </c>
      <c r="D2506" s="36" t="s">
        <v>28263</v>
      </c>
      <c r="E2506" s="490" t="s">
        <v>33558</v>
      </c>
      <c r="F2506" s="490" t="s">
        <v>33559</v>
      </c>
      <c r="G2506" s="490" t="s">
        <v>33560</v>
      </c>
      <c r="H2506" s="490" t="s">
        <v>33561</v>
      </c>
      <c r="I2506" s="490" t="s">
        <v>33562</v>
      </c>
      <c r="J2506" s="490" t="s">
        <v>33563</v>
      </c>
      <c r="K2506" s="490" t="s">
        <v>33564</v>
      </c>
      <c r="L2506" s="490" t="s">
        <v>33565</v>
      </c>
      <c r="M2506" s="490" t="s">
        <v>33566</v>
      </c>
      <c r="N2506" s="490" t="s">
        <v>33567</v>
      </c>
      <c r="O2506" s="490" t="s">
        <v>33568</v>
      </c>
      <c r="P2506" s="36" t="s">
        <v>28261</v>
      </c>
    </row>
    <row r="2507" spans="1:16">
      <c r="A2507" s="132">
        <v>2506</v>
      </c>
      <c r="B2507" s="36" t="s">
        <v>28264</v>
      </c>
      <c r="C2507" s="36" t="s">
        <v>28265</v>
      </c>
      <c r="D2507" s="36" t="s">
        <v>28266</v>
      </c>
      <c r="E2507" s="490" t="s">
        <v>33569</v>
      </c>
      <c r="F2507" s="490" t="s">
        <v>33570</v>
      </c>
      <c r="G2507" s="490" t="s">
        <v>33571</v>
      </c>
      <c r="H2507" s="490" t="s">
        <v>33572</v>
      </c>
      <c r="I2507" s="490" t="s">
        <v>33573</v>
      </c>
      <c r="J2507" s="490" t="s">
        <v>33574</v>
      </c>
      <c r="K2507" s="490" t="s">
        <v>33575</v>
      </c>
      <c r="L2507" s="490" t="s">
        <v>33576</v>
      </c>
      <c r="M2507" s="490" t="s">
        <v>33577</v>
      </c>
      <c r="N2507" s="490" t="s">
        <v>33578</v>
      </c>
      <c r="O2507" s="490" t="s">
        <v>33579</v>
      </c>
      <c r="P2507" s="36" t="s">
        <v>28264</v>
      </c>
    </row>
    <row r="2508" spans="1:16">
      <c r="A2508" s="132">
        <v>2507</v>
      </c>
      <c r="B2508" s="36" t="s">
        <v>28267</v>
      </c>
      <c r="C2508" s="36" t="s">
        <v>28268</v>
      </c>
      <c r="D2508" s="36" t="s">
        <v>28269</v>
      </c>
      <c r="E2508" s="490" t="s">
        <v>33580</v>
      </c>
      <c r="F2508" s="490" t="s">
        <v>33581</v>
      </c>
      <c r="G2508" s="490" t="s">
        <v>33582</v>
      </c>
      <c r="H2508" s="490" t="s">
        <v>33583</v>
      </c>
      <c r="I2508" s="490" t="s">
        <v>33584</v>
      </c>
      <c r="J2508" s="490" t="s">
        <v>33585</v>
      </c>
      <c r="K2508" s="490" t="s">
        <v>33586</v>
      </c>
      <c r="L2508" s="490" t="s">
        <v>33587</v>
      </c>
      <c r="M2508" s="490" t="s">
        <v>33588</v>
      </c>
      <c r="N2508" s="490" t="s">
        <v>33589</v>
      </c>
      <c r="O2508" s="490" t="s">
        <v>33590</v>
      </c>
      <c r="P2508" s="36" t="s">
        <v>28267</v>
      </c>
    </row>
    <row r="2509" spans="1:16">
      <c r="A2509" s="132">
        <v>2508</v>
      </c>
      <c r="B2509" s="36" t="s">
        <v>28270</v>
      </c>
      <c r="C2509" s="36" t="s">
        <v>28271</v>
      </c>
      <c r="D2509" s="36" t="s">
        <v>28272</v>
      </c>
      <c r="E2509" s="490" t="s">
        <v>33591</v>
      </c>
      <c r="F2509" s="490" t="s">
        <v>33592</v>
      </c>
      <c r="G2509" s="490" t="s">
        <v>33593</v>
      </c>
      <c r="H2509" s="490" t="s">
        <v>33594</v>
      </c>
      <c r="I2509" s="490" t="s">
        <v>33595</v>
      </c>
      <c r="J2509" s="490" t="s">
        <v>33596</v>
      </c>
      <c r="K2509" s="490" t="s">
        <v>33597</v>
      </c>
      <c r="L2509" s="490" t="s">
        <v>33598</v>
      </c>
      <c r="M2509" s="490" t="s">
        <v>33599</v>
      </c>
      <c r="N2509" s="490" t="s">
        <v>33600</v>
      </c>
      <c r="O2509" s="490" t="s">
        <v>33601</v>
      </c>
      <c r="P2509" s="36" t="s">
        <v>28270</v>
      </c>
    </row>
    <row r="2510" spans="1:16">
      <c r="A2510" s="132">
        <v>2509</v>
      </c>
      <c r="B2510" s="36" t="s">
        <v>28273</v>
      </c>
      <c r="C2510" s="36" t="s">
        <v>28274</v>
      </c>
      <c r="D2510" s="36" t="s">
        <v>28275</v>
      </c>
      <c r="E2510" s="490" t="s">
        <v>33602</v>
      </c>
      <c r="F2510" s="490" t="s">
        <v>33603</v>
      </c>
      <c r="G2510" s="490" t="s">
        <v>33604</v>
      </c>
      <c r="H2510" s="490" t="s">
        <v>33605</v>
      </c>
      <c r="I2510" s="490" t="s">
        <v>33606</v>
      </c>
      <c r="J2510" s="490" t="s">
        <v>33607</v>
      </c>
      <c r="K2510" s="490" t="s">
        <v>33608</v>
      </c>
      <c r="L2510" s="490" t="s">
        <v>33609</v>
      </c>
      <c r="M2510" s="490" t="s">
        <v>33610</v>
      </c>
      <c r="N2510" s="490" t="s">
        <v>33611</v>
      </c>
      <c r="O2510" s="490" t="s">
        <v>33612</v>
      </c>
      <c r="P2510" s="36" t="s">
        <v>28273</v>
      </c>
    </row>
    <row r="2511" spans="1:16">
      <c r="A2511" s="132">
        <v>2510</v>
      </c>
      <c r="B2511" s="36" t="s">
        <v>28276</v>
      </c>
      <c r="C2511" s="36" t="s">
        <v>28277</v>
      </c>
      <c r="D2511" s="36" t="s">
        <v>28278</v>
      </c>
      <c r="E2511" s="490" t="s">
        <v>33613</v>
      </c>
      <c r="F2511" s="490" t="s">
        <v>33614</v>
      </c>
      <c r="G2511" s="490" t="s">
        <v>33615</v>
      </c>
      <c r="H2511" s="490" t="s">
        <v>33616</v>
      </c>
      <c r="I2511" s="490" t="s">
        <v>33614</v>
      </c>
      <c r="J2511" s="490" t="s">
        <v>33617</v>
      </c>
      <c r="K2511" s="490" t="s">
        <v>33618</v>
      </c>
      <c r="L2511" s="490" t="s">
        <v>33619</v>
      </c>
      <c r="M2511" s="490" t="s">
        <v>33620</v>
      </c>
      <c r="N2511" s="490" t="s">
        <v>33621</v>
      </c>
      <c r="O2511" s="490" t="s">
        <v>33622</v>
      </c>
      <c r="P2511" s="36" t="s">
        <v>28276</v>
      </c>
    </row>
    <row r="2512" spans="1:16">
      <c r="A2512" s="132">
        <v>2511</v>
      </c>
      <c r="B2512" s="36" t="s">
        <v>28279</v>
      </c>
      <c r="C2512" s="36" t="s">
        <v>28280</v>
      </c>
      <c r="D2512" s="36" t="s">
        <v>28281</v>
      </c>
      <c r="E2512" s="490" t="s">
        <v>33623</v>
      </c>
      <c r="F2512" s="490" t="s">
        <v>33624</v>
      </c>
      <c r="G2512" s="490" t="s">
        <v>33625</v>
      </c>
      <c r="H2512" s="490" t="s">
        <v>33626</v>
      </c>
      <c r="I2512" s="490" t="s">
        <v>33627</v>
      </c>
      <c r="J2512" s="490" t="s">
        <v>33628</v>
      </c>
      <c r="K2512" s="490" t="s">
        <v>33629</v>
      </c>
      <c r="L2512" s="490" t="s">
        <v>33630</v>
      </c>
      <c r="M2512" s="490" t="s">
        <v>33631</v>
      </c>
      <c r="N2512" s="490" t="s">
        <v>33631</v>
      </c>
      <c r="O2512" s="490" t="s">
        <v>33632</v>
      </c>
      <c r="P2512" s="36" t="s">
        <v>28279</v>
      </c>
    </row>
    <row r="2513" spans="1:16">
      <c r="A2513" s="132">
        <v>2512</v>
      </c>
      <c r="B2513" s="36" t="s">
        <v>28282</v>
      </c>
      <c r="C2513" s="36" t="s">
        <v>28283</v>
      </c>
      <c r="D2513" s="36" t="s">
        <v>28284</v>
      </c>
      <c r="E2513" s="490" t="s">
        <v>33633</v>
      </c>
      <c r="F2513" s="490" t="s">
        <v>33634</v>
      </c>
      <c r="G2513" s="490" t="s">
        <v>33635</v>
      </c>
      <c r="H2513" s="490" t="s">
        <v>33636</v>
      </c>
      <c r="I2513" s="490" t="s">
        <v>33637</v>
      </c>
      <c r="J2513" s="490" t="s">
        <v>33638</v>
      </c>
      <c r="K2513" s="490" t="s">
        <v>33639</v>
      </c>
      <c r="L2513" s="490" t="s">
        <v>33640</v>
      </c>
      <c r="M2513" s="490" t="s">
        <v>33641</v>
      </c>
      <c r="N2513" s="490" t="s">
        <v>33642</v>
      </c>
      <c r="O2513" s="490" t="s">
        <v>33643</v>
      </c>
      <c r="P2513" s="36" t="s">
        <v>28282</v>
      </c>
    </row>
    <row r="2514" spans="1:16">
      <c r="A2514" s="132">
        <v>2513</v>
      </c>
      <c r="B2514" s="36" t="s">
        <v>28285</v>
      </c>
      <c r="C2514" s="36" t="s">
        <v>28285</v>
      </c>
      <c r="D2514" s="490" t="s">
        <v>33644</v>
      </c>
      <c r="E2514" s="490" t="s">
        <v>33645</v>
      </c>
      <c r="F2514" s="490" t="s">
        <v>33646</v>
      </c>
      <c r="G2514" s="490" t="s">
        <v>33647</v>
      </c>
      <c r="H2514" s="490" t="s">
        <v>33648</v>
      </c>
      <c r="I2514" s="490" t="s">
        <v>33649</v>
      </c>
      <c r="J2514" s="490" t="s">
        <v>33650</v>
      </c>
      <c r="K2514" s="490" t="s">
        <v>33651</v>
      </c>
      <c r="L2514" s="490" t="s">
        <v>33652</v>
      </c>
      <c r="M2514" s="490" t="s">
        <v>33653</v>
      </c>
      <c r="N2514" s="490" t="s">
        <v>33654</v>
      </c>
      <c r="O2514" s="490" t="s">
        <v>33655</v>
      </c>
      <c r="P2514" s="36" t="s">
        <v>28285</v>
      </c>
    </row>
    <row r="2515" spans="1:16">
      <c r="A2515" s="132">
        <v>2514</v>
      </c>
      <c r="B2515" s="36" t="s">
        <v>28286</v>
      </c>
      <c r="C2515" s="36" t="s">
        <v>28287</v>
      </c>
      <c r="D2515" s="36" t="s">
        <v>28288</v>
      </c>
      <c r="E2515" s="490" t="s">
        <v>33656</v>
      </c>
      <c r="F2515" s="490" t="s">
        <v>33657</v>
      </c>
      <c r="G2515" s="490" t="s">
        <v>33658</v>
      </c>
      <c r="H2515" s="490" t="s">
        <v>33659</v>
      </c>
      <c r="I2515" s="490" t="s">
        <v>33660</v>
      </c>
      <c r="J2515" s="490" t="s">
        <v>33661</v>
      </c>
      <c r="K2515" s="490" t="s">
        <v>33662</v>
      </c>
      <c r="L2515" s="490" t="s">
        <v>33663</v>
      </c>
      <c r="M2515" s="490" t="s">
        <v>33664</v>
      </c>
      <c r="N2515" s="490" t="s">
        <v>33665</v>
      </c>
      <c r="O2515" s="490" t="s">
        <v>33666</v>
      </c>
      <c r="P2515" s="36" t="s">
        <v>28286</v>
      </c>
    </row>
    <row r="2516" spans="1:16">
      <c r="A2516" s="132">
        <v>2515</v>
      </c>
      <c r="B2516" s="36" t="s">
        <v>28289</v>
      </c>
      <c r="C2516" s="36" t="s">
        <v>28290</v>
      </c>
      <c r="D2516" s="36" t="s">
        <v>28291</v>
      </c>
      <c r="E2516" s="490" t="s">
        <v>33667</v>
      </c>
      <c r="F2516" s="490" t="s">
        <v>33668</v>
      </c>
      <c r="G2516" s="490" t="s">
        <v>33669</v>
      </c>
      <c r="H2516" s="490" t="s">
        <v>33670</v>
      </c>
      <c r="I2516" s="490" t="s">
        <v>33671</v>
      </c>
      <c r="J2516" s="490" t="s">
        <v>33672</v>
      </c>
      <c r="K2516" s="490" t="s">
        <v>33673</v>
      </c>
      <c r="L2516" s="490" t="s">
        <v>33674</v>
      </c>
      <c r="M2516" s="490" t="s">
        <v>33675</v>
      </c>
      <c r="N2516" s="490" t="s">
        <v>33676</v>
      </c>
      <c r="O2516" s="490" t="s">
        <v>33677</v>
      </c>
      <c r="P2516" s="36" t="s">
        <v>28289</v>
      </c>
    </row>
    <row r="2517" spans="1:16">
      <c r="A2517" s="132">
        <v>2516</v>
      </c>
      <c r="B2517" s="36" t="s">
        <v>28292</v>
      </c>
      <c r="C2517" s="36" t="s">
        <v>28293</v>
      </c>
      <c r="D2517" s="36" t="s">
        <v>28294</v>
      </c>
      <c r="E2517" s="490" t="s">
        <v>33678</v>
      </c>
      <c r="F2517" s="490" t="s">
        <v>33679</v>
      </c>
      <c r="G2517" s="490" t="s">
        <v>33680</v>
      </c>
      <c r="H2517" s="490" t="s">
        <v>33681</v>
      </c>
      <c r="I2517" s="490" t="s">
        <v>33682</v>
      </c>
      <c r="J2517" s="490" t="s">
        <v>33683</v>
      </c>
      <c r="K2517" s="490" t="s">
        <v>33684</v>
      </c>
      <c r="L2517" s="490" t="s">
        <v>33685</v>
      </c>
      <c r="M2517" s="490" t="s">
        <v>33686</v>
      </c>
      <c r="N2517" s="490" t="s">
        <v>7991</v>
      </c>
      <c r="O2517" s="490" t="s">
        <v>33687</v>
      </c>
      <c r="P2517" s="36" t="s">
        <v>28292</v>
      </c>
    </row>
    <row r="2518" spans="1:16">
      <c r="A2518" s="132">
        <v>2517</v>
      </c>
      <c r="B2518" s="36" t="s">
        <v>28295</v>
      </c>
      <c r="C2518" s="36" t="s">
        <v>28296</v>
      </c>
      <c r="D2518" s="490" t="s">
        <v>33688</v>
      </c>
      <c r="E2518" s="490" t="s">
        <v>33689</v>
      </c>
      <c r="F2518" s="490" t="s">
        <v>33690</v>
      </c>
      <c r="G2518" s="490" t="s">
        <v>33691</v>
      </c>
      <c r="H2518" s="490" t="s">
        <v>33692</v>
      </c>
      <c r="I2518" s="490" t="s">
        <v>33693</v>
      </c>
      <c r="J2518" s="490" t="s">
        <v>33694</v>
      </c>
      <c r="K2518" s="490" t="s">
        <v>33695</v>
      </c>
      <c r="L2518" s="490" t="s">
        <v>33696</v>
      </c>
      <c r="M2518" s="490" t="s">
        <v>33697</v>
      </c>
      <c r="N2518" s="490" t="s">
        <v>33698</v>
      </c>
      <c r="O2518" s="490" t="s">
        <v>33699</v>
      </c>
      <c r="P2518" s="36" t="s">
        <v>28295</v>
      </c>
    </row>
    <row r="2519" spans="1:16">
      <c r="A2519" s="132">
        <v>2518</v>
      </c>
      <c r="B2519" s="36" t="s">
        <v>28297</v>
      </c>
      <c r="C2519" s="36" t="s">
        <v>28298</v>
      </c>
      <c r="D2519" s="36" t="s">
        <v>28299</v>
      </c>
      <c r="E2519" s="490" t="s">
        <v>33700</v>
      </c>
      <c r="F2519" s="490" t="s">
        <v>33701</v>
      </c>
      <c r="G2519" s="490" t="s">
        <v>33702</v>
      </c>
      <c r="H2519" s="490" t="s">
        <v>33703</v>
      </c>
      <c r="I2519" s="490" t="s">
        <v>33704</v>
      </c>
      <c r="J2519" s="490" t="s">
        <v>33705</v>
      </c>
      <c r="K2519" s="490" t="s">
        <v>33706</v>
      </c>
      <c r="L2519" s="490" t="s">
        <v>33707</v>
      </c>
      <c r="M2519" s="490" t="s">
        <v>33708</v>
      </c>
      <c r="N2519" s="490" t="s">
        <v>33708</v>
      </c>
      <c r="O2519" s="490" t="s">
        <v>33709</v>
      </c>
      <c r="P2519" s="36" t="s">
        <v>28297</v>
      </c>
    </row>
    <row r="2520" spans="1:16">
      <c r="A2520" s="132">
        <v>2519</v>
      </c>
      <c r="B2520" s="36" t="s">
        <v>28300</v>
      </c>
      <c r="C2520" s="36" t="s">
        <v>28301</v>
      </c>
      <c r="D2520" s="36" t="s">
        <v>28302</v>
      </c>
      <c r="E2520" s="490" t="s">
        <v>33710</v>
      </c>
      <c r="F2520" s="490" t="s">
        <v>33711</v>
      </c>
      <c r="G2520" s="490" t="s">
        <v>33712</v>
      </c>
      <c r="H2520" s="490" t="s">
        <v>33713</v>
      </c>
      <c r="I2520" s="490" t="s">
        <v>33714</v>
      </c>
      <c r="J2520" s="490" t="s">
        <v>33715</v>
      </c>
      <c r="K2520" s="490" t="s">
        <v>33716</v>
      </c>
      <c r="L2520" s="490" t="s">
        <v>33717</v>
      </c>
      <c r="M2520" s="490" t="s">
        <v>33718</v>
      </c>
      <c r="N2520" s="490" t="s">
        <v>33718</v>
      </c>
      <c r="O2520" s="490" t="s">
        <v>33719</v>
      </c>
      <c r="P2520" s="36" t="s">
        <v>28300</v>
      </c>
    </row>
    <row r="2521" spans="1:16">
      <c r="A2521" s="132">
        <v>2520</v>
      </c>
      <c r="B2521" s="36" t="s">
        <v>28303</v>
      </c>
      <c r="C2521" s="36" t="s">
        <v>28304</v>
      </c>
      <c r="D2521" s="36" t="s">
        <v>28305</v>
      </c>
      <c r="E2521" s="490" t="s">
        <v>33720</v>
      </c>
      <c r="F2521" s="490" t="s">
        <v>33721</v>
      </c>
      <c r="G2521" s="490" t="s">
        <v>33722</v>
      </c>
      <c r="H2521" s="490" t="s">
        <v>33723</v>
      </c>
      <c r="I2521" s="490" t="s">
        <v>33724</v>
      </c>
      <c r="J2521" s="490" t="s">
        <v>33725</v>
      </c>
      <c r="K2521" s="490" t="s">
        <v>33726</v>
      </c>
      <c r="L2521" s="490" t="s">
        <v>33727</v>
      </c>
      <c r="M2521" s="490" t="s">
        <v>33728</v>
      </c>
      <c r="N2521" s="490" t="s">
        <v>33728</v>
      </c>
      <c r="O2521" s="490" t="s">
        <v>33729</v>
      </c>
      <c r="P2521" s="36" t="s">
        <v>28303</v>
      </c>
    </row>
    <row r="2522" spans="1:16">
      <c r="A2522" s="132">
        <v>2521</v>
      </c>
      <c r="B2522" s="36" t="s">
        <v>28306</v>
      </c>
      <c r="C2522" s="36" t="s">
        <v>28307</v>
      </c>
      <c r="D2522" s="490" t="s">
        <v>33730</v>
      </c>
      <c r="E2522" s="490" t="s">
        <v>33731</v>
      </c>
      <c r="F2522" s="490" t="s">
        <v>33732</v>
      </c>
      <c r="G2522" s="490" t="s">
        <v>33733</v>
      </c>
      <c r="H2522" s="490" t="s">
        <v>33734</v>
      </c>
      <c r="I2522" s="490" t="s">
        <v>33735</v>
      </c>
      <c r="J2522" s="490" t="s">
        <v>33736</v>
      </c>
      <c r="K2522" s="490" t="s">
        <v>33737</v>
      </c>
      <c r="L2522" s="490" t="s">
        <v>33738</v>
      </c>
      <c r="M2522" s="490" t="s">
        <v>33739</v>
      </c>
      <c r="N2522" s="490" t="s">
        <v>33739</v>
      </c>
      <c r="O2522" s="490" t="s">
        <v>33740</v>
      </c>
      <c r="P2522" s="36" t="s">
        <v>28306</v>
      </c>
    </row>
    <row r="2523" spans="1:16">
      <c r="A2523" s="132">
        <v>2522</v>
      </c>
      <c r="B2523" s="36" t="s">
        <v>28308</v>
      </c>
      <c r="C2523" s="36" t="s">
        <v>28309</v>
      </c>
      <c r="D2523" s="36" t="s">
        <v>28310</v>
      </c>
      <c r="E2523" s="490" t="s">
        <v>33741</v>
      </c>
      <c r="F2523" s="490" t="s">
        <v>33742</v>
      </c>
      <c r="G2523" s="490" t="s">
        <v>33743</v>
      </c>
      <c r="H2523" s="490" t="s">
        <v>33744</v>
      </c>
      <c r="I2523" s="490" t="s">
        <v>33745</v>
      </c>
      <c r="J2523" s="490" t="s">
        <v>33746</v>
      </c>
      <c r="K2523" s="490" t="s">
        <v>33747</v>
      </c>
      <c r="L2523" s="490" t="s">
        <v>33748</v>
      </c>
      <c r="M2523" s="490" t="s">
        <v>33749</v>
      </c>
      <c r="N2523" s="490" t="s">
        <v>33749</v>
      </c>
      <c r="O2523" s="490" t="s">
        <v>33750</v>
      </c>
      <c r="P2523" s="36" t="s">
        <v>28308</v>
      </c>
    </row>
    <row r="2524" spans="1:16">
      <c r="A2524" s="132">
        <v>2523</v>
      </c>
      <c r="B2524" s="36" t="s">
        <v>28311</v>
      </c>
      <c r="C2524" s="36" t="s">
        <v>28312</v>
      </c>
      <c r="D2524" s="490" t="s">
        <v>33751</v>
      </c>
      <c r="E2524" s="490" t="s">
        <v>33752</v>
      </c>
      <c r="F2524" s="490" t="s">
        <v>33753</v>
      </c>
      <c r="G2524" s="490" t="s">
        <v>33754</v>
      </c>
      <c r="H2524" s="490" t="s">
        <v>33755</v>
      </c>
      <c r="I2524" s="490" t="s">
        <v>33756</v>
      </c>
      <c r="J2524" s="490" t="s">
        <v>33757</v>
      </c>
      <c r="K2524" s="490" t="s">
        <v>33758</v>
      </c>
      <c r="L2524" s="490" t="s">
        <v>33759</v>
      </c>
      <c r="M2524" s="490" t="s">
        <v>33760</v>
      </c>
      <c r="N2524" s="490" t="s">
        <v>33761</v>
      </c>
      <c r="O2524" s="490" t="s">
        <v>33762</v>
      </c>
      <c r="P2524" s="36" t="s">
        <v>28311</v>
      </c>
    </row>
    <row r="2525" spans="1:16">
      <c r="A2525" s="132">
        <v>2524</v>
      </c>
      <c r="B2525" s="36" t="s">
        <v>28313</v>
      </c>
      <c r="C2525" s="36" t="s">
        <v>28314</v>
      </c>
      <c r="D2525" s="490" t="s">
        <v>33763</v>
      </c>
      <c r="E2525" s="490" t="s">
        <v>33764</v>
      </c>
      <c r="F2525" s="490" t="s">
        <v>33765</v>
      </c>
      <c r="G2525" s="490" t="s">
        <v>33766</v>
      </c>
      <c r="H2525" s="490" t="s">
        <v>33767</v>
      </c>
      <c r="I2525" s="490" t="s">
        <v>33768</v>
      </c>
      <c r="J2525" s="490" t="s">
        <v>33769</v>
      </c>
      <c r="K2525" s="490" t="s">
        <v>33770</v>
      </c>
      <c r="L2525" s="490" t="s">
        <v>33771</v>
      </c>
      <c r="M2525" s="490" t="s">
        <v>33772</v>
      </c>
      <c r="N2525" s="490" t="s">
        <v>33773</v>
      </c>
      <c r="O2525" s="490" t="s">
        <v>33774</v>
      </c>
      <c r="P2525" s="36" t="s">
        <v>28313</v>
      </c>
    </row>
    <row r="2526" spans="1:16">
      <c r="A2526" s="132">
        <v>2525</v>
      </c>
      <c r="B2526" s="36" t="s">
        <v>28315</v>
      </c>
      <c r="C2526" s="36" t="s">
        <v>28316</v>
      </c>
      <c r="D2526" s="490" t="s">
        <v>33775</v>
      </c>
      <c r="E2526" s="490" t="s">
        <v>33776</v>
      </c>
      <c r="F2526" s="490" t="s">
        <v>33777</v>
      </c>
      <c r="G2526" s="490" t="s">
        <v>33778</v>
      </c>
      <c r="H2526" s="490" t="s">
        <v>33779</v>
      </c>
      <c r="I2526" s="490" t="s">
        <v>33780</v>
      </c>
      <c r="J2526" s="490" t="s">
        <v>33781</v>
      </c>
      <c r="K2526" s="490" t="s">
        <v>33782</v>
      </c>
      <c r="L2526" s="490" t="s">
        <v>33783</v>
      </c>
      <c r="M2526" s="490" t="s">
        <v>33784</v>
      </c>
      <c r="N2526" s="490" t="s">
        <v>33784</v>
      </c>
      <c r="O2526" s="490" t="s">
        <v>33785</v>
      </c>
      <c r="P2526" s="36" t="s">
        <v>28315</v>
      </c>
    </row>
    <row r="2527" spans="1:16">
      <c r="A2527" s="132">
        <v>2526</v>
      </c>
      <c r="B2527" s="36" t="s">
        <v>28317</v>
      </c>
      <c r="C2527" s="36" t="s">
        <v>28318</v>
      </c>
      <c r="D2527" s="36" t="s">
        <v>28319</v>
      </c>
      <c r="E2527" s="490" t="s">
        <v>33786</v>
      </c>
      <c r="F2527" s="490" t="s">
        <v>33787</v>
      </c>
      <c r="G2527" s="490" t="s">
        <v>33788</v>
      </c>
      <c r="H2527" s="490" t="s">
        <v>33789</v>
      </c>
      <c r="I2527" s="490" t="s">
        <v>33790</v>
      </c>
      <c r="J2527" s="490" t="s">
        <v>33791</v>
      </c>
      <c r="K2527" s="490" t="s">
        <v>33792</v>
      </c>
      <c r="L2527" s="490" t="s">
        <v>33793</v>
      </c>
      <c r="M2527" s="490" t="s">
        <v>33794</v>
      </c>
      <c r="N2527" s="490" t="s">
        <v>33795</v>
      </c>
      <c r="O2527" s="490" t="s">
        <v>33796</v>
      </c>
      <c r="P2527" s="36" t="s">
        <v>28317</v>
      </c>
    </row>
    <row r="2528" spans="1:16">
      <c r="A2528" s="132">
        <v>2527</v>
      </c>
      <c r="B2528" s="36" t="s">
        <v>28320</v>
      </c>
      <c r="C2528" s="36" t="s">
        <v>28321</v>
      </c>
      <c r="D2528" s="36" t="s">
        <v>28322</v>
      </c>
      <c r="E2528" s="490" t="s">
        <v>33797</v>
      </c>
      <c r="F2528" s="490" t="s">
        <v>33798</v>
      </c>
      <c r="G2528" s="490" t="s">
        <v>33799</v>
      </c>
      <c r="H2528" s="490" t="s">
        <v>33800</v>
      </c>
      <c r="I2528" s="490" t="s">
        <v>33801</v>
      </c>
      <c r="J2528" s="490" t="s">
        <v>33802</v>
      </c>
      <c r="K2528" s="490" t="s">
        <v>33803</v>
      </c>
      <c r="L2528" s="490" t="s">
        <v>33804</v>
      </c>
      <c r="M2528" s="490" t="s">
        <v>33805</v>
      </c>
      <c r="N2528" s="490" t="s">
        <v>33806</v>
      </c>
      <c r="O2528" s="490" t="s">
        <v>33807</v>
      </c>
      <c r="P2528" s="36" t="s">
        <v>28320</v>
      </c>
    </row>
    <row r="2529" spans="1:16">
      <c r="A2529" s="132">
        <v>2528</v>
      </c>
      <c r="B2529" s="36" t="s">
        <v>28323</v>
      </c>
      <c r="C2529" s="36" t="s">
        <v>28324</v>
      </c>
      <c r="D2529" s="36" t="s">
        <v>28325</v>
      </c>
      <c r="E2529" s="490" t="s">
        <v>33808</v>
      </c>
      <c r="F2529" s="490" t="s">
        <v>33809</v>
      </c>
      <c r="G2529" s="490" t="s">
        <v>33810</v>
      </c>
      <c r="H2529" s="490" t="s">
        <v>33811</v>
      </c>
      <c r="I2529" s="490" t="s">
        <v>33812</v>
      </c>
      <c r="J2529" s="490" t="s">
        <v>28323</v>
      </c>
      <c r="K2529" s="490" t="s">
        <v>33813</v>
      </c>
      <c r="L2529" s="490" t="s">
        <v>33814</v>
      </c>
      <c r="M2529" s="490" t="s">
        <v>33815</v>
      </c>
      <c r="N2529" s="490" t="s">
        <v>33815</v>
      </c>
      <c r="O2529" s="490" t="s">
        <v>33816</v>
      </c>
      <c r="P2529" s="36" t="s">
        <v>28323</v>
      </c>
    </row>
    <row r="2530" spans="1:16">
      <c r="A2530" s="132">
        <v>2529</v>
      </c>
      <c r="B2530" s="36" t="s">
        <v>28326</v>
      </c>
      <c r="C2530" s="36" t="s">
        <v>28327</v>
      </c>
      <c r="D2530" s="36" t="s">
        <v>28328</v>
      </c>
      <c r="E2530" s="490" t="s">
        <v>33817</v>
      </c>
      <c r="F2530" s="490" t="s">
        <v>33818</v>
      </c>
      <c r="G2530" s="490" t="s">
        <v>33819</v>
      </c>
      <c r="H2530" s="490" t="s">
        <v>33820</v>
      </c>
      <c r="I2530" s="490" t="s">
        <v>33821</v>
      </c>
      <c r="J2530" s="490" t="s">
        <v>33822</v>
      </c>
      <c r="K2530" s="490" t="s">
        <v>33823</v>
      </c>
      <c r="L2530" s="490" t="s">
        <v>33824</v>
      </c>
      <c r="M2530" s="490" t="s">
        <v>33824</v>
      </c>
      <c r="N2530" s="490" t="s">
        <v>33824</v>
      </c>
      <c r="O2530" s="490" t="s">
        <v>33825</v>
      </c>
      <c r="P2530" s="36" t="s">
        <v>28326</v>
      </c>
    </row>
    <row r="2531" spans="1:16">
      <c r="A2531" s="132">
        <v>2530</v>
      </c>
      <c r="B2531" s="36" t="s">
        <v>28329</v>
      </c>
      <c r="C2531" s="36" t="s">
        <v>28330</v>
      </c>
      <c r="D2531" s="36" t="s">
        <v>28331</v>
      </c>
      <c r="E2531" s="490" t="s">
        <v>33826</v>
      </c>
      <c r="F2531" s="490" t="s">
        <v>33827</v>
      </c>
      <c r="G2531" s="490" t="s">
        <v>33828</v>
      </c>
      <c r="H2531" s="490" t="s">
        <v>33829</v>
      </c>
      <c r="I2531" s="490" t="s">
        <v>33830</v>
      </c>
      <c r="J2531" s="490" t="s">
        <v>33831</v>
      </c>
      <c r="K2531" s="490" t="s">
        <v>33832</v>
      </c>
      <c r="L2531" s="490" t="s">
        <v>33833</v>
      </c>
      <c r="M2531" s="490" t="s">
        <v>33834</v>
      </c>
      <c r="N2531" s="490" t="s">
        <v>33835</v>
      </c>
      <c r="O2531" s="490" t="s">
        <v>33836</v>
      </c>
      <c r="P2531" s="36" t="s">
        <v>28329</v>
      </c>
    </row>
    <row r="2532" spans="1:16">
      <c r="A2532" s="132">
        <v>2531</v>
      </c>
      <c r="B2532" s="36" t="s">
        <v>28332</v>
      </c>
      <c r="C2532" s="36" t="s">
        <v>28333</v>
      </c>
      <c r="D2532" s="36" t="s">
        <v>28334</v>
      </c>
      <c r="E2532" s="490" t="s">
        <v>33837</v>
      </c>
      <c r="F2532" s="490" t="s">
        <v>33838</v>
      </c>
      <c r="G2532" s="490" t="s">
        <v>33839</v>
      </c>
      <c r="H2532" s="490" t="s">
        <v>33840</v>
      </c>
      <c r="I2532" s="490" t="s">
        <v>33841</v>
      </c>
      <c r="J2532" s="490" t="s">
        <v>33842</v>
      </c>
      <c r="K2532" s="490" t="s">
        <v>33843</v>
      </c>
      <c r="L2532" s="490" t="s">
        <v>33844</v>
      </c>
      <c r="M2532" s="490" t="s">
        <v>33845</v>
      </c>
      <c r="N2532" s="490" t="s">
        <v>33846</v>
      </c>
      <c r="O2532" s="490" t="s">
        <v>33847</v>
      </c>
      <c r="P2532" s="36" t="s">
        <v>28332</v>
      </c>
    </row>
    <row r="2533" spans="1:16">
      <c r="A2533" s="132">
        <v>2532</v>
      </c>
      <c r="B2533" s="36" t="s">
        <v>28335</v>
      </c>
      <c r="C2533" s="36" t="s">
        <v>28336</v>
      </c>
      <c r="D2533" s="36" t="s">
        <v>28337</v>
      </c>
      <c r="E2533" s="490" t="s">
        <v>33848</v>
      </c>
      <c r="F2533" s="490" t="s">
        <v>33849</v>
      </c>
      <c r="G2533" s="490" t="s">
        <v>33850</v>
      </c>
      <c r="H2533" s="490" t="s">
        <v>33851</v>
      </c>
      <c r="I2533" s="490" t="s">
        <v>33849</v>
      </c>
      <c r="J2533" s="490" t="s">
        <v>33852</v>
      </c>
      <c r="K2533" s="490" t="s">
        <v>33853</v>
      </c>
      <c r="L2533" s="490" t="s">
        <v>33854</v>
      </c>
      <c r="M2533" s="490" t="s">
        <v>33855</v>
      </c>
      <c r="N2533" s="490" t="s">
        <v>33855</v>
      </c>
      <c r="O2533" s="490" t="s">
        <v>33856</v>
      </c>
      <c r="P2533" s="36" t="s">
        <v>28335</v>
      </c>
    </row>
    <row r="2534" spans="1:16">
      <c r="A2534" s="132">
        <v>2533</v>
      </c>
      <c r="B2534" s="36" t="s">
        <v>28338</v>
      </c>
      <c r="C2534" s="36" t="s">
        <v>28339</v>
      </c>
      <c r="D2534" s="490" t="s">
        <v>33857</v>
      </c>
      <c r="E2534" s="490" t="s">
        <v>33858</v>
      </c>
      <c r="F2534" s="490" t="s">
        <v>33859</v>
      </c>
      <c r="G2534" s="490" t="s">
        <v>33860</v>
      </c>
      <c r="H2534" s="490" t="s">
        <v>33861</v>
      </c>
      <c r="I2534" s="490" t="s">
        <v>33859</v>
      </c>
      <c r="J2534" s="490" t="s">
        <v>33862</v>
      </c>
      <c r="K2534" s="490" t="s">
        <v>33863</v>
      </c>
      <c r="L2534" s="490" t="s">
        <v>33861</v>
      </c>
      <c r="M2534" s="490" t="s">
        <v>33861</v>
      </c>
      <c r="N2534" s="490" t="s">
        <v>33861</v>
      </c>
      <c r="O2534" s="490" t="s">
        <v>33864</v>
      </c>
      <c r="P2534" s="36" t="s">
        <v>28338</v>
      </c>
    </row>
    <row r="2535" spans="1:16">
      <c r="A2535" s="132">
        <v>2534</v>
      </c>
      <c r="B2535" s="36" t="s">
        <v>28340</v>
      </c>
      <c r="C2535" s="36" t="s">
        <v>28341</v>
      </c>
      <c r="D2535" s="36" t="s">
        <v>28342</v>
      </c>
      <c r="E2535" s="490" t="s">
        <v>33865</v>
      </c>
      <c r="F2535" s="490" t="s">
        <v>33866</v>
      </c>
      <c r="G2535" s="490" t="s">
        <v>33867</v>
      </c>
      <c r="H2535" s="490" t="s">
        <v>33868</v>
      </c>
      <c r="I2535" s="490" t="s">
        <v>33869</v>
      </c>
      <c r="J2535" s="490" t="s">
        <v>33870</v>
      </c>
      <c r="K2535" s="490" t="s">
        <v>33871</v>
      </c>
      <c r="L2535" s="490" t="s">
        <v>33872</v>
      </c>
      <c r="M2535" s="490" t="s">
        <v>33873</v>
      </c>
      <c r="N2535" s="490" t="s">
        <v>33874</v>
      </c>
      <c r="O2535" s="490" t="s">
        <v>33875</v>
      </c>
      <c r="P2535" s="36" t="s">
        <v>28340</v>
      </c>
    </row>
    <row r="2536" spans="1:16">
      <c r="A2536" s="132">
        <v>2535</v>
      </c>
      <c r="B2536" s="36" t="s">
        <v>28343</v>
      </c>
      <c r="C2536" s="36" t="s">
        <v>28344</v>
      </c>
      <c r="D2536" s="36" t="s">
        <v>28345</v>
      </c>
      <c r="E2536" s="490" t="s">
        <v>33876</v>
      </c>
      <c r="F2536" s="490" t="s">
        <v>33877</v>
      </c>
      <c r="G2536" s="490" t="s">
        <v>33878</v>
      </c>
      <c r="H2536" s="490" t="s">
        <v>33879</v>
      </c>
      <c r="I2536" s="490" t="s">
        <v>33880</v>
      </c>
      <c r="J2536" s="490" t="s">
        <v>33881</v>
      </c>
      <c r="K2536" s="490" t="s">
        <v>33882</v>
      </c>
      <c r="L2536" s="490" t="s">
        <v>33883</v>
      </c>
      <c r="M2536" s="490" t="s">
        <v>33884</v>
      </c>
      <c r="N2536" s="490" t="s">
        <v>33885</v>
      </c>
      <c r="O2536" s="490" t="s">
        <v>33886</v>
      </c>
      <c r="P2536" s="36" t="s">
        <v>28343</v>
      </c>
    </row>
    <row r="2537" spans="1:16">
      <c r="A2537" s="132">
        <v>2536</v>
      </c>
      <c r="B2537" s="36" t="s">
        <v>28346</v>
      </c>
      <c r="C2537" s="36" t="s">
        <v>28347</v>
      </c>
      <c r="D2537" s="36" t="s">
        <v>28348</v>
      </c>
      <c r="E2537" s="490" t="s">
        <v>33887</v>
      </c>
      <c r="F2537" s="490" t="s">
        <v>33888</v>
      </c>
      <c r="G2537" s="490" t="s">
        <v>33889</v>
      </c>
      <c r="H2537" s="490" t="s">
        <v>33890</v>
      </c>
      <c r="I2537" s="490" t="s">
        <v>33891</v>
      </c>
      <c r="J2537" s="490" t="s">
        <v>33892</v>
      </c>
      <c r="K2537" s="490" t="s">
        <v>33893</v>
      </c>
      <c r="L2537" s="490" t="s">
        <v>33894</v>
      </c>
      <c r="M2537" s="490" t="s">
        <v>33895</v>
      </c>
      <c r="N2537" s="490" t="s">
        <v>33895</v>
      </c>
      <c r="O2537" s="490" t="s">
        <v>33896</v>
      </c>
      <c r="P2537" s="36" t="s">
        <v>28346</v>
      </c>
    </row>
    <row r="2538" spans="1:16">
      <c r="A2538" s="132">
        <v>2537</v>
      </c>
      <c r="B2538" s="36" t="s">
        <v>28349</v>
      </c>
      <c r="C2538" s="36" t="s">
        <v>28350</v>
      </c>
      <c r="D2538" s="36" t="s">
        <v>28351</v>
      </c>
      <c r="E2538" s="490" t="s">
        <v>33897</v>
      </c>
      <c r="F2538" s="490" t="s">
        <v>33898</v>
      </c>
      <c r="G2538" s="490" t="s">
        <v>33899</v>
      </c>
      <c r="H2538" s="490" t="s">
        <v>33900</v>
      </c>
      <c r="I2538" s="490" t="s">
        <v>33901</v>
      </c>
      <c r="J2538" s="490" t="s">
        <v>33902</v>
      </c>
      <c r="K2538" s="490" t="s">
        <v>33903</v>
      </c>
      <c r="L2538" s="490" t="s">
        <v>33904</v>
      </c>
      <c r="M2538" s="490" t="s">
        <v>33905</v>
      </c>
      <c r="N2538" s="490" t="s">
        <v>33905</v>
      </c>
      <c r="O2538" s="490" t="s">
        <v>33906</v>
      </c>
      <c r="P2538" s="36" t="s">
        <v>28349</v>
      </c>
    </row>
    <row r="2539" spans="1:16">
      <c r="A2539" s="132">
        <v>2538</v>
      </c>
      <c r="B2539" s="36" t="s">
        <v>28352</v>
      </c>
      <c r="C2539" s="36" t="s">
        <v>28353</v>
      </c>
      <c r="D2539" s="36" t="s">
        <v>28354</v>
      </c>
      <c r="E2539" s="490" t="s">
        <v>33907</v>
      </c>
      <c r="F2539" s="490" t="s">
        <v>33908</v>
      </c>
      <c r="G2539" s="490" t="s">
        <v>33909</v>
      </c>
      <c r="H2539" s="490" t="s">
        <v>33910</v>
      </c>
      <c r="I2539" s="490" t="s">
        <v>33911</v>
      </c>
      <c r="J2539" s="490" t="s">
        <v>33912</v>
      </c>
      <c r="K2539" s="490" t="s">
        <v>33913</v>
      </c>
      <c r="L2539" s="490" t="s">
        <v>33914</v>
      </c>
      <c r="M2539" s="490" t="s">
        <v>33915</v>
      </c>
      <c r="N2539" s="490" t="s">
        <v>33916</v>
      </c>
      <c r="O2539" s="490" t="s">
        <v>33917</v>
      </c>
      <c r="P2539" s="36" t="s">
        <v>28352</v>
      </c>
    </row>
    <row r="2540" spans="1:16">
      <c r="A2540" s="132">
        <v>2539</v>
      </c>
      <c r="B2540" s="36" t="s">
        <v>28355</v>
      </c>
      <c r="C2540" s="36" t="s">
        <v>28356</v>
      </c>
      <c r="D2540" s="36" t="s">
        <v>28357</v>
      </c>
      <c r="E2540" s="490" t="s">
        <v>33918</v>
      </c>
      <c r="F2540" s="490" t="s">
        <v>33919</v>
      </c>
      <c r="G2540" s="490" t="s">
        <v>33920</v>
      </c>
      <c r="H2540" s="490" t="s">
        <v>33921</v>
      </c>
      <c r="I2540" s="490" t="s">
        <v>33922</v>
      </c>
      <c r="J2540" s="490" t="s">
        <v>33923</v>
      </c>
      <c r="K2540" s="490" t="s">
        <v>33924</v>
      </c>
      <c r="L2540" s="490" t="s">
        <v>33925</v>
      </c>
      <c r="M2540" s="490" t="s">
        <v>33926</v>
      </c>
      <c r="N2540" s="490" t="s">
        <v>33927</v>
      </c>
      <c r="O2540" s="490" t="s">
        <v>33928</v>
      </c>
      <c r="P2540" s="36" t="s">
        <v>28355</v>
      </c>
    </row>
    <row r="2541" spans="1:16">
      <c r="A2541" s="132">
        <v>2540</v>
      </c>
      <c r="B2541" s="36" t="s">
        <v>28358</v>
      </c>
      <c r="C2541" s="36" t="s">
        <v>28359</v>
      </c>
      <c r="D2541" s="36" t="s">
        <v>28360</v>
      </c>
      <c r="E2541" s="490" t="s">
        <v>33929</v>
      </c>
      <c r="F2541" s="490" t="s">
        <v>33930</v>
      </c>
      <c r="G2541" s="490" t="s">
        <v>33931</v>
      </c>
      <c r="H2541" s="490" t="s">
        <v>33932</v>
      </c>
      <c r="I2541" s="490" t="s">
        <v>33933</v>
      </c>
      <c r="J2541" s="490" t="s">
        <v>33934</v>
      </c>
      <c r="K2541" s="490" t="s">
        <v>33935</v>
      </c>
      <c r="L2541" s="490" t="s">
        <v>33936</v>
      </c>
      <c r="M2541" s="490" t="s">
        <v>33937</v>
      </c>
      <c r="N2541" s="490" t="s">
        <v>33938</v>
      </c>
      <c r="O2541" s="490" t="s">
        <v>33939</v>
      </c>
      <c r="P2541" s="36" t="s">
        <v>28358</v>
      </c>
    </row>
    <row r="2542" spans="1:16">
      <c r="A2542" s="132">
        <v>2541</v>
      </c>
      <c r="B2542" s="36" t="s">
        <v>28361</v>
      </c>
      <c r="C2542" s="36" t="s">
        <v>28362</v>
      </c>
      <c r="D2542" s="36" t="s">
        <v>28363</v>
      </c>
      <c r="E2542" s="490" t="s">
        <v>33940</v>
      </c>
      <c r="F2542" s="490" t="s">
        <v>33941</v>
      </c>
      <c r="G2542" s="490" t="s">
        <v>33942</v>
      </c>
      <c r="H2542" s="490" t="s">
        <v>33943</v>
      </c>
      <c r="I2542" s="490" t="s">
        <v>33944</v>
      </c>
      <c r="J2542" s="490" t="s">
        <v>33945</v>
      </c>
      <c r="K2542" s="490" t="s">
        <v>33946</v>
      </c>
      <c r="L2542" s="490" t="s">
        <v>33947</v>
      </c>
      <c r="M2542" s="490" t="s">
        <v>33948</v>
      </c>
      <c r="N2542" s="490" t="s">
        <v>33949</v>
      </c>
      <c r="O2542" s="490" t="s">
        <v>33950</v>
      </c>
      <c r="P2542" s="36" t="s">
        <v>28361</v>
      </c>
    </row>
    <row r="2543" spans="1:16">
      <c r="A2543" s="132">
        <v>2542</v>
      </c>
      <c r="B2543" s="36" t="s">
        <v>28364</v>
      </c>
      <c r="C2543" s="36" t="s">
        <v>28365</v>
      </c>
      <c r="D2543" s="36" t="s">
        <v>28366</v>
      </c>
      <c r="E2543" s="490" t="s">
        <v>33951</v>
      </c>
      <c r="F2543" s="490" t="s">
        <v>33952</v>
      </c>
      <c r="G2543" s="490" t="s">
        <v>33953</v>
      </c>
      <c r="H2543" s="490" t="s">
        <v>33954</v>
      </c>
      <c r="I2543" s="490" t="s">
        <v>33955</v>
      </c>
      <c r="J2543" s="490" t="s">
        <v>33956</v>
      </c>
      <c r="K2543" s="490" t="s">
        <v>33957</v>
      </c>
      <c r="L2543" s="490" t="s">
        <v>33958</v>
      </c>
      <c r="M2543" s="490" t="s">
        <v>33959</v>
      </c>
      <c r="N2543" s="490" t="s">
        <v>33960</v>
      </c>
      <c r="O2543" s="490" t="s">
        <v>33961</v>
      </c>
      <c r="P2543" s="36" t="s">
        <v>28364</v>
      </c>
    </row>
    <row r="2544" spans="1:16">
      <c r="A2544" s="132">
        <v>2543</v>
      </c>
      <c r="B2544" s="36" t="s">
        <v>28367</v>
      </c>
      <c r="C2544" s="36" t="s">
        <v>28368</v>
      </c>
      <c r="D2544" s="36" t="s">
        <v>28369</v>
      </c>
      <c r="E2544" s="490" t="s">
        <v>33962</v>
      </c>
      <c r="F2544" s="490" t="s">
        <v>33963</v>
      </c>
      <c r="G2544" s="490" t="s">
        <v>33964</v>
      </c>
      <c r="H2544" s="490" t="s">
        <v>33965</v>
      </c>
      <c r="I2544" s="490" t="s">
        <v>33966</v>
      </c>
      <c r="J2544" s="490" t="s">
        <v>33967</v>
      </c>
      <c r="K2544" s="490" t="s">
        <v>33968</v>
      </c>
      <c r="L2544" s="490" t="s">
        <v>33969</v>
      </c>
      <c r="M2544" s="490" t="s">
        <v>33970</v>
      </c>
      <c r="N2544" s="490" t="s">
        <v>33970</v>
      </c>
      <c r="O2544" s="490" t="s">
        <v>33971</v>
      </c>
      <c r="P2544" s="36" t="s">
        <v>28367</v>
      </c>
    </row>
    <row r="2545" spans="1:16">
      <c r="A2545" s="132">
        <v>2544</v>
      </c>
      <c r="B2545" s="36" t="s">
        <v>28370</v>
      </c>
      <c r="C2545" s="36" t="s">
        <v>28371</v>
      </c>
      <c r="D2545" s="36" t="s">
        <v>28372</v>
      </c>
      <c r="E2545" s="490" t="s">
        <v>33972</v>
      </c>
      <c r="F2545" s="490" t="s">
        <v>33973</v>
      </c>
      <c r="G2545" s="490" t="s">
        <v>33974</v>
      </c>
      <c r="H2545" s="490" t="s">
        <v>33975</v>
      </c>
      <c r="I2545" s="490" t="s">
        <v>33976</v>
      </c>
      <c r="J2545" s="490" t="s">
        <v>33977</v>
      </c>
      <c r="K2545" s="490" t="s">
        <v>33978</v>
      </c>
      <c r="L2545" s="490" t="s">
        <v>33979</v>
      </c>
      <c r="M2545" s="490" t="s">
        <v>33980</v>
      </c>
      <c r="N2545" s="490" t="s">
        <v>33980</v>
      </c>
      <c r="O2545" s="490" t="s">
        <v>33981</v>
      </c>
      <c r="P2545" s="36" t="s">
        <v>28370</v>
      </c>
    </row>
    <row r="2546" spans="1:16">
      <c r="A2546" s="132">
        <v>2545</v>
      </c>
      <c r="B2546" s="36" t="s">
        <v>28373</v>
      </c>
      <c r="C2546" s="36" t="s">
        <v>28374</v>
      </c>
      <c r="D2546" s="490" t="s">
        <v>33982</v>
      </c>
      <c r="E2546" s="490" t="s">
        <v>33983</v>
      </c>
      <c r="F2546" s="490" t="s">
        <v>33984</v>
      </c>
      <c r="G2546" s="490" t="s">
        <v>33985</v>
      </c>
      <c r="H2546" s="490" t="s">
        <v>33986</v>
      </c>
      <c r="I2546" s="490" t="s">
        <v>33987</v>
      </c>
      <c r="J2546" s="490" t="s">
        <v>33988</v>
      </c>
      <c r="K2546" s="490" t="s">
        <v>33989</v>
      </c>
      <c r="L2546" s="490" t="s">
        <v>33990</v>
      </c>
      <c r="M2546" s="490" t="s">
        <v>33991</v>
      </c>
      <c r="N2546" s="490" t="s">
        <v>33991</v>
      </c>
      <c r="O2546" s="490" t="s">
        <v>33992</v>
      </c>
      <c r="P2546" s="36" t="s">
        <v>28373</v>
      </c>
    </row>
    <row r="2547" spans="1:16">
      <c r="A2547" s="132">
        <v>2546</v>
      </c>
      <c r="B2547" s="36" t="s">
        <v>28375</v>
      </c>
      <c r="C2547" s="36" t="s">
        <v>28376</v>
      </c>
      <c r="D2547" s="490" t="s">
        <v>33993</v>
      </c>
      <c r="E2547" s="490" t="s">
        <v>33994</v>
      </c>
      <c r="F2547" s="490" t="s">
        <v>33995</v>
      </c>
      <c r="G2547" s="490" t="s">
        <v>33996</v>
      </c>
      <c r="H2547" s="490" t="s">
        <v>33997</v>
      </c>
      <c r="I2547" s="490" t="s">
        <v>33998</v>
      </c>
      <c r="J2547" s="490" t="s">
        <v>33999</v>
      </c>
      <c r="K2547" s="490" t="s">
        <v>34000</v>
      </c>
      <c r="L2547" s="490" t="s">
        <v>28375</v>
      </c>
      <c r="M2547" s="490" t="s">
        <v>34001</v>
      </c>
      <c r="N2547" s="490" t="s">
        <v>34002</v>
      </c>
      <c r="O2547" s="490" t="s">
        <v>34003</v>
      </c>
      <c r="P2547" s="36" t="s">
        <v>28375</v>
      </c>
    </row>
    <row r="2548" spans="1:16">
      <c r="A2548" s="132">
        <v>2547</v>
      </c>
      <c r="B2548" s="36" t="s">
        <v>28377</v>
      </c>
      <c r="C2548" s="36" t="s">
        <v>28378</v>
      </c>
      <c r="D2548" s="36" t="s">
        <v>28379</v>
      </c>
      <c r="E2548" s="490" t="s">
        <v>34004</v>
      </c>
      <c r="F2548" s="490" t="s">
        <v>34005</v>
      </c>
      <c r="G2548" s="490" t="s">
        <v>34006</v>
      </c>
      <c r="H2548" s="490" t="s">
        <v>34007</v>
      </c>
      <c r="I2548" s="490" t="s">
        <v>34008</v>
      </c>
      <c r="J2548" s="490" t="s">
        <v>34009</v>
      </c>
      <c r="K2548" s="490" t="s">
        <v>34010</v>
      </c>
      <c r="L2548" s="490" t="s">
        <v>34011</v>
      </c>
      <c r="M2548" s="490" t="s">
        <v>34012</v>
      </c>
      <c r="N2548" s="490" t="s">
        <v>34013</v>
      </c>
      <c r="O2548" s="490" t="s">
        <v>34014</v>
      </c>
      <c r="P2548" s="36" t="s">
        <v>28377</v>
      </c>
    </row>
    <row r="2549" spans="1:16">
      <c r="A2549" s="132">
        <v>2548</v>
      </c>
      <c r="B2549" s="36" t="s">
        <v>28380</v>
      </c>
      <c r="C2549" s="36" t="s">
        <v>28381</v>
      </c>
      <c r="D2549" s="36" t="s">
        <v>28382</v>
      </c>
      <c r="E2549" s="490" t="s">
        <v>34015</v>
      </c>
      <c r="F2549" s="490" t="s">
        <v>34016</v>
      </c>
      <c r="G2549" s="490" t="s">
        <v>34017</v>
      </c>
      <c r="H2549" s="490" t="s">
        <v>34018</v>
      </c>
      <c r="I2549" s="490" t="s">
        <v>34019</v>
      </c>
      <c r="J2549" s="490" t="s">
        <v>34020</v>
      </c>
      <c r="K2549" s="490" t="s">
        <v>34021</v>
      </c>
      <c r="L2549" s="490" t="s">
        <v>34022</v>
      </c>
      <c r="M2549" s="490" t="s">
        <v>34023</v>
      </c>
      <c r="N2549" s="490" t="s">
        <v>34024</v>
      </c>
      <c r="O2549" s="490" t="s">
        <v>34025</v>
      </c>
      <c r="P2549" s="36" t="s">
        <v>28380</v>
      </c>
    </row>
    <row r="2550" spans="1:16">
      <c r="A2550" s="132">
        <v>2549</v>
      </c>
      <c r="B2550" s="36" t="s">
        <v>28383</v>
      </c>
      <c r="C2550" s="36" t="s">
        <v>28384</v>
      </c>
      <c r="D2550" s="490" t="s">
        <v>34026</v>
      </c>
      <c r="E2550" s="490" t="s">
        <v>34027</v>
      </c>
      <c r="F2550" s="490" t="s">
        <v>34028</v>
      </c>
      <c r="G2550" s="490" t="s">
        <v>34029</v>
      </c>
      <c r="H2550" s="490" t="s">
        <v>34030</v>
      </c>
      <c r="I2550" s="490" t="s">
        <v>34028</v>
      </c>
      <c r="J2550" s="490" t="s">
        <v>34031</v>
      </c>
      <c r="K2550" s="490" t="s">
        <v>34032</v>
      </c>
      <c r="L2550" s="490" t="s">
        <v>34033</v>
      </c>
      <c r="M2550" s="490" t="s">
        <v>34034</v>
      </c>
      <c r="N2550" s="490" t="s">
        <v>34035</v>
      </c>
      <c r="O2550" s="490" t="s">
        <v>34036</v>
      </c>
      <c r="P2550" s="36" t="s">
        <v>28383</v>
      </c>
    </row>
    <row r="2551" spans="1:16">
      <c r="A2551" s="132">
        <v>2550</v>
      </c>
      <c r="B2551" s="36" t="s">
        <v>28385</v>
      </c>
      <c r="C2551" s="36" t="s">
        <v>28386</v>
      </c>
      <c r="D2551" s="36" t="s">
        <v>8957</v>
      </c>
      <c r="E2551" s="490" t="s">
        <v>34037</v>
      </c>
      <c r="F2551" s="490" t="s">
        <v>34038</v>
      </c>
      <c r="G2551" s="490" t="s">
        <v>34039</v>
      </c>
      <c r="H2551" s="490" t="s">
        <v>34040</v>
      </c>
      <c r="I2551" s="490" t="s">
        <v>34038</v>
      </c>
      <c r="J2551" s="490" t="s">
        <v>34041</v>
      </c>
      <c r="K2551" s="490" t="s">
        <v>34042</v>
      </c>
      <c r="L2551" s="490" t="s">
        <v>34043</v>
      </c>
      <c r="M2551" s="490" t="s">
        <v>34044</v>
      </c>
      <c r="N2551" s="490" t="s">
        <v>34044</v>
      </c>
      <c r="O2551" s="490" t="s">
        <v>34045</v>
      </c>
      <c r="P2551" s="36" t="s">
        <v>28385</v>
      </c>
    </row>
    <row r="2552" spans="1:16">
      <c r="A2552" s="132">
        <v>2551</v>
      </c>
      <c r="B2552" s="36" t="s">
        <v>28387</v>
      </c>
      <c r="C2552" s="36" t="s">
        <v>28386</v>
      </c>
      <c r="D2552" s="36" t="s">
        <v>28388</v>
      </c>
      <c r="E2552" s="490" t="s">
        <v>34046</v>
      </c>
      <c r="F2552" s="490" t="s">
        <v>34047</v>
      </c>
      <c r="G2552" s="490" t="s">
        <v>34048</v>
      </c>
      <c r="H2552" s="490" t="s">
        <v>34049</v>
      </c>
      <c r="I2552" s="490" t="s">
        <v>34047</v>
      </c>
      <c r="J2552" s="490" t="s">
        <v>34050</v>
      </c>
      <c r="K2552" s="490" t="s">
        <v>34051</v>
      </c>
      <c r="L2552" s="490" t="s">
        <v>34052</v>
      </c>
      <c r="M2552" s="490" t="s">
        <v>34052</v>
      </c>
      <c r="N2552" s="490" t="s">
        <v>34052</v>
      </c>
      <c r="O2552" s="490" t="s">
        <v>34053</v>
      </c>
      <c r="P2552" s="36" t="s">
        <v>28387</v>
      </c>
    </row>
    <row r="2553" spans="1:16">
      <c r="A2553" s="132">
        <v>2552</v>
      </c>
      <c r="B2553" s="36" t="s">
        <v>28389</v>
      </c>
      <c r="C2553" s="36" t="s">
        <v>28390</v>
      </c>
      <c r="D2553" s="36" t="s">
        <v>28391</v>
      </c>
      <c r="E2553" s="490" t="s">
        <v>34054</v>
      </c>
      <c r="F2553" s="490" t="s">
        <v>34055</v>
      </c>
      <c r="G2553" s="490" t="s">
        <v>34056</v>
      </c>
      <c r="H2553" s="490" t="s">
        <v>34057</v>
      </c>
      <c r="I2553" s="490" t="s">
        <v>34055</v>
      </c>
      <c r="J2553" s="490" t="s">
        <v>34058</v>
      </c>
      <c r="K2553" s="490" t="s">
        <v>34059</v>
      </c>
      <c r="L2553" s="490" t="s">
        <v>34060</v>
      </c>
      <c r="M2553" s="490" t="s">
        <v>34061</v>
      </c>
      <c r="N2553" s="490" t="s">
        <v>34062</v>
      </c>
      <c r="O2553" s="490" t="s">
        <v>34063</v>
      </c>
      <c r="P2553" s="36" t="s">
        <v>28389</v>
      </c>
    </row>
    <row r="2554" spans="1:16">
      <c r="A2554" s="132">
        <v>2553</v>
      </c>
      <c r="B2554" s="36" t="s">
        <v>28392</v>
      </c>
      <c r="C2554" s="36" t="s">
        <v>28393</v>
      </c>
      <c r="D2554" s="491" t="s">
        <v>34064</v>
      </c>
      <c r="E2554" s="490" t="s">
        <v>34065</v>
      </c>
      <c r="F2554" s="490" t="s">
        <v>34066</v>
      </c>
      <c r="G2554" s="490" t="s">
        <v>34067</v>
      </c>
      <c r="H2554" s="490" t="s">
        <v>34068</v>
      </c>
      <c r="I2554" s="490" t="s">
        <v>34069</v>
      </c>
      <c r="J2554" s="490" t="s">
        <v>34070</v>
      </c>
      <c r="K2554" s="490" t="s">
        <v>34071</v>
      </c>
      <c r="L2554" s="490" t="s">
        <v>34072</v>
      </c>
      <c r="M2554" s="490" t="s">
        <v>28392</v>
      </c>
      <c r="N2554" s="490" t="s">
        <v>28392</v>
      </c>
      <c r="O2554" s="490" t="s">
        <v>34073</v>
      </c>
      <c r="P2554" s="36" t="s">
        <v>28392</v>
      </c>
    </row>
    <row r="2555" spans="1:16">
      <c r="A2555" s="132">
        <v>2554</v>
      </c>
      <c r="B2555" s="36" t="s">
        <v>28394</v>
      </c>
      <c r="C2555" s="36" t="s">
        <v>28395</v>
      </c>
      <c r="D2555" s="491" t="s">
        <v>34074</v>
      </c>
      <c r="E2555" s="490" t="s">
        <v>34075</v>
      </c>
      <c r="F2555" s="490" t="s">
        <v>34076</v>
      </c>
      <c r="G2555" s="490" t="s">
        <v>34077</v>
      </c>
      <c r="H2555" s="490" t="s">
        <v>34078</v>
      </c>
      <c r="I2555" s="490" t="s">
        <v>34076</v>
      </c>
      <c r="J2555" s="490" t="s">
        <v>34079</v>
      </c>
      <c r="K2555" s="490" t="s">
        <v>34080</v>
      </c>
      <c r="L2555" s="490" t="s">
        <v>34081</v>
      </c>
      <c r="M2555" s="490" t="s">
        <v>34081</v>
      </c>
      <c r="N2555" s="490" t="s">
        <v>34081</v>
      </c>
      <c r="O2555" s="490" t="s">
        <v>34082</v>
      </c>
      <c r="P2555" s="36" t="s">
        <v>28394</v>
      </c>
    </row>
    <row r="2556" spans="1:16">
      <c r="A2556" s="132">
        <v>2555</v>
      </c>
      <c r="B2556" s="36" t="s">
        <v>28396</v>
      </c>
      <c r="C2556" s="36" t="s">
        <v>28397</v>
      </c>
      <c r="D2556" s="36" t="s">
        <v>28398</v>
      </c>
      <c r="E2556" s="490" t="s">
        <v>34083</v>
      </c>
      <c r="F2556" s="490" t="s">
        <v>34084</v>
      </c>
      <c r="G2556" s="490" t="s">
        <v>34085</v>
      </c>
      <c r="H2556" s="490" t="s">
        <v>34086</v>
      </c>
      <c r="I2556" s="490" t="s">
        <v>34087</v>
      </c>
      <c r="J2556" s="490" t="s">
        <v>34088</v>
      </c>
      <c r="K2556" s="490" t="s">
        <v>34089</v>
      </c>
      <c r="L2556" s="490" t="s">
        <v>34090</v>
      </c>
      <c r="M2556" s="490" t="s">
        <v>34091</v>
      </c>
      <c r="N2556" s="490" t="s">
        <v>34092</v>
      </c>
      <c r="O2556" s="490" t="s">
        <v>34093</v>
      </c>
      <c r="P2556" s="36" t="s">
        <v>28396</v>
      </c>
    </row>
    <row r="2557" spans="1:16">
      <c r="A2557" s="132">
        <v>2556</v>
      </c>
      <c r="B2557" s="36" t="s">
        <v>28399</v>
      </c>
      <c r="C2557" s="36" t="s">
        <v>28400</v>
      </c>
      <c r="D2557" s="36" t="s">
        <v>28401</v>
      </c>
      <c r="E2557" s="490" t="s">
        <v>22765</v>
      </c>
      <c r="F2557" s="490" t="s">
        <v>34094</v>
      </c>
      <c r="G2557" s="490" t="s">
        <v>34095</v>
      </c>
      <c r="H2557" s="490" t="s">
        <v>34096</v>
      </c>
      <c r="I2557" s="490" t="s">
        <v>34097</v>
      </c>
      <c r="J2557" s="490" t="s">
        <v>34098</v>
      </c>
      <c r="K2557" s="490" t="s">
        <v>34099</v>
      </c>
      <c r="L2557" s="490" t="s">
        <v>34100</v>
      </c>
      <c r="M2557" s="490" t="s">
        <v>34100</v>
      </c>
      <c r="N2557" s="490" t="s">
        <v>34101</v>
      </c>
      <c r="O2557" s="490" t="s">
        <v>34102</v>
      </c>
      <c r="P2557" s="36" t="s">
        <v>28399</v>
      </c>
    </row>
    <row r="2558" spans="1:16">
      <c r="A2558" s="132">
        <v>2557</v>
      </c>
      <c r="B2558" s="36" t="s">
        <v>28402</v>
      </c>
      <c r="C2558" s="36" t="s">
        <v>28403</v>
      </c>
      <c r="D2558" s="36" t="s">
        <v>28404</v>
      </c>
      <c r="E2558" s="490" t="s">
        <v>34103</v>
      </c>
      <c r="F2558" s="490" t="s">
        <v>34104</v>
      </c>
      <c r="G2558" s="490" t="s">
        <v>34105</v>
      </c>
      <c r="H2558" s="490" t="s">
        <v>34106</v>
      </c>
      <c r="I2558" s="490" t="s">
        <v>34107</v>
      </c>
      <c r="J2558" s="490" t="s">
        <v>34108</v>
      </c>
      <c r="K2558" s="490" t="s">
        <v>34109</v>
      </c>
      <c r="L2558" s="490" t="s">
        <v>34110</v>
      </c>
      <c r="M2558" s="490" t="s">
        <v>34111</v>
      </c>
      <c r="N2558" s="490" t="s">
        <v>34112</v>
      </c>
      <c r="O2558" s="490" t="s">
        <v>34113</v>
      </c>
      <c r="P2558" s="36" t="s">
        <v>28402</v>
      </c>
    </row>
    <row r="2559" spans="1:16">
      <c r="A2559" s="132">
        <v>2558</v>
      </c>
      <c r="B2559" s="36" t="s">
        <v>28405</v>
      </c>
      <c r="C2559" s="36" t="s">
        <v>28406</v>
      </c>
      <c r="D2559" s="36" t="s">
        <v>28407</v>
      </c>
      <c r="E2559" s="490" t="s">
        <v>34114</v>
      </c>
      <c r="F2559" s="490" t="s">
        <v>34115</v>
      </c>
      <c r="G2559" s="490" t="s">
        <v>34116</v>
      </c>
      <c r="H2559" s="490" t="s">
        <v>34117</v>
      </c>
      <c r="I2559" s="490" t="s">
        <v>34118</v>
      </c>
      <c r="J2559" s="490" t="s">
        <v>34119</v>
      </c>
      <c r="K2559" s="490" t="s">
        <v>34120</v>
      </c>
      <c r="L2559" s="490" t="s">
        <v>34121</v>
      </c>
      <c r="M2559" s="490" t="s">
        <v>34122</v>
      </c>
      <c r="N2559" s="490" t="s">
        <v>34123</v>
      </c>
      <c r="O2559" s="490" t="s">
        <v>34124</v>
      </c>
      <c r="P2559" s="36" t="s">
        <v>28405</v>
      </c>
    </row>
    <row r="2560" spans="1:16">
      <c r="A2560" s="132">
        <v>2559</v>
      </c>
      <c r="B2560" s="36" t="s">
        <v>28408</v>
      </c>
      <c r="C2560" s="36" t="s">
        <v>28409</v>
      </c>
      <c r="D2560" s="36" t="s">
        <v>28410</v>
      </c>
      <c r="E2560" s="490" t="s">
        <v>34125</v>
      </c>
      <c r="F2560" s="490" t="s">
        <v>34126</v>
      </c>
      <c r="G2560" s="490" t="s">
        <v>34127</v>
      </c>
      <c r="H2560" s="490" t="s">
        <v>34128</v>
      </c>
      <c r="I2560" s="490" t="s">
        <v>34129</v>
      </c>
      <c r="J2560" s="490" t="s">
        <v>34130</v>
      </c>
      <c r="K2560" s="490" t="s">
        <v>34131</v>
      </c>
      <c r="L2560" s="490" t="s">
        <v>34132</v>
      </c>
      <c r="M2560" s="490" t="s">
        <v>34133</v>
      </c>
      <c r="N2560" s="490" t="s">
        <v>34134</v>
      </c>
      <c r="O2560" s="490" t="s">
        <v>34135</v>
      </c>
      <c r="P2560" s="36" t="s">
        <v>28408</v>
      </c>
    </row>
    <row r="2561" spans="1:16">
      <c r="A2561" s="132">
        <v>2560</v>
      </c>
      <c r="B2561" s="36" t="s">
        <v>28411</v>
      </c>
      <c r="C2561" s="36" t="s">
        <v>28412</v>
      </c>
      <c r="D2561" s="36" t="s">
        <v>28413</v>
      </c>
      <c r="E2561" s="490" t="s">
        <v>34136</v>
      </c>
      <c r="F2561" s="490" t="s">
        <v>34137</v>
      </c>
      <c r="G2561" s="490" t="s">
        <v>34138</v>
      </c>
      <c r="H2561" s="490" t="s">
        <v>34139</v>
      </c>
      <c r="I2561" s="490" t="s">
        <v>34140</v>
      </c>
      <c r="J2561" s="490" t="s">
        <v>34141</v>
      </c>
      <c r="K2561" s="490" t="s">
        <v>34142</v>
      </c>
      <c r="L2561" s="490" t="s">
        <v>34143</v>
      </c>
      <c r="M2561" s="490" t="s">
        <v>34144</v>
      </c>
      <c r="N2561" s="490" t="s">
        <v>34145</v>
      </c>
      <c r="O2561" s="490" t="s">
        <v>34146</v>
      </c>
      <c r="P2561" s="36" t="s">
        <v>28411</v>
      </c>
    </row>
    <row r="2562" spans="1:16">
      <c r="A2562" s="132">
        <v>2561</v>
      </c>
      <c r="B2562" s="36" t="s">
        <v>28414</v>
      </c>
      <c r="C2562" s="36" t="s">
        <v>28415</v>
      </c>
      <c r="D2562" s="491" t="s">
        <v>34147</v>
      </c>
      <c r="E2562" s="490" t="s">
        <v>34148</v>
      </c>
      <c r="F2562" s="490" t="s">
        <v>34149</v>
      </c>
      <c r="G2562" s="490" t="s">
        <v>34150</v>
      </c>
      <c r="H2562" s="490" t="s">
        <v>34151</v>
      </c>
      <c r="I2562" s="490" t="s">
        <v>34149</v>
      </c>
      <c r="J2562" s="490" t="s">
        <v>34152</v>
      </c>
      <c r="K2562" s="490" t="s">
        <v>34153</v>
      </c>
      <c r="L2562" s="490" t="s">
        <v>34154</v>
      </c>
      <c r="M2562" s="490" t="s">
        <v>28414</v>
      </c>
      <c r="N2562" s="490" t="s">
        <v>28414</v>
      </c>
      <c r="O2562" s="490" t="s">
        <v>34155</v>
      </c>
      <c r="P2562" s="36" t="s">
        <v>28414</v>
      </c>
    </row>
    <row r="2563" spans="1:16">
      <c r="A2563" s="132">
        <v>2562</v>
      </c>
      <c r="B2563" s="36" t="s">
        <v>28416</v>
      </c>
      <c r="C2563" s="36" t="s">
        <v>28417</v>
      </c>
      <c r="D2563" s="36" t="s">
        <v>28418</v>
      </c>
      <c r="E2563" s="490" t="s">
        <v>34156</v>
      </c>
      <c r="F2563" s="490" t="s">
        <v>34157</v>
      </c>
      <c r="G2563" s="490" t="s">
        <v>34158</v>
      </c>
      <c r="H2563" s="490" t="s">
        <v>34159</v>
      </c>
      <c r="I2563" s="490" t="s">
        <v>34157</v>
      </c>
      <c r="J2563" s="490" t="s">
        <v>34160</v>
      </c>
      <c r="K2563" s="490" t="s">
        <v>34161</v>
      </c>
      <c r="L2563" s="490" t="s">
        <v>34162</v>
      </c>
      <c r="M2563" s="490" t="s">
        <v>34163</v>
      </c>
      <c r="N2563" s="490" t="s">
        <v>34163</v>
      </c>
      <c r="O2563" s="490" t="s">
        <v>34164</v>
      </c>
      <c r="P2563" s="36" t="s">
        <v>28416</v>
      </c>
    </row>
    <row r="2564" spans="1:16">
      <c r="A2564" s="132">
        <v>2563</v>
      </c>
      <c r="B2564" s="36" t="s">
        <v>28419</v>
      </c>
      <c r="C2564" s="36" t="s">
        <v>28420</v>
      </c>
      <c r="D2564" s="36" t="s">
        <v>28421</v>
      </c>
      <c r="E2564" s="490" t="s">
        <v>34165</v>
      </c>
      <c r="F2564" s="490" t="s">
        <v>34166</v>
      </c>
      <c r="G2564" s="490" t="s">
        <v>34167</v>
      </c>
      <c r="H2564" s="490" t="s">
        <v>34168</v>
      </c>
      <c r="I2564" s="490" t="s">
        <v>34166</v>
      </c>
      <c r="J2564" s="490" t="s">
        <v>34169</v>
      </c>
      <c r="K2564" s="490" t="s">
        <v>34170</v>
      </c>
      <c r="L2564" s="490" t="s">
        <v>34166</v>
      </c>
      <c r="M2564" s="490" t="s">
        <v>34171</v>
      </c>
      <c r="N2564" s="490" t="s">
        <v>34166</v>
      </c>
      <c r="O2564" s="490" t="s">
        <v>34170</v>
      </c>
      <c r="P2564" s="36" t="s">
        <v>28419</v>
      </c>
    </row>
    <row r="2565" spans="1:16">
      <c r="A2565" s="132">
        <v>2564</v>
      </c>
      <c r="B2565" s="36" t="s">
        <v>28422</v>
      </c>
      <c r="C2565" s="36" t="s">
        <v>28423</v>
      </c>
      <c r="D2565" s="36" t="s">
        <v>28424</v>
      </c>
      <c r="E2565" s="490" t="s">
        <v>34172</v>
      </c>
      <c r="F2565" s="490" t="s">
        <v>34173</v>
      </c>
      <c r="G2565" s="490" t="s">
        <v>34174</v>
      </c>
      <c r="H2565" s="490" t="s">
        <v>34175</v>
      </c>
      <c r="I2565" s="490" t="s">
        <v>34176</v>
      </c>
      <c r="J2565" s="490" t="s">
        <v>34177</v>
      </c>
      <c r="K2565" s="490" t="s">
        <v>34178</v>
      </c>
      <c r="L2565" s="490" t="s">
        <v>34179</v>
      </c>
      <c r="M2565" s="490" t="s">
        <v>34180</v>
      </c>
      <c r="N2565" s="490" t="s">
        <v>34180</v>
      </c>
      <c r="O2565" s="490" t="s">
        <v>34181</v>
      </c>
      <c r="P2565" s="36" t="s">
        <v>28422</v>
      </c>
    </row>
    <row r="2566" spans="1:16">
      <c r="A2566" s="132">
        <v>2565</v>
      </c>
      <c r="B2566" s="36" t="s">
        <v>28425</v>
      </c>
      <c r="C2566" s="36" t="s">
        <v>28426</v>
      </c>
      <c r="D2566" s="490" t="s">
        <v>34182</v>
      </c>
      <c r="E2566" s="490" t="s">
        <v>34183</v>
      </c>
      <c r="F2566" s="490" t="s">
        <v>34184</v>
      </c>
      <c r="G2566" s="490" t="s">
        <v>34185</v>
      </c>
      <c r="H2566" s="490" t="s">
        <v>34186</v>
      </c>
      <c r="I2566" s="490" t="s">
        <v>34187</v>
      </c>
      <c r="J2566" s="490" t="s">
        <v>34188</v>
      </c>
      <c r="K2566" s="490" t="s">
        <v>34189</v>
      </c>
      <c r="L2566" s="490" t="s">
        <v>34190</v>
      </c>
      <c r="M2566" s="490" t="s">
        <v>34191</v>
      </c>
      <c r="N2566" s="490" t="s">
        <v>34192</v>
      </c>
      <c r="O2566" s="490" t="s">
        <v>34193</v>
      </c>
      <c r="P2566" s="36" t="s">
        <v>28425</v>
      </c>
    </row>
    <row r="2567" spans="1:16">
      <c r="A2567" s="132">
        <v>2566</v>
      </c>
      <c r="B2567" s="36" t="s">
        <v>28427</v>
      </c>
      <c r="C2567" s="36" t="s">
        <v>28428</v>
      </c>
      <c r="D2567" s="36" t="s">
        <v>24434</v>
      </c>
      <c r="E2567" s="490" t="s">
        <v>34194</v>
      </c>
      <c r="F2567" s="490" t="s">
        <v>34195</v>
      </c>
      <c r="G2567" s="490" t="s">
        <v>34196</v>
      </c>
      <c r="H2567" s="490" t="s">
        <v>34197</v>
      </c>
      <c r="I2567" s="490" t="s">
        <v>34198</v>
      </c>
      <c r="J2567" s="490" t="s">
        <v>24440</v>
      </c>
      <c r="K2567" s="490" t="s">
        <v>34199</v>
      </c>
      <c r="L2567" s="490" t="s">
        <v>34200</v>
      </c>
      <c r="M2567" s="490" t="s">
        <v>34201</v>
      </c>
      <c r="N2567" s="490" t="s">
        <v>34202</v>
      </c>
      <c r="O2567" s="490" t="s">
        <v>34203</v>
      </c>
      <c r="P2567" s="36" t="s">
        <v>28427</v>
      </c>
    </row>
    <row r="2568" spans="1:16">
      <c r="A2568" s="132">
        <v>2567</v>
      </c>
      <c r="B2568" s="36" t="s">
        <v>28429</v>
      </c>
      <c r="C2568" s="36" t="s">
        <v>28430</v>
      </c>
      <c r="D2568" s="491" t="s">
        <v>34204</v>
      </c>
      <c r="E2568" s="490" t="s">
        <v>34205</v>
      </c>
      <c r="F2568" s="490" t="s">
        <v>34206</v>
      </c>
      <c r="G2568" s="490" t="s">
        <v>34207</v>
      </c>
      <c r="H2568" s="490" t="s">
        <v>34208</v>
      </c>
      <c r="I2568" s="490" t="s">
        <v>34209</v>
      </c>
      <c r="J2568" s="490" t="s">
        <v>34210</v>
      </c>
      <c r="K2568" s="490" t="s">
        <v>34211</v>
      </c>
      <c r="L2568" s="490" t="s">
        <v>34212</v>
      </c>
      <c r="M2568" s="490" t="s">
        <v>34213</v>
      </c>
      <c r="N2568" s="490" t="s">
        <v>34214</v>
      </c>
      <c r="O2568" s="490" t="s">
        <v>34211</v>
      </c>
      <c r="P2568" s="36" t="s">
        <v>28429</v>
      </c>
    </row>
    <row r="2569" spans="1:16">
      <c r="A2569" s="132">
        <v>2568</v>
      </c>
      <c r="B2569" s="36" t="s">
        <v>28431</v>
      </c>
      <c r="C2569" s="36" t="s">
        <v>28432</v>
      </c>
      <c r="D2569" s="491" t="s">
        <v>34215</v>
      </c>
      <c r="E2569" s="490" t="s">
        <v>34216</v>
      </c>
      <c r="F2569" s="490" t="s">
        <v>34217</v>
      </c>
      <c r="G2569" s="490" t="s">
        <v>34218</v>
      </c>
      <c r="H2569" s="490" t="s">
        <v>34219</v>
      </c>
      <c r="I2569" s="490" t="s">
        <v>34220</v>
      </c>
      <c r="J2569" s="490" t="s">
        <v>34221</v>
      </c>
      <c r="K2569" s="490" t="s">
        <v>34222</v>
      </c>
      <c r="L2569" s="490" t="s">
        <v>34223</v>
      </c>
      <c r="M2569" s="490" t="s">
        <v>34224</v>
      </c>
      <c r="N2569" s="490" t="s">
        <v>34225</v>
      </c>
      <c r="O2569" s="490" t="s">
        <v>34226</v>
      </c>
      <c r="P2569" s="36" t="s">
        <v>28431</v>
      </c>
    </row>
    <row r="2570" spans="1:16">
      <c r="A2570" s="132">
        <v>2569</v>
      </c>
      <c r="B2570" s="36" t="s">
        <v>28433</v>
      </c>
      <c r="C2570" s="36" t="s">
        <v>28434</v>
      </c>
      <c r="D2570" s="36" t="s">
        <v>28435</v>
      </c>
      <c r="E2570" s="490" t="s">
        <v>34227</v>
      </c>
      <c r="F2570" s="490" t="s">
        <v>34228</v>
      </c>
      <c r="G2570" s="490" t="s">
        <v>34229</v>
      </c>
      <c r="H2570" s="490" t="s">
        <v>34230</v>
      </c>
      <c r="I2570" s="490" t="s">
        <v>34231</v>
      </c>
      <c r="J2570" s="490" t="s">
        <v>34232</v>
      </c>
      <c r="K2570" s="490" t="s">
        <v>34233</v>
      </c>
      <c r="L2570" s="490" t="s">
        <v>34234</v>
      </c>
      <c r="M2570" s="490" t="s">
        <v>34235</v>
      </c>
      <c r="N2570" s="490" t="s">
        <v>34235</v>
      </c>
      <c r="O2570" s="490" t="s">
        <v>34236</v>
      </c>
      <c r="P2570" s="36" t="s">
        <v>28433</v>
      </c>
    </row>
    <row r="2571" spans="1:16">
      <c r="A2571" s="132">
        <v>2570</v>
      </c>
      <c r="B2571" s="36" t="s">
        <v>28436</v>
      </c>
      <c r="C2571" s="36" t="s">
        <v>28437</v>
      </c>
      <c r="D2571" s="36" t="s">
        <v>28438</v>
      </c>
      <c r="E2571" s="490" t="s">
        <v>34237</v>
      </c>
      <c r="F2571" s="490" t="s">
        <v>34238</v>
      </c>
      <c r="G2571" s="490" t="s">
        <v>34239</v>
      </c>
      <c r="H2571" s="490" t="s">
        <v>34240</v>
      </c>
      <c r="I2571" s="490" t="s">
        <v>34241</v>
      </c>
      <c r="J2571" s="490" t="s">
        <v>34242</v>
      </c>
      <c r="K2571" s="490" t="s">
        <v>34243</v>
      </c>
      <c r="L2571" s="490" t="s">
        <v>34244</v>
      </c>
      <c r="M2571" s="490" t="s">
        <v>34245</v>
      </c>
      <c r="N2571" s="490" t="s">
        <v>34246</v>
      </c>
      <c r="O2571" s="490" t="s">
        <v>34247</v>
      </c>
      <c r="P2571" s="36" t="s">
        <v>28436</v>
      </c>
    </row>
    <row r="2572" spans="1:16">
      <c r="A2572" s="132">
        <v>2571</v>
      </c>
      <c r="B2572" s="36" t="s">
        <v>28439</v>
      </c>
      <c r="C2572" s="36" t="s">
        <v>28440</v>
      </c>
      <c r="D2572" s="36" t="s">
        <v>28441</v>
      </c>
      <c r="E2572" s="490" t="s">
        <v>34248</v>
      </c>
      <c r="F2572" s="490" t="s">
        <v>34249</v>
      </c>
      <c r="G2572" s="490" t="s">
        <v>34250</v>
      </c>
      <c r="H2572" s="490" t="s">
        <v>34251</v>
      </c>
      <c r="I2572" s="490" t="s">
        <v>34252</v>
      </c>
      <c r="J2572" s="490" t="s">
        <v>34253</v>
      </c>
      <c r="K2572" s="490" t="s">
        <v>34254</v>
      </c>
      <c r="L2572" s="490" t="s">
        <v>34255</v>
      </c>
      <c r="M2572" s="490" t="s">
        <v>34256</v>
      </c>
      <c r="N2572" s="490" t="s">
        <v>34257</v>
      </c>
      <c r="O2572" s="490" t="s">
        <v>34258</v>
      </c>
      <c r="P2572" s="36" t="s">
        <v>28439</v>
      </c>
    </row>
    <row r="2573" spans="1:16">
      <c r="A2573" s="132">
        <v>2572</v>
      </c>
      <c r="B2573" s="36" t="s">
        <v>28442</v>
      </c>
      <c r="C2573" s="36" t="s">
        <v>28443</v>
      </c>
      <c r="D2573" s="36" t="s">
        <v>28444</v>
      </c>
      <c r="E2573" s="490" t="s">
        <v>34259</v>
      </c>
      <c r="F2573" s="490" t="s">
        <v>34260</v>
      </c>
      <c r="G2573" s="490" t="s">
        <v>34261</v>
      </c>
      <c r="H2573" s="490" t="s">
        <v>34262</v>
      </c>
      <c r="I2573" s="490" t="s">
        <v>34263</v>
      </c>
      <c r="J2573" s="490" t="s">
        <v>34264</v>
      </c>
      <c r="K2573" s="490" t="s">
        <v>34265</v>
      </c>
      <c r="L2573" s="490" t="s">
        <v>34266</v>
      </c>
      <c r="M2573" s="490" t="s">
        <v>34267</v>
      </c>
      <c r="N2573" s="490" t="s">
        <v>34267</v>
      </c>
      <c r="O2573" s="490" t="s">
        <v>34268</v>
      </c>
      <c r="P2573" s="36" t="s">
        <v>28442</v>
      </c>
    </row>
    <row r="2574" spans="1:16">
      <c r="A2574" s="132">
        <v>2573</v>
      </c>
      <c r="B2574" s="36" t="s">
        <v>28445</v>
      </c>
      <c r="C2574" s="36" t="s">
        <v>28283</v>
      </c>
      <c r="D2574" s="36" t="s">
        <v>28446</v>
      </c>
      <c r="E2574" s="490" t="s">
        <v>33633</v>
      </c>
      <c r="F2574" s="490" t="s">
        <v>33634</v>
      </c>
      <c r="G2574" s="490" t="s">
        <v>33635</v>
      </c>
      <c r="H2574" s="490" t="s">
        <v>33636</v>
      </c>
      <c r="I2574" s="490" t="s">
        <v>33637</v>
      </c>
      <c r="J2574" s="490" t="s">
        <v>33638</v>
      </c>
      <c r="K2574" s="490" t="s">
        <v>33639</v>
      </c>
      <c r="L2574" s="490" t="s">
        <v>33640</v>
      </c>
      <c r="M2574" s="490" t="s">
        <v>33641</v>
      </c>
      <c r="N2574" s="490" t="s">
        <v>33642</v>
      </c>
      <c r="O2574" s="490" t="s">
        <v>34269</v>
      </c>
      <c r="P2574" s="36" t="s">
        <v>28445</v>
      </c>
    </row>
    <row r="2575" spans="1:16">
      <c r="A2575" s="132">
        <v>2574</v>
      </c>
      <c r="B2575" s="36" t="s">
        <v>28447</v>
      </c>
      <c r="C2575" s="36" t="s">
        <v>28448</v>
      </c>
      <c r="D2575" s="490" t="s">
        <v>34270</v>
      </c>
      <c r="E2575" s="490" t="s">
        <v>34271</v>
      </c>
      <c r="F2575" s="490" t="s">
        <v>34272</v>
      </c>
      <c r="G2575" s="490" t="s">
        <v>34273</v>
      </c>
      <c r="H2575" s="490" t="s">
        <v>34274</v>
      </c>
      <c r="I2575" s="490" t="s">
        <v>34272</v>
      </c>
      <c r="J2575" s="490" t="s">
        <v>34275</v>
      </c>
      <c r="K2575" s="490" t="s">
        <v>34276</v>
      </c>
      <c r="L2575" s="490" t="s">
        <v>34277</v>
      </c>
      <c r="M2575" s="490" t="s">
        <v>34278</v>
      </c>
      <c r="N2575" s="490" t="s">
        <v>34278</v>
      </c>
      <c r="O2575" s="490" t="s">
        <v>34279</v>
      </c>
      <c r="P2575" s="36" t="s">
        <v>28447</v>
      </c>
    </row>
    <row r="2576" spans="1:16">
      <c r="A2576" s="132">
        <v>2575</v>
      </c>
      <c r="B2576" s="36" t="s">
        <v>28449</v>
      </c>
      <c r="C2576" s="36" t="s">
        <v>28450</v>
      </c>
      <c r="D2576" s="490" t="s">
        <v>34280</v>
      </c>
      <c r="E2576" s="490" t="s">
        <v>34281</v>
      </c>
      <c r="F2576" s="490" t="s">
        <v>34282</v>
      </c>
      <c r="G2576" s="490" t="s">
        <v>34283</v>
      </c>
      <c r="H2576" s="490" t="s">
        <v>34284</v>
      </c>
      <c r="I2576" s="490" t="s">
        <v>34282</v>
      </c>
      <c r="J2576" s="490" t="s">
        <v>34285</v>
      </c>
      <c r="K2576" s="490" t="s">
        <v>34286</v>
      </c>
      <c r="L2576" s="490" t="s">
        <v>34287</v>
      </c>
      <c r="M2576" s="490" t="s">
        <v>34285</v>
      </c>
      <c r="N2576" s="490" t="s">
        <v>34285</v>
      </c>
      <c r="O2576" s="490" t="s">
        <v>34288</v>
      </c>
      <c r="P2576" s="36" t="s">
        <v>28449</v>
      </c>
    </row>
    <row r="2577" spans="1:16">
      <c r="A2577" s="132">
        <v>2576</v>
      </c>
      <c r="B2577" s="36" t="s">
        <v>28451</v>
      </c>
      <c r="C2577" s="36" t="s">
        <v>28452</v>
      </c>
      <c r="D2577" s="490" t="s">
        <v>34289</v>
      </c>
      <c r="E2577" s="490" t="s">
        <v>34290</v>
      </c>
      <c r="F2577" s="490" t="s">
        <v>34291</v>
      </c>
      <c r="G2577" s="490" t="s">
        <v>34292</v>
      </c>
      <c r="H2577" s="490" t="s">
        <v>34293</v>
      </c>
      <c r="I2577" s="490" t="s">
        <v>34294</v>
      </c>
      <c r="J2577" s="490" t="s">
        <v>34295</v>
      </c>
      <c r="K2577" s="490" t="s">
        <v>34296</v>
      </c>
      <c r="L2577" s="490" t="s">
        <v>34297</v>
      </c>
      <c r="M2577" s="490" t="s">
        <v>34298</v>
      </c>
      <c r="N2577" s="490" t="s">
        <v>34298</v>
      </c>
      <c r="O2577" s="490" t="s">
        <v>34299</v>
      </c>
      <c r="P2577" s="36" t="s">
        <v>28451</v>
      </c>
    </row>
    <row r="2578" spans="1:16">
      <c r="A2578" s="132">
        <v>2577</v>
      </c>
      <c r="B2578" s="36" t="s">
        <v>28453</v>
      </c>
      <c r="C2578" s="36" t="s">
        <v>28454</v>
      </c>
      <c r="D2578" s="36" t="s">
        <v>28455</v>
      </c>
      <c r="E2578" s="490" t="s">
        <v>34300</v>
      </c>
      <c r="F2578" s="490" t="s">
        <v>34301</v>
      </c>
      <c r="G2578" s="490" t="s">
        <v>34302</v>
      </c>
      <c r="H2578" s="490" t="s">
        <v>34303</v>
      </c>
      <c r="I2578" s="490" t="s">
        <v>34304</v>
      </c>
      <c r="J2578" s="490" t="s">
        <v>34305</v>
      </c>
      <c r="K2578" s="490" t="s">
        <v>34306</v>
      </c>
      <c r="L2578" s="490" t="s">
        <v>34307</v>
      </c>
      <c r="M2578" s="490" t="s">
        <v>34308</v>
      </c>
      <c r="N2578" s="490" t="s">
        <v>34309</v>
      </c>
      <c r="O2578" s="490" t="s">
        <v>34310</v>
      </c>
      <c r="P2578" s="36" t="s">
        <v>28453</v>
      </c>
    </row>
    <row r="2579" spans="1:16">
      <c r="A2579" s="132">
        <v>2578</v>
      </c>
      <c r="B2579" s="36" t="s">
        <v>28456</v>
      </c>
      <c r="C2579" s="36" t="s">
        <v>28457</v>
      </c>
      <c r="D2579" s="491" t="s">
        <v>34311</v>
      </c>
      <c r="E2579" s="490" t="s">
        <v>34312</v>
      </c>
      <c r="F2579" s="490" t="s">
        <v>34313</v>
      </c>
      <c r="G2579" s="490" t="s">
        <v>34314</v>
      </c>
      <c r="H2579" s="490" t="s">
        <v>34315</v>
      </c>
      <c r="I2579" s="490" t="s">
        <v>34316</v>
      </c>
      <c r="J2579" s="490" t="s">
        <v>34317</v>
      </c>
      <c r="K2579" s="490" t="s">
        <v>34318</v>
      </c>
      <c r="L2579" s="490" t="s">
        <v>34319</v>
      </c>
      <c r="M2579" s="490" t="s">
        <v>34320</v>
      </c>
      <c r="N2579" s="490" t="s">
        <v>34321</v>
      </c>
      <c r="O2579" s="490" t="s">
        <v>34322</v>
      </c>
      <c r="P2579" s="36" t="s">
        <v>28456</v>
      </c>
    </row>
    <row r="2580" spans="1:16">
      <c r="A2580" s="132">
        <v>2579</v>
      </c>
      <c r="B2580" s="36" t="s">
        <v>28458</v>
      </c>
      <c r="C2580" s="36" t="s">
        <v>28459</v>
      </c>
      <c r="D2580" s="491" t="s">
        <v>34323</v>
      </c>
      <c r="E2580" s="490" t="s">
        <v>34324</v>
      </c>
      <c r="F2580" s="490" t="s">
        <v>34325</v>
      </c>
      <c r="G2580" s="490" t="s">
        <v>34326</v>
      </c>
      <c r="H2580" s="490" t="s">
        <v>34327</v>
      </c>
      <c r="I2580" s="490" t="s">
        <v>34328</v>
      </c>
      <c r="J2580" s="490" t="s">
        <v>34329</v>
      </c>
      <c r="K2580" s="490" t="s">
        <v>34330</v>
      </c>
      <c r="L2580" s="490" t="s">
        <v>34331</v>
      </c>
      <c r="M2580" s="490" t="s">
        <v>34332</v>
      </c>
      <c r="N2580" s="490" t="s">
        <v>34333</v>
      </c>
      <c r="O2580" s="490" t="s">
        <v>34334</v>
      </c>
      <c r="P2580" s="36" t="s">
        <v>28458</v>
      </c>
    </row>
    <row r="2581" spans="1:16">
      <c r="A2581" s="132">
        <v>2580</v>
      </c>
      <c r="B2581" s="36" t="s">
        <v>28460</v>
      </c>
      <c r="C2581" s="36" t="s">
        <v>28460</v>
      </c>
      <c r="D2581" s="36" t="s">
        <v>28460</v>
      </c>
      <c r="E2581" s="36" t="s">
        <v>28460</v>
      </c>
      <c r="F2581" s="36" t="s">
        <v>28460</v>
      </c>
      <c r="G2581" s="36" t="s">
        <v>28460</v>
      </c>
      <c r="H2581" s="36" t="s">
        <v>28460</v>
      </c>
      <c r="I2581" s="36" t="s">
        <v>28460</v>
      </c>
      <c r="J2581" s="36" t="s">
        <v>28460</v>
      </c>
      <c r="K2581" s="36" t="s">
        <v>28460</v>
      </c>
      <c r="L2581" s="36" t="s">
        <v>28460</v>
      </c>
      <c r="M2581" s="36" t="s">
        <v>28460</v>
      </c>
      <c r="N2581" s="36" t="s">
        <v>28460</v>
      </c>
      <c r="O2581" s="36" t="s">
        <v>28460</v>
      </c>
      <c r="P2581" s="36" t="s">
        <v>28460</v>
      </c>
    </row>
    <row r="2582" spans="1:16">
      <c r="A2582" s="132">
        <v>2581</v>
      </c>
      <c r="B2582" s="36" t="s">
        <v>28461</v>
      </c>
      <c r="C2582" s="36" t="s">
        <v>28462</v>
      </c>
      <c r="D2582" s="36" t="s">
        <v>28463</v>
      </c>
      <c r="E2582" s="490" t="s">
        <v>34335</v>
      </c>
      <c r="F2582" s="490" t="s">
        <v>34336</v>
      </c>
      <c r="G2582" s="490" t="s">
        <v>34337</v>
      </c>
      <c r="H2582" s="490" t="s">
        <v>34338</v>
      </c>
      <c r="I2582" s="490" t="s">
        <v>34339</v>
      </c>
      <c r="J2582" s="490" t="s">
        <v>34340</v>
      </c>
      <c r="K2582" s="490" t="s">
        <v>34341</v>
      </c>
      <c r="L2582" s="490" t="s">
        <v>34342</v>
      </c>
      <c r="M2582" s="490" t="s">
        <v>34343</v>
      </c>
      <c r="N2582" s="490" t="s">
        <v>34344</v>
      </c>
      <c r="O2582" s="491" t="s">
        <v>34345</v>
      </c>
      <c r="P2582" s="36" t="s">
        <v>28461</v>
      </c>
    </row>
    <row r="2583" spans="1:16">
      <c r="A2583" s="132">
        <v>2582</v>
      </c>
      <c r="B2583" s="36" t="s">
        <v>28464</v>
      </c>
      <c r="C2583" s="36" t="s">
        <v>28465</v>
      </c>
      <c r="D2583" s="36" t="s">
        <v>28466</v>
      </c>
      <c r="E2583" s="490" t="s">
        <v>34346</v>
      </c>
      <c r="F2583" s="490" t="s">
        <v>34347</v>
      </c>
      <c r="G2583" s="490" t="s">
        <v>34348</v>
      </c>
      <c r="H2583" s="490" t="s">
        <v>34349</v>
      </c>
      <c r="I2583" s="490" t="s">
        <v>34350</v>
      </c>
      <c r="J2583" s="490" t="s">
        <v>34351</v>
      </c>
      <c r="K2583" s="490" t="s">
        <v>34352</v>
      </c>
      <c r="L2583" s="490" t="s">
        <v>34353</v>
      </c>
      <c r="M2583" s="490" t="s">
        <v>34354</v>
      </c>
      <c r="N2583" s="490" t="s">
        <v>34355</v>
      </c>
      <c r="O2583" s="491" t="s">
        <v>34356</v>
      </c>
      <c r="P2583" s="36" t="s">
        <v>28464</v>
      </c>
    </row>
    <row r="2584" spans="1:16">
      <c r="A2584" s="132">
        <v>2583</v>
      </c>
      <c r="B2584" s="36" t="s">
        <v>28467</v>
      </c>
      <c r="C2584" s="36" t="s">
        <v>28468</v>
      </c>
      <c r="D2584" s="490" t="s">
        <v>34357</v>
      </c>
      <c r="E2584" s="490" t="s">
        <v>34358</v>
      </c>
      <c r="F2584" s="490" t="s">
        <v>34359</v>
      </c>
      <c r="G2584" s="490" t="s">
        <v>34360</v>
      </c>
      <c r="H2584" s="490" t="s">
        <v>34361</v>
      </c>
      <c r="I2584" s="490" t="s">
        <v>34359</v>
      </c>
      <c r="J2584" s="490" t="s">
        <v>34362</v>
      </c>
      <c r="K2584" s="490" t="s">
        <v>34363</v>
      </c>
      <c r="L2584" s="490" t="s">
        <v>34364</v>
      </c>
      <c r="M2584" s="490" t="s">
        <v>34365</v>
      </c>
      <c r="N2584" s="490" t="s">
        <v>34366</v>
      </c>
      <c r="O2584" s="491" t="s">
        <v>34367</v>
      </c>
      <c r="P2584" s="36" t="s">
        <v>28467</v>
      </c>
    </row>
    <row r="2585" spans="1:16">
      <c r="A2585" s="132">
        <v>2584</v>
      </c>
      <c r="B2585" s="36" t="s">
        <v>28469</v>
      </c>
      <c r="C2585" s="36" t="s">
        <v>28470</v>
      </c>
      <c r="D2585" s="490" t="s">
        <v>34368</v>
      </c>
      <c r="E2585" s="490" t="s">
        <v>34369</v>
      </c>
      <c r="F2585" s="490" t="s">
        <v>34370</v>
      </c>
      <c r="G2585" s="490" t="s">
        <v>34371</v>
      </c>
      <c r="H2585" s="490" t="s">
        <v>34372</v>
      </c>
      <c r="I2585" s="490" t="s">
        <v>34373</v>
      </c>
      <c r="J2585" s="490" t="s">
        <v>34374</v>
      </c>
      <c r="K2585" s="490" t="s">
        <v>34375</v>
      </c>
      <c r="L2585" s="490" t="s">
        <v>34376</v>
      </c>
      <c r="M2585" s="490" t="s">
        <v>34377</v>
      </c>
      <c r="N2585" s="490" t="s">
        <v>34378</v>
      </c>
      <c r="O2585" s="491" t="s">
        <v>34379</v>
      </c>
      <c r="P2585" s="36" t="s">
        <v>28469</v>
      </c>
    </row>
    <row r="2586" spans="1:16">
      <c r="A2586" s="132">
        <v>2585</v>
      </c>
      <c r="B2586" s="36" t="s">
        <v>28471</v>
      </c>
      <c r="C2586" s="36" t="s">
        <v>28472</v>
      </c>
      <c r="D2586" s="36" t="s">
        <v>28473</v>
      </c>
      <c r="E2586" s="490" t="s">
        <v>34380</v>
      </c>
      <c r="F2586" s="490" t="s">
        <v>34381</v>
      </c>
      <c r="G2586" s="490" t="s">
        <v>34382</v>
      </c>
      <c r="H2586" s="490" t="s">
        <v>34383</v>
      </c>
      <c r="I2586" s="490" t="s">
        <v>34384</v>
      </c>
      <c r="J2586" s="490" t="s">
        <v>34385</v>
      </c>
      <c r="K2586" s="490" t="s">
        <v>34386</v>
      </c>
      <c r="L2586" s="490" t="s">
        <v>34387</v>
      </c>
      <c r="M2586" s="490" t="s">
        <v>34388</v>
      </c>
      <c r="N2586" s="490" t="s">
        <v>34388</v>
      </c>
      <c r="O2586" s="491" t="s">
        <v>34389</v>
      </c>
      <c r="P2586" s="36" t="s">
        <v>28471</v>
      </c>
    </row>
    <row r="2587" spans="1:16">
      <c r="A2587" s="132">
        <v>2586</v>
      </c>
      <c r="B2587" s="36" t="s">
        <v>28474</v>
      </c>
      <c r="C2587" s="36" t="s">
        <v>28475</v>
      </c>
      <c r="D2587" s="36" t="s">
        <v>28473</v>
      </c>
      <c r="E2587" s="490" t="s">
        <v>34390</v>
      </c>
      <c r="F2587" s="490" t="s">
        <v>34391</v>
      </c>
      <c r="G2587" s="490" t="s">
        <v>34392</v>
      </c>
      <c r="H2587" s="490" t="s">
        <v>34393</v>
      </c>
      <c r="I2587" s="490" t="s">
        <v>34394</v>
      </c>
      <c r="J2587" s="490" t="s">
        <v>34395</v>
      </c>
      <c r="K2587" s="490" t="s">
        <v>34396</v>
      </c>
      <c r="L2587" s="490" t="s">
        <v>34397</v>
      </c>
      <c r="M2587" s="490" t="s">
        <v>34388</v>
      </c>
      <c r="N2587" s="490" t="s">
        <v>34388</v>
      </c>
      <c r="O2587" s="491" t="s">
        <v>34398</v>
      </c>
      <c r="P2587" s="36" t="s">
        <v>28474</v>
      </c>
    </row>
    <row r="2588" spans="1:16">
      <c r="A2588" s="132">
        <v>2587</v>
      </c>
      <c r="B2588" s="36" t="s">
        <v>28476</v>
      </c>
      <c r="C2588" s="36" t="s">
        <v>28477</v>
      </c>
      <c r="D2588" s="36" t="s">
        <v>28478</v>
      </c>
      <c r="E2588" s="490" t="s">
        <v>34399</v>
      </c>
      <c r="F2588" s="490" t="s">
        <v>34400</v>
      </c>
      <c r="G2588" s="490" t="s">
        <v>34401</v>
      </c>
      <c r="H2588" s="490" t="s">
        <v>34402</v>
      </c>
      <c r="I2588" s="490" t="s">
        <v>34403</v>
      </c>
      <c r="J2588" s="490" t="s">
        <v>34404</v>
      </c>
      <c r="K2588" s="490" t="s">
        <v>34405</v>
      </c>
      <c r="L2588" s="490" t="s">
        <v>34406</v>
      </c>
      <c r="M2588" s="490" t="s">
        <v>34407</v>
      </c>
      <c r="N2588" s="490" t="s">
        <v>34408</v>
      </c>
      <c r="O2588" s="491" t="s">
        <v>34409</v>
      </c>
      <c r="P2588" s="36" t="s">
        <v>28476</v>
      </c>
    </row>
    <row r="2589" spans="1:16">
      <c r="A2589" s="132">
        <v>2588</v>
      </c>
      <c r="B2589" s="36" t="s">
        <v>28479</v>
      </c>
      <c r="C2589" s="36" t="s">
        <v>28480</v>
      </c>
      <c r="D2589" s="36" t="s">
        <v>28481</v>
      </c>
      <c r="E2589" s="490" t="s">
        <v>34410</v>
      </c>
      <c r="F2589" s="490" t="s">
        <v>34411</v>
      </c>
      <c r="G2589" s="490" t="s">
        <v>34412</v>
      </c>
      <c r="H2589" s="490" t="s">
        <v>34413</v>
      </c>
      <c r="I2589" s="490" t="s">
        <v>34411</v>
      </c>
      <c r="J2589" s="490" t="s">
        <v>34414</v>
      </c>
      <c r="K2589" s="490" t="s">
        <v>28479</v>
      </c>
      <c r="L2589" s="490" t="s">
        <v>28479</v>
      </c>
      <c r="M2589" s="490" t="s">
        <v>34410</v>
      </c>
      <c r="N2589" s="490" t="s">
        <v>34410</v>
      </c>
      <c r="O2589" s="491" t="s">
        <v>34415</v>
      </c>
      <c r="P2589" s="36" t="s">
        <v>28479</v>
      </c>
    </row>
    <row r="2590" spans="1:16">
      <c r="A2590" s="132">
        <v>2589</v>
      </c>
      <c r="B2590" s="36" t="s">
        <v>28482</v>
      </c>
      <c r="C2590" s="36" t="s">
        <v>28483</v>
      </c>
      <c r="D2590" s="36" t="s">
        <v>28484</v>
      </c>
      <c r="E2590" s="490" t="s">
        <v>34416</v>
      </c>
      <c r="F2590" s="490" t="s">
        <v>34417</v>
      </c>
      <c r="G2590" s="490" t="s">
        <v>34418</v>
      </c>
      <c r="H2590" s="490" t="s">
        <v>34419</v>
      </c>
      <c r="I2590" s="490" t="s">
        <v>34420</v>
      </c>
      <c r="J2590" s="490" t="s">
        <v>34421</v>
      </c>
      <c r="K2590" s="490" t="s">
        <v>34422</v>
      </c>
      <c r="L2590" s="490" t="s">
        <v>34423</v>
      </c>
      <c r="M2590" s="490" t="s">
        <v>34424</v>
      </c>
      <c r="N2590" s="490" t="s">
        <v>34423</v>
      </c>
      <c r="O2590" s="491" t="s">
        <v>34425</v>
      </c>
      <c r="P2590" s="36" t="s">
        <v>28482</v>
      </c>
    </row>
    <row r="2591" spans="1:16">
      <c r="A2591" s="132">
        <v>2590</v>
      </c>
      <c r="B2591" s="36" t="s">
        <v>28485</v>
      </c>
      <c r="C2591" s="36" t="s">
        <v>28486</v>
      </c>
      <c r="D2591" s="36" t="s">
        <v>28487</v>
      </c>
      <c r="E2591" s="490" t="s">
        <v>34426</v>
      </c>
      <c r="F2591" s="490" t="s">
        <v>34427</v>
      </c>
      <c r="G2591" s="490" t="s">
        <v>34428</v>
      </c>
      <c r="H2591" s="490" t="s">
        <v>34429</v>
      </c>
      <c r="I2591" s="490" t="s">
        <v>34430</v>
      </c>
      <c r="J2591" s="490" t="s">
        <v>34431</v>
      </c>
      <c r="K2591" s="490" t="s">
        <v>34432</v>
      </c>
      <c r="L2591" s="490" t="s">
        <v>34433</v>
      </c>
      <c r="M2591" s="490" t="s">
        <v>34434</v>
      </c>
      <c r="N2591" s="490" t="s">
        <v>34435</v>
      </c>
      <c r="O2591" s="491" t="s">
        <v>34436</v>
      </c>
      <c r="P2591" s="36" t="s">
        <v>28485</v>
      </c>
    </row>
    <row r="2592" spans="1:16">
      <c r="A2592" s="132">
        <v>2591</v>
      </c>
      <c r="B2592" s="36" t="s">
        <v>28488</v>
      </c>
      <c r="C2592" s="36" t="s">
        <v>28489</v>
      </c>
      <c r="D2592" s="36" t="s">
        <v>28490</v>
      </c>
      <c r="E2592" s="490" t="s">
        <v>34437</v>
      </c>
      <c r="F2592" s="490" t="s">
        <v>34438</v>
      </c>
      <c r="G2592" s="490" t="s">
        <v>34439</v>
      </c>
      <c r="H2592" s="490" t="s">
        <v>34440</v>
      </c>
      <c r="I2592" s="490" t="s">
        <v>34441</v>
      </c>
      <c r="J2592" s="490" t="s">
        <v>34442</v>
      </c>
      <c r="K2592" s="490" t="s">
        <v>34443</v>
      </c>
      <c r="L2592" s="490" t="s">
        <v>34444</v>
      </c>
      <c r="M2592" s="490" t="s">
        <v>34445</v>
      </c>
      <c r="N2592" s="490" t="s">
        <v>34446</v>
      </c>
      <c r="O2592" s="491" t="s">
        <v>34447</v>
      </c>
      <c r="P2592" s="36" t="s">
        <v>28488</v>
      </c>
    </row>
    <row r="2593" spans="1:16">
      <c r="A2593" s="132">
        <v>2592</v>
      </c>
      <c r="B2593" s="36" t="s">
        <v>28491</v>
      </c>
      <c r="C2593" s="36" t="s">
        <v>28492</v>
      </c>
      <c r="D2593" s="36" t="s">
        <v>28493</v>
      </c>
      <c r="E2593" s="490" t="s">
        <v>34448</v>
      </c>
      <c r="F2593" s="490" t="s">
        <v>34449</v>
      </c>
      <c r="G2593" s="490" t="s">
        <v>34450</v>
      </c>
      <c r="H2593" s="490" t="s">
        <v>34451</v>
      </c>
      <c r="I2593" s="490" t="s">
        <v>34452</v>
      </c>
      <c r="J2593" s="490" t="s">
        <v>34453</v>
      </c>
      <c r="K2593" s="490" t="s">
        <v>34454</v>
      </c>
      <c r="L2593" s="490" t="s">
        <v>34455</v>
      </c>
      <c r="M2593" s="490" t="s">
        <v>34456</v>
      </c>
      <c r="N2593" s="490" t="s">
        <v>34457</v>
      </c>
      <c r="O2593" s="491" t="s">
        <v>34458</v>
      </c>
      <c r="P2593" s="36" t="s">
        <v>28491</v>
      </c>
    </row>
    <row r="2594" spans="1:16">
      <c r="A2594" s="132">
        <v>2593</v>
      </c>
      <c r="B2594" s="36" t="s">
        <v>28494</v>
      </c>
      <c r="C2594" s="36" t="s">
        <v>28495</v>
      </c>
      <c r="D2594" s="36" t="s">
        <v>28496</v>
      </c>
      <c r="E2594" s="490" t="s">
        <v>34459</v>
      </c>
      <c r="F2594" s="490" t="s">
        <v>34460</v>
      </c>
      <c r="G2594" s="490" t="s">
        <v>34461</v>
      </c>
      <c r="H2594" s="490" t="s">
        <v>34462</v>
      </c>
      <c r="I2594" s="490" t="s">
        <v>34463</v>
      </c>
      <c r="J2594" s="490" t="s">
        <v>34464</v>
      </c>
      <c r="K2594" s="490" t="s">
        <v>34465</v>
      </c>
      <c r="L2594" s="490" t="s">
        <v>34466</v>
      </c>
      <c r="M2594" s="490" t="s">
        <v>34467</v>
      </c>
      <c r="N2594" s="490" t="s">
        <v>34468</v>
      </c>
      <c r="O2594" s="491" t="s">
        <v>34469</v>
      </c>
      <c r="P2594" s="36" t="s">
        <v>28494</v>
      </c>
    </row>
    <row r="2595" spans="1:16">
      <c r="A2595" s="132">
        <v>2594</v>
      </c>
      <c r="B2595" s="36" t="s">
        <v>28497</v>
      </c>
      <c r="C2595" s="36" t="s">
        <v>28498</v>
      </c>
      <c r="D2595" s="36" t="s">
        <v>28499</v>
      </c>
      <c r="E2595" s="490" t="s">
        <v>34470</v>
      </c>
      <c r="F2595" s="490" t="s">
        <v>34471</v>
      </c>
      <c r="G2595" s="490" t="s">
        <v>34472</v>
      </c>
      <c r="H2595" s="490" t="s">
        <v>34473</v>
      </c>
      <c r="I2595" s="490" t="s">
        <v>34474</v>
      </c>
      <c r="J2595" s="490" t="s">
        <v>34475</v>
      </c>
      <c r="K2595" s="490" t="s">
        <v>34476</v>
      </c>
      <c r="L2595" s="490" t="s">
        <v>34477</v>
      </c>
      <c r="M2595" s="490" t="s">
        <v>34477</v>
      </c>
      <c r="N2595" s="490" t="s">
        <v>34478</v>
      </c>
      <c r="O2595" s="491" t="s">
        <v>34479</v>
      </c>
      <c r="P2595" s="36" t="s">
        <v>28497</v>
      </c>
    </row>
    <row r="2596" spans="1:16">
      <c r="A2596" s="132">
        <v>2595</v>
      </c>
      <c r="B2596" s="36" t="s">
        <v>28500</v>
      </c>
      <c r="C2596" s="36" t="s">
        <v>28501</v>
      </c>
      <c r="D2596" s="36" t="s">
        <v>28502</v>
      </c>
      <c r="E2596" s="490" t="s">
        <v>34480</v>
      </c>
      <c r="F2596" s="490" t="s">
        <v>34481</v>
      </c>
      <c r="G2596" s="490" t="s">
        <v>34482</v>
      </c>
      <c r="H2596" s="490" t="s">
        <v>34483</v>
      </c>
      <c r="I2596" s="490" t="s">
        <v>34484</v>
      </c>
      <c r="J2596" s="490" t="s">
        <v>34485</v>
      </c>
      <c r="K2596" s="490" t="s">
        <v>34486</v>
      </c>
      <c r="L2596" s="490" t="s">
        <v>34487</v>
      </c>
      <c r="M2596" s="490" t="s">
        <v>34488</v>
      </c>
      <c r="N2596" s="490" t="s">
        <v>34489</v>
      </c>
      <c r="O2596" s="491" t="s">
        <v>34490</v>
      </c>
      <c r="P2596" s="36" t="s">
        <v>28500</v>
      </c>
    </row>
    <row r="2597" spans="1:16">
      <c r="A2597" s="132">
        <v>2596</v>
      </c>
      <c r="B2597" s="36" t="s">
        <v>28503</v>
      </c>
      <c r="C2597" s="36" t="s">
        <v>28504</v>
      </c>
      <c r="D2597" s="36" t="s">
        <v>28505</v>
      </c>
      <c r="E2597" s="490" t="s">
        <v>34491</v>
      </c>
      <c r="F2597" s="490" t="s">
        <v>34492</v>
      </c>
      <c r="G2597" s="490" t="s">
        <v>34493</v>
      </c>
      <c r="H2597" s="490" t="s">
        <v>34494</v>
      </c>
      <c r="I2597" s="490" t="s">
        <v>34495</v>
      </c>
      <c r="J2597" s="490" t="s">
        <v>34496</v>
      </c>
      <c r="K2597" s="490" t="s">
        <v>34497</v>
      </c>
      <c r="L2597" s="490" t="s">
        <v>34498</v>
      </c>
      <c r="M2597" s="490" t="s">
        <v>34499</v>
      </c>
      <c r="N2597" s="490" t="s">
        <v>34500</v>
      </c>
      <c r="O2597" s="491" t="s">
        <v>34501</v>
      </c>
      <c r="P2597" s="36" t="s">
        <v>28503</v>
      </c>
    </row>
    <row r="2598" spans="1:16">
      <c r="A2598" s="132">
        <v>2597</v>
      </c>
      <c r="B2598" s="36" t="s">
        <v>28506</v>
      </c>
      <c r="C2598" s="36" t="s">
        <v>28507</v>
      </c>
      <c r="D2598" s="36" t="s">
        <v>28508</v>
      </c>
      <c r="E2598" s="490" t="s">
        <v>34502</v>
      </c>
      <c r="F2598" s="490" t="s">
        <v>34503</v>
      </c>
      <c r="G2598" s="490" t="s">
        <v>34504</v>
      </c>
      <c r="H2598" s="490" t="s">
        <v>34505</v>
      </c>
      <c r="I2598" s="490" t="s">
        <v>34506</v>
      </c>
      <c r="J2598" s="490" t="s">
        <v>34507</v>
      </c>
      <c r="K2598" s="490" t="s">
        <v>34508</v>
      </c>
      <c r="L2598" s="490" t="s">
        <v>34509</v>
      </c>
      <c r="M2598" s="490" t="s">
        <v>34510</v>
      </c>
      <c r="N2598" s="490" t="s">
        <v>34511</v>
      </c>
      <c r="O2598" s="491" t="s">
        <v>34512</v>
      </c>
      <c r="P2598" s="36" t="s">
        <v>28506</v>
      </c>
    </row>
    <row r="2599" spans="1:16">
      <c r="A2599" s="132">
        <v>2598</v>
      </c>
      <c r="B2599" s="36" t="s">
        <v>28509</v>
      </c>
      <c r="C2599" s="36" t="s">
        <v>28510</v>
      </c>
      <c r="D2599" s="36" t="s">
        <v>28511</v>
      </c>
      <c r="E2599" s="490" t="s">
        <v>34513</v>
      </c>
      <c r="F2599" s="490" t="s">
        <v>34514</v>
      </c>
      <c r="G2599" s="490" t="s">
        <v>34515</v>
      </c>
      <c r="H2599" s="490" t="s">
        <v>34516</v>
      </c>
      <c r="I2599" s="490" t="s">
        <v>34517</v>
      </c>
      <c r="J2599" s="490" t="s">
        <v>34518</v>
      </c>
      <c r="K2599" s="490" t="s">
        <v>34519</v>
      </c>
      <c r="L2599" s="490" t="s">
        <v>34520</v>
      </c>
      <c r="M2599" s="490" t="s">
        <v>34521</v>
      </c>
      <c r="N2599" s="490" t="s">
        <v>34522</v>
      </c>
      <c r="O2599" s="491" t="s">
        <v>34523</v>
      </c>
      <c r="P2599" s="36" t="s">
        <v>28509</v>
      </c>
    </row>
    <row r="2600" spans="1:16">
      <c r="A2600" s="132">
        <v>2599</v>
      </c>
      <c r="B2600" s="36" t="s">
        <v>28512</v>
      </c>
      <c r="C2600" s="36" t="s">
        <v>28513</v>
      </c>
      <c r="D2600" s="36" t="s">
        <v>28514</v>
      </c>
      <c r="E2600" s="490" t="s">
        <v>34524</v>
      </c>
      <c r="F2600" s="490" t="s">
        <v>34525</v>
      </c>
      <c r="G2600" s="490" t="s">
        <v>34526</v>
      </c>
      <c r="H2600" s="490" t="s">
        <v>34527</v>
      </c>
      <c r="I2600" s="490" t="s">
        <v>34528</v>
      </c>
      <c r="J2600" s="490" t="s">
        <v>34529</v>
      </c>
      <c r="K2600" s="490" t="s">
        <v>34530</v>
      </c>
      <c r="L2600" s="490" t="s">
        <v>34531</v>
      </c>
      <c r="M2600" s="490" t="s">
        <v>34532</v>
      </c>
      <c r="N2600" s="490" t="s">
        <v>34533</v>
      </c>
      <c r="O2600" s="491" t="s">
        <v>34534</v>
      </c>
      <c r="P2600" s="36" t="s">
        <v>28512</v>
      </c>
    </row>
    <row r="2601" spans="1:16">
      <c r="A2601" s="132">
        <v>2600</v>
      </c>
      <c r="B2601" s="36" t="s">
        <v>28515</v>
      </c>
      <c r="C2601" s="36" t="s">
        <v>28516</v>
      </c>
      <c r="D2601" s="490" t="s">
        <v>34535</v>
      </c>
      <c r="E2601" s="490" t="s">
        <v>34536</v>
      </c>
      <c r="F2601" s="490" t="s">
        <v>34537</v>
      </c>
      <c r="G2601" s="490" t="s">
        <v>34538</v>
      </c>
      <c r="H2601" s="490" t="s">
        <v>34539</v>
      </c>
      <c r="I2601" s="490" t="s">
        <v>34540</v>
      </c>
      <c r="J2601" s="490" t="s">
        <v>34541</v>
      </c>
      <c r="K2601" s="490" t="s">
        <v>34542</v>
      </c>
      <c r="L2601" s="490" t="s">
        <v>34543</v>
      </c>
      <c r="M2601" s="490" t="s">
        <v>34543</v>
      </c>
      <c r="N2601" s="490" t="s">
        <v>34543</v>
      </c>
      <c r="O2601" s="490" t="s">
        <v>34544</v>
      </c>
      <c r="P2601" s="36" t="s">
        <v>28515</v>
      </c>
    </row>
    <row r="2602" spans="1:16">
      <c r="A2602" s="132">
        <v>2601</v>
      </c>
      <c r="B2602" s="36" t="s">
        <v>28517</v>
      </c>
      <c r="C2602" s="36" t="s">
        <v>28518</v>
      </c>
      <c r="D2602" s="490" t="s">
        <v>34545</v>
      </c>
      <c r="E2602" s="490" t="s">
        <v>34546</v>
      </c>
      <c r="F2602" s="490" t="s">
        <v>34547</v>
      </c>
      <c r="G2602" s="490" t="s">
        <v>34548</v>
      </c>
      <c r="H2602" s="490" t="s">
        <v>34549</v>
      </c>
      <c r="I2602" s="490" t="s">
        <v>34550</v>
      </c>
      <c r="J2602" s="490" t="s">
        <v>34551</v>
      </c>
      <c r="K2602" s="490" t="s">
        <v>34552</v>
      </c>
      <c r="L2602" s="490" t="s">
        <v>34553</v>
      </c>
      <c r="M2602" s="490" t="s">
        <v>34554</v>
      </c>
      <c r="N2602" s="490" t="s">
        <v>34554</v>
      </c>
      <c r="O2602" s="490" t="s">
        <v>34555</v>
      </c>
      <c r="P2602" s="36" t="s">
        <v>28517</v>
      </c>
    </row>
    <row r="2603" spans="1:16">
      <c r="A2603" s="132">
        <v>2602</v>
      </c>
      <c r="B2603" s="36" t="s">
        <v>28519</v>
      </c>
      <c r="C2603" s="36" t="s">
        <v>28520</v>
      </c>
      <c r="D2603" s="490" t="s">
        <v>34556</v>
      </c>
      <c r="E2603" s="490" t="s">
        <v>34557</v>
      </c>
      <c r="F2603" s="490" t="s">
        <v>34558</v>
      </c>
      <c r="G2603" s="490" t="s">
        <v>34559</v>
      </c>
      <c r="H2603" s="490" t="s">
        <v>34560</v>
      </c>
      <c r="I2603" s="490" t="s">
        <v>34561</v>
      </c>
      <c r="J2603" s="490" t="s">
        <v>34562</v>
      </c>
      <c r="K2603" s="490" t="s">
        <v>34563</v>
      </c>
      <c r="L2603" s="490" t="s">
        <v>34564</v>
      </c>
      <c r="M2603" s="490" t="s">
        <v>34565</v>
      </c>
      <c r="N2603" s="490" t="s">
        <v>34566</v>
      </c>
      <c r="O2603" s="490" t="s">
        <v>34567</v>
      </c>
      <c r="P2603" s="36" t="s">
        <v>28519</v>
      </c>
    </row>
    <row r="2604" spans="1:16">
      <c r="A2604" s="132">
        <v>2603</v>
      </c>
      <c r="B2604" s="36" t="s">
        <v>28521</v>
      </c>
      <c r="C2604" s="36" t="s">
        <v>28522</v>
      </c>
      <c r="D2604" s="36" t="s">
        <v>28523</v>
      </c>
      <c r="E2604" s="490" t="s">
        <v>34568</v>
      </c>
      <c r="F2604" s="490" t="s">
        <v>34569</v>
      </c>
      <c r="G2604" s="490" t="s">
        <v>34570</v>
      </c>
      <c r="H2604" s="490" t="s">
        <v>34571</v>
      </c>
      <c r="I2604" s="490" t="s">
        <v>34572</v>
      </c>
      <c r="J2604" s="490" t="s">
        <v>34573</v>
      </c>
      <c r="K2604" s="490" t="s">
        <v>34574</v>
      </c>
      <c r="L2604" s="490" t="s">
        <v>34575</v>
      </c>
      <c r="M2604" s="490" t="s">
        <v>34576</v>
      </c>
      <c r="N2604" s="490" t="s">
        <v>34577</v>
      </c>
      <c r="O2604" s="490" t="s">
        <v>34578</v>
      </c>
      <c r="P2604" s="36" t="s">
        <v>28521</v>
      </c>
    </row>
    <row r="2605" spans="1:16">
      <c r="A2605" s="132">
        <v>2604</v>
      </c>
      <c r="B2605" s="36" t="s">
        <v>28524</v>
      </c>
      <c r="C2605" s="36" t="s">
        <v>28525</v>
      </c>
      <c r="D2605" s="36" t="s">
        <v>28526</v>
      </c>
      <c r="E2605" s="490" t="s">
        <v>34579</v>
      </c>
      <c r="F2605" s="490" t="s">
        <v>34580</v>
      </c>
      <c r="G2605" s="490" t="s">
        <v>34581</v>
      </c>
      <c r="H2605" s="490" t="s">
        <v>34582</v>
      </c>
      <c r="I2605" s="490" t="s">
        <v>34583</v>
      </c>
      <c r="J2605" s="490" t="s">
        <v>34584</v>
      </c>
      <c r="K2605" s="490" t="s">
        <v>34585</v>
      </c>
      <c r="L2605" s="490" t="s">
        <v>34586</v>
      </c>
      <c r="M2605" s="490" t="s">
        <v>34587</v>
      </c>
      <c r="N2605" s="490" t="s">
        <v>34588</v>
      </c>
      <c r="O2605" s="490" t="s">
        <v>34589</v>
      </c>
      <c r="P2605" s="36" t="s">
        <v>28524</v>
      </c>
    </row>
    <row r="2606" spans="1:16">
      <c r="A2606" s="132">
        <v>2605</v>
      </c>
      <c r="B2606" s="36" t="s">
        <v>28527</v>
      </c>
      <c r="C2606" s="36" t="s">
        <v>28528</v>
      </c>
      <c r="D2606" s="36" t="s">
        <v>28529</v>
      </c>
      <c r="E2606" s="490" t="s">
        <v>34590</v>
      </c>
      <c r="F2606" s="490" t="s">
        <v>34591</v>
      </c>
      <c r="G2606" s="490" t="s">
        <v>34592</v>
      </c>
      <c r="H2606" s="490" t="s">
        <v>34593</v>
      </c>
      <c r="I2606" s="490" t="s">
        <v>34594</v>
      </c>
      <c r="J2606" s="490" t="s">
        <v>34595</v>
      </c>
      <c r="K2606" s="490" t="s">
        <v>34596</v>
      </c>
      <c r="L2606" s="490" t="s">
        <v>34597</v>
      </c>
      <c r="M2606" s="490" t="s">
        <v>34598</v>
      </c>
      <c r="N2606" s="490" t="s">
        <v>34599</v>
      </c>
      <c r="O2606" s="490" t="s">
        <v>34600</v>
      </c>
      <c r="P2606" s="36" t="s">
        <v>28527</v>
      </c>
    </row>
    <row r="2607" spans="1:16">
      <c r="A2607" s="132">
        <v>2606</v>
      </c>
      <c r="B2607" s="36" t="s">
        <v>28530</v>
      </c>
      <c r="C2607" s="36" t="s">
        <v>28531</v>
      </c>
      <c r="D2607" s="36" t="s">
        <v>28532</v>
      </c>
      <c r="E2607" s="490" t="s">
        <v>34601</v>
      </c>
      <c r="F2607" s="490" t="s">
        <v>34602</v>
      </c>
      <c r="G2607" s="490" t="s">
        <v>34603</v>
      </c>
      <c r="H2607" s="490" t="s">
        <v>34604</v>
      </c>
      <c r="I2607" s="490" t="s">
        <v>34605</v>
      </c>
      <c r="J2607" s="490" t="s">
        <v>34606</v>
      </c>
      <c r="K2607" s="490" t="s">
        <v>34607</v>
      </c>
      <c r="L2607" s="490" t="s">
        <v>34608</v>
      </c>
      <c r="M2607" s="490" t="s">
        <v>34609</v>
      </c>
      <c r="N2607" s="490" t="s">
        <v>34610</v>
      </c>
      <c r="O2607" s="490" t="s">
        <v>34611</v>
      </c>
      <c r="P2607" s="36" t="s">
        <v>28530</v>
      </c>
    </row>
    <row r="2608" spans="1:16">
      <c r="A2608" s="132">
        <v>2607</v>
      </c>
      <c r="B2608" s="36" t="s">
        <v>28533</v>
      </c>
      <c r="C2608" s="36" t="s">
        <v>28534</v>
      </c>
      <c r="D2608" s="36" t="s">
        <v>28535</v>
      </c>
      <c r="E2608" s="490" t="s">
        <v>34612</v>
      </c>
      <c r="F2608" s="490" t="s">
        <v>34613</v>
      </c>
      <c r="G2608" s="490" t="s">
        <v>34614</v>
      </c>
      <c r="H2608" s="490" t="s">
        <v>34615</v>
      </c>
      <c r="I2608" s="490" t="s">
        <v>34616</v>
      </c>
      <c r="J2608" s="490" t="s">
        <v>34617</v>
      </c>
      <c r="K2608" s="490" t="s">
        <v>34618</v>
      </c>
      <c r="L2608" s="490" t="s">
        <v>34619</v>
      </c>
      <c r="M2608" s="490" t="s">
        <v>34620</v>
      </c>
      <c r="N2608" s="490" t="s">
        <v>34621</v>
      </c>
      <c r="O2608" s="490" t="s">
        <v>34622</v>
      </c>
      <c r="P2608" s="36" t="s">
        <v>28533</v>
      </c>
    </row>
    <row r="2609" spans="1:16">
      <c r="A2609" s="132">
        <v>2608</v>
      </c>
      <c r="B2609" s="36" t="s">
        <v>28536</v>
      </c>
      <c r="C2609" s="36" t="s">
        <v>28537</v>
      </c>
      <c r="D2609" s="36" t="s">
        <v>28538</v>
      </c>
      <c r="E2609" s="490" t="s">
        <v>34623</v>
      </c>
      <c r="F2609" s="490" t="s">
        <v>34624</v>
      </c>
      <c r="G2609" s="490" t="s">
        <v>34625</v>
      </c>
      <c r="H2609" s="490" t="s">
        <v>34626</v>
      </c>
      <c r="I2609" s="490" t="s">
        <v>34627</v>
      </c>
      <c r="J2609" s="490" t="s">
        <v>34628</v>
      </c>
      <c r="K2609" s="490" t="s">
        <v>34629</v>
      </c>
      <c r="L2609" s="490" t="s">
        <v>34630</v>
      </c>
      <c r="M2609" s="490" t="s">
        <v>34631</v>
      </c>
      <c r="N2609" s="490" t="s">
        <v>34632</v>
      </c>
      <c r="O2609" s="490" t="s">
        <v>34633</v>
      </c>
      <c r="P2609" s="36" t="s">
        <v>28536</v>
      </c>
    </row>
    <row r="2610" spans="1:16">
      <c r="A2610" s="132">
        <v>2609</v>
      </c>
      <c r="B2610" s="36" t="s">
        <v>28539</v>
      </c>
      <c r="C2610" s="36" t="s">
        <v>28540</v>
      </c>
      <c r="D2610" s="36" t="s">
        <v>28541</v>
      </c>
      <c r="E2610" s="490" t="s">
        <v>34634</v>
      </c>
      <c r="F2610" s="490" t="s">
        <v>34635</v>
      </c>
      <c r="G2610" s="490" t="s">
        <v>34636</v>
      </c>
      <c r="H2610" s="490" t="s">
        <v>34637</v>
      </c>
      <c r="I2610" s="490" t="s">
        <v>34638</v>
      </c>
      <c r="J2610" s="490" t="s">
        <v>34639</v>
      </c>
      <c r="K2610" s="490" t="s">
        <v>34640</v>
      </c>
      <c r="L2610" s="490" t="s">
        <v>34641</v>
      </c>
      <c r="M2610" s="490" t="s">
        <v>34642</v>
      </c>
      <c r="N2610" s="490" t="s">
        <v>34643</v>
      </c>
      <c r="O2610" s="490" t="s">
        <v>34644</v>
      </c>
      <c r="P2610" s="36" t="s">
        <v>28539</v>
      </c>
    </row>
    <row r="2611" spans="1:16">
      <c r="A2611" s="132">
        <v>2610</v>
      </c>
      <c r="B2611" s="36" t="s">
        <v>28542</v>
      </c>
      <c r="C2611" s="36" t="s">
        <v>28543</v>
      </c>
      <c r="D2611" s="490" t="s">
        <v>34645</v>
      </c>
      <c r="E2611" s="490" t="s">
        <v>34646</v>
      </c>
      <c r="F2611" s="490" t="s">
        <v>34647</v>
      </c>
      <c r="G2611" s="490" t="s">
        <v>34648</v>
      </c>
      <c r="H2611" s="490" t="s">
        <v>34649</v>
      </c>
      <c r="I2611" s="490" t="s">
        <v>34650</v>
      </c>
      <c r="J2611" s="490" t="s">
        <v>34651</v>
      </c>
      <c r="K2611" s="490" t="s">
        <v>34652</v>
      </c>
      <c r="L2611" s="490" t="s">
        <v>34653</v>
      </c>
      <c r="M2611" s="490" t="s">
        <v>34654</v>
      </c>
      <c r="N2611" s="490" t="s">
        <v>34655</v>
      </c>
      <c r="O2611" s="490" t="s">
        <v>34656</v>
      </c>
      <c r="P2611" s="36" t="s">
        <v>28542</v>
      </c>
    </row>
    <row r="2612" spans="1:16">
      <c r="A2612" s="132">
        <v>2611</v>
      </c>
      <c r="B2612" s="36" t="s">
        <v>28544</v>
      </c>
      <c r="C2612" s="36" t="s">
        <v>28545</v>
      </c>
      <c r="D2612" s="36" t="s">
        <v>28546</v>
      </c>
      <c r="E2612" s="490" t="s">
        <v>34657</v>
      </c>
      <c r="F2612" s="490" t="s">
        <v>34658</v>
      </c>
      <c r="G2612" s="490" t="s">
        <v>34659</v>
      </c>
      <c r="H2612" s="490" t="s">
        <v>34660</v>
      </c>
      <c r="I2612" s="490" t="s">
        <v>34661</v>
      </c>
      <c r="J2612" s="490" t="s">
        <v>34662</v>
      </c>
      <c r="K2612" s="490" t="s">
        <v>34663</v>
      </c>
      <c r="L2612" s="490" t="s">
        <v>34664</v>
      </c>
      <c r="M2612" s="490" t="s">
        <v>34665</v>
      </c>
      <c r="N2612" s="490" t="s">
        <v>34666</v>
      </c>
      <c r="O2612" s="490" t="s">
        <v>34667</v>
      </c>
      <c r="P2612" s="36" t="s">
        <v>28544</v>
      </c>
    </row>
    <row r="2613" spans="1:16">
      <c r="A2613" s="132">
        <v>2612</v>
      </c>
      <c r="B2613" s="36" t="s">
        <v>28547</v>
      </c>
      <c r="C2613" s="36" t="s">
        <v>28548</v>
      </c>
      <c r="D2613" s="36" t="s">
        <v>28549</v>
      </c>
      <c r="E2613" s="490" t="s">
        <v>34668</v>
      </c>
      <c r="F2613" s="490" t="s">
        <v>34669</v>
      </c>
      <c r="G2613" s="490" t="s">
        <v>34670</v>
      </c>
      <c r="H2613" s="490" t="s">
        <v>34671</v>
      </c>
      <c r="I2613" s="490" t="s">
        <v>34672</v>
      </c>
      <c r="J2613" s="490" t="s">
        <v>34673</v>
      </c>
      <c r="K2613" s="490" t="s">
        <v>34674</v>
      </c>
      <c r="L2613" s="490" t="s">
        <v>34675</v>
      </c>
      <c r="M2613" s="490" t="s">
        <v>34676</v>
      </c>
      <c r="N2613" s="490" t="s">
        <v>34677</v>
      </c>
      <c r="O2613" s="490" t="s">
        <v>34678</v>
      </c>
      <c r="P2613" s="36" t="s">
        <v>28547</v>
      </c>
    </row>
    <row r="2614" spans="1:16">
      <c r="A2614" s="132">
        <v>2613</v>
      </c>
      <c r="B2614" s="36" t="s">
        <v>28550</v>
      </c>
      <c r="C2614" s="36" t="s">
        <v>28551</v>
      </c>
      <c r="D2614" s="36" t="s">
        <v>28552</v>
      </c>
      <c r="E2614" s="490" t="s">
        <v>34679</v>
      </c>
      <c r="F2614" s="490" t="s">
        <v>34680</v>
      </c>
      <c r="G2614" s="490" t="s">
        <v>34681</v>
      </c>
      <c r="H2614" s="490" t="s">
        <v>34682</v>
      </c>
      <c r="I2614" s="490" t="s">
        <v>34683</v>
      </c>
      <c r="J2614" s="490" t="s">
        <v>34684</v>
      </c>
      <c r="K2614" s="490" t="s">
        <v>34685</v>
      </c>
      <c r="L2614" s="490" t="s">
        <v>34686</v>
      </c>
      <c r="M2614" s="490" t="s">
        <v>34687</v>
      </c>
      <c r="N2614" s="490" t="s">
        <v>34688</v>
      </c>
      <c r="O2614" s="490" t="s">
        <v>34689</v>
      </c>
      <c r="P2614" s="36" t="s">
        <v>28550</v>
      </c>
    </row>
    <row r="2615" spans="1:16">
      <c r="A2615" s="132">
        <v>2614</v>
      </c>
      <c r="B2615" s="36" t="s">
        <v>28553</v>
      </c>
      <c r="C2615" s="36" t="s">
        <v>28554</v>
      </c>
      <c r="D2615" s="490" t="s">
        <v>34690</v>
      </c>
      <c r="E2615" s="490" t="s">
        <v>34691</v>
      </c>
      <c r="F2615" s="490" t="s">
        <v>34692</v>
      </c>
      <c r="G2615" s="490" t="s">
        <v>34693</v>
      </c>
      <c r="H2615" s="490" t="s">
        <v>34694</v>
      </c>
      <c r="I2615" s="490" t="s">
        <v>34695</v>
      </c>
      <c r="J2615" s="490" t="s">
        <v>34696</v>
      </c>
      <c r="K2615" s="490" t="s">
        <v>34697</v>
      </c>
      <c r="L2615" s="490" t="s">
        <v>34698</v>
      </c>
      <c r="M2615" s="490" t="s">
        <v>34699</v>
      </c>
      <c r="N2615" s="490" t="s">
        <v>34700</v>
      </c>
      <c r="O2615" s="490" t="s">
        <v>34701</v>
      </c>
      <c r="P2615" s="36" t="s">
        <v>28553</v>
      </c>
    </row>
    <row r="2616" spans="1:16">
      <c r="A2616" s="132">
        <v>2615</v>
      </c>
      <c r="B2616" s="36" t="s">
        <v>28555</v>
      </c>
      <c r="C2616" s="36" t="s">
        <v>28556</v>
      </c>
      <c r="D2616" s="490" t="s">
        <v>34702</v>
      </c>
      <c r="E2616" s="490" t="s">
        <v>34703</v>
      </c>
      <c r="F2616" s="490" t="s">
        <v>34704</v>
      </c>
      <c r="G2616" s="490" t="s">
        <v>34705</v>
      </c>
      <c r="H2616" s="490" t="s">
        <v>34706</v>
      </c>
      <c r="I2616" s="490" t="s">
        <v>34707</v>
      </c>
      <c r="J2616" s="490" t="s">
        <v>34708</v>
      </c>
      <c r="K2616" s="490" t="s">
        <v>34709</v>
      </c>
      <c r="L2616" s="490" t="s">
        <v>34710</v>
      </c>
      <c r="M2616" s="490" t="s">
        <v>34711</v>
      </c>
      <c r="N2616" s="490" t="s">
        <v>34712</v>
      </c>
      <c r="O2616" s="490" t="s">
        <v>34713</v>
      </c>
      <c r="P2616" s="36" t="s">
        <v>28555</v>
      </c>
    </row>
    <row r="2617" spans="1:16">
      <c r="A2617" s="132">
        <v>2616</v>
      </c>
      <c r="B2617" s="36" t="s">
        <v>28557</v>
      </c>
      <c r="C2617" s="36" t="s">
        <v>28558</v>
      </c>
      <c r="D2617" s="36" t="s">
        <v>28559</v>
      </c>
      <c r="E2617" s="490" t="s">
        <v>34714</v>
      </c>
      <c r="F2617" s="490" t="s">
        <v>34715</v>
      </c>
      <c r="G2617" s="490" t="s">
        <v>34716</v>
      </c>
      <c r="H2617" s="490" t="s">
        <v>34717</v>
      </c>
      <c r="I2617" s="490" t="s">
        <v>34718</v>
      </c>
      <c r="J2617" s="490" t="s">
        <v>34719</v>
      </c>
      <c r="K2617" s="490" t="s">
        <v>34720</v>
      </c>
      <c r="L2617" s="490" t="s">
        <v>34721</v>
      </c>
      <c r="M2617" s="490" t="s">
        <v>34722</v>
      </c>
      <c r="N2617" s="490" t="s">
        <v>34723</v>
      </c>
      <c r="O2617" s="490" t="s">
        <v>34724</v>
      </c>
      <c r="P2617" s="36" t="s">
        <v>28557</v>
      </c>
    </row>
    <row r="2618" spans="1:16">
      <c r="A2618" s="132">
        <v>2617</v>
      </c>
      <c r="B2618" s="36" t="s">
        <v>28560</v>
      </c>
      <c r="C2618" s="36" t="s">
        <v>28561</v>
      </c>
      <c r="D2618" s="36" t="s">
        <v>28562</v>
      </c>
      <c r="E2618" s="490" t="s">
        <v>34725</v>
      </c>
      <c r="F2618" s="490" t="s">
        <v>34726</v>
      </c>
      <c r="G2618" s="490" t="s">
        <v>34727</v>
      </c>
      <c r="H2618" s="490" t="s">
        <v>34728</v>
      </c>
      <c r="I2618" s="490" t="s">
        <v>34729</v>
      </c>
      <c r="J2618" s="490" t="s">
        <v>34730</v>
      </c>
      <c r="K2618" s="490" t="s">
        <v>34731</v>
      </c>
      <c r="L2618" s="490" t="s">
        <v>34732</v>
      </c>
      <c r="M2618" s="490" t="s">
        <v>34733</v>
      </c>
      <c r="N2618" s="490" t="s">
        <v>34734</v>
      </c>
      <c r="O2618" s="490" t="s">
        <v>34735</v>
      </c>
      <c r="P2618" s="36" t="s">
        <v>28560</v>
      </c>
    </row>
    <row r="2619" spans="1:16">
      <c r="A2619" s="132">
        <v>2618</v>
      </c>
      <c r="B2619" s="36" t="s">
        <v>28563</v>
      </c>
      <c r="C2619" s="36" t="s">
        <v>28564</v>
      </c>
      <c r="D2619" s="36" t="s">
        <v>28565</v>
      </c>
      <c r="E2619" s="490" t="s">
        <v>34736</v>
      </c>
      <c r="F2619" s="490" t="s">
        <v>34737</v>
      </c>
      <c r="G2619" s="490" t="s">
        <v>34738</v>
      </c>
      <c r="H2619" s="490" t="s">
        <v>34739</v>
      </c>
      <c r="I2619" s="490" t="s">
        <v>34737</v>
      </c>
      <c r="J2619" s="490" t="s">
        <v>13425</v>
      </c>
      <c r="K2619" s="490" t="s">
        <v>34740</v>
      </c>
      <c r="L2619" s="490" t="s">
        <v>34741</v>
      </c>
      <c r="M2619" s="490" t="s">
        <v>28563</v>
      </c>
      <c r="N2619" s="490" t="s">
        <v>28563</v>
      </c>
      <c r="O2619" s="490" t="s">
        <v>34742</v>
      </c>
      <c r="P2619" s="36" t="s">
        <v>28563</v>
      </c>
    </row>
    <row r="2620" spans="1:16">
      <c r="A2620" s="132">
        <v>2619</v>
      </c>
      <c r="B2620" s="36" t="s">
        <v>28566</v>
      </c>
      <c r="C2620" s="36" t="s">
        <v>28567</v>
      </c>
      <c r="D2620" s="36" t="s">
        <v>28568</v>
      </c>
      <c r="E2620" s="490" t="s">
        <v>34743</v>
      </c>
      <c r="F2620" s="490" t="s">
        <v>34744</v>
      </c>
      <c r="G2620" s="490" t="s">
        <v>34745</v>
      </c>
      <c r="H2620" s="490" t="s">
        <v>34746</v>
      </c>
      <c r="I2620" s="490" t="s">
        <v>34747</v>
      </c>
      <c r="J2620" s="490" t="s">
        <v>34748</v>
      </c>
      <c r="K2620" s="490" t="s">
        <v>34747</v>
      </c>
      <c r="L2620" s="490" t="s">
        <v>28566</v>
      </c>
      <c r="M2620" s="490" t="s">
        <v>34749</v>
      </c>
      <c r="N2620" s="490" t="s">
        <v>28566</v>
      </c>
      <c r="O2620" s="490" t="s">
        <v>34747</v>
      </c>
      <c r="P2620" s="36" t="s">
        <v>28566</v>
      </c>
    </row>
    <row r="2621" spans="1:16">
      <c r="A2621" s="132">
        <v>2620</v>
      </c>
      <c r="B2621" s="36" t="s">
        <v>28569</v>
      </c>
      <c r="C2621" s="36" t="s">
        <v>28570</v>
      </c>
      <c r="D2621" s="490" t="s">
        <v>34750</v>
      </c>
      <c r="E2621" s="490" t="s">
        <v>34751</v>
      </c>
      <c r="F2621" s="490" t="s">
        <v>34752</v>
      </c>
      <c r="G2621" s="490" t="s">
        <v>34753</v>
      </c>
      <c r="H2621" s="490" t="s">
        <v>34754</v>
      </c>
      <c r="I2621" s="490" t="s">
        <v>34755</v>
      </c>
      <c r="J2621" s="490" t="s">
        <v>34756</v>
      </c>
      <c r="K2621" s="490" t="s">
        <v>34757</v>
      </c>
      <c r="L2621" s="490" t="s">
        <v>34758</v>
      </c>
      <c r="M2621" s="490" t="s">
        <v>34759</v>
      </c>
      <c r="N2621" s="490" t="s">
        <v>34760</v>
      </c>
      <c r="O2621" s="490" t="s">
        <v>34761</v>
      </c>
      <c r="P2621" s="36" t="s">
        <v>28569</v>
      </c>
    </row>
    <row r="2622" spans="1:16">
      <c r="A2622" s="132">
        <v>2621</v>
      </c>
      <c r="B2622" s="36" t="s">
        <v>28571</v>
      </c>
      <c r="C2622" s="36" t="s">
        <v>28572</v>
      </c>
      <c r="D2622" s="36" t="s">
        <v>28573</v>
      </c>
      <c r="E2622" s="490" t="s">
        <v>34762</v>
      </c>
      <c r="F2622" s="490" t="s">
        <v>34763</v>
      </c>
      <c r="G2622" s="490" t="s">
        <v>34764</v>
      </c>
      <c r="H2622" s="490" t="s">
        <v>34765</v>
      </c>
      <c r="I2622" s="490" t="s">
        <v>34766</v>
      </c>
      <c r="J2622" s="490" t="s">
        <v>34767</v>
      </c>
      <c r="K2622" s="490" t="s">
        <v>34768</v>
      </c>
      <c r="L2622" s="490" t="s">
        <v>34769</v>
      </c>
      <c r="M2622" s="490" t="s">
        <v>34770</v>
      </c>
      <c r="N2622" s="490" t="s">
        <v>19914</v>
      </c>
      <c r="O2622" s="490" t="s">
        <v>34771</v>
      </c>
      <c r="P2622" s="36" t="s">
        <v>28571</v>
      </c>
    </row>
    <row r="2623" spans="1:16">
      <c r="A2623" s="132">
        <v>2622</v>
      </c>
      <c r="B2623" s="36" t="s">
        <v>28574</v>
      </c>
      <c r="C2623" s="36" t="s">
        <v>28575</v>
      </c>
      <c r="D2623" s="36" t="s">
        <v>28576</v>
      </c>
      <c r="E2623" s="490" t="s">
        <v>34772</v>
      </c>
      <c r="F2623" s="490" t="s">
        <v>34773</v>
      </c>
      <c r="G2623" s="490" t="s">
        <v>34774</v>
      </c>
      <c r="H2623" s="490" t="s">
        <v>34775</v>
      </c>
      <c r="I2623" s="490" t="s">
        <v>34776</v>
      </c>
      <c r="J2623" s="490" t="s">
        <v>34777</v>
      </c>
      <c r="K2623" s="490" t="s">
        <v>34778</v>
      </c>
      <c r="L2623" s="490" t="s">
        <v>34779</v>
      </c>
      <c r="M2623" s="490" t="s">
        <v>34780</v>
      </c>
      <c r="N2623" s="490" t="s">
        <v>34781</v>
      </c>
      <c r="O2623" s="490" t="s">
        <v>34782</v>
      </c>
      <c r="P2623" s="36" t="s">
        <v>28574</v>
      </c>
    </row>
    <row r="2624" spans="1:16">
      <c r="A2624" s="132">
        <v>2623</v>
      </c>
      <c r="B2624" s="36" t="s">
        <v>28577</v>
      </c>
      <c r="C2624" s="36" t="s">
        <v>28578</v>
      </c>
      <c r="D2624" s="36" t="s">
        <v>28579</v>
      </c>
      <c r="E2624" s="490" t="s">
        <v>34783</v>
      </c>
      <c r="F2624" s="490" t="s">
        <v>34784</v>
      </c>
      <c r="G2624" s="490" t="s">
        <v>34785</v>
      </c>
      <c r="H2624" s="490" t="s">
        <v>34786</v>
      </c>
      <c r="I2624" s="490" t="s">
        <v>34787</v>
      </c>
      <c r="J2624" s="490" t="s">
        <v>34788</v>
      </c>
      <c r="K2624" s="490" t="s">
        <v>34789</v>
      </c>
      <c r="L2624" s="490" t="s">
        <v>34790</v>
      </c>
      <c r="M2624" s="490" t="s">
        <v>34791</v>
      </c>
      <c r="N2624" s="490" t="s">
        <v>34792</v>
      </c>
      <c r="O2624" s="490" t="s">
        <v>34793</v>
      </c>
      <c r="P2624" s="36" t="s">
        <v>28577</v>
      </c>
    </row>
    <row r="2625" spans="1:16">
      <c r="A2625" s="132">
        <v>2624</v>
      </c>
      <c r="B2625" s="36" t="s">
        <v>28580</v>
      </c>
      <c r="C2625" s="36" t="s">
        <v>28581</v>
      </c>
      <c r="D2625" s="36" t="s">
        <v>21487</v>
      </c>
      <c r="E2625" s="490" t="s">
        <v>34794</v>
      </c>
      <c r="F2625" s="490" t="s">
        <v>34795</v>
      </c>
      <c r="G2625" s="490" t="s">
        <v>34796</v>
      </c>
      <c r="H2625" s="490" t="s">
        <v>21491</v>
      </c>
      <c r="I2625" s="490" t="s">
        <v>21492</v>
      </c>
      <c r="J2625" s="490" t="s">
        <v>34797</v>
      </c>
      <c r="K2625" s="490" t="s">
        <v>34798</v>
      </c>
      <c r="L2625" s="490" t="s">
        <v>34799</v>
      </c>
      <c r="M2625" s="490" t="s">
        <v>34799</v>
      </c>
      <c r="N2625" s="490" t="s">
        <v>34799</v>
      </c>
      <c r="O2625" s="490" t="s">
        <v>34800</v>
      </c>
      <c r="P2625" s="36" t="s">
        <v>28580</v>
      </c>
    </row>
    <row r="2626" spans="1:16">
      <c r="A2626" s="132">
        <v>2625</v>
      </c>
      <c r="B2626" s="36" t="s">
        <v>28582</v>
      </c>
      <c r="C2626" s="36" t="s">
        <v>28583</v>
      </c>
      <c r="D2626" s="490" t="s">
        <v>34801</v>
      </c>
      <c r="E2626" s="490" t="s">
        <v>34802</v>
      </c>
      <c r="F2626" s="490" t="s">
        <v>34803</v>
      </c>
      <c r="G2626" s="490" t="s">
        <v>34804</v>
      </c>
      <c r="H2626" s="490" t="s">
        <v>34805</v>
      </c>
      <c r="I2626" s="490" t="s">
        <v>34806</v>
      </c>
      <c r="J2626" s="490" t="s">
        <v>34807</v>
      </c>
      <c r="K2626" s="490" t="s">
        <v>34808</v>
      </c>
      <c r="L2626" s="490" t="s">
        <v>34809</v>
      </c>
      <c r="M2626" s="490" t="s">
        <v>34810</v>
      </c>
      <c r="N2626" s="490" t="s">
        <v>34809</v>
      </c>
      <c r="O2626" s="490" t="s">
        <v>34811</v>
      </c>
      <c r="P2626" s="36" t="s">
        <v>28582</v>
      </c>
    </row>
    <row r="2627" spans="1:16">
      <c r="A2627" s="132">
        <v>2626</v>
      </c>
      <c r="B2627" s="36" t="s">
        <v>28584</v>
      </c>
      <c r="C2627" s="36" t="s">
        <v>28585</v>
      </c>
      <c r="D2627" s="36" t="s">
        <v>28586</v>
      </c>
      <c r="E2627" s="490" t="s">
        <v>34812</v>
      </c>
      <c r="F2627" s="490" t="s">
        <v>34813</v>
      </c>
      <c r="G2627" s="490" t="s">
        <v>34814</v>
      </c>
      <c r="H2627" s="490" t="s">
        <v>34815</v>
      </c>
      <c r="I2627" s="490" t="s">
        <v>34816</v>
      </c>
      <c r="J2627" s="490" t="s">
        <v>34817</v>
      </c>
      <c r="K2627" s="490" t="s">
        <v>34818</v>
      </c>
      <c r="L2627" s="490" t="s">
        <v>34819</v>
      </c>
      <c r="M2627" s="490" t="s">
        <v>34820</v>
      </c>
      <c r="N2627" s="490" t="s">
        <v>34820</v>
      </c>
      <c r="O2627" s="490" t="s">
        <v>34821</v>
      </c>
      <c r="P2627" s="36" t="s">
        <v>28584</v>
      </c>
    </row>
    <row r="2628" spans="1:16">
      <c r="A2628" s="132">
        <v>2627</v>
      </c>
      <c r="B2628" s="36" t="s">
        <v>28587</v>
      </c>
      <c r="C2628" s="36" t="s">
        <v>28588</v>
      </c>
      <c r="D2628" s="490" t="s">
        <v>34822</v>
      </c>
      <c r="E2628" s="490" t="s">
        <v>34823</v>
      </c>
      <c r="F2628" s="490" t="s">
        <v>34824</v>
      </c>
      <c r="G2628" s="490" t="s">
        <v>34825</v>
      </c>
      <c r="H2628" s="490" t="s">
        <v>34826</v>
      </c>
      <c r="I2628" s="490" t="s">
        <v>34827</v>
      </c>
      <c r="J2628" s="490" t="s">
        <v>34828</v>
      </c>
      <c r="K2628" s="490" t="s">
        <v>34829</v>
      </c>
      <c r="L2628" s="490" t="s">
        <v>34830</v>
      </c>
      <c r="M2628" s="490" t="s">
        <v>34831</v>
      </c>
      <c r="N2628" s="490" t="s">
        <v>34832</v>
      </c>
      <c r="O2628" s="490" t="s">
        <v>34833</v>
      </c>
      <c r="P2628" s="36" t="s">
        <v>28587</v>
      </c>
    </row>
    <row r="2629" spans="1:16">
      <c r="A2629" s="132">
        <v>2628</v>
      </c>
      <c r="B2629" s="36" t="s">
        <v>28589</v>
      </c>
      <c r="C2629" s="36" t="s">
        <v>28590</v>
      </c>
      <c r="D2629" s="36" t="s">
        <v>28591</v>
      </c>
      <c r="E2629" s="490" t="s">
        <v>19581</v>
      </c>
      <c r="F2629" s="490" t="s">
        <v>34834</v>
      </c>
      <c r="G2629" s="490" t="s">
        <v>34835</v>
      </c>
      <c r="H2629" s="490" t="s">
        <v>34836</v>
      </c>
      <c r="I2629" s="490" t="s">
        <v>34837</v>
      </c>
      <c r="J2629" s="490" t="s">
        <v>34838</v>
      </c>
      <c r="K2629" s="490" t="s">
        <v>34839</v>
      </c>
      <c r="L2629" s="490" t="s">
        <v>34840</v>
      </c>
      <c r="M2629" s="490" t="s">
        <v>34841</v>
      </c>
      <c r="N2629" s="490" t="s">
        <v>34842</v>
      </c>
      <c r="O2629" s="490" t="s">
        <v>34843</v>
      </c>
      <c r="P2629" s="36" t="s">
        <v>28589</v>
      </c>
    </row>
    <row r="2630" spans="1:16">
      <c r="A2630" s="132">
        <v>2629</v>
      </c>
      <c r="B2630" s="36" t="s">
        <v>28592</v>
      </c>
      <c r="C2630" s="36" t="s">
        <v>28593</v>
      </c>
      <c r="D2630" s="36" t="s">
        <v>28593</v>
      </c>
      <c r="E2630" s="490" t="s">
        <v>34844</v>
      </c>
      <c r="F2630" s="490" t="s">
        <v>34845</v>
      </c>
      <c r="G2630" s="490" t="s">
        <v>34846</v>
      </c>
      <c r="H2630" s="490" t="s">
        <v>34847</v>
      </c>
      <c r="I2630" s="490" t="s">
        <v>34848</v>
      </c>
      <c r="J2630" s="490" t="s">
        <v>34849</v>
      </c>
      <c r="K2630" s="490" t="s">
        <v>34850</v>
      </c>
      <c r="L2630" s="490" t="s">
        <v>34846</v>
      </c>
      <c r="M2630" s="490" t="s">
        <v>34851</v>
      </c>
      <c r="N2630" s="490" t="s">
        <v>34852</v>
      </c>
      <c r="O2630" s="490" t="s">
        <v>34850</v>
      </c>
      <c r="P2630" s="36" t="s">
        <v>28592</v>
      </c>
    </row>
    <row r="2631" spans="1:16">
      <c r="A2631" s="132">
        <v>2630</v>
      </c>
      <c r="B2631" s="36" t="s">
        <v>28594</v>
      </c>
      <c r="C2631" s="36" t="s">
        <v>28595</v>
      </c>
      <c r="D2631" s="490" t="s">
        <v>34853</v>
      </c>
      <c r="E2631" s="490" t="s">
        <v>34854</v>
      </c>
      <c r="F2631" s="490" t="s">
        <v>34855</v>
      </c>
      <c r="G2631" s="490" t="s">
        <v>22130</v>
      </c>
      <c r="H2631" s="490" t="s">
        <v>22131</v>
      </c>
      <c r="I2631" s="490" t="s">
        <v>34856</v>
      </c>
      <c r="J2631" s="490" t="s">
        <v>34857</v>
      </c>
      <c r="K2631" s="490" t="s">
        <v>34858</v>
      </c>
      <c r="L2631" s="490" t="s">
        <v>22135</v>
      </c>
      <c r="M2631" s="490" t="s">
        <v>22136</v>
      </c>
      <c r="N2631" s="490" t="s">
        <v>22137</v>
      </c>
      <c r="O2631" s="490" t="s">
        <v>22138</v>
      </c>
      <c r="P2631" s="36" t="s">
        <v>28594</v>
      </c>
    </row>
    <row r="2632" spans="1:16">
      <c r="A2632" s="132">
        <v>2631</v>
      </c>
      <c r="B2632" s="36" t="s">
        <v>28596</v>
      </c>
      <c r="C2632" s="36" t="s">
        <v>28597</v>
      </c>
      <c r="D2632" s="36" t="s">
        <v>28598</v>
      </c>
      <c r="E2632" s="490" t="s">
        <v>34859</v>
      </c>
      <c r="F2632" s="490" t="s">
        <v>34860</v>
      </c>
      <c r="G2632" s="490" t="s">
        <v>34861</v>
      </c>
      <c r="H2632" s="490" t="s">
        <v>34862</v>
      </c>
      <c r="I2632" s="491" t="s">
        <v>34863</v>
      </c>
      <c r="J2632" s="490" t="s">
        <v>34864</v>
      </c>
      <c r="K2632" s="490" t="s">
        <v>34865</v>
      </c>
      <c r="L2632" s="490" t="s">
        <v>34866</v>
      </c>
      <c r="M2632" s="490" t="s">
        <v>34867</v>
      </c>
      <c r="N2632" s="490" t="s">
        <v>34868</v>
      </c>
      <c r="O2632" s="490" t="s">
        <v>34869</v>
      </c>
      <c r="P2632" s="36" t="s">
        <v>28596</v>
      </c>
    </row>
    <row r="2633" spans="1:16">
      <c r="A2633" s="132">
        <v>2632</v>
      </c>
      <c r="B2633" s="36" t="s">
        <v>28599</v>
      </c>
      <c r="C2633" s="36" t="s">
        <v>28600</v>
      </c>
      <c r="D2633" s="36" t="s">
        <v>28601</v>
      </c>
      <c r="E2633" s="490" t="s">
        <v>34870</v>
      </c>
      <c r="F2633" s="490" t="s">
        <v>34871</v>
      </c>
      <c r="G2633" s="490" t="s">
        <v>34872</v>
      </c>
      <c r="H2633" s="490" t="s">
        <v>34873</v>
      </c>
      <c r="I2633" s="491" t="s">
        <v>34874</v>
      </c>
      <c r="J2633" s="490" t="s">
        <v>34875</v>
      </c>
      <c r="K2633" s="490" t="s">
        <v>34876</v>
      </c>
      <c r="L2633" s="490" t="s">
        <v>34877</v>
      </c>
      <c r="M2633" s="490" t="s">
        <v>34878</v>
      </c>
      <c r="N2633" s="490" t="s">
        <v>34879</v>
      </c>
      <c r="O2633" s="490" t="s">
        <v>34880</v>
      </c>
      <c r="P2633" s="36" t="s">
        <v>28599</v>
      </c>
    </row>
    <row r="2634" spans="1:16">
      <c r="A2634" s="132">
        <v>2633</v>
      </c>
      <c r="B2634" s="36" t="s">
        <v>28602</v>
      </c>
      <c r="C2634" s="36" t="s">
        <v>28603</v>
      </c>
      <c r="D2634" s="36" t="s">
        <v>28604</v>
      </c>
      <c r="E2634" s="490" t="s">
        <v>34881</v>
      </c>
      <c r="F2634" s="490" t="s">
        <v>34882</v>
      </c>
      <c r="G2634" s="490" t="s">
        <v>34883</v>
      </c>
      <c r="H2634" s="490" t="s">
        <v>34884</v>
      </c>
      <c r="I2634" s="491" t="s">
        <v>34885</v>
      </c>
      <c r="J2634" s="490" t="s">
        <v>34886</v>
      </c>
      <c r="K2634" s="490" t="s">
        <v>34887</v>
      </c>
      <c r="L2634" s="490" t="s">
        <v>34888</v>
      </c>
      <c r="M2634" s="490" t="s">
        <v>34889</v>
      </c>
      <c r="N2634" s="490" t="s">
        <v>34890</v>
      </c>
      <c r="O2634" s="490" t="s">
        <v>34891</v>
      </c>
      <c r="P2634" s="36" t="s">
        <v>28602</v>
      </c>
    </row>
    <row r="2635" spans="1:16">
      <c r="A2635" s="132">
        <v>2634</v>
      </c>
      <c r="B2635" s="36" t="s">
        <v>28605</v>
      </c>
      <c r="C2635" s="36" t="s">
        <v>28606</v>
      </c>
      <c r="D2635" s="36" t="s">
        <v>28607</v>
      </c>
      <c r="E2635" s="490" t="s">
        <v>34892</v>
      </c>
      <c r="F2635" s="490" t="s">
        <v>34893</v>
      </c>
      <c r="G2635" s="490" t="s">
        <v>34894</v>
      </c>
      <c r="H2635" s="490" t="s">
        <v>34895</v>
      </c>
      <c r="I2635" s="491" t="s">
        <v>34896</v>
      </c>
      <c r="J2635" s="490" t="s">
        <v>34897</v>
      </c>
      <c r="K2635" s="490" t="s">
        <v>34898</v>
      </c>
      <c r="L2635" s="490" t="s">
        <v>34899</v>
      </c>
      <c r="M2635" s="490" t="s">
        <v>34900</v>
      </c>
      <c r="N2635" s="490" t="s">
        <v>34901</v>
      </c>
      <c r="O2635" s="490" t="s">
        <v>34902</v>
      </c>
      <c r="P2635" s="36" t="s">
        <v>28605</v>
      </c>
    </row>
    <row r="2636" spans="1:16">
      <c r="A2636" s="132">
        <v>2635</v>
      </c>
      <c r="B2636" s="36" t="s">
        <v>28608</v>
      </c>
      <c r="C2636" s="36" t="s">
        <v>28609</v>
      </c>
      <c r="D2636" s="36" t="s">
        <v>28610</v>
      </c>
      <c r="E2636" s="490" t="s">
        <v>34903</v>
      </c>
      <c r="F2636" s="490" t="s">
        <v>34904</v>
      </c>
      <c r="G2636" s="490" t="s">
        <v>34905</v>
      </c>
      <c r="H2636" s="490" t="s">
        <v>34906</v>
      </c>
      <c r="I2636" s="491" t="s">
        <v>34907</v>
      </c>
      <c r="J2636" s="490" t="s">
        <v>34908</v>
      </c>
      <c r="K2636" s="490" t="s">
        <v>34909</v>
      </c>
      <c r="L2636" s="490" t="s">
        <v>34910</v>
      </c>
      <c r="M2636" s="490" t="s">
        <v>34911</v>
      </c>
      <c r="N2636" s="490" t="s">
        <v>34912</v>
      </c>
      <c r="O2636" s="490" t="s">
        <v>34913</v>
      </c>
      <c r="P2636" s="36" t="s">
        <v>28608</v>
      </c>
    </row>
    <row r="2637" spans="1:16">
      <c r="A2637" s="132">
        <v>2636</v>
      </c>
      <c r="B2637" s="36" t="s">
        <v>28611</v>
      </c>
      <c r="C2637" s="36" t="s">
        <v>28612</v>
      </c>
      <c r="D2637" s="36" t="s">
        <v>28613</v>
      </c>
      <c r="E2637" s="490" t="s">
        <v>34914</v>
      </c>
      <c r="F2637" s="490" t="s">
        <v>34915</v>
      </c>
      <c r="G2637" s="490" t="s">
        <v>34916</v>
      </c>
      <c r="H2637" s="490" t="s">
        <v>34917</v>
      </c>
      <c r="I2637" s="491" t="s">
        <v>34918</v>
      </c>
      <c r="J2637" s="490" t="s">
        <v>34919</v>
      </c>
      <c r="K2637" s="490" t="s">
        <v>34920</v>
      </c>
      <c r="L2637" s="490" t="s">
        <v>34921</v>
      </c>
      <c r="M2637" s="490" t="s">
        <v>34921</v>
      </c>
      <c r="N2637" s="490" t="s">
        <v>34921</v>
      </c>
      <c r="O2637" s="490" t="s">
        <v>34922</v>
      </c>
      <c r="P2637" s="36" t="s">
        <v>28611</v>
      </c>
    </row>
    <row r="2638" spans="1:16">
      <c r="A2638" s="132">
        <v>2637</v>
      </c>
      <c r="B2638" s="36" t="s">
        <v>28614</v>
      </c>
      <c r="C2638" s="36" t="s">
        <v>28615</v>
      </c>
      <c r="D2638" s="36" t="s">
        <v>28616</v>
      </c>
      <c r="E2638" s="490" t="s">
        <v>34923</v>
      </c>
      <c r="F2638" s="490" t="s">
        <v>34924</v>
      </c>
      <c r="G2638" s="490" t="s">
        <v>34925</v>
      </c>
      <c r="H2638" s="490" t="s">
        <v>34926</v>
      </c>
      <c r="I2638" s="491" t="s">
        <v>34927</v>
      </c>
      <c r="J2638" s="490" t="s">
        <v>34928</v>
      </c>
      <c r="K2638" s="490" t="s">
        <v>34929</v>
      </c>
      <c r="L2638" s="490" t="s">
        <v>34930</v>
      </c>
      <c r="M2638" s="490" t="s">
        <v>34931</v>
      </c>
      <c r="N2638" s="490" t="s">
        <v>34932</v>
      </c>
      <c r="O2638" s="490" t="s">
        <v>34933</v>
      </c>
      <c r="P2638" s="36" t="s">
        <v>28614</v>
      </c>
    </row>
    <row r="2639" spans="1:16">
      <c r="A2639" s="132">
        <v>2638</v>
      </c>
      <c r="B2639" s="36" t="s">
        <v>28617</v>
      </c>
      <c r="C2639" s="36" t="s">
        <v>28618</v>
      </c>
      <c r="D2639" s="36" t="s">
        <v>28619</v>
      </c>
      <c r="E2639" s="490" t="s">
        <v>34934</v>
      </c>
      <c r="F2639" s="490" t="s">
        <v>34935</v>
      </c>
      <c r="G2639" s="490" t="s">
        <v>34936</v>
      </c>
      <c r="H2639" s="490" t="s">
        <v>34937</v>
      </c>
      <c r="I2639" s="491" t="s">
        <v>34938</v>
      </c>
      <c r="J2639" s="490" t="s">
        <v>34939</v>
      </c>
      <c r="K2639" s="490" t="s">
        <v>34940</v>
      </c>
      <c r="L2639" s="490" t="s">
        <v>34941</v>
      </c>
      <c r="M2639" s="490" t="s">
        <v>34941</v>
      </c>
      <c r="N2639" s="490" t="s">
        <v>34941</v>
      </c>
      <c r="O2639" s="490" t="s">
        <v>34942</v>
      </c>
      <c r="P2639" s="36" t="s">
        <v>28617</v>
      </c>
    </row>
    <row r="2640" spans="1:16">
      <c r="A2640" s="132">
        <v>2639</v>
      </c>
      <c r="B2640" s="36" t="s">
        <v>28620</v>
      </c>
      <c r="C2640" s="36" t="s">
        <v>28621</v>
      </c>
      <c r="D2640" s="36" t="s">
        <v>28622</v>
      </c>
      <c r="E2640" s="490" t="s">
        <v>34943</v>
      </c>
      <c r="F2640" s="490" t="s">
        <v>34944</v>
      </c>
      <c r="G2640" s="490" t="s">
        <v>34945</v>
      </c>
      <c r="H2640" s="490" t="s">
        <v>34946</v>
      </c>
      <c r="I2640" s="491" t="s">
        <v>34947</v>
      </c>
      <c r="J2640" s="490" t="s">
        <v>34948</v>
      </c>
      <c r="K2640" s="490" t="s">
        <v>34949</v>
      </c>
      <c r="L2640" s="490" t="s">
        <v>34950</v>
      </c>
      <c r="M2640" s="490" t="s">
        <v>34951</v>
      </c>
      <c r="N2640" s="490" t="s">
        <v>34952</v>
      </c>
      <c r="O2640" s="490" t="s">
        <v>34953</v>
      </c>
      <c r="P2640" s="36" t="s">
        <v>28620</v>
      </c>
    </row>
    <row r="2641" spans="1:16">
      <c r="A2641" s="132">
        <v>2640</v>
      </c>
      <c r="B2641" s="36" t="s">
        <v>28623</v>
      </c>
      <c r="C2641" s="36" t="s">
        <v>28624</v>
      </c>
      <c r="D2641" s="36" t="s">
        <v>28625</v>
      </c>
      <c r="E2641" s="490" t="s">
        <v>34954</v>
      </c>
      <c r="F2641" s="490" t="s">
        <v>34955</v>
      </c>
      <c r="G2641" s="490" t="s">
        <v>34956</v>
      </c>
      <c r="H2641" s="490" t="s">
        <v>34957</v>
      </c>
      <c r="I2641" s="491" t="s">
        <v>34958</v>
      </c>
      <c r="J2641" s="490" t="s">
        <v>34959</v>
      </c>
      <c r="K2641" s="490" t="s">
        <v>34960</v>
      </c>
      <c r="L2641" s="490" t="s">
        <v>34961</v>
      </c>
      <c r="M2641" s="490" t="s">
        <v>34962</v>
      </c>
      <c r="N2641" s="490" t="s">
        <v>34963</v>
      </c>
      <c r="O2641" s="490" t="s">
        <v>34964</v>
      </c>
      <c r="P2641" s="36" t="s">
        <v>28623</v>
      </c>
    </row>
    <row r="2642" spans="1:16">
      <c r="A2642" s="132">
        <v>2641</v>
      </c>
      <c r="B2642" s="36" t="s">
        <v>28626</v>
      </c>
      <c r="C2642" s="36" t="s">
        <v>28627</v>
      </c>
      <c r="D2642" s="36" t="s">
        <v>28628</v>
      </c>
      <c r="E2642" s="490" t="s">
        <v>34965</v>
      </c>
      <c r="F2642" s="490" t="s">
        <v>34966</v>
      </c>
      <c r="G2642" s="490" t="s">
        <v>34967</v>
      </c>
      <c r="H2642" s="490" t="s">
        <v>34968</v>
      </c>
      <c r="I2642" s="491" t="s">
        <v>34966</v>
      </c>
      <c r="J2642" s="490" t="s">
        <v>34969</v>
      </c>
      <c r="K2642" s="490" t="s">
        <v>34970</v>
      </c>
      <c r="L2642" s="490" t="s">
        <v>34971</v>
      </c>
      <c r="M2642" s="490" t="s">
        <v>34972</v>
      </c>
      <c r="N2642" s="490" t="s">
        <v>34973</v>
      </c>
      <c r="O2642" s="490" t="s">
        <v>34970</v>
      </c>
      <c r="P2642" s="36" t="s">
        <v>28626</v>
      </c>
    </row>
    <row r="2643" spans="1:16">
      <c r="A2643" s="132">
        <v>2642</v>
      </c>
      <c r="B2643" s="491" t="s">
        <v>28629</v>
      </c>
      <c r="C2643" s="36" t="s">
        <v>28630</v>
      </c>
      <c r="D2643" s="490" t="s">
        <v>34974</v>
      </c>
      <c r="E2643" s="490" t="s">
        <v>34975</v>
      </c>
      <c r="F2643" s="490" t="s">
        <v>34976</v>
      </c>
      <c r="G2643" s="490" t="s">
        <v>34977</v>
      </c>
      <c r="H2643" s="490" t="s">
        <v>34978</v>
      </c>
      <c r="I2643" s="490" t="s">
        <v>34976</v>
      </c>
      <c r="J2643" s="490" t="s">
        <v>34979</v>
      </c>
      <c r="K2643" s="490" t="s">
        <v>34980</v>
      </c>
      <c r="L2643" s="490" t="s">
        <v>34981</v>
      </c>
      <c r="M2643" s="490" t="s">
        <v>34982</v>
      </c>
      <c r="N2643" s="490" t="s">
        <v>34983</v>
      </c>
      <c r="O2643" s="490" t="s">
        <v>34984</v>
      </c>
      <c r="P2643" s="36" t="s">
        <v>28629</v>
      </c>
    </row>
    <row r="2644" spans="1:16">
      <c r="A2644" s="132">
        <v>2643</v>
      </c>
      <c r="B2644" s="36" t="s">
        <v>28631</v>
      </c>
      <c r="C2644" s="36" t="s">
        <v>28632</v>
      </c>
      <c r="D2644" s="36" t="s">
        <v>28633</v>
      </c>
      <c r="E2644" s="490" t="s">
        <v>34985</v>
      </c>
      <c r="F2644" s="490" t="s">
        <v>34986</v>
      </c>
      <c r="G2644" s="490" t="s">
        <v>34987</v>
      </c>
      <c r="H2644" s="490" t="s">
        <v>34988</v>
      </c>
      <c r="I2644" s="490" t="s">
        <v>34989</v>
      </c>
      <c r="J2644" s="490" t="s">
        <v>34990</v>
      </c>
      <c r="K2644" s="490" t="s">
        <v>34991</v>
      </c>
      <c r="L2644" s="490" t="s">
        <v>34992</v>
      </c>
      <c r="M2644" s="490" t="s">
        <v>34993</v>
      </c>
      <c r="N2644" s="490" t="s">
        <v>34994</v>
      </c>
      <c r="O2644" s="490" t="s">
        <v>34995</v>
      </c>
      <c r="P2644" s="36" t="s">
        <v>28631</v>
      </c>
    </row>
    <row r="2645" spans="1:16">
      <c r="A2645" s="132">
        <v>2644</v>
      </c>
      <c r="B2645" s="36" t="s">
        <v>28634</v>
      </c>
      <c r="C2645" s="36" t="s">
        <v>28635</v>
      </c>
      <c r="D2645" s="490" t="s">
        <v>34996</v>
      </c>
      <c r="E2645" s="490" t="s">
        <v>34997</v>
      </c>
      <c r="F2645" s="490" t="s">
        <v>34998</v>
      </c>
      <c r="G2645" s="490" t="s">
        <v>34999</v>
      </c>
      <c r="H2645" s="490" t="s">
        <v>35000</v>
      </c>
      <c r="I2645" s="490" t="s">
        <v>34998</v>
      </c>
      <c r="J2645" s="490" t="s">
        <v>35001</v>
      </c>
      <c r="K2645" s="490" t="s">
        <v>35002</v>
      </c>
      <c r="L2645" s="490" t="s">
        <v>35003</v>
      </c>
      <c r="M2645" s="490" t="s">
        <v>35004</v>
      </c>
      <c r="N2645" s="490" t="s">
        <v>35005</v>
      </c>
      <c r="O2645" s="490" t="s">
        <v>35002</v>
      </c>
      <c r="P2645" s="36" t="s">
        <v>28634</v>
      </c>
    </row>
    <row r="2646" spans="1:16">
      <c r="A2646" s="132">
        <v>2645</v>
      </c>
      <c r="B2646" s="36" t="s">
        <v>28636</v>
      </c>
      <c r="C2646" s="36" t="s">
        <v>28024</v>
      </c>
      <c r="D2646" s="36" t="s">
        <v>28637</v>
      </c>
      <c r="E2646" s="490" t="s">
        <v>35006</v>
      </c>
      <c r="F2646" s="490" t="s">
        <v>35007</v>
      </c>
      <c r="G2646" s="490" t="s">
        <v>35008</v>
      </c>
      <c r="H2646" s="490" t="s">
        <v>35009</v>
      </c>
      <c r="I2646" s="490" t="s">
        <v>35010</v>
      </c>
      <c r="J2646" s="490" t="s">
        <v>35011</v>
      </c>
      <c r="K2646" s="490" t="s">
        <v>35012</v>
      </c>
      <c r="L2646" s="490" t="s">
        <v>35013</v>
      </c>
      <c r="M2646" s="490" t="s">
        <v>35014</v>
      </c>
      <c r="N2646" s="490" t="s">
        <v>35015</v>
      </c>
      <c r="O2646" s="490" t="s">
        <v>35016</v>
      </c>
      <c r="P2646" s="36" t="s">
        <v>28636</v>
      </c>
    </row>
    <row r="2647" spans="1:16">
      <c r="A2647" s="132">
        <v>2646</v>
      </c>
      <c r="B2647" s="36" t="s">
        <v>28638</v>
      </c>
      <c r="C2647" s="36" t="s">
        <v>28639</v>
      </c>
      <c r="D2647" s="36" t="s">
        <v>28640</v>
      </c>
      <c r="E2647" s="490" t="s">
        <v>35017</v>
      </c>
      <c r="F2647" s="490" t="s">
        <v>35018</v>
      </c>
      <c r="G2647" s="490" t="s">
        <v>35019</v>
      </c>
      <c r="H2647" s="490" t="s">
        <v>35020</v>
      </c>
      <c r="I2647" s="490" t="s">
        <v>35021</v>
      </c>
      <c r="J2647" s="490" t="s">
        <v>35022</v>
      </c>
      <c r="K2647" s="490" t="s">
        <v>35023</v>
      </c>
      <c r="L2647" s="490" t="s">
        <v>35024</v>
      </c>
      <c r="M2647" s="490" t="s">
        <v>35025</v>
      </c>
      <c r="N2647" s="490" t="s">
        <v>35026</v>
      </c>
      <c r="O2647" s="490" t="s">
        <v>35027</v>
      </c>
      <c r="P2647" s="36" t="s">
        <v>28638</v>
      </c>
    </row>
    <row r="2648" spans="1:16">
      <c r="A2648" s="132">
        <v>2647</v>
      </c>
      <c r="B2648" s="36" t="s">
        <v>28641</v>
      </c>
      <c r="C2648" s="36" t="s">
        <v>28642</v>
      </c>
      <c r="D2648" s="36" t="s">
        <v>28643</v>
      </c>
      <c r="E2648" s="490" t="s">
        <v>35028</v>
      </c>
      <c r="F2648" s="490" t="s">
        <v>35029</v>
      </c>
      <c r="G2648" s="490" t="s">
        <v>35030</v>
      </c>
      <c r="H2648" s="490" t="s">
        <v>35031</v>
      </c>
      <c r="I2648" s="490" t="s">
        <v>35032</v>
      </c>
      <c r="J2648" s="490" t="s">
        <v>35033</v>
      </c>
      <c r="K2648" s="490" t="s">
        <v>35034</v>
      </c>
      <c r="L2648" s="490" t="s">
        <v>35035</v>
      </c>
      <c r="M2648" s="490" t="s">
        <v>35036</v>
      </c>
      <c r="N2648" s="490" t="s">
        <v>35037</v>
      </c>
      <c r="O2648" s="490" t="s">
        <v>35038</v>
      </c>
      <c r="P2648" s="36" t="s">
        <v>28641</v>
      </c>
    </row>
    <row r="2649" spans="1:16">
      <c r="A2649" s="132">
        <v>2648</v>
      </c>
      <c r="B2649" s="36" t="s">
        <v>28644</v>
      </c>
      <c r="C2649" s="36" t="s">
        <v>28645</v>
      </c>
      <c r="D2649" s="490" t="s">
        <v>35039</v>
      </c>
      <c r="E2649" s="490" t="s">
        <v>35040</v>
      </c>
      <c r="F2649" s="490" t="s">
        <v>35041</v>
      </c>
      <c r="G2649" s="490" t="s">
        <v>35042</v>
      </c>
      <c r="H2649" s="490" t="s">
        <v>35043</v>
      </c>
      <c r="I2649" s="490" t="s">
        <v>35044</v>
      </c>
      <c r="J2649" s="490" t="s">
        <v>35045</v>
      </c>
      <c r="K2649" s="490" t="s">
        <v>35046</v>
      </c>
      <c r="L2649" s="490" t="s">
        <v>35047</v>
      </c>
      <c r="M2649" s="490" t="s">
        <v>35048</v>
      </c>
      <c r="N2649" s="490" t="s">
        <v>35049</v>
      </c>
      <c r="O2649" s="490" t="s">
        <v>35050</v>
      </c>
      <c r="P2649" s="36" t="s">
        <v>28644</v>
      </c>
    </row>
    <row r="2650" spans="1:16">
      <c r="A2650" s="132">
        <v>2649</v>
      </c>
      <c r="B2650" s="36" t="s">
        <v>28646</v>
      </c>
      <c r="C2650" s="36" t="s">
        <v>28647</v>
      </c>
      <c r="D2650" s="36" t="s">
        <v>28648</v>
      </c>
      <c r="E2650" s="490" t="s">
        <v>35051</v>
      </c>
      <c r="F2650" s="490" t="s">
        <v>35052</v>
      </c>
      <c r="G2650" s="490" t="s">
        <v>35053</v>
      </c>
      <c r="H2650" s="490" t="s">
        <v>35054</v>
      </c>
      <c r="I2650" s="490" t="s">
        <v>35055</v>
      </c>
      <c r="J2650" s="490" t="s">
        <v>35056</v>
      </c>
      <c r="K2650" s="490" t="s">
        <v>35057</v>
      </c>
      <c r="L2650" s="490" t="s">
        <v>35058</v>
      </c>
      <c r="M2650" s="490" t="s">
        <v>35059</v>
      </c>
      <c r="N2650" s="490" t="s">
        <v>35060</v>
      </c>
      <c r="O2650" s="490" t="s">
        <v>35061</v>
      </c>
      <c r="P2650" s="36" t="s">
        <v>28646</v>
      </c>
    </row>
    <row r="2651" spans="1:16">
      <c r="A2651" s="132">
        <v>2650</v>
      </c>
      <c r="B2651" s="36" t="s">
        <v>28649</v>
      </c>
      <c r="C2651" s="36" t="s">
        <v>28650</v>
      </c>
      <c r="D2651" s="36" t="s">
        <v>28651</v>
      </c>
      <c r="E2651" s="490" t="s">
        <v>35062</v>
      </c>
      <c r="F2651" s="490" t="s">
        <v>35063</v>
      </c>
      <c r="G2651" s="490" t="s">
        <v>35064</v>
      </c>
      <c r="H2651" s="490" t="s">
        <v>35065</v>
      </c>
      <c r="I2651" s="490" t="s">
        <v>35066</v>
      </c>
      <c r="J2651" s="490" t="s">
        <v>35067</v>
      </c>
      <c r="K2651" s="490" t="s">
        <v>35068</v>
      </c>
      <c r="L2651" s="490" t="s">
        <v>35069</v>
      </c>
      <c r="M2651" s="490" t="s">
        <v>35070</v>
      </c>
      <c r="N2651" s="490" t="s">
        <v>35071</v>
      </c>
      <c r="O2651" s="490" t="s">
        <v>35072</v>
      </c>
      <c r="P2651" s="36" t="s">
        <v>28649</v>
      </c>
    </row>
    <row r="2652" spans="1:16">
      <c r="A2652" s="132">
        <v>2651</v>
      </c>
      <c r="B2652" s="36" t="s">
        <v>28652</v>
      </c>
      <c r="C2652" s="36" t="s">
        <v>28653</v>
      </c>
      <c r="D2652" s="36" t="s">
        <v>28654</v>
      </c>
      <c r="E2652" s="490" t="s">
        <v>35073</v>
      </c>
      <c r="F2652" s="490" t="s">
        <v>35074</v>
      </c>
      <c r="G2652" s="490" t="s">
        <v>35075</v>
      </c>
      <c r="H2652" s="490" t="s">
        <v>35076</v>
      </c>
      <c r="I2652" s="490" t="s">
        <v>35077</v>
      </c>
      <c r="J2652" s="490" t="s">
        <v>35078</v>
      </c>
      <c r="K2652" s="490" t="s">
        <v>35079</v>
      </c>
      <c r="L2652" s="490" t="s">
        <v>35080</v>
      </c>
      <c r="M2652" s="490" t="s">
        <v>35081</v>
      </c>
      <c r="N2652" s="490" t="s">
        <v>35082</v>
      </c>
      <c r="O2652" s="490" t="s">
        <v>35079</v>
      </c>
      <c r="P2652" s="36" t="s">
        <v>28652</v>
      </c>
    </row>
    <row r="2653" spans="1:16">
      <c r="A2653" s="132">
        <v>2652</v>
      </c>
      <c r="B2653" s="36" t="s">
        <v>28655</v>
      </c>
      <c r="C2653" s="36" t="s">
        <v>28656</v>
      </c>
      <c r="D2653" s="36" t="s">
        <v>28657</v>
      </c>
      <c r="E2653" s="490" t="s">
        <v>35083</v>
      </c>
      <c r="F2653" s="490" t="s">
        <v>35084</v>
      </c>
      <c r="G2653" s="490" t="s">
        <v>35085</v>
      </c>
      <c r="H2653" s="490" t="s">
        <v>35086</v>
      </c>
      <c r="I2653" s="490" t="s">
        <v>35087</v>
      </c>
      <c r="J2653" s="490" t="s">
        <v>35088</v>
      </c>
      <c r="K2653" s="490" t="s">
        <v>35089</v>
      </c>
      <c r="L2653" s="490" t="s">
        <v>35090</v>
      </c>
      <c r="M2653" s="490" t="s">
        <v>35091</v>
      </c>
      <c r="N2653" s="490" t="s">
        <v>35092</v>
      </c>
      <c r="O2653" s="490" t="s">
        <v>35093</v>
      </c>
      <c r="P2653" s="36" t="s">
        <v>28655</v>
      </c>
    </row>
    <row r="2654" spans="1:16">
      <c r="A2654" s="132">
        <v>2653</v>
      </c>
      <c r="B2654" s="36" t="s">
        <v>28658</v>
      </c>
      <c r="C2654" s="36" t="s">
        <v>28658</v>
      </c>
      <c r="D2654" s="36" t="s">
        <v>28658</v>
      </c>
      <c r="E2654" s="36" t="s">
        <v>28658</v>
      </c>
      <c r="F2654" s="36" t="s">
        <v>28658</v>
      </c>
      <c r="G2654" s="36" t="s">
        <v>28658</v>
      </c>
      <c r="H2654" s="36" t="s">
        <v>28658</v>
      </c>
      <c r="I2654" s="36" t="s">
        <v>28658</v>
      </c>
      <c r="J2654" s="36" t="s">
        <v>28658</v>
      </c>
      <c r="K2654" s="36" t="s">
        <v>28658</v>
      </c>
      <c r="L2654" s="36" t="s">
        <v>28658</v>
      </c>
      <c r="M2654" s="36" t="s">
        <v>28658</v>
      </c>
      <c r="N2654" s="36" t="s">
        <v>28658</v>
      </c>
      <c r="O2654" s="36" t="s">
        <v>28658</v>
      </c>
      <c r="P2654" s="36" t="s">
        <v>28658</v>
      </c>
    </row>
    <row r="2655" spans="1:16">
      <c r="A2655" s="132">
        <v>2654</v>
      </c>
      <c r="B2655" s="36" t="s">
        <v>28659</v>
      </c>
      <c r="C2655" s="36" t="s">
        <v>28660</v>
      </c>
      <c r="D2655" s="36" t="s">
        <v>28661</v>
      </c>
      <c r="E2655" s="490" t="s">
        <v>35094</v>
      </c>
      <c r="F2655" s="490" t="s">
        <v>35095</v>
      </c>
      <c r="G2655" s="490" t="s">
        <v>35096</v>
      </c>
      <c r="H2655" s="490" t="s">
        <v>35095</v>
      </c>
      <c r="I2655" s="490" t="s">
        <v>35095</v>
      </c>
      <c r="J2655" s="490" t="s">
        <v>35097</v>
      </c>
      <c r="K2655" s="490" t="s">
        <v>35095</v>
      </c>
      <c r="L2655" s="490" t="s">
        <v>35095</v>
      </c>
      <c r="M2655" s="490" t="s">
        <v>35095</v>
      </c>
      <c r="N2655" s="490" t="s">
        <v>35098</v>
      </c>
      <c r="O2655" s="491" t="s">
        <v>35095</v>
      </c>
      <c r="P2655" s="36" t="s">
        <v>28659</v>
      </c>
    </row>
    <row r="2656" spans="1:16">
      <c r="A2656" s="132">
        <v>2655</v>
      </c>
      <c r="B2656" s="36" t="s">
        <v>28662</v>
      </c>
      <c r="C2656" s="36" t="s">
        <v>28663</v>
      </c>
      <c r="D2656" s="490" t="s">
        <v>35099</v>
      </c>
      <c r="E2656" s="490" t="s">
        <v>35100</v>
      </c>
      <c r="F2656" s="490" t="s">
        <v>35101</v>
      </c>
      <c r="G2656" s="490" t="s">
        <v>35102</v>
      </c>
      <c r="H2656" s="490" t="s">
        <v>35103</v>
      </c>
      <c r="I2656" s="490" t="s">
        <v>35104</v>
      </c>
      <c r="J2656" s="490" t="s">
        <v>35105</v>
      </c>
      <c r="K2656" s="490" t="s">
        <v>35106</v>
      </c>
      <c r="L2656" s="490" t="s">
        <v>35107</v>
      </c>
      <c r="M2656" s="490" t="s">
        <v>35107</v>
      </c>
      <c r="N2656" s="490" t="s">
        <v>35107</v>
      </c>
      <c r="O2656" s="491" t="s">
        <v>35108</v>
      </c>
      <c r="P2656" s="36" t="s">
        <v>28662</v>
      </c>
    </row>
    <row r="2657" spans="1:16">
      <c r="A2657" s="132">
        <v>2656</v>
      </c>
      <c r="B2657" s="36" t="s">
        <v>28666</v>
      </c>
      <c r="C2657" s="36" t="s">
        <v>28664</v>
      </c>
      <c r="D2657" s="36" t="s">
        <v>28665</v>
      </c>
      <c r="E2657" s="490" t="s">
        <v>35109</v>
      </c>
      <c r="F2657" s="490" t="s">
        <v>35110</v>
      </c>
      <c r="G2657" s="490" t="s">
        <v>35111</v>
      </c>
      <c r="H2657" s="490" t="s">
        <v>35112</v>
      </c>
      <c r="I2657" s="490" t="s">
        <v>35110</v>
      </c>
      <c r="J2657" s="490" t="s">
        <v>35113</v>
      </c>
      <c r="K2657" s="490" t="s">
        <v>35114</v>
      </c>
      <c r="L2657" s="490" t="s">
        <v>35113</v>
      </c>
      <c r="M2657" s="490" t="s">
        <v>28665</v>
      </c>
      <c r="N2657" s="490" t="s">
        <v>35115</v>
      </c>
      <c r="O2657" s="491" t="s">
        <v>35116</v>
      </c>
      <c r="P2657" s="36" t="s">
        <v>28666</v>
      </c>
    </row>
    <row r="2658" spans="1:16">
      <c r="A2658" s="132">
        <v>2657</v>
      </c>
      <c r="B2658" s="36" t="s">
        <v>28667</v>
      </c>
      <c r="C2658" s="36" t="s">
        <v>28668</v>
      </c>
      <c r="D2658" s="36" t="s">
        <v>28669</v>
      </c>
      <c r="E2658" s="490" t="s">
        <v>35117</v>
      </c>
      <c r="F2658" s="490" t="s">
        <v>35118</v>
      </c>
      <c r="G2658" s="490" t="s">
        <v>35119</v>
      </c>
      <c r="H2658" s="490" t="s">
        <v>35120</v>
      </c>
      <c r="I2658" s="490" t="s">
        <v>35121</v>
      </c>
      <c r="J2658" s="490" t="s">
        <v>35122</v>
      </c>
      <c r="K2658" s="490" t="s">
        <v>35123</v>
      </c>
      <c r="L2658" s="490" t="s">
        <v>35124</v>
      </c>
      <c r="M2658" s="490" t="s">
        <v>35125</v>
      </c>
      <c r="N2658" s="490" t="s">
        <v>35126</v>
      </c>
      <c r="O2658" s="491" t="s">
        <v>35127</v>
      </c>
      <c r="P2658" s="36" t="s">
        <v>28667</v>
      </c>
    </row>
    <row r="2659" spans="1:16">
      <c r="A2659" s="132">
        <v>2658</v>
      </c>
      <c r="B2659" s="36" t="s">
        <v>28670</v>
      </c>
      <c r="C2659" s="36" t="s">
        <v>28671</v>
      </c>
      <c r="D2659" s="36" t="s">
        <v>28672</v>
      </c>
      <c r="E2659" s="490" t="s">
        <v>35128</v>
      </c>
      <c r="F2659" s="490" t="s">
        <v>35129</v>
      </c>
      <c r="G2659" s="490" t="s">
        <v>35130</v>
      </c>
      <c r="H2659" s="490" t="s">
        <v>35131</v>
      </c>
      <c r="I2659" s="490" t="s">
        <v>35132</v>
      </c>
      <c r="J2659" s="490" t="s">
        <v>35133</v>
      </c>
      <c r="K2659" s="490" t="s">
        <v>35134</v>
      </c>
      <c r="L2659" s="490" t="s">
        <v>35135</v>
      </c>
      <c r="M2659" s="490" t="s">
        <v>35136</v>
      </c>
      <c r="N2659" s="490" t="s">
        <v>35137</v>
      </c>
      <c r="O2659" s="491" t="s">
        <v>35138</v>
      </c>
      <c r="P2659" s="36" t="s">
        <v>28670</v>
      </c>
    </row>
    <row r="2660" spans="1:16">
      <c r="A2660" s="132">
        <v>2659</v>
      </c>
      <c r="B2660" s="36" t="s">
        <v>28673</v>
      </c>
      <c r="C2660" s="36" t="s">
        <v>28674</v>
      </c>
      <c r="D2660" s="491" t="s">
        <v>35139</v>
      </c>
      <c r="E2660" s="490" t="s">
        <v>35140</v>
      </c>
      <c r="F2660" s="490" t="s">
        <v>35141</v>
      </c>
      <c r="G2660" s="490" t="s">
        <v>35142</v>
      </c>
      <c r="H2660" s="490" t="s">
        <v>35143</v>
      </c>
      <c r="I2660" s="490" t="s">
        <v>35144</v>
      </c>
      <c r="J2660" s="490" t="s">
        <v>35145</v>
      </c>
      <c r="K2660" s="490" t="s">
        <v>35146</v>
      </c>
      <c r="L2660" s="490" t="s">
        <v>35147</v>
      </c>
      <c r="M2660" s="490" t="s">
        <v>35148</v>
      </c>
      <c r="N2660" s="490" t="s">
        <v>35149</v>
      </c>
      <c r="O2660" s="491" t="s">
        <v>35150</v>
      </c>
      <c r="P2660" s="36" t="s">
        <v>28673</v>
      </c>
    </row>
    <row r="2661" spans="1:16">
      <c r="A2661" s="132">
        <v>2660</v>
      </c>
      <c r="B2661" s="36" t="s">
        <v>28675</v>
      </c>
      <c r="C2661" s="36" t="s">
        <v>28676</v>
      </c>
      <c r="D2661" s="491" t="s">
        <v>35151</v>
      </c>
      <c r="E2661" s="490" t="s">
        <v>35152</v>
      </c>
      <c r="F2661" s="490" t="s">
        <v>35153</v>
      </c>
      <c r="G2661" s="490" t="s">
        <v>35154</v>
      </c>
      <c r="H2661" s="490" t="s">
        <v>35155</v>
      </c>
      <c r="I2661" s="490" t="s">
        <v>35156</v>
      </c>
      <c r="J2661" s="490" t="s">
        <v>35157</v>
      </c>
      <c r="K2661" s="490" t="s">
        <v>35158</v>
      </c>
      <c r="L2661" s="490" t="s">
        <v>35159</v>
      </c>
      <c r="M2661" s="490" t="s">
        <v>35160</v>
      </c>
      <c r="N2661" s="490" t="s">
        <v>35161</v>
      </c>
      <c r="O2661" s="491" t="s">
        <v>35162</v>
      </c>
      <c r="P2661" s="36" t="s">
        <v>28675</v>
      </c>
    </row>
    <row r="2662" spans="1:16">
      <c r="A2662" s="132">
        <v>2661</v>
      </c>
      <c r="B2662" s="36" t="s">
        <v>28677</v>
      </c>
      <c r="C2662" s="36" t="s">
        <v>28678</v>
      </c>
      <c r="D2662" s="491" t="s">
        <v>35163</v>
      </c>
      <c r="E2662" s="490" t="s">
        <v>35164</v>
      </c>
      <c r="F2662" s="490" t="s">
        <v>35165</v>
      </c>
      <c r="G2662" s="490" t="s">
        <v>35166</v>
      </c>
      <c r="H2662" s="490" t="s">
        <v>35167</v>
      </c>
      <c r="I2662" s="490" t="s">
        <v>35165</v>
      </c>
      <c r="J2662" s="490" t="s">
        <v>35168</v>
      </c>
      <c r="K2662" s="490" t="s">
        <v>35169</v>
      </c>
      <c r="L2662" s="490" t="s">
        <v>35170</v>
      </c>
      <c r="M2662" s="490" t="s">
        <v>35171</v>
      </c>
      <c r="N2662" s="490" t="s">
        <v>35172</v>
      </c>
      <c r="O2662" s="491" t="s">
        <v>35173</v>
      </c>
      <c r="P2662" s="36" t="s">
        <v>28677</v>
      </c>
    </row>
    <row r="2663" spans="1:16">
      <c r="A2663" s="132">
        <v>2662</v>
      </c>
      <c r="B2663" s="36" t="s">
        <v>28679</v>
      </c>
      <c r="C2663" s="36" t="s">
        <v>28680</v>
      </c>
      <c r="D2663" s="36" t="s">
        <v>28681</v>
      </c>
      <c r="E2663" s="490" t="s">
        <v>35174</v>
      </c>
      <c r="F2663" s="490" t="s">
        <v>35175</v>
      </c>
      <c r="G2663" s="490" t="s">
        <v>35176</v>
      </c>
      <c r="H2663" s="490" t="s">
        <v>35177</v>
      </c>
      <c r="I2663" s="490" t="s">
        <v>35175</v>
      </c>
      <c r="J2663" s="490" t="s">
        <v>35178</v>
      </c>
      <c r="K2663" s="490" t="s">
        <v>35179</v>
      </c>
      <c r="L2663" s="490" t="s">
        <v>35180</v>
      </c>
      <c r="M2663" s="490" t="s">
        <v>35181</v>
      </c>
      <c r="N2663" s="490" t="s">
        <v>35182</v>
      </c>
      <c r="O2663" s="491" t="s">
        <v>35183</v>
      </c>
      <c r="P2663" s="36" t="s">
        <v>28679</v>
      </c>
    </row>
    <row r="2664" spans="1:16">
      <c r="A2664" s="132">
        <v>2663</v>
      </c>
      <c r="B2664" s="36" t="s">
        <v>28682</v>
      </c>
      <c r="C2664" s="36" t="s">
        <v>28683</v>
      </c>
      <c r="D2664" s="36" t="s">
        <v>28684</v>
      </c>
      <c r="E2664" s="490" t="s">
        <v>35184</v>
      </c>
      <c r="F2664" s="490" t="s">
        <v>35185</v>
      </c>
      <c r="G2664" s="490" t="s">
        <v>35186</v>
      </c>
      <c r="H2664" s="490" t="s">
        <v>35187</v>
      </c>
      <c r="I2664" s="490" t="s">
        <v>35188</v>
      </c>
      <c r="J2664" s="490" t="s">
        <v>35189</v>
      </c>
      <c r="K2664" s="490" t="s">
        <v>35190</v>
      </c>
      <c r="L2664" s="490" t="s">
        <v>35191</v>
      </c>
      <c r="M2664" s="490" t="s">
        <v>35192</v>
      </c>
      <c r="N2664" s="490" t="s">
        <v>35193</v>
      </c>
      <c r="O2664" s="491" t="s">
        <v>35194</v>
      </c>
      <c r="P2664" s="36" t="s">
        <v>28682</v>
      </c>
    </row>
    <row r="2665" spans="1:16">
      <c r="A2665" s="132">
        <v>2664</v>
      </c>
      <c r="B2665" s="36" t="s">
        <v>28685</v>
      </c>
      <c r="C2665" s="36" t="s">
        <v>28686</v>
      </c>
      <c r="D2665" s="36" t="s">
        <v>28687</v>
      </c>
      <c r="E2665" s="490" t="s">
        <v>35195</v>
      </c>
      <c r="F2665" s="490" t="s">
        <v>35196</v>
      </c>
      <c r="G2665" s="490" t="s">
        <v>35197</v>
      </c>
      <c r="H2665" s="490" t="s">
        <v>35198</v>
      </c>
      <c r="I2665" s="490" t="s">
        <v>35196</v>
      </c>
      <c r="J2665" s="490" t="s">
        <v>35199</v>
      </c>
      <c r="K2665" s="490" t="s">
        <v>35200</v>
      </c>
      <c r="L2665" s="490" t="s">
        <v>35201</v>
      </c>
      <c r="M2665" s="490" t="s">
        <v>35201</v>
      </c>
      <c r="N2665" s="490" t="s">
        <v>35201</v>
      </c>
      <c r="O2665" s="491" t="s">
        <v>35202</v>
      </c>
      <c r="P2665" s="36" t="s">
        <v>28685</v>
      </c>
    </row>
    <row r="2666" spans="1:16">
      <c r="A2666" s="132">
        <v>2665</v>
      </c>
      <c r="B2666" s="36" t="s">
        <v>28688</v>
      </c>
      <c r="C2666" s="36" t="s">
        <v>28689</v>
      </c>
      <c r="D2666" s="36" t="s">
        <v>28690</v>
      </c>
      <c r="E2666" s="490" t="s">
        <v>35203</v>
      </c>
      <c r="F2666" s="490" t="s">
        <v>35204</v>
      </c>
      <c r="G2666" s="490" t="s">
        <v>35205</v>
      </c>
      <c r="H2666" s="490" t="s">
        <v>35206</v>
      </c>
      <c r="I2666" s="490" t="s">
        <v>35207</v>
      </c>
      <c r="J2666" s="490" t="s">
        <v>35208</v>
      </c>
      <c r="K2666" s="490" t="s">
        <v>35209</v>
      </c>
      <c r="L2666" s="490" t="s">
        <v>35210</v>
      </c>
      <c r="M2666" s="490" t="s">
        <v>35211</v>
      </c>
      <c r="N2666" s="490" t="s">
        <v>35212</v>
      </c>
      <c r="O2666" s="491" t="s">
        <v>35213</v>
      </c>
      <c r="P2666" s="36" t="s">
        <v>28688</v>
      </c>
    </row>
    <row r="2667" spans="1:16">
      <c r="A2667" s="132">
        <v>2666</v>
      </c>
      <c r="B2667" s="36" t="s">
        <v>28691</v>
      </c>
      <c r="C2667" s="36" t="s">
        <v>28692</v>
      </c>
      <c r="D2667" s="36" t="s">
        <v>28693</v>
      </c>
      <c r="E2667" s="490" t="s">
        <v>35214</v>
      </c>
      <c r="F2667" s="490" t="s">
        <v>35215</v>
      </c>
      <c r="G2667" s="490" t="s">
        <v>35216</v>
      </c>
      <c r="H2667" s="490" t="s">
        <v>35217</v>
      </c>
      <c r="I2667" s="490" t="s">
        <v>35218</v>
      </c>
      <c r="J2667" s="490" t="s">
        <v>35219</v>
      </c>
      <c r="K2667" s="490" t="s">
        <v>35220</v>
      </c>
      <c r="L2667" s="490" t="s">
        <v>35221</v>
      </c>
      <c r="M2667" s="490" t="s">
        <v>35222</v>
      </c>
      <c r="N2667" s="490" t="s">
        <v>35223</v>
      </c>
      <c r="O2667" s="491" t="s">
        <v>35224</v>
      </c>
      <c r="P2667" s="36" t="s">
        <v>28691</v>
      </c>
    </row>
    <row r="2668" spans="1:16">
      <c r="A2668" s="132">
        <v>2667</v>
      </c>
      <c r="B2668" s="36" t="s">
        <v>28694</v>
      </c>
      <c r="C2668" s="36" t="s">
        <v>28695</v>
      </c>
      <c r="D2668" s="36" t="s">
        <v>28696</v>
      </c>
      <c r="E2668" s="490" t="s">
        <v>35225</v>
      </c>
      <c r="F2668" s="490" t="s">
        <v>35226</v>
      </c>
      <c r="G2668" s="490" t="s">
        <v>35227</v>
      </c>
      <c r="H2668" s="490" t="s">
        <v>35228</v>
      </c>
      <c r="I2668" s="490" t="s">
        <v>35229</v>
      </c>
      <c r="J2668" s="490" t="s">
        <v>35230</v>
      </c>
      <c r="K2668" s="490" t="s">
        <v>35231</v>
      </c>
      <c r="L2668" s="490" t="s">
        <v>35232</v>
      </c>
      <c r="M2668" s="490" t="s">
        <v>35232</v>
      </c>
      <c r="N2668" s="490" t="s">
        <v>35232</v>
      </c>
      <c r="O2668" s="491" t="s">
        <v>35233</v>
      </c>
      <c r="P2668" s="36" t="s">
        <v>28694</v>
      </c>
    </row>
    <row r="2669" spans="1:16">
      <c r="A2669" s="132">
        <v>2668</v>
      </c>
      <c r="B2669" s="36" t="s">
        <v>28697</v>
      </c>
      <c r="C2669" s="36" t="s">
        <v>28698</v>
      </c>
      <c r="D2669" s="36" t="s">
        <v>28699</v>
      </c>
      <c r="E2669" s="490" t="s">
        <v>35234</v>
      </c>
      <c r="F2669" s="490" t="s">
        <v>35235</v>
      </c>
      <c r="G2669" s="490" t="s">
        <v>35236</v>
      </c>
      <c r="H2669" s="490" t="s">
        <v>35237</v>
      </c>
      <c r="I2669" s="490" t="s">
        <v>35238</v>
      </c>
      <c r="J2669" s="490" t="s">
        <v>35239</v>
      </c>
      <c r="K2669" s="490" t="s">
        <v>35240</v>
      </c>
      <c r="L2669" s="490" t="s">
        <v>35241</v>
      </c>
      <c r="M2669" s="490" t="s">
        <v>35242</v>
      </c>
      <c r="N2669" s="490" t="s">
        <v>35241</v>
      </c>
      <c r="O2669" s="491" t="s">
        <v>35243</v>
      </c>
      <c r="P2669" s="36" t="s">
        <v>28697</v>
      </c>
    </row>
    <row r="2670" spans="1:16">
      <c r="A2670" s="132">
        <v>2669</v>
      </c>
      <c r="B2670" s="36" t="s">
        <v>28700</v>
      </c>
      <c r="C2670" s="36" t="s">
        <v>28701</v>
      </c>
      <c r="D2670" s="36" t="s">
        <v>28702</v>
      </c>
      <c r="E2670" s="490" t="s">
        <v>35244</v>
      </c>
      <c r="F2670" s="490" t="s">
        <v>35245</v>
      </c>
      <c r="G2670" s="490" t="s">
        <v>35246</v>
      </c>
      <c r="H2670" s="490" t="s">
        <v>35247</v>
      </c>
      <c r="I2670" s="490" t="s">
        <v>35248</v>
      </c>
      <c r="J2670" s="490" t="s">
        <v>35249</v>
      </c>
      <c r="K2670" s="490" t="s">
        <v>35250</v>
      </c>
      <c r="L2670" s="490" t="s">
        <v>35251</v>
      </c>
      <c r="M2670" s="490" t="s">
        <v>35252</v>
      </c>
      <c r="N2670" s="490" t="s">
        <v>35253</v>
      </c>
      <c r="O2670" s="491" t="s">
        <v>35254</v>
      </c>
      <c r="P2670" s="36" t="s">
        <v>28700</v>
      </c>
    </row>
    <row r="2671" spans="1:16">
      <c r="A2671" s="132">
        <v>2670</v>
      </c>
      <c r="B2671" s="36" t="s">
        <v>28703</v>
      </c>
      <c r="C2671" s="36" t="s">
        <v>28704</v>
      </c>
      <c r="D2671" s="36" t="s">
        <v>28705</v>
      </c>
      <c r="E2671" s="490" t="s">
        <v>35255</v>
      </c>
      <c r="F2671" s="490" t="s">
        <v>35256</v>
      </c>
      <c r="G2671" s="490" t="s">
        <v>35257</v>
      </c>
      <c r="H2671" s="490" t="s">
        <v>35258</v>
      </c>
      <c r="I2671" s="490" t="s">
        <v>35259</v>
      </c>
      <c r="J2671" s="490" t="s">
        <v>35260</v>
      </c>
      <c r="K2671" s="490" t="s">
        <v>35261</v>
      </c>
      <c r="L2671" s="490" t="s">
        <v>35262</v>
      </c>
      <c r="M2671" s="490" t="s">
        <v>35263</v>
      </c>
      <c r="N2671" s="490" t="s">
        <v>35264</v>
      </c>
      <c r="O2671" s="491" t="s">
        <v>35265</v>
      </c>
      <c r="P2671" s="36" t="s">
        <v>28703</v>
      </c>
    </row>
    <row r="2672" spans="1:16">
      <c r="A2672" s="132">
        <v>2671</v>
      </c>
      <c r="B2672" s="36" t="s">
        <v>28706</v>
      </c>
      <c r="C2672" s="36" t="s">
        <v>28707</v>
      </c>
      <c r="D2672" s="36" t="s">
        <v>28708</v>
      </c>
      <c r="E2672" s="490" t="s">
        <v>35266</v>
      </c>
      <c r="F2672" s="490" t="s">
        <v>35267</v>
      </c>
      <c r="G2672" s="490" t="s">
        <v>35268</v>
      </c>
      <c r="H2672" s="490" t="s">
        <v>35269</v>
      </c>
      <c r="I2672" s="490" t="s">
        <v>35270</v>
      </c>
      <c r="J2672" s="490" t="s">
        <v>35271</v>
      </c>
      <c r="K2672" s="490" t="s">
        <v>35272</v>
      </c>
      <c r="L2672" s="490" t="s">
        <v>35273</v>
      </c>
      <c r="M2672" s="490" t="s">
        <v>35274</v>
      </c>
      <c r="N2672" s="490" t="s">
        <v>35275</v>
      </c>
      <c r="O2672" s="491" t="s">
        <v>35276</v>
      </c>
      <c r="P2672" s="36" t="s">
        <v>28706</v>
      </c>
    </row>
    <row r="2673" spans="1:16">
      <c r="A2673" s="132">
        <v>2672</v>
      </c>
      <c r="B2673" s="36" t="s">
        <v>28709</v>
      </c>
      <c r="C2673" s="36" t="s">
        <v>28710</v>
      </c>
      <c r="D2673" s="36" t="s">
        <v>28711</v>
      </c>
      <c r="E2673" s="490" t="s">
        <v>35277</v>
      </c>
      <c r="F2673" s="490" t="s">
        <v>35278</v>
      </c>
      <c r="G2673" s="490" t="s">
        <v>35279</v>
      </c>
      <c r="H2673" s="490" t="s">
        <v>35280</v>
      </c>
      <c r="I2673" s="490" t="s">
        <v>35281</v>
      </c>
      <c r="J2673" s="490" t="s">
        <v>35282</v>
      </c>
      <c r="K2673" s="490" t="s">
        <v>35283</v>
      </c>
      <c r="L2673" s="490" t="s">
        <v>35284</v>
      </c>
      <c r="M2673" s="490" t="s">
        <v>35284</v>
      </c>
      <c r="N2673" s="490" t="s">
        <v>35285</v>
      </c>
      <c r="O2673" s="491" t="s">
        <v>35286</v>
      </c>
      <c r="P2673" s="36" t="s">
        <v>28709</v>
      </c>
    </row>
    <row r="2674" spans="1:16">
      <c r="A2674" s="132">
        <v>2673</v>
      </c>
      <c r="B2674" s="36" t="s">
        <v>28712</v>
      </c>
      <c r="C2674" s="36" t="s">
        <v>28713</v>
      </c>
      <c r="D2674" s="490" t="s">
        <v>35287</v>
      </c>
      <c r="E2674" s="490" t="s">
        <v>35288</v>
      </c>
      <c r="F2674" s="490" t="s">
        <v>35289</v>
      </c>
      <c r="G2674" s="490" t="s">
        <v>35290</v>
      </c>
      <c r="H2674" s="490" t="s">
        <v>35291</v>
      </c>
      <c r="I2674" s="490" t="s">
        <v>35292</v>
      </c>
      <c r="J2674" s="490" t="s">
        <v>35293</v>
      </c>
      <c r="K2674" s="490" t="s">
        <v>35294</v>
      </c>
      <c r="L2674" s="490" t="s">
        <v>35295</v>
      </c>
      <c r="M2674" s="490" t="s">
        <v>35296</v>
      </c>
      <c r="N2674" s="490" t="s">
        <v>35297</v>
      </c>
      <c r="O2674" s="490" t="s">
        <v>35298</v>
      </c>
      <c r="P2674" s="36" t="s">
        <v>28712</v>
      </c>
    </row>
    <row r="2675" spans="1:16">
      <c r="A2675" s="132">
        <v>2674</v>
      </c>
      <c r="B2675" s="36" t="s">
        <v>28714</v>
      </c>
      <c r="C2675" s="36" t="s">
        <v>28715</v>
      </c>
      <c r="D2675" s="36" t="s">
        <v>28716</v>
      </c>
      <c r="E2675" s="490" t="s">
        <v>35299</v>
      </c>
      <c r="F2675" s="490" t="s">
        <v>35300</v>
      </c>
      <c r="G2675" s="490" t="s">
        <v>35301</v>
      </c>
      <c r="H2675" s="490" t="s">
        <v>35302</v>
      </c>
      <c r="I2675" s="490" t="s">
        <v>35303</v>
      </c>
      <c r="J2675" s="490" t="s">
        <v>35304</v>
      </c>
      <c r="K2675" s="490" t="s">
        <v>35305</v>
      </c>
      <c r="L2675" s="490" t="s">
        <v>35306</v>
      </c>
      <c r="M2675" s="490" t="s">
        <v>35307</v>
      </c>
      <c r="N2675" s="490" t="s">
        <v>35308</v>
      </c>
      <c r="O2675" s="490" t="s">
        <v>35309</v>
      </c>
      <c r="P2675" s="36" t="s">
        <v>28714</v>
      </c>
    </row>
    <row r="2676" spans="1:16">
      <c r="A2676" s="132">
        <v>2675</v>
      </c>
      <c r="B2676" s="36" t="s">
        <v>28717</v>
      </c>
      <c r="C2676" s="36" t="s">
        <v>28718</v>
      </c>
      <c r="D2676" s="36" t="s">
        <v>28719</v>
      </c>
      <c r="E2676" s="490" t="s">
        <v>35310</v>
      </c>
      <c r="F2676" s="490" t="s">
        <v>35311</v>
      </c>
      <c r="G2676" s="490" t="s">
        <v>35312</v>
      </c>
      <c r="H2676" s="490" t="s">
        <v>35313</v>
      </c>
      <c r="I2676" s="490" t="s">
        <v>35314</v>
      </c>
      <c r="J2676" s="490" t="s">
        <v>35315</v>
      </c>
      <c r="K2676" s="490" t="s">
        <v>35316</v>
      </c>
      <c r="L2676" s="490" t="s">
        <v>35317</v>
      </c>
      <c r="M2676" s="490" t="s">
        <v>35318</v>
      </c>
      <c r="N2676" s="490" t="s">
        <v>35319</v>
      </c>
      <c r="O2676" s="490" t="s">
        <v>35320</v>
      </c>
      <c r="P2676" s="36" t="s">
        <v>28717</v>
      </c>
    </row>
    <row r="2677" spans="1:16">
      <c r="A2677" s="132">
        <v>2676</v>
      </c>
      <c r="B2677" s="36" t="s">
        <v>28720</v>
      </c>
      <c r="C2677" s="36" t="s">
        <v>28721</v>
      </c>
      <c r="D2677" s="490" t="s">
        <v>35321</v>
      </c>
      <c r="E2677" s="490" t="s">
        <v>35322</v>
      </c>
      <c r="F2677" s="490" t="s">
        <v>35323</v>
      </c>
      <c r="G2677" s="490" t="s">
        <v>35324</v>
      </c>
      <c r="H2677" s="490" t="s">
        <v>35325</v>
      </c>
      <c r="I2677" s="490" t="s">
        <v>35326</v>
      </c>
      <c r="J2677" s="490" t="s">
        <v>35327</v>
      </c>
      <c r="K2677" s="490" t="s">
        <v>35328</v>
      </c>
      <c r="L2677" s="490" t="s">
        <v>35329</v>
      </c>
      <c r="M2677" s="490" t="s">
        <v>35330</v>
      </c>
      <c r="N2677" s="490" t="s">
        <v>35331</v>
      </c>
      <c r="O2677" s="490" t="s">
        <v>35332</v>
      </c>
      <c r="P2677" s="36" t="s">
        <v>28720</v>
      </c>
    </row>
    <row r="2678" spans="1:16">
      <c r="A2678" s="132">
        <v>2677</v>
      </c>
      <c r="B2678" s="36" t="s">
        <v>28722</v>
      </c>
      <c r="C2678" s="36" t="s">
        <v>28723</v>
      </c>
      <c r="D2678" s="36" t="s">
        <v>28724</v>
      </c>
      <c r="E2678" s="490" t="s">
        <v>35333</v>
      </c>
      <c r="F2678" s="490" t="s">
        <v>35334</v>
      </c>
      <c r="G2678" s="490" t="s">
        <v>35335</v>
      </c>
      <c r="H2678" s="490" t="s">
        <v>35336</v>
      </c>
      <c r="I2678" s="490" t="s">
        <v>35337</v>
      </c>
      <c r="J2678" s="490" t="s">
        <v>35338</v>
      </c>
      <c r="K2678" s="490" t="s">
        <v>35339</v>
      </c>
      <c r="L2678" s="490" t="s">
        <v>35340</v>
      </c>
      <c r="M2678" s="490" t="s">
        <v>35341</v>
      </c>
      <c r="N2678" s="490" t="s">
        <v>35342</v>
      </c>
      <c r="O2678" s="490" t="s">
        <v>35343</v>
      </c>
      <c r="P2678" s="36" t="s">
        <v>28722</v>
      </c>
    </row>
    <row r="2679" spans="1:16">
      <c r="A2679" s="132">
        <v>2678</v>
      </c>
      <c r="B2679" s="36" t="s">
        <v>28725</v>
      </c>
      <c r="C2679" s="36" t="s">
        <v>28726</v>
      </c>
      <c r="D2679" s="36" t="s">
        <v>28727</v>
      </c>
      <c r="E2679" s="490" t="s">
        <v>35344</v>
      </c>
      <c r="F2679" s="490" t="s">
        <v>35345</v>
      </c>
      <c r="G2679" s="490" t="s">
        <v>35346</v>
      </c>
      <c r="H2679" s="490" t="s">
        <v>35347</v>
      </c>
      <c r="I2679" s="490" t="s">
        <v>35348</v>
      </c>
      <c r="J2679" s="490" t="s">
        <v>35349</v>
      </c>
      <c r="K2679" s="490" t="s">
        <v>35350</v>
      </c>
      <c r="L2679" s="490" t="s">
        <v>35351</v>
      </c>
      <c r="M2679" s="490" t="s">
        <v>35352</v>
      </c>
      <c r="N2679" s="490" t="s">
        <v>35353</v>
      </c>
      <c r="O2679" s="490" t="s">
        <v>35354</v>
      </c>
      <c r="P2679" s="36" t="s">
        <v>28725</v>
      </c>
    </row>
    <row r="2680" spans="1:16">
      <c r="A2680" s="132">
        <v>2679</v>
      </c>
      <c r="B2680" s="36" t="s">
        <v>28728</v>
      </c>
      <c r="C2680" s="36" t="s">
        <v>28729</v>
      </c>
      <c r="D2680" s="36" t="s">
        <v>28730</v>
      </c>
      <c r="E2680" s="490" t="s">
        <v>35355</v>
      </c>
      <c r="F2680" s="490" t="s">
        <v>35356</v>
      </c>
      <c r="G2680" s="490" t="s">
        <v>35357</v>
      </c>
      <c r="H2680" s="490" t="s">
        <v>35358</v>
      </c>
      <c r="I2680" s="490" t="s">
        <v>35359</v>
      </c>
      <c r="J2680" s="490" t="s">
        <v>35360</v>
      </c>
      <c r="K2680" s="490" t="s">
        <v>35361</v>
      </c>
      <c r="L2680" s="490" t="s">
        <v>35362</v>
      </c>
      <c r="M2680" s="490" t="s">
        <v>35363</v>
      </c>
      <c r="N2680" s="490" t="s">
        <v>35364</v>
      </c>
      <c r="O2680" s="490" t="s">
        <v>35365</v>
      </c>
      <c r="P2680" s="36" t="s">
        <v>28728</v>
      </c>
    </row>
    <row r="2681" spans="1:16">
      <c r="A2681" s="132">
        <v>2680</v>
      </c>
      <c r="B2681" s="36" t="s">
        <v>28731</v>
      </c>
      <c r="C2681" s="36" t="s">
        <v>28732</v>
      </c>
      <c r="D2681" s="490" t="s">
        <v>35366</v>
      </c>
      <c r="E2681" s="490" t="s">
        <v>35367</v>
      </c>
      <c r="F2681" s="490" t="s">
        <v>35368</v>
      </c>
      <c r="G2681" s="490" t="s">
        <v>35369</v>
      </c>
      <c r="H2681" s="490" t="s">
        <v>35370</v>
      </c>
      <c r="I2681" s="490" t="s">
        <v>35371</v>
      </c>
      <c r="J2681" s="490" t="s">
        <v>35372</v>
      </c>
      <c r="K2681" s="490" t="s">
        <v>35373</v>
      </c>
      <c r="L2681" s="490" t="s">
        <v>35374</v>
      </c>
      <c r="M2681" s="490" t="s">
        <v>35375</v>
      </c>
      <c r="N2681" s="490" t="s">
        <v>35376</v>
      </c>
      <c r="O2681" s="490" t="s">
        <v>35377</v>
      </c>
      <c r="P2681" s="36" t="s">
        <v>28731</v>
      </c>
    </row>
    <row r="2682" spans="1:16">
      <c r="A2682" s="132">
        <v>2681</v>
      </c>
      <c r="B2682" s="36" t="s">
        <v>28733</v>
      </c>
      <c r="C2682" s="36" t="s">
        <v>28734</v>
      </c>
      <c r="D2682" s="490" t="s">
        <v>35378</v>
      </c>
      <c r="E2682" s="490" t="s">
        <v>35379</v>
      </c>
      <c r="F2682" s="490" t="s">
        <v>35380</v>
      </c>
      <c r="G2682" s="490" t="s">
        <v>35381</v>
      </c>
      <c r="H2682" s="490" t="s">
        <v>35382</v>
      </c>
      <c r="I2682" s="490" t="s">
        <v>35383</v>
      </c>
      <c r="J2682" s="490" t="s">
        <v>35384</v>
      </c>
      <c r="K2682" s="490" t="s">
        <v>35385</v>
      </c>
      <c r="L2682" s="490" t="s">
        <v>35386</v>
      </c>
      <c r="M2682" s="490" t="s">
        <v>35387</v>
      </c>
      <c r="N2682" s="490" t="s">
        <v>35388</v>
      </c>
      <c r="O2682" s="490" t="s">
        <v>35389</v>
      </c>
      <c r="P2682" s="36" t="s">
        <v>28733</v>
      </c>
    </row>
    <row r="2683" spans="1:16">
      <c r="A2683" s="132">
        <v>2682</v>
      </c>
      <c r="B2683" s="36" t="s">
        <v>28735</v>
      </c>
      <c r="C2683" s="36" t="s">
        <v>28736</v>
      </c>
      <c r="D2683" s="36" t="s">
        <v>28737</v>
      </c>
      <c r="E2683" s="490" t="s">
        <v>35390</v>
      </c>
      <c r="F2683" s="490" t="s">
        <v>35391</v>
      </c>
      <c r="G2683" s="490" t="s">
        <v>35392</v>
      </c>
      <c r="H2683" s="490" t="s">
        <v>35393</v>
      </c>
      <c r="I2683" s="490" t="s">
        <v>35391</v>
      </c>
      <c r="J2683" s="490" t="s">
        <v>35394</v>
      </c>
      <c r="K2683" s="490" t="s">
        <v>35395</v>
      </c>
      <c r="L2683" s="490" t="s">
        <v>35396</v>
      </c>
      <c r="M2683" s="490" t="s">
        <v>35397</v>
      </c>
      <c r="N2683" s="490" t="s">
        <v>35397</v>
      </c>
      <c r="O2683" s="490" t="s">
        <v>35398</v>
      </c>
      <c r="P2683" s="36" t="s">
        <v>28735</v>
      </c>
    </row>
    <row r="2684" spans="1:16">
      <c r="A2684" s="132">
        <v>2683</v>
      </c>
      <c r="B2684" s="36" t="s">
        <v>28738</v>
      </c>
      <c r="C2684" s="36" t="s">
        <v>28739</v>
      </c>
      <c r="D2684" s="36" t="s">
        <v>28740</v>
      </c>
      <c r="E2684" s="490" t="s">
        <v>35399</v>
      </c>
      <c r="F2684" s="490" t="s">
        <v>35400</v>
      </c>
      <c r="G2684" s="490" t="s">
        <v>35401</v>
      </c>
      <c r="H2684" s="490" t="s">
        <v>35402</v>
      </c>
      <c r="I2684" s="490" t="s">
        <v>35403</v>
      </c>
      <c r="J2684" s="490" t="s">
        <v>35404</v>
      </c>
      <c r="K2684" s="490" t="s">
        <v>35405</v>
      </c>
      <c r="L2684" s="490" t="s">
        <v>35406</v>
      </c>
      <c r="M2684" s="490" t="s">
        <v>35406</v>
      </c>
      <c r="N2684" s="490" t="s">
        <v>35406</v>
      </c>
      <c r="O2684" s="490" t="s">
        <v>35405</v>
      </c>
      <c r="P2684" s="36" t="s">
        <v>28738</v>
      </c>
    </row>
    <row r="2685" spans="1:16">
      <c r="A2685" s="132">
        <v>2684</v>
      </c>
      <c r="B2685" s="36" t="s">
        <v>28741</v>
      </c>
      <c r="C2685" s="36" t="s">
        <v>28742</v>
      </c>
      <c r="D2685" s="36" t="s">
        <v>28743</v>
      </c>
      <c r="E2685" s="490" t="s">
        <v>35407</v>
      </c>
      <c r="F2685" s="490" t="s">
        <v>35408</v>
      </c>
      <c r="G2685" s="490" t="s">
        <v>35409</v>
      </c>
      <c r="H2685" s="490" t="s">
        <v>35410</v>
      </c>
      <c r="I2685" s="490" t="s">
        <v>35411</v>
      </c>
      <c r="J2685" s="490" t="s">
        <v>35412</v>
      </c>
      <c r="K2685" s="490" t="s">
        <v>35413</v>
      </c>
      <c r="L2685" s="490" t="s">
        <v>35414</v>
      </c>
      <c r="M2685" s="490" t="s">
        <v>35415</v>
      </c>
      <c r="N2685" s="490" t="s">
        <v>35416</v>
      </c>
      <c r="O2685" s="490" t="s">
        <v>35413</v>
      </c>
      <c r="P2685" s="36" t="s">
        <v>28741</v>
      </c>
    </row>
    <row r="2686" spans="1:16">
      <c r="A2686" s="132">
        <v>2685</v>
      </c>
      <c r="B2686" s="36" t="s">
        <v>28744</v>
      </c>
      <c r="C2686" s="36" t="s">
        <v>28745</v>
      </c>
      <c r="D2686" s="36" t="s">
        <v>28746</v>
      </c>
      <c r="E2686" s="490" t="s">
        <v>35417</v>
      </c>
      <c r="F2686" s="490" t="s">
        <v>35418</v>
      </c>
      <c r="G2686" s="490" t="s">
        <v>35419</v>
      </c>
      <c r="H2686" s="490" t="s">
        <v>35420</v>
      </c>
      <c r="I2686" s="490" t="s">
        <v>35421</v>
      </c>
      <c r="J2686" s="490" t="s">
        <v>35422</v>
      </c>
      <c r="K2686" s="490" t="s">
        <v>35423</v>
      </c>
      <c r="L2686" s="490" t="s">
        <v>35424</v>
      </c>
      <c r="M2686" s="490" t="s">
        <v>35425</v>
      </c>
      <c r="N2686" s="490" t="s">
        <v>35426</v>
      </c>
      <c r="O2686" s="490" t="s">
        <v>35427</v>
      </c>
      <c r="P2686" s="36" t="s">
        <v>28744</v>
      </c>
    </row>
    <row r="2687" spans="1:16">
      <c r="A2687" s="132">
        <v>2686</v>
      </c>
      <c r="B2687" s="36" t="s">
        <v>28747</v>
      </c>
      <c r="C2687" s="36" t="s">
        <v>28748</v>
      </c>
      <c r="D2687" s="36" t="s">
        <v>28749</v>
      </c>
      <c r="E2687" s="490" t="s">
        <v>35428</v>
      </c>
      <c r="F2687" s="490" t="s">
        <v>35429</v>
      </c>
      <c r="G2687" s="490" t="s">
        <v>35430</v>
      </c>
      <c r="H2687" s="490" t="s">
        <v>35431</v>
      </c>
      <c r="I2687" s="490" t="s">
        <v>35432</v>
      </c>
      <c r="J2687" s="490" t="s">
        <v>35433</v>
      </c>
      <c r="K2687" s="490" t="s">
        <v>35434</v>
      </c>
      <c r="L2687" s="490" t="s">
        <v>35435</v>
      </c>
      <c r="M2687" s="490" t="s">
        <v>35436</v>
      </c>
      <c r="N2687" s="490" t="s">
        <v>35437</v>
      </c>
      <c r="O2687" s="490" t="s">
        <v>35438</v>
      </c>
      <c r="P2687" s="36" t="s">
        <v>28747</v>
      </c>
    </row>
    <row r="2688" spans="1:16">
      <c r="A2688" s="132">
        <v>2687</v>
      </c>
      <c r="B2688" s="36" t="s">
        <v>28750</v>
      </c>
      <c r="C2688" s="36" t="s">
        <v>28751</v>
      </c>
      <c r="D2688" s="36" t="s">
        <v>28752</v>
      </c>
      <c r="E2688" s="490" t="s">
        <v>35439</v>
      </c>
      <c r="F2688" s="490" t="s">
        <v>35440</v>
      </c>
      <c r="G2688" s="490" t="s">
        <v>35441</v>
      </c>
      <c r="H2688" s="490" t="s">
        <v>5018</v>
      </c>
      <c r="I2688" s="490" t="s">
        <v>35442</v>
      </c>
      <c r="J2688" s="490" t="s">
        <v>5019</v>
      </c>
      <c r="K2688" s="490" t="s">
        <v>35443</v>
      </c>
      <c r="L2688" s="490" t="s">
        <v>35444</v>
      </c>
      <c r="M2688" s="490" t="s">
        <v>31719</v>
      </c>
      <c r="N2688" s="490" t="s">
        <v>31720</v>
      </c>
      <c r="O2688" s="490" t="s">
        <v>35445</v>
      </c>
      <c r="P2688" s="36" t="s">
        <v>28750</v>
      </c>
    </row>
    <row r="2689" spans="1:16">
      <c r="A2689" s="132">
        <v>2688</v>
      </c>
      <c r="B2689" s="36" t="s">
        <v>28753</v>
      </c>
      <c r="C2689" s="36" t="s">
        <v>28754</v>
      </c>
      <c r="D2689" s="36" t="s">
        <v>28755</v>
      </c>
      <c r="E2689" s="490" t="s">
        <v>35446</v>
      </c>
      <c r="F2689" s="490" t="s">
        <v>35447</v>
      </c>
      <c r="G2689" s="490" t="s">
        <v>35448</v>
      </c>
      <c r="H2689" s="490" t="s">
        <v>35449</v>
      </c>
      <c r="I2689" s="490" t="s">
        <v>35450</v>
      </c>
      <c r="J2689" s="490" t="s">
        <v>35451</v>
      </c>
      <c r="K2689" s="490" t="s">
        <v>35452</v>
      </c>
      <c r="L2689" s="490" t="s">
        <v>35453</v>
      </c>
      <c r="M2689" s="490" t="s">
        <v>35454</v>
      </c>
      <c r="N2689" s="490" t="s">
        <v>35455</v>
      </c>
      <c r="O2689" s="490" t="s">
        <v>35456</v>
      </c>
      <c r="P2689" s="36" t="s">
        <v>28753</v>
      </c>
    </row>
    <row r="2690" spans="1:16">
      <c r="A2690" s="132">
        <v>2689</v>
      </c>
      <c r="B2690" s="36" t="s">
        <v>28756</v>
      </c>
      <c r="C2690" s="36" t="s">
        <v>28757</v>
      </c>
      <c r="D2690" s="36" t="s">
        <v>28758</v>
      </c>
      <c r="E2690" s="490" t="s">
        <v>35457</v>
      </c>
      <c r="F2690" s="490" t="s">
        <v>35458</v>
      </c>
      <c r="G2690" s="490" t="s">
        <v>35459</v>
      </c>
      <c r="H2690" s="490" t="s">
        <v>35460</v>
      </c>
      <c r="I2690" s="490" t="s">
        <v>35458</v>
      </c>
      <c r="J2690" s="490" t="s">
        <v>35461</v>
      </c>
      <c r="K2690" s="490" t="s">
        <v>35462</v>
      </c>
      <c r="L2690" s="490" t="s">
        <v>35463</v>
      </c>
      <c r="M2690" s="490" t="s">
        <v>35463</v>
      </c>
      <c r="N2690" s="490" t="s">
        <v>35463</v>
      </c>
      <c r="O2690" s="490" t="s">
        <v>35464</v>
      </c>
      <c r="P2690" s="36" t="s">
        <v>28756</v>
      </c>
    </row>
    <row r="2691" spans="1:16">
      <c r="A2691" s="132">
        <v>2690</v>
      </c>
      <c r="B2691" s="36" t="s">
        <v>28759</v>
      </c>
      <c r="C2691" s="36" t="s">
        <v>28759</v>
      </c>
      <c r="D2691" s="36" t="s">
        <v>28759</v>
      </c>
      <c r="E2691" s="490" t="s">
        <v>28759</v>
      </c>
      <c r="F2691" s="490" t="s">
        <v>28759</v>
      </c>
      <c r="G2691" s="490" t="s">
        <v>28759</v>
      </c>
      <c r="H2691" s="490" t="s">
        <v>28759</v>
      </c>
      <c r="I2691" s="490" t="s">
        <v>28759</v>
      </c>
      <c r="J2691" s="490" t="s">
        <v>28759</v>
      </c>
      <c r="K2691" s="490" t="s">
        <v>28759</v>
      </c>
      <c r="L2691" s="490" t="s">
        <v>28759</v>
      </c>
      <c r="M2691" s="490" t="s">
        <v>28759</v>
      </c>
      <c r="N2691" s="490" t="s">
        <v>28759</v>
      </c>
      <c r="O2691" s="490" t="s">
        <v>28759</v>
      </c>
      <c r="P2691" s="36" t="s">
        <v>28759</v>
      </c>
    </row>
    <row r="2692" spans="1:16">
      <c r="A2692" s="132">
        <v>2691</v>
      </c>
      <c r="B2692" s="36" t="s">
        <v>28760</v>
      </c>
      <c r="C2692" s="36" t="s">
        <v>28761</v>
      </c>
      <c r="D2692" s="36" t="s">
        <v>28762</v>
      </c>
      <c r="E2692" s="490" t="s">
        <v>35465</v>
      </c>
      <c r="F2692" s="490" t="s">
        <v>35466</v>
      </c>
      <c r="G2692" s="490" t="s">
        <v>35467</v>
      </c>
      <c r="H2692" s="490" t="s">
        <v>35468</v>
      </c>
      <c r="I2692" s="490" t="s">
        <v>35469</v>
      </c>
      <c r="J2692" s="490" t="s">
        <v>35470</v>
      </c>
      <c r="K2692" s="490" t="s">
        <v>35471</v>
      </c>
      <c r="L2692" s="490" t="s">
        <v>35472</v>
      </c>
      <c r="M2692" s="490" t="s">
        <v>35473</v>
      </c>
      <c r="N2692" s="490" t="s">
        <v>35474</v>
      </c>
      <c r="O2692" s="490" t="s">
        <v>35475</v>
      </c>
      <c r="P2692" s="36" t="s">
        <v>28760</v>
      </c>
    </row>
    <row r="2693" spans="1:16">
      <c r="A2693" s="132">
        <v>2692</v>
      </c>
      <c r="B2693" s="36" t="s">
        <v>28763</v>
      </c>
      <c r="C2693" s="36" t="s">
        <v>28764</v>
      </c>
      <c r="D2693" s="490" t="s">
        <v>35476</v>
      </c>
      <c r="E2693" s="490" t="s">
        <v>35477</v>
      </c>
      <c r="F2693" s="491" t="s">
        <v>35478</v>
      </c>
      <c r="G2693" s="491" t="s">
        <v>35479</v>
      </c>
      <c r="H2693" s="490" t="s">
        <v>35480</v>
      </c>
      <c r="I2693" s="490" t="s">
        <v>35481</v>
      </c>
      <c r="J2693" s="491" t="s">
        <v>35482</v>
      </c>
      <c r="K2693" s="491" t="s">
        <v>35483</v>
      </c>
      <c r="L2693" s="491" t="s">
        <v>35484</v>
      </c>
      <c r="M2693" s="491" t="s">
        <v>35485</v>
      </c>
      <c r="N2693" s="491" t="s">
        <v>35486</v>
      </c>
      <c r="O2693" s="490" t="s">
        <v>35487</v>
      </c>
      <c r="P2693" s="36" t="s">
        <v>28763</v>
      </c>
    </row>
    <row r="2694" spans="1:16">
      <c r="A2694" s="132">
        <v>2693</v>
      </c>
      <c r="B2694" s="36" t="s">
        <v>28765</v>
      </c>
      <c r="C2694" s="36" t="s">
        <v>28766</v>
      </c>
      <c r="D2694" s="490" t="s">
        <v>35488</v>
      </c>
      <c r="E2694" s="490" t="s">
        <v>35489</v>
      </c>
      <c r="F2694" s="491" t="s">
        <v>35490</v>
      </c>
      <c r="G2694" s="491" t="s">
        <v>35491</v>
      </c>
      <c r="H2694" s="490" t="s">
        <v>35492</v>
      </c>
      <c r="I2694" s="490" t="s">
        <v>35493</v>
      </c>
      <c r="J2694" s="491" t="s">
        <v>35494</v>
      </c>
      <c r="K2694" s="491" t="s">
        <v>35495</v>
      </c>
      <c r="L2694" s="491" t="s">
        <v>35496</v>
      </c>
      <c r="M2694" s="491" t="s">
        <v>35497</v>
      </c>
      <c r="N2694" s="491" t="s">
        <v>35498</v>
      </c>
      <c r="O2694" s="490" t="s">
        <v>35499</v>
      </c>
      <c r="P2694" s="36" t="s">
        <v>28765</v>
      </c>
    </row>
    <row r="2695" spans="1:16">
      <c r="A2695" s="132">
        <v>2694</v>
      </c>
      <c r="B2695" s="36" t="s">
        <v>28767</v>
      </c>
      <c r="C2695" s="36" t="s">
        <v>28768</v>
      </c>
      <c r="D2695" s="490" t="s">
        <v>35500</v>
      </c>
      <c r="E2695" s="490" t="s">
        <v>35501</v>
      </c>
      <c r="F2695" s="491" t="s">
        <v>35502</v>
      </c>
      <c r="G2695" s="491" t="s">
        <v>35503</v>
      </c>
      <c r="H2695" s="490" t="s">
        <v>35504</v>
      </c>
      <c r="I2695" s="490" t="s">
        <v>16762</v>
      </c>
      <c r="J2695" s="491" t="s">
        <v>35505</v>
      </c>
      <c r="K2695" s="491" t="s">
        <v>35506</v>
      </c>
      <c r="L2695" s="491" t="s">
        <v>35507</v>
      </c>
      <c r="M2695" s="491" t="s">
        <v>35508</v>
      </c>
      <c r="N2695" s="491" t="s">
        <v>35509</v>
      </c>
      <c r="O2695" s="490" t="s">
        <v>35510</v>
      </c>
      <c r="P2695" s="36" t="s">
        <v>28767</v>
      </c>
    </row>
    <row r="2696" spans="1:16">
      <c r="A2696" s="132">
        <v>2695</v>
      </c>
      <c r="B2696" s="36" t="s">
        <v>28769</v>
      </c>
      <c r="C2696" s="36" t="s">
        <v>28770</v>
      </c>
      <c r="D2696" s="490" t="s">
        <v>35511</v>
      </c>
      <c r="E2696" s="490" t="s">
        <v>35512</v>
      </c>
      <c r="F2696" s="491" t="s">
        <v>35513</v>
      </c>
      <c r="G2696" s="491" t="s">
        <v>35514</v>
      </c>
      <c r="H2696" s="490" t="s">
        <v>35515</v>
      </c>
      <c r="I2696" s="490" t="s">
        <v>35516</v>
      </c>
      <c r="J2696" s="491" t="s">
        <v>35517</v>
      </c>
      <c r="K2696" s="491" t="s">
        <v>35518</v>
      </c>
      <c r="L2696" s="491" t="s">
        <v>35519</v>
      </c>
      <c r="M2696" s="491" t="s">
        <v>35520</v>
      </c>
      <c r="N2696" s="491" t="s">
        <v>35521</v>
      </c>
      <c r="O2696" s="490" t="s">
        <v>35522</v>
      </c>
      <c r="P2696" s="36" t="s">
        <v>28769</v>
      </c>
    </row>
    <row r="2697" spans="1:16">
      <c r="A2697" s="132">
        <v>2696</v>
      </c>
      <c r="B2697" s="36" t="s">
        <v>28771</v>
      </c>
      <c r="C2697" s="36" t="s">
        <v>28772</v>
      </c>
      <c r="D2697" s="490" t="s">
        <v>35523</v>
      </c>
      <c r="E2697" s="490" t="s">
        <v>35524</v>
      </c>
      <c r="F2697" s="491" t="s">
        <v>35525</v>
      </c>
      <c r="G2697" s="491" t="s">
        <v>35526</v>
      </c>
      <c r="H2697" s="490" t="s">
        <v>35527</v>
      </c>
      <c r="I2697" s="490" t="s">
        <v>35528</v>
      </c>
      <c r="J2697" s="491" t="s">
        <v>35529</v>
      </c>
      <c r="K2697" s="491" t="s">
        <v>35530</v>
      </c>
      <c r="L2697" s="491" t="s">
        <v>35531</v>
      </c>
      <c r="M2697" s="491" t="s">
        <v>35532</v>
      </c>
      <c r="N2697" s="491" t="s">
        <v>35533</v>
      </c>
      <c r="O2697" s="490" t="s">
        <v>35534</v>
      </c>
      <c r="P2697" s="36" t="s">
        <v>28771</v>
      </c>
    </row>
    <row r="2698" spans="1:16">
      <c r="A2698" s="132">
        <v>2697</v>
      </c>
      <c r="B2698" s="36" t="s">
        <v>28773</v>
      </c>
      <c r="C2698" s="36" t="s">
        <v>28774</v>
      </c>
      <c r="D2698" s="36" t="s">
        <v>28775</v>
      </c>
      <c r="E2698" s="490" t="s">
        <v>35535</v>
      </c>
      <c r="F2698" s="491" t="s">
        <v>35536</v>
      </c>
      <c r="G2698" s="491" t="s">
        <v>35537</v>
      </c>
      <c r="H2698" s="490" t="s">
        <v>35538</v>
      </c>
      <c r="I2698" s="490" t="s">
        <v>35539</v>
      </c>
      <c r="J2698" s="491" t="s">
        <v>35540</v>
      </c>
      <c r="K2698" s="491" t="s">
        <v>35541</v>
      </c>
      <c r="L2698" s="491" t="s">
        <v>35542</v>
      </c>
      <c r="M2698" s="491" t="s">
        <v>35543</v>
      </c>
      <c r="N2698" s="491" t="s">
        <v>35544</v>
      </c>
      <c r="O2698" s="490" t="s">
        <v>35545</v>
      </c>
      <c r="P2698" s="36" t="s">
        <v>28773</v>
      </c>
    </row>
    <row r="2699" spans="1:16">
      <c r="A2699" s="132">
        <v>2698</v>
      </c>
      <c r="B2699" s="36" t="s">
        <v>28776</v>
      </c>
      <c r="C2699" s="36" t="s">
        <v>28777</v>
      </c>
      <c r="D2699" s="36" t="s">
        <v>28778</v>
      </c>
      <c r="E2699" s="490" t="s">
        <v>35546</v>
      </c>
      <c r="F2699" s="491" t="s">
        <v>35547</v>
      </c>
      <c r="G2699" s="491" t="s">
        <v>35548</v>
      </c>
      <c r="H2699" s="490" t="s">
        <v>35549</v>
      </c>
      <c r="I2699" s="490" t="s">
        <v>35550</v>
      </c>
      <c r="J2699" s="491" t="s">
        <v>35551</v>
      </c>
      <c r="K2699" s="491" t="s">
        <v>35552</v>
      </c>
      <c r="L2699" s="491" t="s">
        <v>35553</v>
      </c>
      <c r="M2699" s="491" t="s">
        <v>35554</v>
      </c>
      <c r="N2699" s="491" t="s">
        <v>35555</v>
      </c>
      <c r="O2699" s="490" t="s">
        <v>35556</v>
      </c>
      <c r="P2699" s="36" t="s">
        <v>28776</v>
      </c>
    </row>
    <row r="2700" spans="1:16">
      <c r="A2700" s="132">
        <v>2699</v>
      </c>
      <c r="B2700" s="36" t="s">
        <v>28779</v>
      </c>
      <c r="C2700" s="36" t="s">
        <v>28780</v>
      </c>
      <c r="D2700" s="490" t="s">
        <v>35557</v>
      </c>
      <c r="E2700" s="490" t="s">
        <v>35558</v>
      </c>
      <c r="F2700" s="491" t="s">
        <v>35559</v>
      </c>
      <c r="G2700" s="491" t="s">
        <v>35560</v>
      </c>
      <c r="H2700" s="490" t="s">
        <v>35561</v>
      </c>
      <c r="I2700" s="490" t="s">
        <v>35562</v>
      </c>
      <c r="J2700" s="491" t="s">
        <v>35563</v>
      </c>
      <c r="K2700" s="491" t="s">
        <v>35564</v>
      </c>
      <c r="L2700" s="491" t="s">
        <v>35565</v>
      </c>
      <c r="M2700" s="491" t="s">
        <v>35566</v>
      </c>
      <c r="N2700" s="491" t="s">
        <v>35567</v>
      </c>
      <c r="O2700" s="490" t="s">
        <v>35568</v>
      </c>
      <c r="P2700" s="36" t="s">
        <v>28779</v>
      </c>
    </row>
    <row r="2701" spans="1:16">
      <c r="A2701" s="132">
        <v>2700</v>
      </c>
      <c r="B2701" s="36" t="s">
        <v>28781</v>
      </c>
      <c r="C2701" s="36" t="s">
        <v>28782</v>
      </c>
      <c r="D2701" s="36" t="s">
        <v>28783</v>
      </c>
      <c r="E2701" s="490" t="s">
        <v>35569</v>
      </c>
      <c r="F2701" s="491" t="s">
        <v>35570</v>
      </c>
      <c r="G2701" s="491" t="s">
        <v>35571</v>
      </c>
      <c r="H2701" s="490" t="s">
        <v>35572</v>
      </c>
      <c r="I2701" s="490" t="s">
        <v>35573</v>
      </c>
      <c r="J2701" s="491" t="s">
        <v>35574</v>
      </c>
      <c r="K2701" s="491" t="s">
        <v>35572</v>
      </c>
      <c r="L2701" s="491" t="s">
        <v>35575</v>
      </c>
      <c r="M2701" s="491" t="s">
        <v>35576</v>
      </c>
      <c r="N2701" s="491" t="s">
        <v>35576</v>
      </c>
      <c r="O2701" s="490" t="s">
        <v>35572</v>
      </c>
      <c r="P2701" s="36" t="s">
        <v>28781</v>
      </c>
    </row>
    <row r="2702" spans="1:16">
      <c r="A2702" s="132">
        <v>2701</v>
      </c>
      <c r="B2702" s="36" t="s">
        <v>28784</v>
      </c>
      <c r="C2702" s="36" t="s">
        <v>28785</v>
      </c>
      <c r="D2702" s="36" t="s">
        <v>28786</v>
      </c>
      <c r="E2702" s="490" t="s">
        <v>35577</v>
      </c>
      <c r="F2702" s="491" t="s">
        <v>35578</v>
      </c>
      <c r="G2702" s="491" t="s">
        <v>35579</v>
      </c>
      <c r="H2702" s="490" t="s">
        <v>35580</v>
      </c>
      <c r="I2702" s="490" t="s">
        <v>35581</v>
      </c>
      <c r="J2702" s="491" t="s">
        <v>35582</v>
      </c>
      <c r="K2702" s="491" t="s">
        <v>35583</v>
      </c>
      <c r="L2702" s="491" t="s">
        <v>35584</v>
      </c>
      <c r="M2702" s="491" t="s">
        <v>35585</v>
      </c>
      <c r="N2702" s="491" t="s">
        <v>35585</v>
      </c>
      <c r="O2702" s="490" t="s">
        <v>35586</v>
      </c>
      <c r="P2702" s="36" t="s">
        <v>28784</v>
      </c>
    </row>
    <row r="2703" spans="1:16">
      <c r="A2703" s="132">
        <v>2702</v>
      </c>
      <c r="B2703" s="36" t="s">
        <v>28787</v>
      </c>
      <c r="C2703" s="36" t="s">
        <v>28788</v>
      </c>
      <c r="D2703" s="36" t="s">
        <v>28789</v>
      </c>
      <c r="E2703" s="490" t="s">
        <v>35587</v>
      </c>
      <c r="F2703" s="491" t="s">
        <v>35588</v>
      </c>
      <c r="G2703" s="491" t="s">
        <v>35589</v>
      </c>
      <c r="H2703" s="490" t="s">
        <v>35590</v>
      </c>
      <c r="I2703" s="490" t="s">
        <v>35591</v>
      </c>
      <c r="J2703" s="491" t="s">
        <v>35592</v>
      </c>
      <c r="K2703" s="491" t="s">
        <v>35593</v>
      </c>
      <c r="L2703" s="491" t="s">
        <v>35594</v>
      </c>
      <c r="M2703" s="491" t="s">
        <v>35595</v>
      </c>
      <c r="N2703" s="491" t="s">
        <v>35596</v>
      </c>
      <c r="O2703" s="490" t="s">
        <v>35597</v>
      </c>
      <c r="P2703" s="36" t="s">
        <v>28787</v>
      </c>
    </row>
    <row r="2704" spans="1:16">
      <c r="A2704" s="132">
        <v>2703</v>
      </c>
      <c r="B2704" s="36" t="s">
        <v>28790</v>
      </c>
      <c r="C2704" s="36" t="s">
        <v>28791</v>
      </c>
      <c r="D2704" s="36" t="s">
        <v>28792</v>
      </c>
      <c r="E2704" s="490" t="s">
        <v>35598</v>
      </c>
      <c r="F2704" s="491" t="s">
        <v>35599</v>
      </c>
      <c r="G2704" s="491" t="s">
        <v>35600</v>
      </c>
      <c r="H2704" s="490" t="s">
        <v>35601</v>
      </c>
      <c r="I2704" s="490" t="s">
        <v>35602</v>
      </c>
      <c r="J2704" s="491" t="s">
        <v>35603</v>
      </c>
      <c r="K2704" s="491" t="s">
        <v>35604</v>
      </c>
      <c r="L2704" s="491" t="s">
        <v>35605</v>
      </c>
      <c r="M2704" s="491" t="s">
        <v>35606</v>
      </c>
      <c r="N2704" s="491" t="s">
        <v>35607</v>
      </c>
      <c r="O2704" s="490" t="s">
        <v>35608</v>
      </c>
      <c r="P2704" s="36" t="s">
        <v>28790</v>
      </c>
    </row>
    <row r="2705" spans="1:16">
      <c r="A2705" s="132">
        <v>2704</v>
      </c>
      <c r="B2705" s="36" t="s">
        <v>28793</v>
      </c>
      <c r="C2705" s="36" t="s">
        <v>28794</v>
      </c>
      <c r="D2705" s="36" t="s">
        <v>28795</v>
      </c>
      <c r="E2705" s="490" t="s">
        <v>35609</v>
      </c>
      <c r="F2705" s="491" t="s">
        <v>35610</v>
      </c>
      <c r="G2705" s="491" t="s">
        <v>35611</v>
      </c>
      <c r="H2705" s="490" t="s">
        <v>35612</v>
      </c>
      <c r="I2705" s="490" t="s">
        <v>35613</v>
      </c>
      <c r="J2705" s="491" t="s">
        <v>35614</v>
      </c>
      <c r="K2705" s="491" t="s">
        <v>35615</v>
      </c>
      <c r="L2705" s="491" t="s">
        <v>35616</v>
      </c>
      <c r="M2705" s="491" t="s">
        <v>35616</v>
      </c>
      <c r="N2705" s="491" t="s">
        <v>35617</v>
      </c>
      <c r="O2705" s="490" t="s">
        <v>35618</v>
      </c>
      <c r="P2705" s="36" t="s">
        <v>28793</v>
      </c>
    </row>
    <row r="2706" spans="1:16">
      <c r="A2706" s="132">
        <v>2705</v>
      </c>
      <c r="B2706" s="36" t="s">
        <v>28796</v>
      </c>
      <c r="C2706" s="36" t="s">
        <v>4015</v>
      </c>
      <c r="D2706" s="36" t="s">
        <v>28797</v>
      </c>
      <c r="E2706" s="490" t="s">
        <v>35619</v>
      </c>
      <c r="F2706" s="491" t="s">
        <v>35620</v>
      </c>
      <c r="G2706" s="491" t="s">
        <v>35621</v>
      </c>
      <c r="H2706" s="490" t="s">
        <v>35622</v>
      </c>
      <c r="I2706" s="490" t="s">
        <v>35623</v>
      </c>
      <c r="J2706" s="491" t="s">
        <v>35624</v>
      </c>
      <c r="K2706" s="491" t="s">
        <v>35625</v>
      </c>
      <c r="L2706" s="491" t="s">
        <v>35626</v>
      </c>
      <c r="M2706" s="491" t="s">
        <v>35627</v>
      </c>
      <c r="N2706" s="491" t="s">
        <v>35628</v>
      </c>
      <c r="O2706" s="490" t="s">
        <v>35629</v>
      </c>
      <c r="P2706" s="36" t="s">
        <v>28796</v>
      </c>
    </row>
    <row r="2707" spans="1:16">
      <c r="A2707" s="132">
        <v>2706</v>
      </c>
      <c r="B2707" s="36" t="s">
        <v>28798</v>
      </c>
      <c r="C2707" s="36" t="s">
        <v>28799</v>
      </c>
      <c r="D2707" s="36" t="s">
        <v>28800</v>
      </c>
      <c r="E2707" s="490" t="s">
        <v>35630</v>
      </c>
      <c r="F2707" s="491" t="s">
        <v>35631</v>
      </c>
      <c r="G2707" s="491" t="s">
        <v>35632</v>
      </c>
      <c r="H2707" s="490" t="s">
        <v>35633</v>
      </c>
      <c r="I2707" s="490" t="s">
        <v>35634</v>
      </c>
      <c r="J2707" s="491" t="s">
        <v>35635</v>
      </c>
      <c r="K2707" s="491" t="s">
        <v>35636</v>
      </c>
      <c r="L2707" s="491" t="s">
        <v>35637</v>
      </c>
      <c r="M2707" s="491" t="s">
        <v>35638</v>
      </c>
      <c r="N2707" s="491" t="s">
        <v>35639</v>
      </c>
      <c r="O2707" s="490" t="s">
        <v>35640</v>
      </c>
      <c r="P2707" s="36" t="s">
        <v>28798</v>
      </c>
    </row>
    <row r="2708" spans="1:16">
      <c r="A2708" s="132">
        <v>2707</v>
      </c>
      <c r="B2708" s="36" t="s">
        <v>28801</v>
      </c>
      <c r="C2708" s="36" t="s">
        <v>28802</v>
      </c>
      <c r="D2708" s="36" t="s">
        <v>28803</v>
      </c>
      <c r="E2708" s="490" t="s">
        <v>35641</v>
      </c>
      <c r="F2708" s="491" t="s">
        <v>35642</v>
      </c>
      <c r="G2708" s="491" t="s">
        <v>35643</v>
      </c>
      <c r="H2708" s="490" t="s">
        <v>35644</v>
      </c>
      <c r="I2708" s="490" t="s">
        <v>35645</v>
      </c>
      <c r="J2708" s="491" t="s">
        <v>35646</v>
      </c>
      <c r="K2708" s="491" t="s">
        <v>35647</v>
      </c>
      <c r="L2708" s="491" t="s">
        <v>35648</v>
      </c>
      <c r="M2708" s="491" t="s">
        <v>35649</v>
      </c>
      <c r="N2708" s="491" t="s">
        <v>35650</v>
      </c>
      <c r="O2708" s="490" t="s">
        <v>35651</v>
      </c>
      <c r="P2708" s="36" t="s">
        <v>28801</v>
      </c>
    </row>
    <row r="2709" spans="1:16">
      <c r="A2709" s="132">
        <v>2708</v>
      </c>
      <c r="B2709" s="36" t="s">
        <v>28804</v>
      </c>
      <c r="C2709" s="36" t="s">
        <v>28805</v>
      </c>
      <c r="D2709" s="36" t="s">
        <v>28806</v>
      </c>
      <c r="E2709" s="490" t="s">
        <v>35652</v>
      </c>
      <c r="F2709" s="491" t="s">
        <v>35653</v>
      </c>
      <c r="G2709" s="491" t="s">
        <v>35654</v>
      </c>
      <c r="H2709" s="490" t="s">
        <v>35655</v>
      </c>
      <c r="I2709" s="490" t="s">
        <v>35656</v>
      </c>
      <c r="J2709" s="491" t="s">
        <v>35657</v>
      </c>
      <c r="K2709" s="491" t="s">
        <v>35658</v>
      </c>
      <c r="L2709" s="491" t="s">
        <v>35659</v>
      </c>
      <c r="M2709" s="491" t="s">
        <v>35660</v>
      </c>
      <c r="N2709" s="491" t="s">
        <v>35661</v>
      </c>
      <c r="O2709" s="490" t="s">
        <v>35662</v>
      </c>
      <c r="P2709" s="36" t="s">
        <v>28804</v>
      </c>
    </row>
    <row r="2710" spans="1:16">
      <c r="A2710" s="132">
        <v>2709</v>
      </c>
      <c r="B2710" s="36" t="s">
        <v>28807</v>
      </c>
      <c r="C2710" s="36" t="s">
        <v>28808</v>
      </c>
      <c r="D2710" s="36" t="s">
        <v>28809</v>
      </c>
      <c r="E2710" s="490" t="s">
        <v>35663</v>
      </c>
      <c r="F2710" s="491" t="s">
        <v>35664</v>
      </c>
      <c r="G2710" s="491" t="s">
        <v>35665</v>
      </c>
      <c r="H2710" s="490" t="s">
        <v>35666</v>
      </c>
      <c r="I2710" s="490" t="s">
        <v>35667</v>
      </c>
      <c r="J2710" s="491" t="s">
        <v>35668</v>
      </c>
      <c r="K2710" s="491" t="s">
        <v>35669</v>
      </c>
      <c r="L2710" s="491" t="s">
        <v>35670</v>
      </c>
      <c r="M2710" s="491" t="s">
        <v>35671</v>
      </c>
      <c r="N2710" s="491" t="s">
        <v>35672</v>
      </c>
      <c r="O2710" s="490" t="s">
        <v>35673</v>
      </c>
      <c r="P2710" s="36" t="s">
        <v>28807</v>
      </c>
    </row>
    <row r="2711" spans="1:16">
      <c r="A2711" s="132">
        <v>2710</v>
      </c>
      <c r="B2711" s="36" t="s">
        <v>28810</v>
      </c>
      <c r="C2711" s="36" t="s">
        <v>28811</v>
      </c>
      <c r="D2711" s="36" t="s">
        <v>28812</v>
      </c>
      <c r="E2711" s="490" t="s">
        <v>35674</v>
      </c>
      <c r="F2711" s="491" t="s">
        <v>35675</v>
      </c>
      <c r="G2711" s="491" t="s">
        <v>35676</v>
      </c>
      <c r="H2711" s="490" t="s">
        <v>35677</v>
      </c>
      <c r="I2711" s="490" t="s">
        <v>35678</v>
      </c>
      <c r="J2711" s="491" t="s">
        <v>35679</v>
      </c>
      <c r="K2711" s="491" t="s">
        <v>35680</v>
      </c>
      <c r="L2711" s="491" t="s">
        <v>35681</v>
      </c>
      <c r="M2711" s="491" t="s">
        <v>35682</v>
      </c>
      <c r="N2711" s="491" t="s">
        <v>35683</v>
      </c>
      <c r="O2711" s="490" t="s">
        <v>35684</v>
      </c>
      <c r="P2711" s="36" t="s">
        <v>28810</v>
      </c>
    </row>
    <row r="2712" spans="1:16">
      <c r="A2712" s="132">
        <v>2711</v>
      </c>
      <c r="B2712" s="36" t="s">
        <v>28813</v>
      </c>
      <c r="C2712" s="36" t="s">
        <v>28813</v>
      </c>
      <c r="D2712" s="36" t="s">
        <v>28813</v>
      </c>
      <c r="E2712" s="490" t="s">
        <v>35685</v>
      </c>
      <c r="F2712" s="491" t="s">
        <v>35686</v>
      </c>
      <c r="G2712" s="491" t="s">
        <v>35687</v>
      </c>
      <c r="H2712" s="490" t="s">
        <v>35688</v>
      </c>
      <c r="I2712" s="490" t="s">
        <v>35689</v>
      </c>
      <c r="J2712" s="491" t="s">
        <v>35690</v>
      </c>
      <c r="K2712" s="491" t="s">
        <v>35691</v>
      </c>
      <c r="L2712" s="491" t="s">
        <v>35692</v>
      </c>
      <c r="M2712" s="491" t="s">
        <v>35693</v>
      </c>
      <c r="N2712" s="491" t="s">
        <v>35694</v>
      </c>
      <c r="O2712" s="490" t="s">
        <v>28813</v>
      </c>
      <c r="P2712" s="36" t="s">
        <v>28813</v>
      </c>
    </row>
    <row r="2713" spans="1:16">
      <c r="A2713" s="132">
        <v>2712</v>
      </c>
      <c r="B2713" s="36" t="s">
        <v>28814</v>
      </c>
      <c r="C2713" s="36" t="s">
        <v>28815</v>
      </c>
      <c r="D2713" s="36" t="s">
        <v>28816</v>
      </c>
      <c r="E2713" s="490" t="s">
        <v>35695</v>
      </c>
      <c r="F2713" s="491" t="s">
        <v>35696</v>
      </c>
      <c r="G2713" s="491" t="s">
        <v>35697</v>
      </c>
      <c r="H2713" s="490" t="s">
        <v>35698</v>
      </c>
      <c r="I2713" s="490" t="s">
        <v>35699</v>
      </c>
      <c r="J2713" s="491" t="s">
        <v>35700</v>
      </c>
      <c r="K2713" s="491" t="s">
        <v>35701</v>
      </c>
      <c r="L2713" s="491" t="s">
        <v>35702</v>
      </c>
      <c r="M2713" s="491" t="s">
        <v>35703</v>
      </c>
      <c r="N2713" s="491" t="s">
        <v>35704</v>
      </c>
      <c r="O2713" s="490" t="s">
        <v>35705</v>
      </c>
      <c r="P2713" s="36" t="s">
        <v>28814</v>
      </c>
    </row>
    <row r="2714" spans="1:16">
      <c r="A2714" s="132">
        <v>2713</v>
      </c>
      <c r="B2714" s="36" t="s">
        <v>28817</v>
      </c>
      <c r="C2714" s="36" t="s">
        <v>28818</v>
      </c>
      <c r="D2714" s="36" t="s">
        <v>28819</v>
      </c>
      <c r="E2714" s="490" t="s">
        <v>35706</v>
      </c>
      <c r="F2714" s="491" t="s">
        <v>35707</v>
      </c>
      <c r="G2714" s="491" t="s">
        <v>35708</v>
      </c>
      <c r="H2714" s="490" t="s">
        <v>35709</v>
      </c>
      <c r="I2714" s="490" t="s">
        <v>35710</v>
      </c>
      <c r="J2714" s="491" t="s">
        <v>35711</v>
      </c>
      <c r="K2714" s="491" t="s">
        <v>35712</v>
      </c>
      <c r="L2714" s="491" t="s">
        <v>35713</v>
      </c>
      <c r="M2714" s="491" t="s">
        <v>35714</v>
      </c>
      <c r="N2714" s="491" t="s">
        <v>35715</v>
      </c>
      <c r="O2714" s="490" t="s">
        <v>35716</v>
      </c>
      <c r="P2714" s="36" t="s">
        <v>28817</v>
      </c>
    </row>
    <row r="2715" spans="1:16">
      <c r="A2715" s="132">
        <v>2714</v>
      </c>
      <c r="B2715" s="36" t="s">
        <v>28820</v>
      </c>
      <c r="C2715" s="36" t="s">
        <v>28821</v>
      </c>
      <c r="D2715" s="490" t="s">
        <v>35717</v>
      </c>
      <c r="E2715" s="490" t="s">
        <v>35718</v>
      </c>
      <c r="F2715" s="491" t="s">
        <v>35719</v>
      </c>
      <c r="G2715" s="491" t="s">
        <v>35720</v>
      </c>
      <c r="H2715" s="490" t="s">
        <v>35721</v>
      </c>
      <c r="I2715" s="490" t="s">
        <v>35722</v>
      </c>
      <c r="J2715" s="491" t="s">
        <v>35723</v>
      </c>
      <c r="K2715" s="491" t="s">
        <v>35724</v>
      </c>
      <c r="L2715" s="491" t="s">
        <v>35725</v>
      </c>
      <c r="M2715" s="491" t="s">
        <v>35726</v>
      </c>
      <c r="N2715" s="491" t="s">
        <v>35727</v>
      </c>
      <c r="O2715" s="490" t="s">
        <v>35728</v>
      </c>
      <c r="P2715" s="36" t="s">
        <v>28820</v>
      </c>
    </row>
    <row r="2716" spans="1:16">
      <c r="A2716" s="132">
        <v>2715</v>
      </c>
      <c r="B2716" s="36" t="s">
        <v>28822</v>
      </c>
      <c r="C2716" s="36" t="s">
        <v>28823</v>
      </c>
      <c r="D2716" s="490" t="s">
        <v>35729</v>
      </c>
      <c r="E2716" s="490" t="s">
        <v>35730</v>
      </c>
      <c r="F2716" s="491" t="s">
        <v>35731</v>
      </c>
      <c r="G2716" s="491" t="s">
        <v>35732</v>
      </c>
      <c r="H2716" s="490" t="s">
        <v>35733</v>
      </c>
      <c r="I2716" s="490" t="s">
        <v>35734</v>
      </c>
      <c r="J2716" s="491" t="s">
        <v>35735</v>
      </c>
      <c r="K2716" s="491" t="s">
        <v>35736</v>
      </c>
      <c r="L2716" s="491" t="s">
        <v>35737</v>
      </c>
      <c r="M2716" s="491" t="s">
        <v>35738</v>
      </c>
      <c r="N2716" s="491" t="s">
        <v>35738</v>
      </c>
      <c r="O2716" s="490" t="s">
        <v>35739</v>
      </c>
      <c r="P2716" s="36" t="s">
        <v>28822</v>
      </c>
    </row>
    <row r="2717" spans="1:16">
      <c r="A2717" s="132">
        <v>2716</v>
      </c>
      <c r="B2717" s="36" t="s">
        <v>28824</v>
      </c>
      <c r="C2717" s="36" t="s">
        <v>28825</v>
      </c>
      <c r="D2717" s="490" t="s">
        <v>35740</v>
      </c>
      <c r="E2717" s="490" t="s">
        <v>35741</v>
      </c>
      <c r="F2717" s="491" t="s">
        <v>35742</v>
      </c>
      <c r="G2717" s="491" t="s">
        <v>35743</v>
      </c>
      <c r="H2717" s="490" t="s">
        <v>35744</v>
      </c>
      <c r="I2717" s="490" t="s">
        <v>35745</v>
      </c>
      <c r="J2717" s="491" t="s">
        <v>35746</v>
      </c>
      <c r="K2717" s="491" t="s">
        <v>35747</v>
      </c>
      <c r="L2717" s="491" t="s">
        <v>35748</v>
      </c>
      <c r="M2717" s="491" t="s">
        <v>35749</v>
      </c>
      <c r="N2717" s="491" t="s">
        <v>35750</v>
      </c>
      <c r="O2717" s="490" t="s">
        <v>35751</v>
      </c>
      <c r="P2717" s="36" t="s">
        <v>28824</v>
      </c>
    </row>
    <row r="2718" spans="1:16">
      <c r="A2718" s="132">
        <v>2717</v>
      </c>
      <c r="B2718" s="36" t="s">
        <v>3643</v>
      </c>
      <c r="C2718" s="36" t="s">
        <v>28826</v>
      </c>
      <c r="D2718" s="36" t="s">
        <v>28827</v>
      </c>
      <c r="E2718" s="490" t="s">
        <v>35752</v>
      </c>
      <c r="F2718" s="491" t="s">
        <v>3643</v>
      </c>
      <c r="G2718" s="491" t="s">
        <v>3643</v>
      </c>
      <c r="H2718" s="490" t="s">
        <v>35753</v>
      </c>
      <c r="I2718" s="490" t="s">
        <v>3643</v>
      </c>
      <c r="J2718" s="491" t="s">
        <v>35754</v>
      </c>
      <c r="K2718" s="491" t="s">
        <v>35755</v>
      </c>
      <c r="L2718" s="491" t="s">
        <v>3643</v>
      </c>
      <c r="M2718" s="491" t="s">
        <v>3643</v>
      </c>
      <c r="N2718" s="491" t="s">
        <v>3643</v>
      </c>
      <c r="O2718" s="490" t="s">
        <v>35756</v>
      </c>
      <c r="P2718" s="36" t="s">
        <v>3643</v>
      </c>
    </row>
    <row r="2719" spans="1:16">
      <c r="A2719" s="132">
        <v>2718</v>
      </c>
      <c r="B2719" s="36" t="s">
        <v>28828</v>
      </c>
      <c r="C2719" s="36" t="s">
        <v>28829</v>
      </c>
      <c r="D2719" s="36" t="s">
        <v>28830</v>
      </c>
      <c r="E2719" s="490" t="s">
        <v>35757</v>
      </c>
      <c r="F2719" s="491" t="s">
        <v>35758</v>
      </c>
      <c r="G2719" s="491" t="s">
        <v>35759</v>
      </c>
      <c r="H2719" s="490" t="s">
        <v>35760</v>
      </c>
      <c r="I2719" s="490" t="s">
        <v>35761</v>
      </c>
      <c r="J2719" s="491" t="s">
        <v>35762</v>
      </c>
      <c r="K2719" s="491" t="s">
        <v>35763</v>
      </c>
      <c r="L2719" s="491" t="s">
        <v>28828</v>
      </c>
      <c r="M2719" s="491" t="s">
        <v>28828</v>
      </c>
      <c r="N2719" s="491" t="s">
        <v>35764</v>
      </c>
      <c r="O2719" s="490" t="s">
        <v>35765</v>
      </c>
      <c r="P2719" s="36" t="s">
        <v>28828</v>
      </c>
    </row>
    <row r="2720" spans="1:16">
      <c r="A2720" s="132">
        <v>2719</v>
      </c>
      <c r="B2720" s="36" t="s">
        <v>28831</v>
      </c>
      <c r="C2720" s="36" t="s">
        <v>28832</v>
      </c>
      <c r="D2720" s="36" t="s">
        <v>28833</v>
      </c>
      <c r="E2720" s="490" t="s">
        <v>35766</v>
      </c>
      <c r="F2720" s="491" t="s">
        <v>35767</v>
      </c>
      <c r="G2720" s="491" t="s">
        <v>35768</v>
      </c>
      <c r="H2720" s="490" t="s">
        <v>35769</v>
      </c>
      <c r="I2720" s="490" t="s">
        <v>35770</v>
      </c>
      <c r="J2720" s="491" t="s">
        <v>35771</v>
      </c>
      <c r="K2720" s="491" t="s">
        <v>35772</v>
      </c>
      <c r="L2720" s="491" t="s">
        <v>35773</v>
      </c>
      <c r="M2720" s="491" t="s">
        <v>35773</v>
      </c>
      <c r="N2720" s="491" t="s">
        <v>35774</v>
      </c>
      <c r="O2720" s="490" t="s">
        <v>35775</v>
      </c>
      <c r="P2720" s="36" t="s">
        <v>28831</v>
      </c>
    </row>
    <row r="2721" spans="1:16">
      <c r="A2721" s="132">
        <v>2720</v>
      </c>
      <c r="B2721" s="36" t="s">
        <v>28834</v>
      </c>
      <c r="C2721" s="36" t="s">
        <v>28835</v>
      </c>
      <c r="D2721" s="36" t="s">
        <v>28836</v>
      </c>
      <c r="E2721" s="490" t="s">
        <v>35776</v>
      </c>
      <c r="F2721" s="491" t="s">
        <v>35777</v>
      </c>
      <c r="G2721" s="491" t="s">
        <v>35778</v>
      </c>
      <c r="H2721" s="490" t="s">
        <v>35779</v>
      </c>
      <c r="I2721" s="490" t="s">
        <v>35780</v>
      </c>
      <c r="J2721" s="491" t="s">
        <v>35781</v>
      </c>
      <c r="K2721" s="491" t="s">
        <v>35782</v>
      </c>
      <c r="L2721" s="491" t="s">
        <v>35783</v>
      </c>
      <c r="M2721" s="491" t="s">
        <v>35784</v>
      </c>
      <c r="N2721" s="491" t="s">
        <v>35783</v>
      </c>
      <c r="O2721" s="490" t="s">
        <v>35785</v>
      </c>
      <c r="P2721" s="36" t="s">
        <v>28834</v>
      </c>
    </row>
    <row r="2722" spans="1:16">
      <c r="A2722" s="132">
        <v>2721</v>
      </c>
      <c r="B2722" s="36" t="s">
        <v>28837</v>
      </c>
      <c r="C2722" s="36" t="s">
        <v>28838</v>
      </c>
      <c r="D2722" s="490" t="s">
        <v>35786</v>
      </c>
      <c r="E2722" s="490" t="s">
        <v>35787</v>
      </c>
      <c r="F2722" s="491" t="s">
        <v>35788</v>
      </c>
      <c r="G2722" s="491" t="s">
        <v>35789</v>
      </c>
      <c r="H2722" s="490" t="s">
        <v>35790</v>
      </c>
      <c r="I2722" s="490" t="s">
        <v>35791</v>
      </c>
      <c r="J2722" s="491" t="s">
        <v>35792</v>
      </c>
      <c r="K2722" s="491" t="s">
        <v>35793</v>
      </c>
      <c r="L2722" s="491" t="s">
        <v>35794</v>
      </c>
      <c r="M2722" s="491" t="s">
        <v>35795</v>
      </c>
      <c r="N2722" s="491" t="s">
        <v>35794</v>
      </c>
      <c r="O2722" s="490" t="s">
        <v>35796</v>
      </c>
      <c r="P2722" s="36" t="s">
        <v>28837</v>
      </c>
    </row>
    <row r="2723" spans="1:16">
      <c r="A2723" s="132">
        <v>2722</v>
      </c>
      <c r="B2723" s="36" t="s">
        <v>28839</v>
      </c>
      <c r="C2723" s="36" t="s">
        <v>28840</v>
      </c>
      <c r="D2723" s="490" t="s">
        <v>35797</v>
      </c>
      <c r="E2723" s="490" t="s">
        <v>35798</v>
      </c>
      <c r="F2723" s="491" t="s">
        <v>35799</v>
      </c>
      <c r="G2723" s="491" t="s">
        <v>35800</v>
      </c>
      <c r="H2723" s="490" t="s">
        <v>35801</v>
      </c>
      <c r="I2723" s="490" t="s">
        <v>35802</v>
      </c>
      <c r="J2723" s="491" t="s">
        <v>35803</v>
      </c>
      <c r="K2723" s="491" t="s">
        <v>35804</v>
      </c>
      <c r="L2723" s="491" t="s">
        <v>35805</v>
      </c>
      <c r="M2723" s="491" t="s">
        <v>35806</v>
      </c>
      <c r="N2723" s="491" t="s">
        <v>35805</v>
      </c>
      <c r="O2723" s="490" t="s">
        <v>35807</v>
      </c>
      <c r="P2723" s="36" t="s">
        <v>28839</v>
      </c>
    </row>
    <row r="2724" spans="1:16">
      <c r="A2724" s="132">
        <v>2723</v>
      </c>
      <c r="B2724" s="36" t="s">
        <v>28841</v>
      </c>
      <c r="C2724" s="36" t="s">
        <v>28842</v>
      </c>
      <c r="D2724" s="36" t="s">
        <v>28843</v>
      </c>
      <c r="E2724" s="490" t="s">
        <v>35808</v>
      </c>
      <c r="F2724" s="491" t="s">
        <v>35809</v>
      </c>
      <c r="G2724" s="491" t="s">
        <v>35810</v>
      </c>
      <c r="H2724" s="490" t="s">
        <v>35811</v>
      </c>
      <c r="I2724" s="490" t="s">
        <v>35812</v>
      </c>
      <c r="J2724" s="491" t="s">
        <v>35813</v>
      </c>
      <c r="K2724" s="491" t="s">
        <v>35814</v>
      </c>
      <c r="L2724" s="491" t="s">
        <v>35815</v>
      </c>
      <c r="M2724" s="491" t="s">
        <v>35816</v>
      </c>
      <c r="N2724" s="491" t="s">
        <v>35815</v>
      </c>
      <c r="O2724" s="490" t="s">
        <v>35817</v>
      </c>
      <c r="P2724" s="36" t="s">
        <v>28841</v>
      </c>
    </row>
    <row r="2725" spans="1:16">
      <c r="A2725" s="132">
        <v>2724</v>
      </c>
      <c r="B2725" s="36" t="s">
        <v>28844</v>
      </c>
      <c r="C2725" s="36" t="s">
        <v>28845</v>
      </c>
      <c r="D2725" s="36" t="s">
        <v>28846</v>
      </c>
      <c r="E2725" s="490" t="s">
        <v>35818</v>
      </c>
      <c r="F2725" s="491" t="s">
        <v>28844</v>
      </c>
      <c r="G2725" s="491" t="s">
        <v>28844</v>
      </c>
      <c r="H2725" s="490" t="s">
        <v>28844</v>
      </c>
      <c r="I2725" s="490" t="s">
        <v>28844</v>
      </c>
      <c r="J2725" s="491" t="s">
        <v>35819</v>
      </c>
      <c r="K2725" s="491" t="s">
        <v>28844</v>
      </c>
      <c r="L2725" s="491" t="s">
        <v>28844</v>
      </c>
      <c r="M2725" s="491" t="s">
        <v>28844</v>
      </c>
      <c r="N2725" s="491" t="s">
        <v>28844</v>
      </c>
      <c r="O2725" s="490" t="s">
        <v>28844</v>
      </c>
      <c r="P2725" s="36" t="s">
        <v>28844</v>
      </c>
    </row>
    <row r="2726" spans="1:16">
      <c r="A2726" s="132">
        <v>2725</v>
      </c>
      <c r="B2726" s="36" t="s">
        <v>28847</v>
      </c>
      <c r="C2726" s="36" t="s">
        <v>28848</v>
      </c>
      <c r="D2726" s="36" t="s">
        <v>28849</v>
      </c>
      <c r="E2726" s="490" t="s">
        <v>35820</v>
      </c>
      <c r="F2726" s="491" t="s">
        <v>35821</v>
      </c>
      <c r="G2726" s="491" t="s">
        <v>35600</v>
      </c>
      <c r="H2726" s="490" t="s">
        <v>35822</v>
      </c>
      <c r="I2726" s="490" t="s">
        <v>35821</v>
      </c>
      <c r="J2726" s="491" t="s">
        <v>35823</v>
      </c>
      <c r="K2726" s="491" t="s">
        <v>35824</v>
      </c>
      <c r="L2726" s="491" t="s">
        <v>35825</v>
      </c>
      <c r="M2726" s="491" t="s">
        <v>35826</v>
      </c>
      <c r="N2726" s="491" t="s">
        <v>35826</v>
      </c>
      <c r="O2726" s="490" t="s">
        <v>35827</v>
      </c>
      <c r="P2726" s="36" t="s">
        <v>28847</v>
      </c>
    </row>
    <row r="2727" spans="1:16">
      <c r="A2727" s="132">
        <v>2726</v>
      </c>
      <c r="B2727" s="36" t="s">
        <v>28850</v>
      </c>
      <c r="C2727" s="36" t="s">
        <v>28851</v>
      </c>
      <c r="D2727" s="490" t="s">
        <v>35828</v>
      </c>
      <c r="E2727" s="490" t="s">
        <v>35829</v>
      </c>
      <c r="F2727" s="491" t="s">
        <v>35830</v>
      </c>
      <c r="G2727" s="491" t="s">
        <v>35831</v>
      </c>
      <c r="H2727" s="490" t="s">
        <v>35832</v>
      </c>
      <c r="I2727" s="490" t="s">
        <v>35833</v>
      </c>
      <c r="J2727" s="491" t="s">
        <v>35834</v>
      </c>
      <c r="K2727" s="491" t="s">
        <v>35835</v>
      </c>
      <c r="L2727" s="491" t="s">
        <v>35836</v>
      </c>
      <c r="M2727" s="491" t="s">
        <v>35837</v>
      </c>
      <c r="N2727" s="491" t="s">
        <v>35838</v>
      </c>
      <c r="O2727" s="490" t="s">
        <v>35839</v>
      </c>
      <c r="P2727" s="36" t="s">
        <v>28850</v>
      </c>
    </row>
    <row r="2728" spans="1:16">
      <c r="A2728" s="132">
        <v>2727</v>
      </c>
      <c r="B2728" s="36" t="s">
        <v>28852</v>
      </c>
      <c r="C2728" s="36" t="s">
        <v>28853</v>
      </c>
      <c r="D2728" s="490" t="s">
        <v>35840</v>
      </c>
      <c r="E2728" s="490" t="s">
        <v>35841</v>
      </c>
      <c r="F2728" s="491" t="s">
        <v>35842</v>
      </c>
      <c r="G2728" s="491" t="s">
        <v>35843</v>
      </c>
      <c r="H2728" s="490" t="s">
        <v>35844</v>
      </c>
      <c r="I2728" s="490" t="s">
        <v>35845</v>
      </c>
      <c r="J2728" s="491" t="s">
        <v>35846</v>
      </c>
      <c r="K2728" s="491" t="s">
        <v>35847</v>
      </c>
      <c r="L2728" s="491" t="s">
        <v>35848</v>
      </c>
      <c r="M2728" s="491" t="s">
        <v>35849</v>
      </c>
      <c r="N2728" s="491" t="s">
        <v>35850</v>
      </c>
      <c r="O2728" s="490" t="s">
        <v>35851</v>
      </c>
      <c r="P2728" s="36" t="s">
        <v>28852</v>
      </c>
    </row>
    <row r="2729" spans="1:16">
      <c r="A2729" s="132">
        <v>2728</v>
      </c>
      <c r="B2729" s="36" t="s">
        <v>28854</v>
      </c>
      <c r="C2729" s="36" t="s">
        <v>28855</v>
      </c>
      <c r="D2729" s="36" t="s">
        <v>28856</v>
      </c>
      <c r="E2729" s="490" t="s">
        <v>35852</v>
      </c>
      <c r="F2729" s="491" t="s">
        <v>35853</v>
      </c>
      <c r="G2729" s="491" t="s">
        <v>35854</v>
      </c>
      <c r="H2729" s="490" t="s">
        <v>35855</v>
      </c>
      <c r="I2729" s="490" t="s">
        <v>35856</v>
      </c>
      <c r="J2729" s="491" t="s">
        <v>35857</v>
      </c>
      <c r="K2729" s="491" t="s">
        <v>35858</v>
      </c>
      <c r="L2729" s="491" t="s">
        <v>35859</v>
      </c>
      <c r="M2729" s="491" t="s">
        <v>35850</v>
      </c>
      <c r="N2729" s="491" t="s">
        <v>35849</v>
      </c>
      <c r="O2729" s="490" t="s">
        <v>35860</v>
      </c>
      <c r="P2729" s="36" t="s">
        <v>28854</v>
      </c>
    </row>
    <row r="2730" spans="1:16">
      <c r="A2730" s="132">
        <v>2729</v>
      </c>
      <c r="B2730" s="36" t="s">
        <v>28857</v>
      </c>
      <c r="C2730" s="36" t="s">
        <v>28858</v>
      </c>
      <c r="D2730" s="36" t="s">
        <v>28859</v>
      </c>
      <c r="E2730" s="490" t="s">
        <v>35861</v>
      </c>
      <c r="F2730" s="491" t="s">
        <v>35862</v>
      </c>
      <c r="G2730" s="491" t="s">
        <v>35863</v>
      </c>
      <c r="H2730" s="490" t="s">
        <v>35864</v>
      </c>
      <c r="I2730" s="490" t="s">
        <v>35865</v>
      </c>
      <c r="J2730" s="491" t="s">
        <v>35866</v>
      </c>
      <c r="K2730" s="491" t="s">
        <v>35867</v>
      </c>
      <c r="L2730" s="491" t="s">
        <v>35868</v>
      </c>
      <c r="M2730" s="491" t="s">
        <v>35869</v>
      </c>
      <c r="N2730" s="491" t="s">
        <v>35869</v>
      </c>
      <c r="O2730" s="490" t="s">
        <v>35867</v>
      </c>
      <c r="P2730" s="36" t="s">
        <v>28857</v>
      </c>
    </row>
    <row r="2731" spans="1:16">
      <c r="A2731" s="132">
        <v>2730</v>
      </c>
      <c r="B2731" s="36" t="s">
        <v>28860</v>
      </c>
      <c r="C2731" s="36" t="s">
        <v>28861</v>
      </c>
      <c r="D2731" s="36" t="s">
        <v>28862</v>
      </c>
      <c r="E2731" s="490" t="s">
        <v>35870</v>
      </c>
      <c r="F2731" s="491" t="s">
        <v>35871</v>
      </c>
      <c r="G2731" s="491" t="s">
        <v>35872</v>
      </c>
      <c r="H2731" s="490" t="s">
        <v>35873</v>
      </c>
      <c r="I2731" s="490" t="s">
        <v>35874</v>
      </c>
      <c r="J2731" s="491" t="s">
        <v>35875</v>
      </c>
      <c r="K2731" s="491" t="s">
        <v>35876</v>
      </c>
      <c r="L2731" s="491" t="s">
        <v>35877</v>
      </c>
      <c r="M2731" s="491" t="s">
        <v>35878</v>
      </c>
      <c r="N2731" s="491" t="s">
        <v>35879</v>
      </c>
      <c r="O2731" s="490" t="s">
        <v>35880</v>
      </c>
      <c r="P2731" s="36" t="s">
        <v>28860</v>
      </c>
    </row>
    <row r="2732" spans="1:16">
      <c r="A2732" s="132">
        <v>2731</v>
      </c>
      <c r="B2732" s="36" t="s">
        <v>28863</v>
      </c>
      <c r="C2732" s="36" t="s">
        <v>28864</v>
      </c>
      <c r="D2732" s="36" t="s">
        <v>28865</v>
      </c>
      <c r="E2732" s="490" t="s">
        <v>35881</v>
      </c>
      <c r="F2732" s="491" t="s">
        <v>35882</v>
      </c>
      <c r="G2732" s="491" t="s">
        <v>35883</v>
      </c>
      <c r="H2732" s="490" t="s">
        <v>35884</v>
      </c>
      <c r="I2732" s="490" t="s">
        <v>35885</v>
      </c>
      <c r="J2732" s="491" t="s">
        <v>35886</v>
      </c>
      <c r="K2732" s="491" t="s">
        <v>35887</v>
      </c>
      <c r="L2732" s="491" t="s">
        <v>35888</v>
      </c>
      <c r="M2732" s="491" t="s">
        <v>35889</v>
      </c>
      <c r="N2732" s="491" t="s">
        <v>35890</v>
      </c>
      <c r="O2732" s="490" t="s">
        <v>35891</v>
      </c>
      <c r="P2732" s="36" t="s">
        <v>28863</v>
      </c>
    </row>
    <row r="2733" spans="1:16">
      <c r="A2733" s="132">
        <v>2732</v>
      </c>
      <c r="B2733" s="36" t="s">
        <v>28866</v>
      </c>
      <c r="C2733" s="36" t="s">
        <v>28867</v>
      </c>
      <c r="D2733" s="36" t="s">
        <v>28868</v>
      </c>
      <c r="E2733" s="490" t="s">
        <v>35892</v>
      </c>
      <c r="F2733" s="491" t="s">
        <v>35893</v>
      </c>
      <c r="G2733" s="491" t="s">
        <v>35894</v>
      </c>
      <c r="H2733" s="490" t="s">
        <v>35895</v>
      </c>
      <c r="I2733" s="490" t="s">
        <v>35896</v>
      </c>
      <c r="J2733" s="491" t="s">
        <v>35897</v>
      </c>
      <c r="K2733" s="491" t="s">
        <v>35898</v>
      </c>
      <c r="L2733" s="491" t="s">
        <v>35899</v>
      </c>
      <c r="M2733" s="491" t="s">
        <v>35900</v>
      </c>
      <c r="N2733" s="491" t="s">
        <v>35901</v>
      </c>
      <c r="O2733" s="490" t="s">
        <v>35902</v>
      </c>
      <c r="P2733" s="36" t="s">
        <v>28866</v>
      </c>
    </row>
    <row r="2734" spans="1:16">
      <c r="A2734" s="132">
        <v>2733</v>
      </c>
      <c r="B2734" s="36" t="s">
        <v>28869</v>
      </c>
      <c r="C2734" s="36" t="s">
        <v>28870</v>
      </c>
      <c r="D2734" s="36" t="s">
        <v>28871</v>
      </c>
      <c r="E2734" s="490" t="s">
        <v>35903</v>
      </c>
      <c r="F2734" s="491" t="s">
        <v>35904</v>
      </c>
      <c r="G2734" s="491" t="s">
        <v>35905</v>
      </c>
      <c r="H2734" s="490" t="s">
        <v>35906</v>
      </c>
      <c r="I2734" s="490" t="s">
        <v>35907</v>
      </c>
      <c r="J2734" s="491" t="s">
        <v>35908</v>
      </c>
      <c r="K2734" s="491" t="s">
        <v>35909</v>
      </c>
      <c r="L2734" s="491" t="s">
        <v>35910</v>
      </c>
      <c r="M2734" s="491" t="s">
        <v>35911</v>
      </c>
      <c r="N2734" s="491" t="s">
        <v>35912</v>
      </c>
      <c r="O2734" s="490" t="s">
        <v>35913</v>
      </c>
      <c r="P2734" s="36" t="s">
        <v>28869</v>
      </c>
    </row>
    <row r="2735" spans="1:16">
      <c r="A2735" s="132">
        <v>2734</v>
      </c>
      <c r="B2735" s="36" t="s">
        <v>28872</v>
      </c>
      <c r="C2735" s="36" t="s">
        <v>28873</v>
      </c>
      <c r="D2735" s="36" t="s">
        <v>28874</v>
      </c>
      <c r="E2735" s="490" t="s">
        <v>35914</v>
      </c>
      <c r="F2735" s="491" t="s">
        <v>35915</v>
      </c>
      <c r="G2735" s="491" t="s">
        <v>35916</v>
      </c>
      <c r="H2735" s="490" t="s">
        <v>35917</v>
      </c>
      <c r="I2735" s="490" t="s">
        <v>35918</v>
      </c>
      <c r="J2735" s="491" t="s">
        <v>35919</v>
      </c>
      <c r="K2735" s="491" t="s">
        <v>35920</v>
      </c>
      <c r="L2735" s="491" t="s">
        <v>35921</v>
      </c>
      <c r="M2735" s="491" t="s">
        <v>35922</v>
      </c>
      <c r="N2735" s="491" t="s">
        <v>35923</v>
      </c>
      <c r="O2735" s="490" t="s">
        <v>35924</v>
      </c>
      <c r="P2735" s="36" t="s">
        <v>28872</v>
      </c>
    </row>
    <row r="2736" spans="1:16">
      <c r="A2736" s="132">
        <v>2735</v>
      </c>
      <c r="B2736" s="36" t="s">
        <v>28875</v>
      </c>
      <c r="C2736" s="36" t="s">
        <v>28876</v>
      </c>
      <c r="D2736" s="36" t="s">
        <v>28877</v>
      </c>
      <c r="E2736" s="490" t="s">
        <v>35925</v>
      </c>
      <c r="F2736" s="491" t="s">
        <v>35926</v>
      </c>
      <c r="G2736" s="491" t="s">
        <v>35927</v>
      </c>
      <c r="H2736" s="490" t="s">
        <v>35928</v>
      </c>
      <c r="I2736" s="490" t="s">
        <v>35929</v>
      </c>
      <c r="J2736" s="491" t="s">
        <v>35930</v>
      </c>
      <c r="K2736" s="491" t="s">
        <v>35931</v>
      </c>
      <c r="L2736" s="491" t="s">
        <v>35932</v>
      </c>
      <c r="M2736" s="491" t="s">
        <v>35933</v>
      </c>
      <c r="N2736" s="491" t="s">
        <v>35934</v>
      </c>
      <c r="O2736" s="490" t="s">
        <v>35935</v>
      </c>
      <c r="P2736" s="36" t="s">
        <v>28875</v>
      </c>
    </row>
    <row r="2737" spans="1:16">
      <c r="A2737" s="132">
        <v>2736</v>
      </c>
      <c r="B2737" s="36" t="s">
        <v>28878</v>
      </c>
      <c r="C2737" s="36" t="s">
        <v>28879</v>
      </c>
      <c r="D2737" s="36" t="s">
        <v>28880</v>
      </c>
      <c r="E2737" s="490" t="s">
        <v>35936</v>
      </c>
      <c r="F2737" s="491" t="s">
        <v>35937</v>
      </c>
      <c r="G2737" s="491" t="s">
        <v>35938</v>
      </c>
      <c r="H2737" s="490" t="s">
        <v>35939</v>
      </c>
      <c r="I2737" s="490" t="s">
        <v>35940</v>
      </c>
      <c r="J2737" s="491" t="s">
        <v>35941</v>
      </c>
      <c r="K2737" s="491" t="s">
        <v>35942</v>
      </c>
      <c r="L2737" s="491" t="s">
        <v>35943</v>
      </c>
      <c r="M2737" s="491" t="s">
        <v>35944</v>
      </c>
      <c r="N2737" s="491" t="s">
        <v>35944</v>
      </c>
      <c r="O2737" s="490" t="s">
        <v>35945</v>
      </c>
      <c r="P2737" s="36" t="s">
        <v>28878</v>
      </c>
    </row>
    <row r="2738" spans="1:16">
      <c r="A2738" s="132">
        <v>2737</v>
      </c>
      <c r="B2738" s="36" t="s">
        <v>28881</v>
      </c>
      <c r="C2738" s="36" t="s">
        <v>28882</v>
      </c>
      <c r="D2738" s="36" t="s">
        <v>28883</v>
      </c>
      <c r="E2738" s="490" t="s">
        <v>35946</v>
      </c>
      <c r="F2738" s="491" t="s">
        <v>35947</v>
      </c>
      <c r="G2738" s="491" t="s">
        <v>35948</v>
      </c>
      <c r="H2738" s="490" t="s">
        <v>35949</v>
      </c>
      <c r="I2738" s="490" t="s">
        <v>35950</v>
      </c>
      <c r="J2738" s="491" t="s">
        <v>35951</v>
      </c>
      <c r="K2738" s="491" t="s">
        <v>35952</v>
      </c>
      <c r="L2738" s="491" t="s">
        <v>35953</v>
      </c>
      <c r="M2738" s="491" t="s">
        <v>35954</v>
      </c>
      <c r="N2738" s="491" t="s">
        <v>35954</v>
      </c>
      <c r="O2738" s="490" t="s">
        <v>35955</v>
      </c>
      <c r="P2738" s="36" t="s">
        <v>28881</v>
      </c>
    </row>
    <row r="2739" spans="1:16">
      <c r="A2739" s="132">
        <v>2738</v>
      </c>
      <c r="B2739" s="36" t="s">
        <v>28884</v>
      </c>
      <c r="C2739" s="36" t="s">
        <v>28885</v>
      </c>
      <c r="D2739" s="36" t="s">
        <v>28886</v>
      </c>
      <c r="E2739" s="490" t="s">
        <v>35956</v>
      </c>
      <c r="F2739" s="491" t="s">
        <v>35957</v>
      </c>
      <c r="G2739" s="491" t="s">
        <v>35958</v>
      </c>
      <c r="H2739" s="490" t="s">
        <v>35959</v>
      </c>
      <c r="I2739" s="490" t="s">
        <v>35960</v>
      </c>
      <c r="J2739" s="491" t="s">
        <v>35961</v>
      </c>
      <c r="K2739" s="491" t="s">
        <v>35962</v>
      </c>
      <c r="L2739" s="491" t="s">
        <v>35963</v>
      </c>
      <c r="M2739" s="491" t="s">
        <v>35964</v>
      </c>
      <c r="N2739" s="491" t="s">
        <v>35965</v>
      </c>
      <c r="O2739" s="490" t="s">
        <v>35966</v>
      </c>
      <c r="P2739" s="36" t="s">
        <v>28884</v>
      </c>
    </row>
    <row r="2740" spans="1:16">
      <c r="A2740" s="132">
        <v>2739</v>
      </c>
      <c r="B2740" s="36" t="s">
        <v>28887</v>
      </c>
      <c r="C2740" s="36" t="s">
        <v>28888</v>
      </c>
      <c r="D2740" s="36" t="s">
        <v>28889</v>
      </c>
      <c r="E2740" s="490" t="s">
        <v>35967</v>
      </c>
      <c r="F2740" s="491" t="s">
        <v>35968</v>
      </c>
      <c r="G2740" s="491" t="s">
        <v>35969</v>
      </c>
      <c r="H2740" s="490" t="s">
        <v>35970</v>
      </c>
      <c r="I2740" s="490" t="s">
        <v>35971</v>
      </c>
      <c r="J2740" s="491" t="s">
        <v>35972</v>
      </c>
      <c r="K2740" s="491" t="s">
        <v>35973</v>
      </c>
      <c r="L2740" s="491" t="s">
        <v>35974</v>
      </c>
      <c r="M2740" s="491" t="s">
        <v>28887</v>
      </c>
      <c r="N2740" s="491" t="s">
        <v>28887</v>
      </c>
      <c r="O2740" s="490" t="s">
        <v>35975</v>
      </c>
      <c r="P2740" s="36" t="s">
        <v>28887</v>
      </c>
    </row>
    <row r="2741" spans="1:16">
      <c r="A2741" s="132">
        <v>2740</v>
      </c>
      <c r="B2741" s="36" t="s">
        <v>28890</v>
      </c>
      <c r="C2741" s="36" t="s">
        <v>28891</v>
      </c>
      <c r="D2741" s="490" t="s">
        <v>35976</v>
      </c>
      <c r="E2741" s="490" t="s">
        <v>35977</v>
      </c>
      <c r="F2741" s="491" t="s">
        <v>35978</v>
      </c>
      <c r="G2741" s="491" t="s">
        <v>35979</v>
      </c>
      <c r="H2741" s="490" t="s">
        <v>35980</v>
      </c>
      <c r="I2741" s="490" t="s">
        <v>35981</v>
      </c>
      <c r="J2741" s="491" t="s">
        <v>35982</v>
      </c>
      <c r="K2741" s="491" t="s">
        <v>35983</v>
      </c>
      <c r="L2741" s="491" t="s">
        <v>35984</v>
      </c>
      <c r="M2741" s="491" t="s">
        <v>35985</v>
      </c>
      <c r="N2741" s="491" t="s">
        <v>35986</v>
      </c>
      <c r="O2741" s="490" t="s">
        <v>35987</v>
      </c>
      <c r="P2741" s="36" t="s">
        <v>28890</v>
      </c>
    </row>
    <row r="2742" spans="1:16">
      <c r="A2742" s="132">
        <v>2741</v>
      </c>
      <c r="B2742" s="36" t="s">
        <v>28892</v>
      </c>
      <c r="C2742" s="36" t="s">
        <v>28893</v>
      </c>
      <c r="D2742" s="36" t="s">
        <v>28894</v>
      </c>
      <c r="E2742" s="490" t="s">
        <v>35988</v>
      </c>
      <c r="F2742" s="491" t="s">
        <v>35989</v>
      </c>
      <c r="G2742" s="491" t="s">
        <v>35990</v>
      </c>
      <c r="H2742" s="490" t="s">
        <v>35991</v>
      </c>
      <c r="I2742" s="490" t="s">
        <v>35992</v>
      </c>
      <c r="J2742" s="491" t="s">
        <v>35993</v>
      </c>
      <c r="K2742" s="491" t="s">
        <v>35994</v>
      </c>
      <c r="L2742" s="491" t="s">
        <v>35995</v>
      </c>
      <c r="M2742" s="491" t="s">
        <v>35996</v>
      </c>
      <c r="N2742" s="491" t="s">
        <v>35995</v>
      </c>
      <c r="O2742" s="490" t="s">
        <v>35997</v>
      </c>
      <c r="P2742" s="36" t="s">
        <v>28892</v>
      </c>
    </row>
    <row r="2743" spans="1:16">
      <c r="A2743" s="132">
        <v>2742</v>
      </c>
      <c r="B2743" s="36" t="s">
        <v>28895</v>
      </c>
      <c r="C2743" s="36" t="s">
        <v>28896</v>
      </c>
      <c r="D2743" s="36" t="s">
        <v>28897</v>
      </c>
      <c r="E2743" s="490" t="s">
        <v>35998</v>
      </c>
      <c r="F2743" s="491" t="s">
        <v>35999</v>
      </c>
      <c r="G2743" s="491" t="s">
        <v>36000</v>
      </c>
      <c r="H2743" s="490" t="s">
        <v>36001</v>
      </c>
      <c r="I2743" s="490" t="s">
        <v>36002</v>
      </c>
      <c r="J2743" s="491" t="s">
        <v>36003</v>
      </c>
      <c r="K2743" s="491" t="s">
        <v>36004</v>
      </c>
      <c r="L2743" s="491" t="s">
        <v>36005</v>
      </c>
      <c r="M2743" s="491" t="s">
        <v>36006</v>
      </c>
      <c r="N2743" s="491" t="s">
        <v>36005</v>
      </c>
      <c r="O2743" s="490" t="s">
        <v>36007</v>
      </c>
      <c r="P2743" s="36" t="s">
        <v>28895</v>
      </c>
    </row>
    <row r="2744" spans="1:16">
      <c r="A2744" s="132">
        <v>2743</v>
      </c>
      <c r="B2744" s="36" t="s">
        <v>28898</v>
      </c>
      <c r="C2744" s="36" t="s">
        <v>28899</v>
      </c>
      <c r="D2744" s="36" t="s">
        <v>28900</v>
      </c>
      <c r="E2744" s="490" t="s">
        <v>36008</v>
      </c>
      <c r="F2744" s="491" t="s">
        <v>36009</v>
      </c>
      <c r="G2744" s="491" t="s">
        <v>36010</v>
      </c>
      <c r="H2744" s="490" t="s">
        <v>36011</v>
      </c>
      <c r="I2744" s="490" t="s">
        <v>36012</v>
      </c>
      <c r="J2744" s="491" t="s">
        <v>36013</v>
      </c>
      <c r="K2744" s="491" t="s">
        <v>36014</v>
      </c>
      <c r="L2744" s="491" t="s">
        <v>36015</v>
      </c>
      <c r="M2744" s="491" t="s">
        <v>36016</v>
      </c>
      <c r="N2744" s="491" t="s">
        <v>36017</v>
      </c>
      <c r="O2744" s="490" t="s">
        <v>36018</v>
      </c>
      <c r="P2744" s="36" t="s">
        <v>28898</v>
      </c>
    </row>
    <row r="2745" spans="1:16">
      <c r="A2745" s="132">
        <v>2744</v>
      </c>
      <c r="B2745" s="36" t="s">
        <v>28901</v>
      </c>
      <c r="C2745" s="36" t="s">
        <v>28902</v>
      </c>
      <c r="D2745" s="36" t="s">
        <v>28622</v>
      </c>
      <c r="E2745" s="490" t="s">
        <v>36019</v>
      </c>
      <c r="F2745" s="491" t="s">
        <v>36020</v>
      </c>
      <c r="G2745" s="491" t="s">
        <v>36021</v>
      </c>
      <c r="H2745" s="490" t="s">
        <v>36022</v>
      </c>
      <c r="I2745" s="490" t="s">
        <v>36023</v>
      </c>
      <c r="J2745" s="491" t="s">
        <v>36024</v>
      </c>
      <c r="K2745" s="491" t="s">
        <v>36025</v>
      </c>
      <c r="L2745" s="491" t="s">
        <v>36026</v>
      </c>
      <c r="M2745" s="491" t="s">
        <v>36027</v>
      </c>
      <c r="N2745" s="491" t="s">
        <v>36028</v>
      </c>
      <c r="O2745" s="490" t="s">
        <v>36029</v>
      </c>
      <c r="P2745" s="36" t="s">
        <v>28901</v>
      </c>
    </row>
    <row r="2746" spans="1:16">
      <c r="A2746" s="132">
        <v>2745</v>
      </c>
      <c r="B2746" s="36" t="s">
        <v>28903</v>
      </c>
      <c r="C2746" s="36" t="s">
        <v>28904</v>
      </c>
      <c r="D2746" s="36" t="s">
        <v>28905</v>
      </c>
      <c r="E2746" s="490" t="s">
        <v>36030</v>
      </c>
      <c r="F2746" s="491" t="s">
        <v>36031</v>
      </c>
      <c r="G2746" s="491" t="s">
        <v>36032</v>
      </c>
      <c r="H2746" s="490" t="s">
        <v>36033</v>
      </c>
      <c r="I2746" s="490" t="s">
        <v>36034</v>
      </c>
      <c r="J2746" s="491" t="s">
        <v>36035</v>
      </c>
      <c r="K2746" s="491" t="s">
        <v>36036</v>
      </c>
      <c r="L2746" s="491" t="s">
        <v>36037</v>
      </c>
      <c r="M2746" s="491" t="s">
        <v>36038</v>
      </c>
      <c r="N2746" s="491" t="s">
        <v>36039</v>
      </c>
      <c r="O2746" s="490" t="s">
        <v>36040</v>
      </c>
      <c r="P2746" s="36" t="s">
        <v>28903</v>
      </c>
    </row>
    <row r="2747" spans="1:16">
      <c r="A2747" s="132">
        <v>2746</v>
      </c>
      <c r="B2747" s="36" t="s">
        <v>28906</v>
      </c>
      <c r="C2747" s="36" t="s">
        <v>28907</v>
      </c>
      <c r="D2747" s="36" t="s">
        <v>28908</v>
      </c>
      <c r="E2747" s="490" t="s">
        <v>36041</v>
      </c>
      <c r="F2747" s="491" t="s">
        <v>36042</v>
      </c>
      <c r="G2747" s="491" t="s">
        <v>36043</v>
      </c>
      <c r="H2747" s="490" t="s">
        <v>36044</v>
      </c>
      <c r="I2747" s="490" t="s">
        <v>36045</v>
      </c>
      <c r="J2747" s="491" t="s">
        <v>36046</v>
      </c>
      <c r="K2747" s="491" t="s">
        <v>36047</v>
      </c>
      <c r="L2747" s="491" t="s">
        <v>36048</v>
      </c>
      <c r="M2747" s="491" t="s">
        <v>36049</v>
      </c>
      <c r="N2747" s="491" t="s">
        <v>36050</v>
      </c>
      <c r="O2747" s="490" t="s">
        <v>36051</v>
      </c>
      <c r="P2747" s="36" t="s">
        <v>28906</v>
      </c>
    </row>
    <row r="2748" spans="1:16">
      <c r="A2748" s="132">
        <v>2747</v>
      </c>
      <c r="B2748" s="36" t="s">
        <v>28909</v>
      </c>
      <c r="C2748" s="36" t="s">
        <v>28910</v>
      </c>
      <c r="D2748" s="36" t="s">
        <v>28911</v>
      </c>
      <c r="E2748" s="490" t="s">
        <v>36052</v>
      </c>
      <c r="F2748" s="491" t="s">
        <v>36053</v>
      </c>
      <c r="G2748" s="491" t="s">
        <v>36054</v>
      </c>
      <c r="H2748" s="490" t="s">
        <v>36055</v>
      </c>
      <c r="I2748" s="490" t="s">
        <v>36056</v>
      </c>
      <c r="J2748" s="491" t="s">
        <v>36057</v>
      </c>
      <c r="K2748" s="491" t="s">
        <v>36058</v>
      </c>
      <c r="L2748" s="491" t="s">
        <v>36059</v>
      </c>
      <c r="M2748" s="491" t="s">
        <v>36060</v>
      </c>
      <c r="N2748" s="491" t="s">
        <v>36061</v>
      </c>
      <c r="O2748" s="490" t="s">
        <v>36062</v>
      </c>
      <c r="P2748" s="36" t="s">
        <v>28909</v>
      </c>
    </row>
    <row r="2749" spans="1:16">
      <c r="A2749" s="132">
        <v>2748</v>
      </c>
      <c r="B2749" s="36" t="s">
        <v>28912</v>
      </c>
      <c r="C2749" s="36" t="s">
        <v>28913</v>
      </c>
      <c r="D2749" s="36" t="s">
        <v>28914</v>
      </c>
      <c r="E2749" s="490" t="s">
        <v>36063</v>
      </c>
      <c r="F2749" s="491" t="s">
        <v>36064</v>
      </c>
      <c r="G2749" s="491" t="s">
        <v>36065</v>
      </c>
      <c r="H2749" s="490" t="s">
        <v>36066</v>
      </c>
      <c r="I2749" s="490" t="s">
        <v>36067</v>
      </c>
      <c r="J2749" s="491" t="s">
        <v>36068</v>
      </c>
      <c r="K2749" s="491" t="s">
        <v>36069</v>
      </c>
      <c r="L2749" s="491" t="s">
        <v>36070</v>
      </c>
      <c r="M2749" s="491" t="s">
        <v>36071</v>
      </c>
      <c r="N2749" s="491" t="s">
        <v>36072</v>
      </c>
      <c r="O2749" s="490" t="s">
        <v>36073</v>
      </c>
      <c r="P2749" s="36" t="s">
        <v>28912</v>
      </c>
    </row>
    <row r="2750" spans="1:16">
      <c r="A2750" s="132">
        <v>2749</v>
      </c>
      <c r="B2750" s="36" t="s">
        <v>28915</v>
      </c>
      <c r="C2750" s="36" t="s">
        <v>28916</v>
      </c>
      <c r="D2750" s="36" t="s">
        <v>5923</v>
      </c>
      <c r="E2750" s="490" t="s">
        <v>36074</v>
      </c>
      <c r="F2750" s="491" t="s">
        <v>36075</v>
      </c>
      <c r="G2750" s="491" t="s">
        <v>36076</v>
      </c>
      <c r="H2750" s="490" t="s">
        <v>36077</v>
      </c>
      <c r="I2750" s="490" t="s">
        <v>36078</v>
      </c>
      <c r="J2750" s="491" t="s">
        <v>36079</v>
      </c>
      <c r="K2750" s="491" t="s">
        <v>36080</v>
      </c>
      <c r="L2750" s="491" t="s">
        <v>36081</v>
      </c>
      <c r="M2750" s="491" t="s">
        <v>36082</v>
      </c>
      <c r="N2750" s="491" t="s">
        <v>36083</v>
      </c>
      <c r="O2750" s="490" t="s">
        <v>36084</v>
      </c>
      <c r="P2750" s="36" t="s">
        <v>28915</v>
      </c>
    </row>
    <row r="2751" spans="1:16">
      <c r="A2751" s="132">
        <v>2750</v>
      </c>
      <c r="B2751" s="36" t="s">
        <v>28917</v>
      </c>
      <c r="C2751" s="36" t="s">
        <v>28918</v>
      </c>
      <c r="D2751" s="490" t="s">
        <v>36085</v>
      </c>
      <c r="E2751" s="490" t="s">
        <v>36086</v>
      </c>
      <c r="F2751" s="491" t="s">
        <v>36087</v>
      </c>
      <c r="G2751" s="491" t="s">
        <v>36088</v>
      </c>
      <c r="H2751" s="490" t="s">
        <v>36089</v>
      </c>
      <c r="I2751" s="490" t="s">
        <v>36090</v>
      </c>
      <c r="J2751" s="491" t="s">
        <v>36091</v>
      </c>
      <c r="K2751" s="491" t="s">
        <v>36092</v>
      </c>
      <c r="L2751" s="491" t="s">
        <v>36093</v>
      </c>
      <c r="M2751" s="491" t="s">
        <v>36094</v>
      </c>
      <c r="N2751" s="491" t="s">
        <v>36095</v>
      </c>
      <c r="O2751" s="490" t="s">
        <v>36096</v>
      </c>
      <c r="P2751" s="36" t="s">
        <v>28917</v>
      </c>
    </row>
    <row r="2752" spans="1:16">
      <c r="A2752" s="132">
        <v>2751</v>
      </c>
      <c r="B2752" s="36" t="s">
        <v>28919</v>
      </c>
      <c r="C2752" s="36" t="s">
        <v>28920</v>
      </c>
      <c r="D2752" s="490" t="s">
        <v>36097</v>
      </c>
      <c r="E2752" s="490" t="s">
        <v>36098</v>
      </c>
      <c r="F2752" s="491" t="s">
        <v>36099</v>
      </c>
      <c r="G2752" s="491" t="s">
        <v>36100</v>
      </c>
      <c r="H2752" s="490" t="s">
        <v>36101</v>
      </c>
      <c r="I2752" s="490" t="s">
        <v>36102</v>
      </c>
      <c r="J2752" s="491" t="s">
        <v>36103</v>
      </c>
      <c r="K2752" s="491" t="s">
        <v>36104</v>
      </c>
      <c r="L2752" s="491" t="s">
        <v>36105</v>
      </c>
      <c r="M2752" s="491" t="s">
        <v>36106</v>
      </c>
      <c r="N2752" s="491" t="s">
        <v>36107</v>
      </c>
      <c r="O2752" s="490" t="s">
        <v>36108</v>
      </c>
      <c r="P2752" s="36" t="s">
        <v>28919</v>
      </c>
    </row>
    <row r="2753" spans="1:16">
      <c r="A2753" s="132">
        <v>2752</v>
      </c>
      <c r="B2753" s="36" t="s">
        <v>28921</v>
      </c>
      <c r="C2753" s="36" t="s">
        <v>28922</v>
      </c>
      <c r="D2753" s="36" t="s">
        <v>28923</v>
      </c>
      <c r="E2753" s="490" t="s">
        <v>36109</v>
      </c>
      <c r="F2753" s="491" t="s">
        <v>36110</v>
      </c>
      <c r="G2753" s="491" t="s">
        <v>36111</v>
      </c>
      <c r="H2753" s="490" t="s">
        <v>36112</v>
      </c>
      <c r="I2753" s="490" t="s">
        <v>36113</v>
      </c>
      <c r="J2753" s="491" t="s">
        <v>36114</v>
      </c>
      <c r="K2753" s="491" t="s">
        <v>36115</v>
      </c>
      <c r="L2753" s="491" t="s">
        <v>36116</v>
      </c>
      <c r="M2753" s="491" t="s">
        <v>36117</v>
      </c>
      <c r="N2753" s="491" t="s">
        <v>36118</v>
      </c>
      <c r="O2753" s="490" t="s">
        <v>36119</v>
      </c>
      <c r="P2753" s="36" t="s">
        <v>28921</v>
      </c>
    </row>
    <row r="2754" spans="1:16">
      <c r="A2754" s="132">
        <v>2753</v>
      </c>
      <c r="B2754" s="36" t="s">
        <v>28924</v>
      </c>
      <c r="C2754" s="36" t="s">
        <v>28925</v>
      </c>
      <c r="D2754" s="36" t="s">
        <v>28926</v>
      </c>
      <c r="E2754" s="490" t="s">
        <v>36120</v>
      </c>
      <c r="F2754" s="491" t="s">
        <v>36121</v>
      </c>
      <c r="G2754" s="491" t="s">
        <v>36122</v>
      </c>
      <c r="H2754" s="490" t="s">
        <v>36123</v>
      </c>
      <c r="I2754" s="490" t="s">
        <v>36124</v>
      </c>
      <c r="J2754" s="491" t="s">
        <v>36125</v>
      </c>
      <c r="K2754" s="491" t="s">
        <v>36126</v>
      </c>
      <c r="L2754" s="491" t="s">
        <v>36127</v>
      </c>
      <c r="M2754" s="491" t="s">
        <v>36128</v>
      </c>
      <c r="N2754" s="491" t="s">
        <v>36129</v>
      </c>
      <c r="O2754" s="490" t="s">
        <v>36130</v>
      </c>
      <c r="P2754" s="36" t="s">
        <v>28924</v>
      </c>
    </row>
    <row r="2755" spans="1:16">
      <c r="A2755" s="132">
        <v>2754</v>
      </c>
      <c r="B2755" s="36" t="s">
        <v>28927</v>
      </c>
      <c r="C2755" s="36" t="s">
        <v>28928</v>
      </c>
      <c r="D2755" s="36" t="s">
        <v>28929</v>
      </c>
      <c r="E2755" s="490" t="s">
        <v>36131</v>
      </c>
      <c r="F2755" s="491" t="s">
        <v>36132</v>
      </c>
      <c r="G2755" s="491" t="s">
        <v>36133</v>
      </c>
      <c r="H2755" s="490" t="s">
        <v>36134</v>
      </c>
      <c r="I2755" s="490" t="s">
        <v>36135</v>
      </c>
      <c r="J2755" s="491" t="s">
        <v>36136</v>
      </c>
      <c r="K2755" s="491" t="s">
        <v>36137</v>
      </c>
      <c r="L2755" s="491" t="s">
        <v>36138</v>
      </c>
      <c r="M2755" s="491" t="s">
        <v>36139</v>
      </c>
      <c r="N2755" s="491" t="s">
        <v>36140</v>
      </c>
      <c r="O2755" s="490" t="s">
        <v>36141</v>
      </c>
      <c r="P2755" s="36" t="s">
        <v>28927</v>
      </c>
    </row>
    <row r="2756" spans="1:16">
      <c r="A2756" s="132">
        <v>2755</v>
      </c>
      <c r="B2756" s="36" t="s">
        <v>28930</v>
      </c>
      <c r="C2756" s="36" t="s">
        <v>28931</v>
      </c>
      <c r="D2756" s="36" t="s">
        <v>28932</v>
      </c>
      <c r="E2756" s="490" t="s">
        <v>36142</v>
      </c>
      <c r="F2756" s="491" t="s">
        <v>36143</v>
      </c>
      <c r="G2756" s="491" t="s">
        <v>36144</v>
      </c>
      <c r="H2756" s="490" t="s">
        <v>36145</v>
      </c>
      <c r="I2756" s="490" t="s">
        <v>36146</v>
      </c>
      <c r="J2756" s="491" t="s">
        <v>36147</v>
      </c>
      <c r="K2756" s="491" t="s">
        <v>36148</v>
      </c>
      <c r="L2756" s="491" t="s">
        <v>36149</v>
      </c>
      <c r="M2756" s="491" t="s">
        <v>36150</v>
      </c>
      <c r="N2756" s="491" t="s">
        <v>36151</v>
      </c>
      <c r="O2756" s="490" t="s">
        <v>36152</v>
      </c>
      <c r="P2756" s="36" t="s">
        <v>28930</v>
      </c>
    </row>
    <row r="2757" spans="1:16">
      <c r="A2757" s="132">
        <v>2756</v>
      </c>
      <c r="B2757" s="36" t="s">
        <v>28933</v>
      </c>
      <c r="C2757" s="36" t="s">
        <v>28934</v>
      </c>
      <c r="D2757" s="36" t="s">
        <v>28935</v>
      </c>
      <c r="E2757" s="490" t="s">
        <v>36153</v>
      </c>
      <c r="F2757" s="491" t="s">
        <v>36154</v>
      </c>
      <c r="G2757" s="491" t="s">
        <v>36155</v>
      </c>
      <c r="H2757" s="490" t="s">
        <v>36156</v>
      </c>
      <c r="I2757" s="490" t="s">
        <v>36157</v>
      </c>
      <c r="J2757" s="491" t="s">
        <v>36158</v>
      </c>
      <c r="K2757" s="491" t="s">
        <v>36159</v>
      </c>
      <c r="L2757" s="491" t="s">
        <v>36160</v>
      </c>
      <c r="M2757" s="491" t="s">
        <v>36161</v>
      </c>
      <c r="N2757" s="491" t="s">
        <v>36162</v>
      </c>
      <c r="O2757" s="490" t="s">
        <v>36163</v>
      </c>
      <c r="P2757" s="36" t="s">
        <v>28933</v>
      </c>
    </row>
    <row r="2758" spans="1:16">
      <c r="A2758" s="132">
        <v>2757</v>
      </c>
      <c r="B2758" s="36" t="s">
        <v>28936</v>
      </c>
      <c r="C2758" s="36" t="s">
        <v>28937</v>
      </c>
      <c r="D2758" s="36" t="s">
        <v>28938</v>
      </c>
      <c r="E2758" s="490" t="s">
        <v>36164</v>
      </c>
      <c r="F2758" s="491" t="s">
        <v>36165</v>
      </c>
      <c r="G2758" s="491" t="s">
        <v>36166</v>
      </c>
      <c r="H2758" s="490" t="s">
        <v>36167</v>
      </c>
      <c r="I2758" s="490" t="s">
        <v>36168</v>
      </c>
      <c r="J2758" s="491" t="s">
        <v>36169</v>
      </c>
      <c r="K2758" s="491" t="s">
        <v>36170</v>
      </c>
      <c r="L2758" s="491" t="s">
        <v>36171</v>
      </c>
      <c r="M2758" s="491" t="s">
        <v>36172</v>
      </c>
      <c r="N2758" s="491" t="s">
        <v>36173</v>
      </c>
      <c r="O2758" s="490" t="s">
        <v>36174</v>
      </c>
      <c r="P2758" s="36" t="s">
        <v>28936</v>
      </c>
    </row>
    <row r="2759" spans="1:16">
      <c r="A2759" s="132">
        <v>2758</v>
      </c>
      <c r="B2759" s="36" t="s">
        <v>28939</v>
      </c>
      <c r="C2759" s="36" t="s">
        <v>28940</v>
      </c>
      <c r="D2759" s="36" t="s">
        <v>28941</v>
      </c>
      <c r="E2759" s="490" t="s">
        <v>36175</v>
      </c>
      <c r="F2759" s="491" t="s">
        <v>36176</v>
      </c>
      <c r="G2759" s="491" t="s">
        <v>36177</v>
      </c>
      <c r="H2759" s="490" t="s">
        <v>36178</v>
      </c>
      <c r="I2759" s="490" t="s">
        <v>36179</v>
      </c>
      <c r="J2759" s="491" t="s">
        <v>36180</v>
      </c>
      <c r="K2759" s="491" t="s">
        <v>36181</v>
      </c>
      <c r="L2759" s="491" t="s">
        <v>36182</v>
      </c>
      <c r="M2759" s="491" t="s">
        <v>36183</v>
      </c>
      <c r="N2759" s="491" t="s">
        <v>36184</v>
      </c>
      <c r="O2759" s="490" t="s">
        <v>36185</v>
      </c>
      <c r="P2759" s="36" t="s">
        <v>28939</v>
      </c>
    </row>
    <row r="2760" spans="1:16">
      <c r="A2760" s="132">
        <v>2759</v>
      </c>
      <c r="B2760" s="36" t="s">
        <v>28942</v>
      </c>
      <c r="C2760" s="36" t="s">
        <v>28943</v>
      </c>
      <c r="D2760" s="36" t="s">
        <v>28944</v>
      </c>
      <c r="E2760" s="490" t="s">
        <v>36186</v>
      </c>
      <c r="F2760" s="491" t="s">
        <v>36187</v>
      </c>
      <c r="G2760" s="491" t="s">
        <v>36188</v>
      </c>
      <c r="H2760" s="490" t="s">
        <v>36189</v>
      </c>
      <c r="I2760" s="490" t="s">
        <v>36190</v>
      </c>
      <c r="J2760" s="491" t="s">
        <v>36191</v>
      </c>
      <c r="K2760" s="491" t="s">
        <v>36192</v>
      </c>
      <c r="L2760" s="491" t="s">
        <v>36193</v>
      </c>
      <c r="M2760" s="491" t="s">
        <v>36194</v>
      </c>
      <c r="N2760" s="491" t="s">
        <v>36195</v>
      </c>
      <c r="O2760" s="490" t="s">
        <v>36196</v>
      </c>
      <c r="P2760" s="36" t="s">
        <v>28942</v>
      </c>
    </row>
    <row r="2761" spans="1:16">
      <c r="A2761" s="132">
        <v>2760</v>
      </c>
      <c r="B2761" s="36" t="s">
        <v>28945</v>
      </c>
      <c r="C2761" s="36" t="s">
        <v>28946</v>
      </c>
      <c r="D2761" s="36" t="s">
        <v>28947</v>
      </c>
      <c r="E2761" s="490" t="s">
        <v>36197</v>
      </c>
      <c r="F2761" s="491" t="s">
        <v>36198</v>
      </c>
      <c r="G2761" s="491" t="s">
        <v>36199</v>
      </c>
      <c r="H2761" s="490" t="s">
        <v>36200</v>
      </c>
      <c r="I2761" s="490" t="s">
        <v>36201</v>
      </c>
      <c r="J2761" s="491" t="s">
        <v>36202</v>
      </c>
      <c r="K2761" s="491" t="s">
        <v>36203</v>
      </c>
      <c r="L2761" s="491" t="s">
        <v>36204</v>
      </c>
      <c r="M2761" s="491" t="s">
        <v>36205</v>
      </c>
      <c r="N2761" s="491" t="s">
        <v>36206</v>
      </c>
      <c r="O2761" s="490" t="s">
        <v>36207</v>
      </c>
      <c r="P2761" s="36" t="s">
        <v>28945</v>
      </c>
    </row>
    <row r="2762" spans="1:16">
      <c r="A2762" s="132">
        <v>2761</v>
      </c>
      <c r="B2762" s="36" t="s">
        <v>28948</v>
      </c>
      <c r="C2762" s="36" t="s">
        <v>28949</v>
      </c>
      <c r="D2762" s="36" t="s">
        <v>28950</v>
      </c>
      <c r="E2762" s="490" t="s">
        <v>36208</v>
      </c>
      <c r="F2762" s="491" t="s">
        <v>36209</v>
      </c>
      <c r="G2762" s="491" t="s">
        <v>36210</v>
      </c>
      <c r="H2762" s="490" t="s">
        <v>36211</v>
      </c>
      <c r="I2762" s="490" t="s">
        <v>36212</v>
      </c>
      <c r="J2762" s="491" t="s">
        <v>36213</v>
      </c>
      <c r="K2762" s="491" t="s">
        <v>36214</v>
      </c>
      <c r="L2762" s="491" t="s">
        <v>36215</v>
      </c>
      <c r="M2762" s="491" t="s">
        <v>36216</v>
      </c>
      <c r="N2762" s="491" t="s">
        <v>36217</v>
      </c>
      <c r="O2762" s="490" t="s">
        <v>36218</v>
      </c>
      <c r="P2762" s="36" t="s">
        <v>28948</v>
      </c>
    </row>
    <row r="2763" spans="1:16">
      <c r="A2763" s="132">
        <v>2762</v>
      </c>
      <c r="B2763" s="36" t="s">
        <v>28951</v>
      </c>
      <c r="C2763" s="36" t="s">
        <v>28952</v>
      </c>
      <c r="D2763" s="36" t="s">
        <v>28953</v>
      </c>
      <c r="E2763" s="490" t="s">
        <v>36219</v>
      </c>
      <c r="F2763" s="491" t="s">
        <v>36220</v>
      </c>
      <c r="G2763" s="491" t="s">
        <v>36221</v>
      </c>
      <c r="H2763" s="490" t="s">
        <v>36222</v>
      </c>
      <c r="I2763" s="490" t="s">
        <v>36223</v>
      </c>
      <c r="J2763" s="491" t="s">
        <v>36224</v>
      </c>
      <c r="K2763" s="491" t="s">
        <v>36225</v>
      </c>
      <c r="L2763" s="491" t="s">
        <v>33969</v>
      </c>
      <c r="M2763" s="491" t="s">
        <v>36226</v>
      </c>
      <c r="N2763" s="491" t="s">
        <v>36227</v>
      </c>
      <c r="O2763" s="490" t="s">
        <v>36228</v>
      </c>
      <c r="P2763" s="36" t="s">
        <v>28951</v>
      </c>
    </row>
    <row r="2764" spans="1:16">
      <c r="A2764" s="132">
        <v>2763</v>
      </c>
      <c r="B2764" s="36" t="s">
        <v>28954</v>
      </c>
      <c r="C2764" s="36" t="s">
        <v>28955</v>
      </c>
      <c r="D2764" s="36" t="s">
        <v>28956</v>
      </c>
      <c r="E2764" s="490" t="s">
        <v>36229</v>
      </c>
      <c r="F2764" s="491" t="s">
        <v>36230</v>
      </c>
      <c r="G2764" s="491" t="s">
        <v>36231</v>
      </c>
      <c r="H2764" s="490" t="s">
        <v>36232</v>
      </c>
      <c r="I2764" s="490" t="s">
        <v>36233</v>
      </c>
      <c r="J2764" s="491" t="s">
        <v>36234</v>
      </c>
      <c r="K2764" s="491" t="s">
        <v>36235</v>
      </c>
      <c r="L2764" s="491" t="s">
        <v>33979</v>
      </c>
      <c r="M2764" s="491" t="s">
        <v>36236</v>
      </c>
      <c r="N2764" s="491" t="s">
        <v>36237</v>
      </c>
      <c r="O2764" s="490" t="s">
        <v>36238</v>
      </c>
      <c r="P2764" s="36" t="s">
        <v>28954</v>
      </c>
    </row>
    <row r="2765" spans="1:16">
      <c r="A2765" s="132">
        <v>2764</v>
      </c>
      <c r="B2765" s="36" t="s">
        <v>28957</v>
      </c>
      <c r="C2765" s="36" t="s">
        <v>28958</v>
      </c>
      <c r="D2765" s="36" t="s">
        <v>28959</v>
      </c>
      <c r="E2765" s="490" t="s">
        <v>36239</v>
      </c>
      <c r="F2765" s="491" t="s">
        <v>36240</v>
      </c>
      <c r="G2765" s="491" t="s">
        <v>36241</v>
      </c>
      <c r="H2765" s="490" t="s">
        <v>36242</v>
      </c>
      <c r="I2765" s="490" t="s">
        <v>36243</v>
      </c>
      <c r="J2765" s="491" t="s">
        <v>36244</v>
      </c>
      <c r="K2765" s="491" t="s">
        <v>36245</v>
      </c>
      <c r="L2765" s="491" t="s">
        <v>36246</v>
      </c>
      <c r="M2765" s="491" t="s">
        <v>36247</v>
      </c>
      <c r="N2765" s="491" t="s">
        <v>36247</v>
      </c>
      <c r="O2765" s="490" t="s">
        <v>36248</v>
      </c>
      <c r="P2765" s="36" t="s">
        <v>28957</v>
      </c>
    </row>
    <row r="2766" spans="1:16">
      <c r="A2766" s="132">
        <v>2765</v>
      </c>
      <c r="B2766" s="36" t="s">
        <v>28960</v>
      </c>
      <c r="C2766" s="36" t="s">
        <v>28961</v>
      </c>
      <c r="D2766" s="490" t="s">
        <v>36249</v>
      </c>
      <c r="E2766" s="490" t="s">
        <v>36250</v>
      </c>
      <c r="F2766" s="491" t="s">
        <v>36251</v>
      </c>
      <c r="G2766" s="491" t="s">
        <v>36252</v>
      </c>
      <c r="H2766" s="490" t="s">
        <v>36253</v>
      </c>
      <c r="I2766" s="490" t="s">
        <v>36254</v>
      </c>
      <c r="J2766" s="491" t="s">
        <v>36255</v>
      </c>
      <c r="K2766" s="491" t="s">
        <v>36256</v>
      </c>
      <c r="L2766" s="491" t="s">
        <v>36257</v>
      </c>
      <c r="M2766" s="491" t="s">
        <v>36258</v>
      </c>
      <c r="N2766" s="491" t="s">
        <v>36259</v>
      </c>
      <c r="O2766" s="490" t="s">
        <v>36260</v>
      </c>
      <c r="P2766" s="36" t="s">
        <v>28960</v>
      </c>
    </row>
    <row r="2767" spans="1:16">
      <c r="A2767" s="132">
        <v>2766</v>
      </c>
      <c r="B2767" s="36" t="s">
        <v>28962</v>
      </c>
      <c r="C2767" s="36" t="s">
        <v>11494</v>
      </c>
      <c r="D2767" s="36" t="s">
        <v>11495</v>
      </c>
      <c r="E2767" s="490" t="s">
        <v>36261</v>
      </c>
      <c r="F2767" s="491" t="s">
        <v>36262</v>
      </c>
      <c r="G2767" s="491" t="s">
        <v>36263</v>
      </c>
      <c r="H2767" s="490" t="s">
        <v>36264</v>
      </c>
      <c r="I2767" s="490" t="s">
        <v>36265</v>
      </c>
      <c r="J2767" s="491" t="s">
        <v>36266</v>
      </c>
      <c r="K2767" s="491" t="s">
        <v>36267</v>
      </c>
      <c r="L2767" s="491" t="s">
        <v>36268</v>
      </c>
      <c r="M2767" s="491" t="s">
        <v>36269</v>
      </c>
      <c r="N2767" s="491" t="s">
        <v>36269</v>
      </c>
      <c r="O2767" s="490" t="s">
        <v>36270</v>
      </c>
      <c r="P2767" s="36" t="s">
        <v>28962</v>
      </c>
    </row>
    <row r="2768" spans="1:16">
      <c r="A2768" s="132">
        <v>2767</v>
      </c>
      <c r="B2768" s="36" t="s">
        <v>28963</v>
      </c>
      <c r="C2768" s="36" t="s">
        <v>28964</v>
      </c>
      <c r="D2768" s="36" t="s">
        <v>28965</v>
      </c>
      <c r="E2768" s="490" t="s">
        <v>36271</v>
      </c>
      <c r="F2768" s="491" t="s">
        <v>36272</v>
      </c>
      <c r="G2768" s="491" t="s">
        <v>36273</v>
      </c>
      <c r="H2768" s="490" t="s">
        <v>36274</v>
      </c>
      <c r="I2768" s="490" t="s">
        <v>36275</v>
      </c>
      <c r="J2768" s="491" t="s">
        <v>36276</v>
      </c>
      <c r="K2768" s="491" t="s">
        <v>36277</v>
      </c>
      <c r="L2768" s="491" t="s">
        <v>36278</v>
      </c>
      <c r="M2768" s="491" t="s">
        <v>36279</v>
      </c>
      <c r="N2768" s="491" t="s">
        <v>36279</v>
      </c>
      <c r="O2768" s="490" t="s">
        <v>36280</v>
      </c>
      <c r="P2768" s="36" t="s">
        <v>28963</v>
      </c>
    </row>
    <row r="2769" spans="1:16">
      <c r="A2769" s="132">
        <v>2768</v>
      </c>
      <c r="B2769" s="36" t="s">
        <v>28966</v>
      </c>
      <c r="C2769" s="36" t="s">
        <v>28967</v>
      </c>
      <c r="D2769" s="36" t="s">
        <v>28968</v>
      </c>
      <c r="E2769" s="490" t="s">
        <v>36281</v>
      </c>
      <c r="F2769" s="491" t="s">
        <v>36282</v>
      </c>
      <c r="G2769" s="491" t="s">
        <v>36283</v>
      </c>
      <c r="H2769" s="490" t="s">
        <v>36284</v>
      </c>
      <c r="I2769" s="490" t="s">
        <v>36285</v>
      </c>
      <c r="J2769" s="491" t="s">
        <v>36286</v>
      </c>
      <c r="K2769" s="491" t="s">
        <v>36287</v>
      </c>
      <c r="L2769" s="491" t="s">
        <v>36288</v>
      </c>
      <c r="M2769" s="491" t="s">
        <v>36289</v>
      </c>
      <c r="N2769" s="491" t="s">
        <v>36289</v>
      </c>
      <c r="O2769" s="490" t="s">
        <v>36290</v>
      </c>
      <c r="P2769" s="36" t="s">
        <v>28966</v>
      </c>
    </row>
    <row r="2770" spans="1:16">
      <c r="A2770" s="132">
        <v>2769</v>
      </c>
      <c r="B2770" s="36" t="s">
        <v>28969</v>
      </c>
      <c r="C2770" s="36" t="s">
        <v>28970</v>
      </c>
      <c r="D2770" s="36" t="s">
        <v>28971</v>
      </c>
      <c r="E2770" s="490" t="s">
        <v>36291</v>
      </c>
      <c r="F2770" s="491" t="s">
        <v>36292</v>
      </c>
      <c r="G2770" s="491" t="s">
        <v>36293</v>
      </c>
      <c r="H2770" s="490" t="s">
        <v>36294</v>
      </c>
      <c r="I2770" s="490" t="s">
        <v>36295</v>
      </c>
      <c r="J2770" s="491" t="s">
        <v>36296</v>
      </c>
      <c r="K2770" s="491" t="s">
        <v>36297</v>
      </c>
      <c r="L2770" s="491" t="s">
        <v>36298</v>
      </c>
      <c r="M2770" s="491" t="s">
        <v>36299</v>
      </c>
      <c r="N2770" s="491" t="s">
        <v>36299</v>
      </c>
      <c r="O2770" s="490" t="s">
        <v>36300</v>
      </c>
      <c r="P2770" s="36" t="s">
        <v>28969</v>
      </c>
    </row>
    <row r="2771" spans="1:16">
      <c r="A2771" s="132">
        <v>2770</v>
      </c>
      <c r="B2771" s="36" t="s">
        <v>28972</v>
      </c>
      <c r="C2771" s="36" t="s">
        <v>28973</v>
      </c>
      <c r="D2771" s="490" t="s">
        <v>36301</v>
      </c>
      <c r="E2771" s="490" t="s">
        <v>36302</v>
      </c>
      <c r="F2771" s="491" t="s">
        <v>36303</v>
      </c>
      <c r="G2771" s="491" t="s">
        <v>36304</v>
      </c>
      <c r="H2771" s="490" t="s">
        <v>36305</v>
      </c>
      <c r="I2771" s="490" t="s">
        <v>34837</v>
      </c>
      <c r="J2771" s="491" t="s">
        <v>34838</v>
      </c>
      <c r="K2771" s="491" t="s">
        <v>36306</v>
      </c>
      <c r="L2771" s="491" t="s">
        <v>36307</v>
      </c>
      <c r="M2771" s="491" t="s">
        <v>36308</v>
      </c>
      <c r="N2771" s="491" t="s">
        <v>36309</v>
      </c>
      <c r="O2771" s="490" t="s">
        <v>36310</v>
      </c>
      <c r="P2771" s="36" t="s">
        <v>28972</v>
      </c>
    </row>
    <row r="2772" spans="1:16">
      <c r="A2772" s="132">
        <v>2771</v>
      </c>
      <c r="B2772" s="36" t="s">
        <v>28974</v>
      </c>
      <c r="C2772" s="36" t="s">
        <v>28975</v>
      </c>
      <c r="D2772" s="36" t="s">
        <v>28976</v>
      </c>
      <c r="E2772" s="490" t="s">
        <v>36311</v>
      </c>
      <c r="F2772" s="491" t="s">
        <v>36312</v>
      </c>
      <c r="G2772" s="491" t="s">
        <v>36313</v>
      </c>
      <c r="H2772" s="490" t="s">
        <v>36314</v>
      </c>
      <c r="I2772" s="490" t="s">
        <v>36315</v>
      </c>
      <c r="J2772" s="491" t="s">
        <v>36316</v>
      </c>
      <c r="K2772" s="491" t="s">
        <v>36317</v>
      </c>
      <c r="L2772" s="491" t="s">
        <v>36318</v>
      </c>
      <c r="M2772" s="491" t="s">
        <v>36319</v>
      </c>
      <c r="N2772" s="491" t="s">
        <v>36320</v>
      </c>
      <c r="O2772" s="490" t="s">
        <v>36321</v>
      </c>
      <c r="P2772" s="36" t="s">
        <v>28974</v>
      </c>
    </row>
    <row r="2773" spans="1:16">
      <c r="A2773" s="132">
        <v>2772</v>
      </c>
      <c r="B2773" s="36" t="s">
        <v>28977</v>
      </c>
      <c r="C2773" s="36" t="s">
        <v>28978</v>
      </c>
      <c r="D2773" s="490" t="s">
        <v>36322</v>
      </c>
      <c r="E2773" s="490" t="s">
        <v>36323</v>
      </c>
      <c r="F2773" s="491" t="s">
        <v>36324</v>
      </c>
      <c r="G2773" s="491" t="s">
        <v>36325</v>
      </c>
      <c r="H2773" s="490" t="s">
        <v>36326</v>
      </c>
      <c r="I2773" s="490" t="s">
        <v>36327</v>
      </c>
      <c r="J2773" s="491" t="s">
        <v>36328</v>
      </c>
      <c r="K2773" s="491" t="s">
        <v>36329</v>
      </c>
      <c r="L2773" s="491" t="s">
        <v>36330</v>
      </c>
      <c r="M2773" s="491" t="s">
        <v>36331</v>
      </c>
      <c r="N2773" s="491" t="s">
        <v>36332</v>
      </c>
      <c r="O2773" s="490" t="s">
        <v>36333</v>
      </c>
      <c r="P2773" s="36" t="s">
        <v>28977</v>
      </c>
    </row>
    <row r="2774" spans="1:16">
      <c r="A2774" s="132">
        <v>2773</v>
      </c>
      <c r="B2774" s="36" t="s">
        <v>28979</v>
      </c>
      <c r="C2774" s="36" t="s">
        <v>28980</v>
      </c>
      <c r="D2774" s="490" t="s">
        <v>36334</v>
      </c>
      <c r="E2774" s="490" t="s">
        <v>36335</v>
      </c>
      <c r="F2774" s="491" t="s">
        <v>36336</v>
      </c>
      <c r="G2774" s="491" t="s">
        <v>36337</v>
      </c>
      <c r="H2774" s="490" t="s">
        <v>36338</v>
      </c>
      <c r="I2774" s="490" t="s">
        <v>36339</v>
      </c>
      <c r="J2774" s="491" t="s">
        <v>36340</v>
      </c>
      <c r="K2774" s="491" t="s">
        <v>36341</v>
      </c>
      <c r="L2774" s="491" t="s">
        <v>36342</v>
      </c>
      <c r="M2774" s="491" t="s">
        <v>36343</v>
      </c>
      <c r="N2774" s="491" t="s">
        <v>36343</v>
      </c>
      <c r="O2774" s="490" t="s">
        <v>36344</v>
      </c>
      <c r="P2774" s="36" t="s">
        <v>28979</v>
      </c>
    </row>
    <row r="2775" spans="1:16">
      <c r="A2775" s="132">
        <v>2774</v>
      </c>
      <c r="B2775" s="36" t="s">
        <v>28981</v>
      </c>
      <c r="C2775" s="36" t="s">
        <v>28982</v>
      </c>
      <c r="D2775" s="36" t="s">
        <v>28983</v>
      </c>
      <c r="E2775" s="490" t="s">
        <v>36345</v>
      </c>
      <c r="F2775" s="491" t="s">
        <v>36346</v>
      </c>
      <c r="G2775" s="491" t="s">
        <v>36347</v>
      </c>
      <c r="H2775" s="490" t="s">
        <v>36348</v>
      </c>
      <c r="I2775" s="490" t="s">
        <v>36349</v>
      </c>
      <c r="J2775" s="491" t="s">
        <v>36350</v>
      </c>
      <c r="K2775" s="491" t="s">
        <v>36351</v>
      </c>
      <c r="L2775" s="491" t="s">
        <v>36352</v>
      </c>
      <c r="M2775" s="491" t="s">
        <v>36353</v>
      </c>
      <c r="N2775" s="491" t="s">
        <v>36354</v>
      </c>
      <c r="O2775" s="490" t="s">
        <v>36355</v>
      </c>
      <c r="P2775" s="36" t="s">
        <v>28981</v>
      </c>
    </row>
    <row r="2776" spans="1:16">
      <c r="A2776" s="132">
        <v>2775</v>
      </c>
      <c r="B2776" s="36" t="s">
        <v>28984</v>
      </c>
      <c r="C2776" s="36" t="s">
        <v>28985</v>
      </c>
      <c r="D2776" s="36" t="s">
        <v>28986</v>
      </c>
      <c r="E2776" s="490" t="s">
        <v>36356</v>
      </c>
      <c r="F2776" s="491" t="s">
        <v>36357</v>
      </c>
      <c r="G2776" s="491" t="s">
        <v>36358</v>
      </c>
      <c r="H2776" s="490" t="s">
        <v>36359</v>
      </c>
      <c r="I2776" s="490" t="s">
        <v>36360</v>
      </c>
      <c r="J2776" s="491" t="s">
        <v>36361</v>
      </c>
      <c r="K2776" s="491" t="s">
        <v>36362</v>
      </c>
      <c r="L2776" s="491" t="s">
        <v>36363</v>
      </c>
      <c r="M2776" s="491" t="s">
        <v>36363</v>
      </c>
      <c r="N2776" s="491" t="s">
        <v>36363</v>
      </c>
      <c r="O2776" s="490" t="s">
        <v>36364</v>
      </c>
      <c r="P2776" s="36" t="s">
        <v>28984</v>
      </c>
    </row>
    <row r="2777" spans="1:16">
      <c r="A2777" s="132">
        <v>2776</v>
      </c>
      <c r="B2777" s="36" t="s">
        <v>28987</v>
      </c>
      <c r="C2777" s="36" t="s">
        <v>28988</v>
      </c>
      <c r="D2777" s="490" t="s">
        <v>36365</v>
      </c>
      <c r="E2777" s="490" t="s">
        <v>36366</v>
      </c>
      <c r="F2777" s="491" t="s">
        <v>36367</v>
      </c>
      <c r="G2777" s="491" t="s">
        <v>36368</v>
      </c>
      <c r="H2777" s="490" t="s">
        <v>36369</v>
      </c>
      <c r="I2777" s="490" t="s">
        <v>36370</v>
      </c>
      <c r="J2777" s="491" t="s">
        <v>36371</v>
      </c>
      <c r="K2777" s="491" t="s">
        <v>36372</v>
      </c>
      <c r="L2777" s="491" t="s">
        <v>36373</v>
      </c>
      <c r="M2777" s="491" t="s">
        <v>36373</v>
      </c>
      <c r="N2777" s="491" t="s">
        <v>36373</v>
      </c>
      <c r="O2777" s="490" t="s">
        <v>36374</v>
      </c>
      <c r="P2777" s="36" t="s">
        <v>28987</v>
      </c>
    </row>
    <row r="2778" spans="1:16">
      <c r="A2778" s="132">
        <v>2777</v>
      </c>
      <c r="B2778" s="36" t="s">
        <v>28989</v>
      </c>
      <c r="C2778" s="36" t="s">
        <v>28990</v>
      </c>
      <c r="D2778" s="36" t="s">
        <v>28991</v>
      </c>
      <c r="E2778" s="490" t="s">
        <v>36375</v>
      </c>
      <c r="F2778" s="491" t="s">
        <v>36376</v>
      </c>
      <c r="G2778" s="491" t="s">
        <v>36377</v>
      </c>
      <c r="H2778" s="490" t="s">
        <v>36378</v>
      </c>
      <c r="I2778" s="490" t="s">
        <v>36379</v>
      </c>
      <c r="J2778" s="491" t="s">
        <v>36380</v>
      </c>
      <c r="K2778" s="491" t="s">
        <v>36381</v>
      </c>
      <c r="L2778" s="491" t="s">
        <v>36382</v>
      </c>
      <c r="M2778" s="491" t="s">
        <v>36382</v>
      </c>
      <c r="N2778" s="491" t="s">
        <v>36382</v>
      </c>
      <c r="O2778" s="490" t="s">
        <v>36383</v>
      </c>
      <c r="P2778" s="36" t="s">
        <v>28989</v>
      </c>
    </row>
    <row r="2779" spans="1:16">
      <c r="A2779" s="132">
        <v>2778</v>
      </c>
      <c r="B2779" s="36" t="s">
        <v>28992</v>
      </c>
      <c r="C2779" s="36" t="s">
        <v>28993</v>
      </c>
      <c r="D2779" s="36" t="s">
        <v>28994</v>
      </c>
      <c r="E2779" s="490" t="s">
        <v>36384</v>
      </c>
      <c r="F2779" s="491" t="s">
        <v>36385</v>
      </c>
      <c r="G2779" s="491" t="s">
        <v>36386</v>
      </c>
      <c r="H2779" s="490" t="s">
        <v>36387</v>
      </c>
      <c r="I2779" s="490" t="s">
        <v>36388</v>
      </c>
      <c r="J2779" s="491" t="s">
        <v>36389</v>
      </c>
      <c r="K2779" s="491" t="s">
        <v>36390</v>
      </c>
      <c r="L2779" s="491" t="s">
        <v>36391</v>
      </c>
      <c r="M2779" s="491" t="s">
        <v>36391</v>
      </c>
      <c r="N2779" s="491" t="s">
        <v>36391</v>
      </c>
      <c r="O2779" s="490" t="s">
        <v>36392</v>
      </c>
      <c r="P2779" s="36" t="s">
        <v>28992</v>
      </c>
    </row>
    <row r="2780" spans="1:16">
      <c r="A2780" s="132">
        <v>2779</v>
      </c>
      <c r="B2780" s="36" t="s">
        <v>28995</v>
      </c>
      <c r="C2780" s="36" t="s">
        <v>28996</v>
      </c>
      <c r="D2780" s="490" t="s">
        <v>36393</v>
      </c>
      <c r="E2780" s="490" t="s">
        <v>36394</v>
      </c>
      <c r="F2780" s="491" t="s">
        <v>36395</v>
      </c>
      <c r="G2780" s="491" t="s">
        <v>36396</v>
      </c>
      <c r="H2780" s="490" t="s">
        <v>36397</v>
      </c>
      <c r="I2780" s="490" t="s">
        <v>36398</v>
      </c>
      <c r="J2780" s="491" t="s">
        <v>36399</v>
      </c>
      <c r="K2780" s="491" t="s">
        <v>36400</v>
      </c>
      <c r="L2780" s="491" t="s">
        <v>36401</v>
      </c>
      <c r="M2780" s="491" t="s">
        <v>36401</v>
      </c>
      <c r="N2780" s="491" t="s">
        <v>36401</v>
      </c>
      <c r="O2780" s="490" t="s">
        <v>36402</v>
      </c>
      <c r="P2780" s="36" t="s">
        <v>28995</v>
      </c>
    </row>
    <row r="2781" spans="1:16">
      <c r="A2781" s="132">
        <v>2780</v>
      </c>
      <c r="B2781" s="36" t="s">
        <v>28997</v>
      </c>
      <c r="C2781" s="36" t="s">
        <v>28998</v>
      </c>
      <c r="D2781" s="36" t="s">
        <v>28999</v>
      </c>
      <c r="E2781" s="490" t="s">
        <v>36403</v>
      </c>
      <c r="F2781" s="491" t="s">
        <v>36404</v>
      </c>
      <c r="G2781" s="491" t="s">
        <v>36405</v>
      </c>
      <c r="H2781" s="490" t="s">
        <v>36406</v>
      </c>
      <c r="I2781" s="490" t="s">
        <v>36407</v>
      </c>
      <c r="J2781" s="491" t="s">
        <v>36408</v>
      </c>
      <c r="K2781" s="491" t="s">
        <v>36409</v>
      </c>
      <c r="L2781" s="491" t="s">
        <v>36410</v>
      </c>
      <c r="M2781" s="491" t="s">
        <v>36410</v>
      </c>
      <c r="N2781" s="491" t="s">
        <v>36410</v>
      </c>
      <c r="O2781" s="490" t="s">
        <v>36411</v>
      </c>
      <c r="P2781" s="36" t="s">
        <v>28997</v>
      </c>
    </row>
    <row r="2782" spans="1:16">
      <c r="A2782" s="132">
        <v>2781</v>
      </c>
      <c r="B2782" s="36" t="s">
        <v>29000</v>
      </c>
      <c r="C2782" s="36" t="s">
        <v>29001</v>
      </c>
      <c r="D2782" s="36" t="s">
        <v>29002</v>
      </c>
      <c r="E2782" s="490" t="s">
        <v>36412</v>
      </c>
      <c r="F2782" s="491" t="s">
        <v>36413</v>
      </c>
      <c r="G2782" s="491" t="s">
        <v>36414</v>
      </c>
      <c r="H2782" s="490" t="s">
        <v>36415</v>
      </c>
      <c r="I2782" s="490" t="s">
        <v>36416</v>
      </c>
      <c r="J2782" s="491" t="s">
        <v>36417</v>
      </c>
      <c r="K2782" s="491" t="s">
        <v>36418</v>
      </c>
      <c r="L2782" s="491" t="s">
        <v>36419</v>
      </c>
      <c r="M2782" s="491" t="s">
        <v>36419</v>
      </c>
      <c r="N2782" s="491" t="s">
        <v>36419</v>
      </c>
      <c r="O2782" s="490" t="s">
        <v>36420</v>
      </c>
      <c r="P2782" s="36" t="s">
        <v>29000</v>
      </c>
    </row>
    <row r="2783" spans="1:16">
      <c r="A2783" s="132">
        <v>2782</v>
      </c>
      <c r="B2783" s="36" t="s">
        <v>29003</v>
      </c>
      <c r="C2783" s="36" t="s">
        <v>29004</v>
      </c>
      <c r="D2783" s="36" t="s">
        <v>29005</v>
      </c>
      <c r="E2783" s="490" t="s">
        <v>36421</v>
      </c>
      <c r="F2783" s="491" t="s">
        <v>29003</v>
      </c>
      <c r="G2783" s="491" t="s">
        <v>36422</v>
      </c>
      <c r="H2783" s="490" t="s">
        <v>36423</v>
      </c>
      <c r="I2783" s="490" t="s">
        <v>36424</v>
      </c>
      <c r="J2783" s="491" t="s">
        <v>36425</v>
      </c>
      <c r="K2783" s="491" t="s">
        <v>36426</v>
      </c>
      <c r="L2783" s="491" t="s">
        <v>36427</v>
      </c>
      <c r="M2783" s="491" t="s">
        <v>36428</v>
      </c>
      <c r="N2783" s="491" t="s">
        <v>29003</v>
      </c>
      <c r="O2783" s="490" t="s">
        <v>36429</v>
      </c>
      <c r="P2783" s="36" t="s">
        <v>29003</v>
      </c>
    </row>
    <row r="2784" spans="1:16">
      <c r="A2784" s="132">
        <v>2783</v>
      </c>
      <c r="B2784" s="36" t="s">
        <v>29006</v>
      </c>
      <c r="C2784" s="36" t="s">
        <v>29007</v>
      </c>
      <c r="D2784" s="36" t="s">
        <v>29008</v>
      </c>
      <c r="E2784" s="490" t="s">
        <v>36430</v>
      </c>
      <c r="F2784" s="491" t="s">
        <v>36431</v>
      </c>
      <c r="G2784" s="491" t="s">
        <v>36432</v>
      </c>
      <c r="H2784" s="490" t="s">
        <v>36433</v>
      </c>
      <c r="I2784" s="490" t="s">
        <v>36434</v>
      </c>
      <c r="J2784" s="491" t="s">
        <v>36435</v>
      </c>
      <c r="K2784" s="491" t="s">
        <v>36436</v>
      </c>
      <c r="L2784" s="491" t="s">
        <v>36437</v>
      </c>
      <c r="M2784" s="491" t="s">
        <v>36438</v>
      </c>
      <c r="N2784" s="491" t="s">
        <v>36439</v>
      </c>
      <c r="O2784" s="490" t="s">
        <v>36440</v>
      </c>
      <c r="P2784" s="36" t="s">
        <v>29006</v>
      </c>
    </row>
    <row r="2785" spans="1:16">
      <c r="A2785" s="132">
        <v>2784</v>
      </c>
      <c r="B2785" s="36" t="s">
        <v>29009</v>
      </c>
      <c r="C2785" s="36" t="s">
        <v>29010</v>
      </c>
      <c r="D2785" s="490" t="s">
        <v>36441</v>
      </c>
      <c r="E2785" s="490" t="s">
        <v>36442</v>
      </c>
      <c r="F2785" s="491" t="s">
        <v>36443</v>
      </c>
      <c r="G2785" s="491" t="s">
        <v>36444</v>
      </c>
      <c r="H2785" s="490" t="s">
        <v>36445</v>
      </c>
      <c r="I2785" s="490" t="s">
        <v>36446</v>
      </c>
      <c r="J2785" s="491" t="s">
        <v>36447</v>
      </c>
      <c r="K2785" s="491" t="s">
        <v>36448</v>
      </c>
      <c r="L2785" s="491" t="s">
        <v>36449</v>
      </c>
      <c r="M2785" s="491" t="s">
        <v>36450</v>
      </c>
      <c r="N2785" s="491" t="s">
        <v>36451</v>
      </c>
      <c r="O2785" s="490" t="s">
        <v>36452</v>
      </c>
      <c r="P2785" s="36" t="s">
        <v>29009</v>
      </c>
    </row>
    <row r="2786" spans="1:16">
      <c r="A2786" s="132">
        <v>2785</v>
      </c>
      <c r="B2786" s="36" t="s">
        <v>29011</v>
      </c>
      <c r="C2786" s="36" t="s">
        <v>29012</v>
      </c>
      <c r="D2786" s="36" t="s">
        <v>29013</v>
      </c>
      <c r="E2786" s="490" t="s">
        <v>36453</v>
      </c>
      <c r="F2786" s="491" t="s">
        <v>36454</v>
      </c>
      <c r="G2786" s="491" t="s">
        <v>36455</v>
      </c>
      <c r="H2786" s="490" t="s">
        <v>36456</v>
      </c>
      <c r="I2786" s="490" t="s">
        <v>36078</v>
      </c>
      <c r="J2786" s="491" t="s">
        <v>36079</v>
      </c>
      <c r="K2786" s="491" t="s">
        <v>36080</v>
      </c>
      <c r="L2786" s="491" t="s">
        <v>36081</v>
      </c>
      <c r="M2786" s="491" t="s">
        <v>36082</v>
      </c>
      <c r="N2786" s="491" t="s">
        <v>36083</v>
      </c>
      <c r="O2786" s="490" t="s">
        <v>36457</v>
      </c>
      <c r="P2786" s="36" t="s">
        <v>29011</v>
      </c>
    </row>
    <row r="2787" spans="1:16">
      <c r="A2787" s="132">
        <v>2786</v>
      </c>
      <c r="B2787" s="36" t="s">
        <v>29014</v>
      </c>
      <c r="C2787" s="36" t="s">
        <v>29015</v>
      </c>
      <c r="D2787" s="490" t="s">
        <v>36458</v>
      </c>
      <c r="E2787" s="490" t="s">
        <v>36459</v>
      </c>
      <c r="F2787" s="491" t="s">
        <v>36460</v>
      </c>
      <c r="G2787" s="491" t="s">
        <v>36461</v>
      </c>
      <c r="H2787" s="490" t="s">
        <v>36462</v>
      </c>
      <c r="I2787" s="490" t="s">
        <v>36463</v>
      </c>
      <c r="J2787" s="491" t="s">
        <v>36464</v>
      </c>
      <c r="K2787" s="491" t="s">
        <v>36465</v>
      </c>
      <c r="L2787" s="491" t="s">
        <v>36466</v>
      </c>
      <c r="M2787" s="491" t="s">
        <v>36467</v>
      </c>
      <c r="N2787" s="491" t="s">
        <v>36468</v>
      </c>
      <c r="O2787" s="490" t="s">
        <v>36469</v>
      </c>
      <c r="P2787" s="36" t="s">
        <v>29014</v>
      </c>
    </row>
    <row r="2788" spans="1:16" s="495" customFormat="1">
      <c r="A2788" s="132">
        <v>2787</v>
      </c>
      <c r="B2788" s="36" t="s">
        <v>29016</v>
      </c>
      <c r="C2788" s="36" t="s">
        <v>29017</v>
      </c>
      <c r="D2788" s="36" t="s">
        <v>29018</v>
      </c>
      <c r="E2788" s="490" t="s">
        <v>36470</v>
      </c>
      <c r="F2788" s="490" t="s">
        <v>36471</v>
      </c>
      <c r="G2788" s="490" t="s">
        <v>36472</v>
      </c>
      <c r="H2788" s="490" t="s">
        <v>36473</v>
      </c>
      <c r="I2788" s="490" t="s">
        <v>36474</v>
      </c>
      <c r="J2788" s="487" t="s">
        <v>36475</v>
      </c>
      <c r="K2788" s="487" t="s">
        <v>36476</v>
      </c>
      <c r="L2788" s="487" t="s">
        <v>36477</v>
      </c>
      <c r="M2788" s="487" t="s">
        <v>36478</v>
      </c>
      <c r="N2788" s="487" t="s">
        <v>36479</v>
      </c>
      <c r="O2788" s="489" t="s">
        <v>36480</v>
      </c>
      <c r="P2788" s="36" t="s">
        <v>29016</v>
      </c>
    </row>
    <row r="2789" spans="1:16">
      <c r="A2789" s="132">
        <v>2788</v>
      </c>
      <c r="B2789" s="36" t="s">
        <v>29019</v>
      </c>
      <c r="C2789" s="36" t="s">
        <v>29020</v>
      </c>
      <c r="D2789" s="36" t="s">
        <v>29021</v>
      </c>
      <c r="E2789" s="490" t="s">
        <v>36481</v>
      </c>
      <c r="F2789" s="490" t="s">
        <v>36482</v>
      </c>
      <c r="G2789" s="490" t="s">
        <v>36483</v>
      </c>
      <c r="H2789" s="490" t="s">
        <v>36484</v>
      </c>
      <c r="I2789" s="490" t="s">
        <v>36482</v>
      </c>
      <c r="J2789" s="491" t="s">
        <v>36485</v>
      </c>
      <c r="K2789" s="491" t="s">
        <v>36486</v>
      </c>
      <c r="L2789" s="491" t="s">
        <v>36487</v>
      </c>
      <c r="M2789" s="491" t="s">
        <v>36488</v>
      </c>
      <c r="N2789" s="491" t="s">
        <v>36488</v>
      </c>
      <c r="O2789" s="490" t="s">
        <v>36489</v>
      </c>
      <c r="P2789" s="36" t="s">
        <v>29019</v>
      </c>
    </row>
    <row r="2790" spans="1:16">
      <c r="A2790" s="132">
        <v>2789</v>
      </c>
      <c r="B2790" s="36" t="s">
        <v>29022</v>
      </c>
      <c r="C2790" s="36" t="s">
        <v>29023</v>
      </c>
      <c r="D2790" s="490" t="s">
        <v>36490</v>
      </c>
      <c r="E2790" s="490" t="s">
        <v>36491</v>
      </c>
      <c r="F2790" s="490" t="s">
        <v>36492</v>
      </c>
      <c r="G2790" s="490" t="s">
        <v>19661</v>
      </c>
      <c r="H2790" s="490" t="s">
        <v>36493</v>
      </c>
      <c r="I2790" s="490" t="s">
        <v>36494</v>
      </c>
      <c r="J2790" s="491" t="s">
        <v>36495</v>
      </c>
      <c r="K2790" s="491" t="s">
        <v>36496</v>
      </c>
      <c r="L2790" s="491" t="s">
        <v>36497</v>
      </c>
      <c r="M2790" s="491" t="s">
        <v>36498</v>
      </c>
      <c r="N2790" s="491" t="s">
        <v>36499</v>
      </c>
      <c r="O2790" s="490" t="s">
        <v>36500</v>
      </c>
      <c r="P2790" s="36" t="s">
        <v>29022</v>
      </c>
    </row>
    <row r="2791" spans="1:16">
      <c r="A2791" s="132">
        <v>2790</v>
      </c>
      <c r="B2791" s="36" t="s">
        <v>29024</v>
      </c>
      <c r="C2791" s="36" t="s">
        <v>29025</v>
      </c>
      <c r="D2791" s="36" t="s">
        <v>29026</v>
      </c>
      <c r="E2791" s="490" t="s">
        <v>36501</v>
      </c>
      <c r="F2791" s="490" t="s">
        <v>36502</v>
      </c>
      <c r="G2791" s="490" t="s">
        <v>36503</v>
      </c>
      <c r="H2791" s="490" t="s">
        <v>36504</v>
      </c>
      <c r="I2791" s="490" t="s">
        <v>36505</v>
      </c>
      <c r="J2791" s="491" t="s">
        <v>36506</v>
      </c>
      <c r="K2791" s="491" t="s">
        <v>36507</v>
      </c>
      <c r="L2791" s="491" t="s">
        <v>36508</v>
      </c>
      <c r="M2791" s="491" t="s">
        <v>36509</v>
      </c>
      <c r="N2791" s="491" t="s">
        <v>36510</v>
      </c>
      <c r="O2791" s="490" t="s">
        <v>36511</v>
      </c>
      <c r="P2791" s="36" t="s">
        <v>29024</v>
      </c>
    </row>
    <row r="2792" spans="1:16">
      <c r="A2792" s="132">
        <v>2791</v>
      </c>
      <c r="B2792" s="36" t="s">
        <v>29027</v>
      </c>
      <c r="C2792" s="36" t="s">
        <v>29028</v>
      </c>
      <c r="D2792" s="36" t="s">
        <v>29029</v>
      </c>
      <c r="E2792" s="490" t="s">
        <v>36512</v>
      </c>
      <c r="F2792" s="490" t="s">
        <v>36513</v>
      </c>
      <c r="G2792" s="490" t="s">
        <v>36514</v>
      </c>
      <c r="H2792" s="490" t="s">
        <v>36515</v>
      </c>
      <c r="I2792" s="490" t="s">
        <v>36516</v>
      </c>
      <c r="J2792" s="491" t="s">
        <v>36517</v>
      </c>
      <c r="K2792" s="491" t="s">
        <v>36518</v>
      </c>
      <c r="L2792" s="491" t="s">
        <v>36519</v>
      </c>
      <c r="M2792" s="491" t="s">
        <v>36520</v>
      </c>
      <c r="N2792" s="491" t="s">
        <v>36520</v>
      </c>
      <c r="O2792" s="490" t="s">
        <v>36521</v>
      </c>
      <c r="P2792" s="36" t="s">
        <v>29027</v>
      </c>
    </row>
    <row r="2793" spans="1:16">
      <c r="A2793" s="132">
        <v>2792</v>
      </c>
      <c r="B2793" s="36" t="s">
        <v>29030</v>
      </c>
      <c r="C2793" s="36" t="s">
        <v>29031</v>
      </c>
      <c r="D2793" s="490" t="s">
        <v>36522</v>
      </c>
      <c r="E2793" s="490" t="s">
        <v>36523</v>
      </c>
      <c r="F2793" s="490" t="s">
        <v>36524</v>
      </c>
      <c r="G2793" s="490" t="s">
        <v>36525</v>
      </c>
      <c r="H2793" s="490" t="s">
        <v>36526</v>
      </c>
      <c r="I2793" s="490" t="s">
        <v>36527</v>
      </c>
      <c r="J2793" s="491" t="s">
        <v>36528</v>
      </c>
      <c r="K2793" s="491" t="s">
        <v>36529</v>
      </c>
      <c r="L2793" s="491" t="s">
        <v>36530</v>
      </c>
      <c r="M2793" s="491" t="s">
        <v>36531</v>
      </c>
      <c r="N2793" s="491" t="s">
        <v>36531</v>
      </c>
      <c r="O2793" s="490" t="s">
        <v>36529</v>
      </c>
      <c r="P2793" s="36" t="s">
        <v>29030</v>
      </c>
    </row>
    <row r="2794" spans="1:16">
      <c r="A2794" s="132">
        <v>2793</v>
      </c>
      <c r="B2794" s="36" t="s">
        <v>29032</v>
      </c>
      <c r="C2794" s="36" t="s">
        <v>29033</v>
      </c>
      <c r="D2794" s="36" t="s">
        <v>29034</v>
      </c>
      <c r="E2794" s="490" t="s">
        <v>36532</v>
      </c>
      <c r="F2794" s="490" t="s">
        <v>36533</v>
      </c>
      <c r="G2794" s="490" t="s">
        <v>36534</v>
      </c>
      <c r="H2794" s="490" t="s">
        <v>36535</v>
      </c>
      <c r="I2794" s="490" t="s">
        <v>36536</v>
      </c>
      <c r="J2794" s="491" t="s">
        <v>36537</v>
      </c>
      <c r="K2794" s="491" t="s">
        <v>36538</v>
      </c>
      <c r="L2794" s="491" t="s">
        <v>36539</v>
      </c>
      <c r="M2794" s="491" t="s">
        <v>36540</v>
      </c>
      <c r="N2794" s="491" t="s">
        <v>36541</v>
      </c>
      <c r="O2794" s="490" t="s">
        <v>36542</v>
      </c>
      <c r="P2794" s="36" t="s">
        <v>29032</v>
      </c>
    </row>
    <row r="2795" spans="1:16">
      <c r="A2795" s="132">
        <v>2794</v>
      </c>
      <c r="B2795" s="36" t="s">
        <v>29035</v>
      </c>
      <c r="C2795" s="36" t="s">
        <v>29036</v>
      </c>
      <c r="D2795" s="490" t="s">
        <v>36543</v>
      </c>
      <c r="E2795" s="490" t="s">
        <v>36544</v>
      </c>
      <c r="F2795" s="490" t="s">
        <v>36545</v>
      </c>
      <c r="G2795" s="490" t="s">
        <v>36546</v>
      </c>
      <c r="H2795" s="490" t="s">
        <v>36547</v>
      </c>
      <c r="I2795" s="490" t="s">
        <v>36548</v>
      </c>
      <c r="J2795" s="491" t="s">
        <v>36549</v>
      </c>
      <c r="K2795" s="491" t="s">
        <v>36550</v>
      </c>
      <c r="L2795" s="491" t="s">
        <v>36551</v>
      </c>
      <c r="M2795" s="491" t="s">
        <v>36552</v>
      </c>
      <c r="N2795" s="491" t="s">
        <v>36553</v>
      </c>
      <c r="O2795" s="490" t="s">
        <v>36554</v>
      </c>
      <c r="P2795" s="36" t="s">
        <v>29035</v>
      </c>
    </row>
    <row r="2796" spans="1:16">
      <c r="A2796" s="132">
        <v>2795</v>
      </c>
      <c r="B2796" s="36" t="s">
        <v>29037</v>
      </c>
      <c r="C2796" s="36" t="s">
        <v>29038</v>
      </c>
      <c r="D2796" s="490" t="s">
        <v>36555</v>
      </c>
      <c r="E2796" s="490" t="s">
        <v>36556</v>
      </c>
      <c r="F2796" s="490" t="s">
        <v>36557</v>
      </c>
      <c r="G2796" s="490" t="s">
        <v>36558</v>
      </c>
      <c r="H2796" s="490" t="s">
        <v>36559</v>
      </c>
      <c r="I2796" s="490" t="s">
        <v>36560</v>
      </c>
      <c r="J2796" s="491" t="s">
        <v>36561</v>
      </c>
      <c r="K2796" s="491" t="s">
        <v>36562</v>
      </c>
      <c r="L2796" s="491" t="s">
        <v>36563</v>
      </c>
      <c r="M2796" s="491" t="s">
        <v>36564</v>
      </c>
      <c r="N2796" s="491" t="s">
        <v>36565</v>
      </c>
      <c r="O2796" s="490" t="s">
        <v>36566</v>
      </c>
      <c r="P2796" s="36" t="s">
        <v>29037</v>
      </c>
    </row>
    <row r="2797" spans="1:16">
      <c r="A2797" s="132">
        <v>2796</v>
      </c>
      <c r="B2797" s="36" t="s">
        <v>29039</v>
      </c>
      <c r="C2797" s="36" t="s">
        <v>29040</v>
      </c>
      <c r="D2797" s="36" t="s">
        <v>12387</v>
      </c>
      <c r="E2797" s="490" t="s">
        <v>36567</v>
      </c>
      <c r="F2797" s="490" t="s">
        <v>36568</v>
      </c>
      <c r="G2797" s="490" t="s">
        <v>36569</v>
      </c>
      <c r="H2797" s="490" t="s">
        <v>36570</v>
      </c>
      <c r="I2797" s="490" t="s">
        <v>36571</v>
      </c>
      <c r="J2797" s="491" t="s">
        <v>36572</v>
      </c>
      <c r="K2797" s="491" t="s">
        <v>36573</v>
      </c>
      <c r="L2797" s="491" t="s">
        <v>36574</v>
      </c>
      <c r="M2797" s="491" t="s">
        <v>36575</v>
      </c>
      <c r="N2797" s="491" t="s">
        <v>36576</v>
      </c>
      <c r="O2797" s="490" t="s">
        <v>36577</v>
      </c>
      <c r="P2797" s="36" t="s">
        <v>29039</v>
      </c>
    </row>
    <row r="2798" spans="1:16">
      <c r="A2798" s="132">
        <v>2797</v>
      </c>
      <c r="B2798" s="36" t="s">
        <v>29041</v>
      </c>
      <c r="C2798" s="36" t="s">
        <v>29042</v>
      </c>
      <c r="D2798" s="36" t="s">
        <v>29043</v>
      </c>
      <c r="E2798" s="490" t="s">
        <v>36578</v>
      </c>
      <c r="F2798" s="490" t="s">
        <v>36579</v>
      </c>
      <c r="G2798" s="490" t="s">
        <v>36580</v>
      </c>
      <c r="H2798" s="490" t="s">
        <v>36581</v>
      </c>
      <c r="I2798" s="490" t="s">
        <v>36582</v>
      </c>
      <c r="J2798" s="491" t="s">
        <v>36583</v>
      </c>
      <c r="K2798" s="491" t="s">
        <v>36584</v>
      </c>
      <c r="L2798" s="491" t="s">
        <v>36585</v>
      </c>
      <c r="M2798" s="491" t="s">
        <v>36586</v>
      </c>
      <c r="N2798" s="491" t="s">
        <v>36587</v>
      </c>
      <c r="O2798" s="490" t="s">
        <v>36588</v>
      </c>
      <c r="P2798" s="36" t="s">
        <v>29041</v>
      </c>
    </row>
    <row r="2799" spans="1:16">
      <c r="A2799" s="132">
        <v>2798</v>
      </c>
      <c r="B2799" s="36" t="s">
        <v>29044</v>
      </c>
      <c r="C2799" s="36" t="s">
        <v>29045</v>
      </c>
      <c r="D2799" s="36" t="s">
        <v>29046</v>
      </c>
      <c r="E2799" s="490" t="s">
        <v>36589</v>
      </c>
      <c r="F2799" s="490" t="s">
        <v>36590</v>
      </c>
      <c r="G2799" s="490" t="s">
        <v>36591</v>
      </c>
      <c r="H2799" s="490" t="s">
        <v>36592</v>
      </c>
      <c r="I2799" s="490" t="s">
        <v>36593</v>
      </c>
      <c r="J2799" s="491" t="s">
        <v>36594</v>
      </c>
      <c r="K2799" s="491" t="s">
        <v>36595</v>
      </c>
      <c r="L2799" s="491" t="s">
        <v>36596</v>
      </c>
      <c r="M2799" s="491" t="s">
        <v>36597</v>
      </c>
      <c r="N2799" s="491" t="s">
        <v>36598</v>
      </c>
      <c r="O2799" s="490" t="s">
        <v>36599</v>
      </c>
      <c r="P2799" s="36" t="s">
        <v>29044</v>
      </c>
    </row>
    <row r="2800" spans="1:16">
      <c r="A2800" s="132">
        <v>2799</v>
      </c>
      <c r="B2800" s="36" t="s">
        <v>29047</v>
      </c>
      <c r="C2800" s="36" t="s">
        <v>29048</v>
      </c>
      <c r="D2800" s="36" t="s">
        <v>19893</v>
      </c>
      <c r="E2800" s="490" t="s">
        <v>36600</v>
      </c>
      <c r="F2800" s="490" t="s">
        <v>36601</v>
      </c>
      <c r="G2800" s="490" t="s">
        <v>36602</v>
      </c>
      <c r="H2800" s="490" t="s">
        <v>36603</v>
      </c>
      <c r="I2800" s="490" t="s">
        <v>36604</v>
      </c>
      <c r="J2800" s="491" t="s">
        <v>36605</v>
      </c>
      <c r="K2800" s="491" t="s">
        <v>36606</v>
      </c>
      <c r="L2800" s="491" t="s">
        <v>36607</v>
      </c>
      <c r="M2800" s="491" t="s">
        <v>36608</v>
      </c>
      <c r="N2800" s="491" t="s">
        <v>36608</v>
      </c>
      <c r="O2800" s="490" t="s">
        <v>36606</v>
      </c>
      <c r="P2800" s="36" t="s">
        <v>29047</v>
      </c>
    </row>
    <row r="2801" spans="1:16">
      <c r="A2801" s="132">
        <v>2800</v>
      </c>
      <c r="B2801" s="36" t="s">
        <v>29049</v>
      </c>
      <c r="C2801" s="36" t="s">
        <v>29050</v>
      </c>
      <c r="D2801" s="490" t="s">
        <v>36609</v>
      </c>
      <c r="E2801" s="490" t="s">
        <v>36610</v>
      </c>
      <c r="F2801" s="490" t="s">
        <v>36611</v>
      </c>
      <c r="G2801" s="490" t="s">
        <v>36612</v>
      </c>
      <c r="H2801" s="490" t="s">
        <v>36613</v>
      </c>
      <c r="I2801" s="490" t="s">
        <v>36614</v>
      </c>
      <c r="J2801" s="491" t="s">
        <v>36615</v>
      </c>
      <c r="K2801" s="491" t="s">
        <v>36616</v>
      </c>
      <c r="L2801" s="491" t="s">
        <v>36617</v>
      </c>
      <c r="M2801" s="491" t="s">
        <v>36618</v>
      </c>
      <c r="N2801" s="491" t="s">
        <v>36619</v>
      </c>
      <c r="O2801" s="490" t="s">
        <v>36620</v>
      </c>
      <c r="P2801" s="36" t="s">
        <v>29049</v>
      </c>
    </row>
    <row r="2802" spans="1:16">
      <c r="A2802" s="132">
        <v>2801</v>
      </c>
      <c r="B2802" s="36" t="s">
        <v>29051</v>
      </c>
      <c r="C2802" s="36" t="s">
        <v>29052</v>
      </c>
      <c r="D2802" s="36" t="s">
        <v>29053</v>
      </c>
      <c r="E2802" s="490" t="s">
        <v>36621</v>
      </c>
      <c r="F2802" s="490" t="s">
        <v>36622</v>
      </c>
      <c r="G2802" s="490" t="s">
        <v>36623</v>
      </c>
      <c r="H2802" s="490" t="s">
        <v>36624</v>
      </c>
      <c r="I2802" s="490" t="s">
        <v>36625</v>
      </c>
      <c r="J2802" s="491" t="s">
        <v>36626</v>
      </c>
      <c r="K2802" s="491" t="s">
        <v>36627</v>
      </c>
      <c r="L2802" s="491" t="s">
        <v>36628</v>
      </c>
      <c r="M2802" s="491" t="s">
        <v>36629</v>
      </c>
      <c r="N2802" s="491" t="s">
        <v>36629</v>
      </c>
      <c r="O2802" s="490" t="s">
        <v>36630</v>
      </c>
      <c r="P2802" s="36" t="s">
        <v>29051</v>
      </c>
    </row>
    <row r="2803" spans="1:16">
      <c r="A2803" s="132">
        <v>2802</v>
      </c>
      <c r="B2803" s="36" t="s">
        <v>29054</v>
      </c>
      <c r="C2803" s="36" t="s">
        <v>29055</v>
      </c>
      <c r="D2803" s="490" t="s">
        <v>36631</v>
      </c>
      <c r="E2803" s="490" t="s">
        <v>36632</v>
      </c>
      <c r="F2803" s="490" t="s">
        <v>36633</v>
      </c>
      <c r="G2803" s="490" t="s">
        <v>36634</v>
      </c>
      <c r="H2803" s="490" t="s">
        <v>36635</v>
      </c>
      <c r="I2803" s="490" t="s">
        <v>36636</v>
      </c>
      <c r="J2803" s="491" t="s">
        <v>36637</v>
      </c>
      <c r="K2803" s="491" t="s">
        <v>36638</v>
      </c>
      <c r="L2803" s="491" t="s">
        <v>36639</v>
      </c>
      <c r="M2803" s="491" t="s">
        <v>36640</v>
      </c>
      <c r="N2803" s="491" t="s">
        <v>36641</v>
      </c>
      <c r="O2803" s="490" t="s">
        <v>36642</v>
      </c>
      <c r="P2803" s="36" t="s">
        <v>29054</v>
      </c>
    </row>
    <row r="2804" spans="1:16">
      <c r="A2804" s="132">
        <v>2803</v>
      </c>
      <c r="B2804" s="36" t="s">
        <v>29056</v>
      </c>
      <c r="C2804" s="36" t="s">
        <v>29057</v>
      </c>
      <c r="D2804" s="36" t="s">
        <v>29058</v>
      </c>
      <c r="E2804" s="490" t="s">
        <v>36643</v>
      </c>
      <c r="F2804" s="490" t="s">
        <v>36644</v>
      </c>
      <c r="G2804" s="490" t="s">
        <v>36645</v>
      </c>
      <c r="H2804" s="490" t="s">
        <v>36646</v>
      </c>
      <c r="I2804" s="490" t="s">
        <v>36644</v>
      </c>
      <c r="J2804" s="491" t="s">
        <v>36647</v>
      </c>
      <c r="K2804" s="491" t="s">
        <v>36648</v>
      </c>
      <c r="L2804" s="491" t="s">
        <v>36649</v>
      </c>
      <c r="M2804" s="491" t="s">
        <v>36650</v>
      </c>
      <c r="N2804" s="491" t="s">
        <v>36651</v>
      </c>
      <c r="O2804" s="490" t="s">
        <v>36652</v>
      </c>
      <c r="P2804" s="36" t="s">
        <v>29056</v>
      </c>
    </row>
    <row r="2805" spans="1:16">
      <c r="A2805" s="132">
        <v>2804</v>
      </c>
      <c r="B2805" s="36" t="s">
        <v>29059</v>
      </c>
      <c r="C2805" s="36" t="s">
        <v>29060</v>
      </c>
      <c r="D2805" s="36" t="s">
        <v>29061</v>
      </c>
      <c r="E2805" s="490" t="s">
        <v>36653</v>
      </c>
      <c r="F2805" s="490" t="s">
        <v>36654</v>
      </c>
      <c r="G2805" s="490" t="s">
        <v>36655</v>
      </c>
      <c r="H2805" s="490" t="s">
        <v>36656</v>
      </c>
      <c r="I2805" s="490" t="s">
        <v>36657</v>
      </c>
      <c r="J2805" s="491" t="s">
        <v>36658</v>
      </c>
      <c r="K2805" s="491" t="s">
        <v>36659</v>
      </c>
      <c r="L2805" s="491" t="s">
        <v>36660</v>
      </c>
      <c r="M2805" s="491" t="s">
        <v>36661</v>
      </c>
      <c r="N2805" s="491" t="s">
        <v>36661</v>
      </c>
      <c r="O2805" s="490" t="s">
        <v>36662</v>
      </c>
      <c r="P2805" s="36" t="s">
        <v>29059</v>
      </c>
    </row>
    <row r="2806" spans="1:16">
      <c r="A2806" s="132">
        <v>2805</v>
      </c>
      <c r="B2806" s="36" t="s">
        <v>29062</v>
      </c>
      <c r="C2806" s="36" t="s">
        <v>29063</v>
      </c>
      <c r="D2806" s="36" t="s">
        <v>29064</v>
      </c>
      <c r="E2806" s="490" t="s">
        <v>36663</v>
      </c>
      <c r="F2806" s="490" t="s">
        <v>36664</v>
      </c>
      <c r="G2806" s="490" t="s">
        <v>36665</v>
      </c>
      <c r="H2806" s="490" t="s">
        <v>36666</v>
      </c>
      <c r="I2806" s="490" t="s">
        <v>36667</v>
      </c>
      <c r="J2806" s="491" t="s">
        <v>36668</v>
      </c>
      <c r="K2806" s="491" t="s">
        <v>36669</v>
      </c>
      <c r="L2806" s="491" t="s">
        <v>36670</v>
      </c>
      <c r="M2806" s="491" t="s">
        <v>36671</v>
      </c>
      <c r="N2806" s="491" t="s">
        <v>36671</v>
      </c>
      <c r="O2806" s="490" t="s">
        <v>36672</v>
      </c>
      <c r="P2806" s="36" t="s">
        <v>29062</v>
      </c>
    </row>
    <row r="2807" spans="1:16">
      <c r="A2807" s="132">
        <v>2806</v>
      </c>
      <c r="B2807" s="36" t="s">
        <v>29065</v>
      </c>
      <c r="C2807" s="36" t="s">
        <v>29066</v>
      </c>
      <c r="D2807" s="36" t="s">
        <v>29067</v>
      </c>
      <c r="E2807" s="490" t="s">
        <v>25157</v>
      </c>
      <c r="F2807" s="490" t="s">
        <v>36673</v>
      </c>
      <c r="G2807" s="490" t="s">
        <v>36674</v>
      </c>
      <c r="H2807" s="490" t="s">
        <v>36675</v>
      </c>
      <c r="I2807" s="490" t="s">
        <v>36676</v>
      </c>
      <c r="J2807" s="491" t="s">
        <v>36677</v>
      </c>
      <c r="K2807" s="491" t="s">
        <v>36678</v>
      </c>
      <c r="L2807" s="491" t="s">
        <v>36679</v>
      </c>
      <c r="M2807" s="491" t="s">
        <v>36680</v>
      </c>
      <c r="N2807" s="491" t="s">
        <v>36681</v>
      </c>
      <c r="O2807" s="490" t="s">
        <v>36682</v>
      </c>
      <c r="P2807" s="36" t="s">
        <v>29065</v>
      </c>
    </row>
    <row r="2808" spans="1:16">
      <c r="A2808" s="132">
        <v>2807</v>
      </c>
      <c r="B2808" s="36" t="s">
        <v>29068</v>
      </c>
      <c r="C2808" s="36" t="s">
        <v>29069</v>
      </c>
      <c r="D2808" s="36" t="s">
        <v>29070</v>
      </c>
      <c r="E2808" s="490" t="s">
        <v>36683</v>
      </c>
      <c r="F2808" s="490" t="s">
        <v>36684</v>
      </c>
      <c r="G2808" s="490" t="s">
        <v>36685</v>
      </c>
      <c r="H2808" s="490" t="s">
        <v>36686</v>
      </c>
      <c r="I2808" s="489" t="s">
        <v>36687</v>
      </c>
      <c r="J2808" s="487" t="s">
        <v>36688</v>
      </c>
      <c r="K2808" s="487" t="s">
        <v>36689</v>
      </c>
      <c r="L2808" s="487" t="s">
        <v>36690</v>
      </c>
      <c r="M2808" s="487" t="s">
        <v>36691</v>
      </c>
      <c r="N2808" s="487" t="s">
        <v>36692</v>
      </c>
      <c r="O2808" s="489" t="s">
        <v>36693</v>
      </c>
      <c r="P2808" s="36" t="s">
        <v>29068</v>
      </c>
    </row>
    <row r="2809" spans="1:16">
      <c r="A2809" s="132">
        <v>2808</v>
      </c>
      <c r="B2809" s="36" t="s">
        <v>29071</v>
      </c>
      <c r="C2809" s="36" t="s">
        <v>29072</v>
      </c>
      <c r="D2809" s="490" t="s">
        <v>36694</v>
      </c>
      <c r="E2809" s="490" t="s">
        <v>36695</v>
      </c>
      <c r="F2809" s="490" t="s">
        <v>36696</v>
      </c>
      <c r="G2809" s="490" t="s">
        <v>36697</v>
      </c>
      <c r="H2809" s="490" t="s">
        <v>36698</v>
      </c>
      <c r="I2809" s="490" t="s">
        <v>36699</v>
      </c>
      <c r="J2809" s="491" t="s">
        <v>36700</v>
      </c>
      <c r="K2809" s="491" t="s">
        <v>36701</v>
      </c>
      <c r="L2809" s="491" t="s">
        <v>36702</v>
      </c>
      <c r="M2809" s="491" t="s">
        <v>36703</v>
      </c>
      <c r="N2809" s="491" t="s">
        <v>36704</v>
      </c>
      <c r="O2809" s="490" t="s">
        <v>36705</v>
      </c>
      <c r="P2809" s="36" t="s">
        <v>29071</v>
      </c>
    </row>
    <row r="2810" spans="1:16">
      <c r="A2810" s="132">
        <v>2809</v>
      </c>
      <c r="B2810" s="36" t="s">
        <v>29073</v>
      </c>
      <c r="C2810" s="36" t="s">
        <v>29074</v>
      </c>
      <c r="D2810" s="490" t="s">
        <v>36706</v>
      </c>
      <c r="E2810" s="490" t="s">
        <v>36707</v>
      </c>
      <c r="F2810" s="490" t="s">
        <v>36708</v>
      </c>
      <c r="G2810" s="490" t="s">
        <v>36709</v>
      </c>
      <c r="H2810" s="490" t="s">
        <v>36710</v>
      </c>
      <c r="I2810" s="490" t="s">
        <v>36711</v>
      </c>
      <c r="J2810" s="491" t="s">
        <v>36712</v>
      </c>
      <c r="K2810" s="491" t="s">
        <v>36713</v>
      </c>
      <c r="L2810" s="491" t="s">
        <v>36714</v>
      </c>
      <c r="M2810" s="491" t="s">
        <v>36715</v>
      </c>
      <c r="N2810" s="491" t="s">
        <v>36716</v>
      </c>
      <c r="O2810" s="490" t="s">
        <v>36717</v>
      </c>
      <c r="P2810" s="36" t="s">
        <v>29073</v>
      </c>
    </row>
    <row r="2811" spans="1:16">
      <c r="A2811" s="132">
        <v>2810</v>
      </c>
      <c r="B2811" s="36" t="s">
        <v>29075</v>
      </c>
      <c r="C2811" s="36" t="s">
        <v>29076</v>
      </c>
      <c r="D2811" s="490" t="s">
        <v>36718</v>
      </c>
      <c r="E2811" s="490" t="s">
        <v>36719</v>
      </c>
      <c r="F2811" s="490" t="s">
        <v>36720</v>
      </c>
      <c r="G2811" s="490" t="s">
        <v>36721</v>
      </c>
      <c r="H2811" s="490" t="s">
        <v>36722</v>
      </c>
      <c r="I2811" s="490" t="s">
        <v>36723</v>
      </c>
      <c r="J2811" s="491" t="s">
        <v>36724</v>
      </c>
      <c r="K2811" s="491" t="s">
        <v>36725</v>
      </c>
      <c r="L2811" s="491" t="s">
        <v>36726</v>
      </c>
      <c r="M2811" s="491" t="s">
        <v>36727</v>
      </c>
      <c r="N2811" s="491" t="s">
        <v>36727</v>
      </c>
      <c r="O2811" s="490" t="s">
        <v>36728</v>
      </c>
      <c r="P2811" s="36" t="s">
        <v>29075</v>
      </c>
    </row>
    <row r="2812" spans="1:16">
      <c r="A2812" s="132">
        <v>2811</v>
      </c>
      <c r="B2812" s="36" t="s">
        <v>29077</v>
      </c>
      <c r="C2812" s="36" t="s">
        <v>29078</v>
      </c>
      <c r="D2812" s="36" t="s">
        <v>29079</v>
      </c>
      <c r="E2812" s="490" t="s">
        <v>36729</v>
      </c>
      <c r="F2812" s="490" t="s">
        <v>36730</v>
      </c>
      <c r="G2812" s="490" t="s">
        <v>36731</v>
      </c>
      <c r="H2812" s="490" t="s">
        <v>36732</v>
      </c>
      <c r="I2812" s="490" t="s">
        <v>36733</v>
      </c>
      <c r="J2812" s="491" t="s">
        <v>36734</v>
      </c>
      <c r="K2812" s="491" t="s">
        <v>36735</v>
      </c>
      <c r="L2812" s="491" t="s">
        <v>36736</v>
      </c>
      <c r="M2812" s="491" t="s">
        <v>36737</v>
      </c>
      <c r="N2812" s="491" t="s">
        <v>36738</v>
      </c>
      <c r="O2812" s="490" t="s">
        <v>36739</v>
      </c>
      <c r="P2812" s="36" t="s">
        <v>29077</v>
      </c>
    </row>
    <row r="2813" spans="1:16">
      <c r="A2813" s="132">
        <v>2812</v>
      </c>
      <c r="B2813" s="36" t="s">
        <v>29080</v>
      </c>
      <c r="C2813" s="36" t="s">
        <v>29081</v>
      </c>
      <c r="D2813" s="36" t="s">
        <v>29082</v>
      </c>
      <c r="E2813" s="490" t="s">
        <v>36740</v>
      </c>
      <c r="F2813" s="490" t="s">
        <v>36741</v>
      </c>
      <c r="G2813" s="490" t="s">
        <v>36742</v>
      </c>
      <c r="H2813" s="490" t="s">
        <v>36743</v>
      </c>
      <c r="I2813" s="490" t="s">
        <v>36744</v>
      </c>
      <c r="J2813" s="491" t="s">
        <v>36745</v>
      </c>
      <c r="K2813" s="491" t="s">
        <v>36746</v>
      </c>
      <c r="L2813" s="491" t="s">
        <v>36747</v>
      </c>
      <c r="M2813" s="491" t="s">
        <v>36748</v>
      </c>
      <c r="N2813" s="491" t="s">
        <v>36748</v>
      </c>
      <c r="O2813" s="490" t="s">
        <v>36749</v>
      </c>
      <c r="P2813" s="36" t="s">
        <v>29080</v>
      </c>
    </row>
    <row r="2814" spans="1:16">
      <c r="A2814" s="132">
        <v>2813</v>
      </c>
      <c r="B2814" s="36" t="s">
        <v>29083</v>
      </c>
      <c r="C2814" s="36" t="s">
        <v>29084</v>
      </c>
      <c r="D2814" s="36" t="s">
        <v>29085</v>
      </c>
      <c r="E2814" s="490" t="s">
        <v>36750</v>
      </c>
      <c r="F2814" s="490" t="s">
        <v>36751</v>
      </c>
      <c r="G2814" s="490" t="s">
        <v>36752</v>
      </c>
      <c r="H2814" s="490" t="s">
        <v>36753</v>
      </c>
      <c r="I2814" s="490" t="s">
        <v>36754</v>
      </c>
      <c r="J2814" s="491" t="s">
        <v>36755</v>
      </c>
      <c r="K2814" s="491" t="s">
        <v>36756</v>
      </c>
      <c r="L2814" s="491" t="s">
        <v>36757</v>
      </c>
      <c r="M2814" s="491" t="s">
        <v>36758</v>
      </c>
      <c r="N2814" s="491" t="s">
        <v>36759</v>
      </c>
      <c r="O2814" s="490" t="s">
        <v>36760</v>
      </c>
      <c r="P2814" s="36" t="s">
        <v>29083</v>
      </c>
    </row>
    <row r="2815" spans="1:16">
      <c r="A2815" s="132">
        <v>2814</v>
      </c>
      <c r="B2815" s="36" t="s">
        <v>29086</v>
      </c>
      <c r="C2815" s="36" t="s">
        <v>29087</v>
      </c>
      <c r="D2815" s="490" t="s">
        <v>36761</v>
      </c>
      <c r="E2815" s="490" t="s">
        <v>36762</v>
      </c>
      <c r="F2815" s="490" t="s">
        <v>36763</v>
      </c>
      <c r="G2815" s="490" t="s">
        <v>36764</v>
      </c>
      <c r="H2815" s="490" t="s">
        <v>36765</v>
      </c>
      <c r="I2815" s="490" t="s">
        <v>36766</v>
      </c>
      <c r="J2815" s="491" t="s">
        <v>36767</v>
      </c>
      <c r="K2815" s="491" t="s">
        <v>36768</v>
      </c>
      <c r="L2815" s="491" t="s">
        <v>36769</v>
      </c>
      <c r="M2815" s="491" t="s">
        <v>36770</v>
      </c>
      <c r="N2815" s="491" t="s">
        <v>36771</v>
      </c>
      <c r="O2815" s="490" t="s">
        <v>36772</v>
      </c>
      <c r="P2815" s="36" t="s">
        <v>29086</v>
      </c>
    </row>
    <row r="2816" spans="1:16">
      <c r="A2816" s="132">
        <v>2815</v>
      </c>
      <c r="B2816" s="36" t="s">
        <v>29088</v>
      </c>
      <c r="C2816" s="36" t="s">
        <v>29089</v>
      </c>
      <c r="D2816" s="490" t="s">
        <v>36773</v>
      </c>
      <c r="E2816" s="490" t="s">
        <v>36774</v>
      </c>
      <c r="F2816" s="490" t="s">
        <v>36775</v>
      </c>
      <c r="G2816" s="490" t="s">
        <v>36776</v>
      </c>
      <c r="H2816" s="490" t="s">
        <v>36777</v>
      </c>
      <c r="I2816" s="490" t="s">
        <v>36778</v>
      </c>
      <c r="J2816" s="491" t="s">
        <v>36779</v>
      </c>
      <c r="K2816" s="491" t="s">
        <v>36780</v>
      </c>
      <c r="L2816" s="491" t="s">
        <v>36781</v>
      </c>
      <c r="M2816" s="491" t="s">
        <v>36782</v>
      </c>
      <c r="N2816" s="491" t="s">
        <v>36783</v>
      </c>
      <c r="O2816" s="490" t="s">
        <v>36784</v>
      </c>
      <c r="P2816" s="36" t="s">
        <v>29088</v>
      </c>
    </row>
    <row r="2817" spans="1:16">
      <c r="A2817" s="132">
        <v>2816</v>
      </c>
      <c r="B2817" s="36" t="s">
        <v>29090</v>
      </c>
      <c r="C2817" s="36" t="s">
        <v>29091</v>
      </c>
      <c r="D2817" s="36" t="s">
        <v>29085</v>
      </c>
      <c r="E2817" s="490" t="s">
        <v>36785</v>
      </c>
      <c r="F2817" s="490" t="s">
        <v>36751</v>
      </c>
      <c r="G2817" s="490" t="s">
        <v>36786</v>
      </c>
      <c r="H2817" s="490" t="s">
        <v>36787</v>
      </c>
      <c r="I2817" s="490" t="s">
        <v>36788</v>
      </c>
      <c r="J2817" s="491" t="s">
        <v>36789</v>
      </c>
      <c r="K2817" s="491" t="s">
        <v>36790</v>
      </c>
      <c r="L2817" s="491" t="s">
        <v>36791</v>
      </c>
      <c r="M2817" s="491" t="s">
        <v>36792</v>
      </c>
      <c r="N2817" s="491" t="s">
        <v>36759</v>
      </c>
      <c r="O2817" s="490" t="s">
        <v>36760</v>
      </c>
      <c r="P2817" s="36" t="s">
        <v>29090</v>
      </c>
    </row>
    <row r="2818" spans="1:16">
      <c r="A2818" s="132">
        <v>2817</v>
      </c>
      <c r="B2818" s="36" t="s">
        <v>29092</v>
      </c>
      <c r="C2818" s="36" t="s">
        <v>29093</v>
      </c>
      <c r="D2818" s="36" t="s">
        <v>29094</v>
      </c>
      <c r="E2818" s="490" t="s">
        <v>36793</v>
      </c>
      <c r="F2818" s="490" t="s">
        <v>36794</v>
      </c>
      <c r="G2818" s="490" t="s">
        <v>36795</v>
      </c>
      <c r="H2818" s="490" t="s">
        <v>36796</v>
      </c>
      <c r="I2818" s="490" t="s">
        <v>36797</v>
      </c>
      <c r="J2818" s="491" t="s">
        <v>36798</v>
      </c>
      <c r="K2818" s="491" t="s">
        <v>36799</v>
      </c>
      <c r="L2818" s="491" t="s">
        <v>36800</v>
      </c>
      <c r="M2818" s="491" t="s">
        <v>36801</v>
      </c>
      <c r="N2818" s="491" t="s">
        <v>36802</v>
      </c>
      <c r="O2818" s="490" t="s">
        <v>36803</v>
      </c>
      <c r="P2818" s="36" t="s">
        <v>29092</v>
      </c>
    </row>
    <row r="2819" spans="1:16">
      <c r="A2819" s="132">
        <v>2818</v>
      </c>
      <c r="B2819" s="36" t="s">
        <v>29095</v>
      </c>
      <c r="C2819" s="36" t="s">
        <v>29096</v>
      </c>
      <c r="D2819" s="36" t="s">
        <v>29097</v>
      </c>
      <c r="E2819" s="490" t="s">
        <v>36804</v>
      </c>
      <c r="F2819" s="490" t="s">
        <v>29703</v>
      </c>
      <c r="G2819" s="490" t="s">
        <v>36805</v>
      </c>
      <c r="H2819" s="490" t="s">
        <v>36806</v>
      </c>
      <c r="I2819" s="490" t="s">
        <v>36807</v>
      </c>
      <c r="J2819" s="491" t="s">
        <v>29704</v>
      </c>
      <c r="K2819" s="491" t="s">
        <v>29705</v>
      </c>
      <c r="L2819" s="491" t="s">
        <v>36808</v>
      </c>
      <c r="M2819" s="491" t="s">
        <v>36809</v>
      </c>
      <c r="N2819" s="491" t="s">
        <v>36810</v>
      </c>
      <c r="O2819" s="490" t="s">
        <v>36811</v>
      </c>
      <c r="P2819" s="36" t="s">
        <v>29095</v>
      </c>
    </row>
    <row r="2820" spans="1:16">
      <c r="A2820" s="132">
        <v>2819</v>
      </c>
      <c r="B2820" s="36" t="s">
        <v>29098</v>
      </c>
      <c r="C2820" s="36" t="s">
        <v>29099</v>
      </c>
      <c r="D2820" s="36" t="s">
        <v>29100</v>
      </c>
      <c r="E2820" s="490" t="s">
        <v>36812</v>
      </c>
      <c r="F2820" s="490" t="s">
        <v>36813</v>
      </c>
      <c r="G2820" s="490" t="s">
        <v>36814</v>
      </c>
      <c r="H2820" s="490" t="s">
        <v>36815</v>
      </c>
      <c r="I2820" s="490" t="s">
        <v>36816</v>
      </c>
      <c r="J2820" s="491" t="s">
        <v>36817</v>
      </c>
      <c r="K2820" s="491" t="s">
        <v>36818</v>
      </c>
      <c r="L2820" s="491" t="s">
        <v>36819</v>
      </c>
      <c r="M2820" s="491" t="s">
        <v>36820</v>
      </c>
      <c r="N2820" s="491" t="s">
        <v>36821</v>
      </c>
      <c r="O2820" s="490" t="s">
        <v>36822</v>
      </c>
      <c r="P2820" s="36" t="s">
        <v>29098</v>
      </c>
    </row>
    <row r="2821" spans="1:16">
      <c r="A2821" s="132">
        <v>2820</v>
      </c>
      <c r="B2821" s="36" t="s">
        <v>29101</v>
      </c>
      <c r="C2821" s="36" t="s">
        <v>29102</v>
      </c>
      <c r="D2821" s="36" t="s">
        <v>29103</v>
      </c>
      <c r="E2821" s="490" t="s">
        <v>36823</v>
      </c>
      <c r="F2821" s="490" t="s">
        <v>36824</v>
      </c>
      <c r="G2821" s="490" t="s">
        <v>36825</v>
      </c>
      <c r="H2821" s="490" t="s">
        <v>36826</v>
      </c>
      <c r="I2821" s="490" t="s">
        <v>36827</v>
      </c>
      <c r="J2821" s="491" t="s">
        <v>36828</v>
      </c>
      <c r="K2821" s="491" t="s">
        <v>36829</v>
      </c>
      <c r="L2821" s="491" t="s">
        <v>36830</v>
      </c>
      <c r="M2821" s="491" t="s">
        <v>36831</v>
      </c>
      <c r="N2821" s="491" t="s">
        <v>36832</v>
      </c>
      <c r="O2821" s="490" t="s">
        <v>36833</v>
      </c>
      <c r="P2821" s="36" t="s">
        <v>29101</v>
      </c>
    </row>
    <row r="2822" spans="1:16">
      <c r="A2822" s="132">
        <v>2821</v>
      </c>
      <c r="B2822" s="36" t="s">
        <v>29104</v>
      </c>
      <c r="C2822" s="36" t="s">
        <v>28233</v>
      </c>
      <c r="D2822" s="490" t="s">
        <v>36834</v>
      </c>
      <c r="E2822" s="490" t="s">
        <v>36835</v>
      </c>
      <c r="F2822" s="490" t="s">
        <v>36836</v>
      </c>
      <c r="G2822" s="490" t="s">
        <v>36837</v>
      </c>
      <c r="H2822" s="490" t="s">
        <v>36838</v>
      </c>
      <c r="I2822" s="490" t="s">
        <v>36839</v>
      </c>
      <c r="J2822" s="491" t="s">
        <v>36840</v>
      </c>
      <c r="K2822" s="491" t="s">
        <v>36841</v>
      </c>
      <c r="L2822" s="491" t="s">
        <v>29104</v>
      </c>
      <c r="M2822" s="491" t="s">
        <v>29707</v>
      </c>
      <c r="N2822" s="491" t="s">
        <v>36842</v>
      </c>
      <c r="O2822" s="490" t="s">
        <v>36843</v>
      </c>
      <c r="P2822" s="36" t="s">
        <v>29104</v>
      </c>
    </row>
    <row r="2823" spans="1:16">
      <c r="A2823" s="132">
        <v>2822</v>
      </c>
      <c r="B2823" s="36" t="s">
        <v>29105</v>
      </c>
      <c r="C2823" s="36" t="s">
        <v>29106</v>
      </c>
      <c r="D2823" s="36" t="s">
        <v>29107</v>
      </c>
      <c r="E2823" s="490" t="s">
        <v>36844</v>
      </c>
      <c r="F2823" s="490" t="s">
        <v>36845</v>
      </c>
      <c r="G2823" s="490" t="s">
        <v>36846</v>
      </c>
      <c r="H2823" s="490" t="s">
        <v>36847</v>
      </c>
      <c r="I2823" s="490" t="s">
        <v>36848</v>
      </c>
      <c r="J2823" s="491" t="s">
        <v>36849</v>
      </c>
      <c r="K2823" s="491" t="s">
        <v>36850</v>
      </c>
      <c r="L2823" s="491" t="s">
        <v>36851</v>
      </c>
      <c r="M2823" s="491" t="s">
        <v>36852</v>
      </c>
      <c r="N2823" s="491" t="s">
        <v>36852</v>
      </c>
      <c r="O2823" s="490" t="s">
        <v>36853</v>
      </c>
      <c r="P2823" s="36" t="s">
        <v>29105</v>
      </c>
    </row>
    <row r="2824" spans="1:16">
      <c r="A2824" s="132">
        <v>2823</v>
      </c>
      <c r="B2824" s="36" t="s">
        <v>29108</v>
      </c>
      <c r="C2824" s="36" t="s">
        <v>29109</v>
      </c>
      <c r="D2824" s="36" t="s">
        <v>29110</v>
      </c>
      <c r="E2824" s="490" t="s">
        <v>36854</v>
      </c>
      <c r="F2824" s="490" t="s">
        <v>36855</v>
      </c>
      <c r="G2824" s="490" t="s">
        <v>36856</v>
      </c>
      <c r="H2824" s="490" t="s">
        <v>36857</v>
      </c>
      <c r="I2824" s="490" t="s">
        <v>36858</v>
      </c>
      <c r="J2824" s="491" t="s">
        <v>36859</v>
      </c>
      <c r="K2824" s="491" t="s">
        <v>36860</v>
      </c>
      <c r="L2824" s="491" t="s">
        <v>36861</v>
      </c>
      <c r="M2824" s="491" t="s">
        <v>36862</v>
      </c>
      <c r="N2824" s="491" t="s">
        <v>36862</v>
      </c>
      <c r="O2824" s="490" t="s">
        <v>36863</v>
      </c>
      <c r="P2824" s="36" t="s">
        <v>29108</v>
      </c>
    </row>
    <row r="2825" spans="1:16">
      <c r="A2825" s="132">
        <v>2824</v>
      </c>
      <c r="B2825" s="36" t="s">
        <v>29111</v>
      </c>
      <c r="C2825" s="36" t="s">
        <v>29112</v>
      </c>
      <c r="D2825" s="36" t="s">
        <v>29113</v>
      </c>
      <c r="E2825" s="490" t="s">
        <v>36864</v>
      </c>
      <c r="F2825" s="490" t="s">
        <v>36865</v>
      </c>
      <c r="G2825" s="490" t="s">
        <v>36866</v>
      </c>
      <c r="H2825" s="490" t="s">
        <v>36867</v>
      </c>
      <c r="I2825" s="490" t="s">
        <v>36868</v>
      </c>
      <c r="J2825" s="491" t="s">
        <v>36869</v>
      </c>
      <c r="K2825" s="491" t="s">
        <v>36870</v>
      </c>
      <c r="L2825" s="491" t="s">
        <v>36871</v>
      </c>
      <c r="M2825" s="491" t="s">
        <v>36872</v>
      </c>
      <c r="N2825" s="491" t="s">
        <v>36873</v>
      </c>
      <c r="O2825" s="490" t="s">
        <v>36874</v>
      </c>
      <c r="P2825" s="36" t="s">
        <v>29111</v>
      </c>
    </row>
    <row r="2826" spans="1:16">
      <c r="A2826" s="132">
        <v>2825</v>
      </c>
      <c r="B2826" s="36" t="s">
        <v>29114</v>
      </c>
      <c r="C2826" s="36" t="s">
        <v>29115</v>
      </c>
      <c r="D2826" s="36" t="s">
        <v>29116</v>
      </c>
      <c r="E2826" s="490" t="s">
        <v>36875</v>
      </c>
      <c r="F2826" s="490" t="s">
        <v>36876</v>
      </c>
      <c r="G2826" s="490" t="s">
        <v>36877</v>
      </c>
      <c r="H2826" s="490" t="s">
        <v>36878</v>
      </c>
      <c r="I2826" s="490" t="s">
        <v>36879</v>
      </c>
      <c r="J2826" s="491" t="s">
        <v>36880</v>
      </c>
      <c r="K2826" s="491" t="s">
        <v>36881</v>
      </c>
      <c r="L2826" s="491" t="s">
        <v>36882</v>
      </c>
      <c r="M2826" s="491" t="s">
        <v>36883</v>
      </c>
      <c r="N2826" s="491" t="s">
        <v>36884</v>
      </c>
      <c r="O2826" s="490" t="s">
        <v>36885</v>
      </c>
      <c r="P2826" s="36" t="s">
        <v>29114</v>
      </c>
    </row>
    <row r="2827" spans="1:16">
      <c r="A2827" s="132">
        <v>2826</v>
      </c>
      <c r="B2827" s="36" t="s">
        <v>29117</v>
      </c>
      <c r="C2827" s="36" t="s">
        <v>29118</v>
      </c>
      <c r="D2827" s="36" t="s">
        <v>29119</v>
      </c>
      <c r="E2827" s="490" t="s">
        <v>36886</v>
      </c>
      <c r="F2827" s="490" t="s">
        <v>36887</v>
      </c>
      <c r="G2827" s="490" t="s">
        <v>36888</v>
      </c>
      <c r="H2827" s="490" t="s">
        <v>36889</v>
      </c>
      <c r="I2827" s="490" t="s">
        <v>36890</v>
      </c>
      <c r="J2827" s="491" t="s">
        <v>36891</v>
      </c>
      <c r="K2827" s="491" t="s">
        <v>36892</v>
      </c>
      <c r="L2827" s="491" t="s">
        <v>36893</v>
      </c>
      <c r="M2827" s="491" t="s">
        <v>36894</v>
      </c>
      <c r="N2827" s="491" t="s">
        <v>36895</v>
      </c>
      <c r="O2827" s="490" t="s">
        <v>36896</v>
      </c>
      <c r="P2827" s="36" t="s">
        <v>29117</v>
      </c>
    </row>
    <row r="2828" spans="1:16">
      <c r="A2828" s="132">
        <v>2827</v>
      </c>
      <c r="B2828" s="36" t="s">
        <v>29120</v>
      </c>
      <c r="C2828" s="36" t="s">
        <v>29121</v>
      </c>
      <c r="D2828" s="36" t="s">
        <v>29122</v>
      </c>
      <c r="E2828" s="490" t="s">
        <v>36897</v>
      </c>
      <c r="F2828" s="490" t="s">
        <v>36898</v>
      </c>
      <c r="G2828" s="490" t="s">
        <v>36899</v>
      </c>
      <c r="H2828" s="490" t="s">
        <v>36900</v>
      </c>
      <c r="I2828" s="490" t="s">
        <v>36901</v>
      </c>
      <c r="J2828" s="491" t="s">
        <v>36902</v>
      </c>
      <c r="K2828" s="491" t="s">
        <v>36903</v>
      </c>
      <c r="L2828" s="491" t="s">
        <v>36904</v>
      </c>
      <c r="M2828" s="491" t="s">
        <v>36905</v>
      </c>
      <c r="N2828" s="491" t="s">
        <v>36906</v>
      </c>
      <c r="O2828" s="490" t="s">
        <v>36907</v>
      </c>
      <c r="P2828" s="36" t="s">
        <v>29120</v>
      </c>
    </row>
    <row r="2829" spans="1:16">
      <c r="A2829" s="132">
        <v>2828</v>
      </c>
      <c r="B2829" s="36" t="s">
        <v>29123</v>
      </c>
      <c r="C2829" s="36" t="s">
        <v>29124</v>
      </c>
      <c r="D2829" s="36" t="s">
        <v>29125</v>
      </c>
      <c r="E2829" s="490" t="s">
        <v>36908</v>
      </c>
      <c r="F2829" s="490" t="s">
        <v>36909</v>
      </c>
      <c r="G2829" s="490" t="s">
        <v>36910</v>
      </c>
      <c r="H2829" s="490" t="s">
        <v>36911</v>
      </c>
      <c r="I2829" s="490" t="s">
        <v>36912</v>
      </c>
      <c r="J2829" s="491" t="s">
        <v>36913</v>
      </c>
      <c r="K2829" s="491" t="s">
        <v>36914</v>
      </c>
      <c r="L2829" s="491" t="s">
        <v>36915</v>
      </c>
      <c r="M2829" s="491" t="s">
        <v>36916</v>
      </c>
      <c r="N2829" s="491" t="s">
        <v>36917</v>
      </c>
      <c r="O2829" s="490" t="s">
        <v>36918</v>
      </c>
      <c r="P2829" s="36" t="s">
        <v>29123</v>
      </c>
    </row>
    <row r="2830" spans="1:16">
      <c r="A2830" s="132">
        <v>2829</v>
      </c>
      <c r="B2830" s="36" t="s">
        <v>29126</v>
      </c>
      <c r="C2830" s="36" t="s">
        <v>29127</v>
      </c>
      <c r="D2830" s="36" t="s">
        <v>29128</v>
      </c>
      <c r="E2830" s="490" t="s">
        <v>36919</v>
      </c>
      <c r="F2830" s="490" t="s">
        <v>36920</v>
      </c>
      <c r="G2830" s="490" t="s">
        <v>36921</v>
      </c>
      <c r="H2830" s="490" t="s">
        <v>36922</v>
      </c>
      <c r="I2830" s="490" t="s">
        <v>36923</v>
      </c>
      <c r="J2830" s="491" t="s">
        <v>36924</v>
      </c>
      <c r="K2830" s="491" t="s">
        <v>36925</v>
      </c>
      <c r="L2830" s="491" t="s">
        <v>36926</v>
      </c>
      <c r="M2830" s="491" t="s">
        <v>36927</v>
      </c>
      <c r="N2830" s="491" t="s">
        <v>36928</v>
      </c>
      <c r="O2830" s="490" t="s">
        <v>36929</v>
      </c>
      <c r="P2830" s="36" t="s">
        <v>29126</v>
      </c>
    </row>
    <row r="2831" spans="1:16">
      <c r="A2831" s="132">
        <v>2830</v>
      </c>
      <c r="B2831" s="36" t="s">
        <v>29129</v>
      </c>
      <c r="C2831" s="36" t="s">
        <v>29130</v>
      </c>
      <c r="D2831" s="36" t="s">
        <v>29131</v>
      </c>
      <c r="E2831" s="490" t="s">
        <v>36930</v>
      </c>
      <c r="F2831" s="490" t="s">
        <v>36931</v>
      </c>
      <c r="G2831" s="490" t="s">
        <v>36932</v>
      </c>
      <c r="H2831" s="490" t="s">
        <v>36933</v>
      </c>
      <c r="I2831" s="490" t="s">
        <v>36934</v>
      </c>
      <c r="J2831" s="491" t="s">
        <v>36935</v>
      </c>
      <c r="K2831" s="491" t="s">
        <v>36936</v>
      </c>
      <c r="L2831" s="491" t="s">
        <v>36937</v>
      </c>
      <c r="M2831" s="491" t="s">
        <v>36938</v>
      </c>
      <c r="N2831" s="491" t="s">
        <v>36938</v>
      </c>
      <c r="O2831" s="490" t="s">
        <v>36939</v>
      </c>
      <c r="P2831" s="36" t="s">
        <v>29129</v>
      </c>
    </row>
    <row r="2832" spans="1:16">
      <c r="A2832" s="132">
        <v>2831</v>
      </c>
      <c r="B2832" s="36" t="s">
        <v>29132</v>
      </c>
      <c r="C2832" s="36" t="s">
        <v>29133</v>
      </c>
      <c r="D2832" s="36" t="s">
        <v>29134</v>
      </c>
      <c r="E2832" s="490" t="s">
        <v>36940</v>
      </c>
      <c r="F2832" s="490" t="s">
        <v>36941</v>
      </c>
      <c r="G2832" s="490" t="s">
        <v>36942</v>
      </c>
      <c r="H2832" s="490" t="s">
        <v>36943</v>
      </c>
      <c r="I2832" s="490" t="s">
        <v>36944</v>
      </c>
      <c r="J2832" s="491" t="s">
        <v>36945</v>
      </c>
      <c r="K2832" s="491" t="s">
        <v>36946</v>
      </c>
      <c r="L2832" s="491" t="s">
        <v>36947</v>
      </c>
      <c r="M2832" s="491" t="s">
        <v>36948</v>
      </c>
      <c r="N2832" s="491" t="s">
        <v>36949</v>
      </c>
      <c r="O2832" s="490" t="s">
        <v>36950</v>
      </c>
      <c r="P2832" s="36" t="s">
        <v>29132</v>
      </c>
    </row>
    <row r="2833" spans="1:16">
      <c r="A2833" s="132">
        <v>2832</v>
      </c>
      <c r="B2833" s="36" t="s">
        <v>29135</v>
      </c>
      <c r="C2833" s="36" t="s">
        <v>29136</v>
      </c>
      <c r="D2833" s="36" t="s">
        <v>29137</v>
      </c>
      <c r="E2833" s="490" t="s">
        <v>36951</v>
      </c>
      <c r="F2833" s="490" t="s">
        <v>36952</v>
      </c>
      <c r="G2833" s="490" t="s">
        <v>36953</v>
      </c>
      <c r="H2833" s="490" t="s">
        <v>36954</v>
      </c>
      <c r="I2833" s="490" t="s">
        <v>36955</v>
      </c>
      <c r="J2833" s="491" t="s">
        <v>36956</v>
      </c>
      <c r="K2833" s="491" t="s">
        <v>36957</v>
      </c>
      <c r="L2833" s="491" t="s">
        <v>36958</v>
      </c>
      <c r="M2833" s="491" t="s">
        <v>36959</v>
      </c>
      <c r="N2833" s="491" t="s">
        <v>36960</v>
      </c>
      <c r="O2833" s="490" t="s">
        <v>36961</v>
      </c>
      <c r="P2833" s="36" t="s">
        <v>29135</v>
      </c>
    </row>
    <row r="2834" spans="1:16">
      <c r="A2834" s="132">
        <v>2833</v>
      </c>
      <c r="B2834" s="36" t="s">
        <v>29138</v>
      </c>
      <c r="C2834" s="36" t="s">
        <v>29139</v>
      </c>
      <c r="D2834" s="36" t="s">
        <v>29140</v>
      </c>
      <c r="E2834" s="490" t="s">
        <v>36962</v>
      </c>
      <c r="F2834" s="490" t="s">
        <v>36963</v>
      </c>
      <c r="G2834" s="490" t="s">
        <v>36964</v>
      </c>
      <c r="H2834" s="490" t="s">
        <v>36965</v>
      </c>
      <c r="I2834" s="490" t="s">
        <v>36966</v>
      </c>
      <c r="J2834" s="491" t="s">
        <v>36967</v>
      </c>
      <c r="K2834" s="491" t="s">
        <v>36968</v>
      </c>
      <c r="L2834" s="491" t="s">
        <v>36969</v>
      </c>
      <c r="M2834" s="491" t="s">
        <v>36970</v>
      </c>
      <c r="N2834" s="491" t="s">
        <v>36971</v>
      </c>
      <c r="O2834" s="490" t="s">
        <v>36972</v>
      </c>
      <c r="P2834" s="36" t="s">
        <v>29138</v>
      </c>
    </row>
    <row r="2835" spans="1:16">
      <c r="A2835" s="132">
        <v>2834</v>
      </c>
      <c r="B2835" s="36" t="s">
        <v>29141</v>
      </c>
      <c r="C2835" s="36" t="s">
        <v>29142</v>
      </c>
      <c r="D2835" s="36" t="s">
        <v>29143</v>
      </c>
      <c r="E2835" s="490" t="s">
        <v>36973</v>
      </c>
      <c r="F2835" s="490" t="s">
        <v>36974</v>
      </c>
      <c r="G2835" s="490" t="s">
        <v>36975</v>
      </c>
      <c r="H2835" s="490" t="s">
        <v>36976</v>
      </c>
      <c r="I2835" s="490" t="s">
        <v>36977</v>
      </c>
      <c r="J2835" s="491" t="s">
        <v>36978</v>
      </c>
      <c r="K2835" s="491" t="s">
        <v>36979</v>
      </c>
      <c r="L2835" s="491" t="s">
        <v>36980</v>
      </c>
      <c r="M2835" s="491" t="s">
        <v>36980</v>
      </c>
      <c r="N2835" s="491" t="s">
        <v>36981</v>
      </c>
      <c r="O2835" s="490" t="s">
        <v>36982</v>
      </c>
      <c r="P2835" s="36" t="s">
        <v>29141</v>
      </c>
    </row>
    <row r="2836" spans="1:16">
      <c r="A2836" s="132">
        <v>2835</v>
      </c>
      <c r="B2836" s="36" t="s">
        <v>29144</v>
      </c>
      <c r="C2836" s="36" t="s">
        <v>29145</v>
      </c>
      <c r="D2836" s="490" t="s">
        <v>36983</v>
      </c>
      <c r="E2836" s="490" t="s">
        <v>36984</v>
      </c>
      <c r="F2836" s="490" t="s">
        <v>36985</v>
      </c>
      <c r="G2836" s="490" t="s">
        <v>36986</v>
      </c>
      <c r="H2836" s="490" t="s">
        <v>36987</v>
      </c>
      <c r="I2836" s="490" t="s">
        <v>36988</v>
      </c>
      <c r="J2836" s="491" t="s">
        <v>36989</v>
      </c>
      <c r="K2836" s="491" t="s">
        <v>36990</v>
      </c>
      <c r="L2836" s="491" t="s">
        <v>36991</v>
      </c>
      <c r="M2836" s="491" t="s">
        <v>36991</v>
      </c>
      <c r="N2836" s="491" t="s">
        <v>29144</v>
      </c>
      <c r="O2836" s="490" t="s">
        <v>36992</v>
      </c>
      <c r="P2836" s="36" t="s">
        <v>29144</v>
      </c>
    </row>
    <row r="2837" spans="1:16">
      <c r="A2837" s="132">
        <v>2836</v>
      </c>
      <c r="B2837" s="36" t="s">
        <v>29146</v>
      </c>
      <c r="C2837" s="36" t="s">
        <v>29147</v>
      </c>
      <c r="D2837" s="36" t="s">
        <v>29148</v>
      </c>
      <c r="E2837" s="490" t="s">
        <v>36993</v>
      </c>
      <c r="F2837" s="490" t="s">
        <v>36994</v>
      </c>
      <c r="G2837" s="490" t="s">
        <v>36995</v>
      </c>
      <c r="H2837" s="490" t="s">
        <v>36996</v>
      </c>
      <c r="I2837" s="490" t="s">
        <v>36997</v>
      </c>
      <c r="J2837" s="491" t="s">
        <v>36998</v>
      </c>
      <c r="K2837" s="491" t="s">
        <v>36999</v>
      </c>
      <c r="L2837" s="491" t="s">
        <v>37000</v>
      </c>
      <c r="M2837" s="491" t="s">
        <v>37001</v>
      </c>
      <c r="N2837" s="491" t="s">
        <v>37002</v>
      </c>
      <c r="O2837" s="490" t="s">
        <v>37003</v>
      </c>
      <c r="P2837" s="36" t="s">
        <v>29146</v>
      </c>
    </row>
    <row r="2838" spans="1:16">
      <c r="A2838" s="132">
        <v>2837</v>
      </c>
      <c r="B2838" s="36" t="s">
        <v>29149</v>
      </c>
      <c r="C2838" s="36" t="s">
        <v>29150</v>
      </c>
      <c r="D2838" s="490" t="s">
        <v>37004</v>
      </c>
      <c r="E2838" s="490" t="s">
        <v>37005</v>
      </c>
      <c r="F2838" s="490" t="s">
        <v>37006</v>
      </c>
      <c r="G2838" s="490" t="s">
        <v>37007</v>
      </c>
      <c r="H2838" s="490" t="s">
        <v>37008</v>
      </c>
      <c r="I2838" s="490" t="s">
        <v>37009</v>
      </c>
      <c r="J2838" s="491" t="s">
        <v>37010</v>
      </c>
      <c r="K2838" s="491" t="s">
        <v>37011</v>
      </c>
      <c r="L2838" s="491" t="s">
        <v>37012</v>
      </c>
      <c r="M2838" s="491" t="s">
        <v>37013</v>
      </c>
      <c r="N2838" s="491" t="s">
        <v>37014</v>
      </c>
      <c r="O2838" s="490" t="s">
        <v>37011</v>
      </c>
      <c r="P2838" s="36" t="s">
        <v>29149</v>
      </c>
    </row>
    <row r="2839" spans="1:16">
      <c r="A2839" s="132">
        <v>2838</v>
      </c>
      <c r="B2839" s="36" t="s">
        <v>29151</v>
      </c>
      <c r="C2839" s="36" t="s">
        <v>29152</v>
      </c>
      <c r="D2839" s="490" t="s">
        <v>37015</v>
      </c>
      <c r="E2839" s="490" t="s">
        <v>37016</v>
      </c>
      <c r="F2839" s="490" t="s">
        <v>37017</v>
      </c>
      <c r="G2839" s="490" t="s">
        <v>37018</v>
      </c>
      <c r="H2839" s="490" t="s">
        <v>37019</v>
      </c>
      <c r="I2839" s="490" t="s">
        <v>37020</v>
      </c>
      <c r="J2839" s="491" t="s">
        <v>37021</v>
      </c>
      <c r="K2839" s="491" t="s">
        <v>37022</v>
      </c>
      <c r="L2839" s="491" t="s">
        <v>37023</v>
      </c>
      <c r="M2839" s="491" t="s">
        <v>37024</v>
      </c>
      <c r="N2839" s="491" t="s">
        <v>37025</v>
      </c>
      <c r="O2839" s="490" t="s">
        <v>37026</v>
      </c>
      <c r="P2839" s="36" t="s">
        <v>29151</v>
      </c>
    </row>
    <row r="2840" spans="1:16">
      <c r="A2840" s="132">
        <v>2839</v>
      </c>
      <c r="B2840" s="36" t="s">
        <v>29153</v>
      </c>
      <c r="C2840" s="36" t="s">
        <v>29154</v>
      </c>
      <c r="D2840" s="36" t="s">
        <v>29155</v>
      </c>
      <c r="E2840" s="490" t="s">
        <v>37027</v>
      </c>
      <c r="F2840" s="490" t="s">
        <v>37028</v>
      </c>
      <c r="G2840" s="490" t="s">
        <v>37029</v>
      </c>
      <c r="H2840" s="490" t="s">
        <v>37030</v>
      </c>
      <c r="I2840" s="490" t="s">
        <v>37031</v>
      </c>
      <c r="J2840" s="491" t="s">
        <v>37032</v>
      </c>
      <c r="K2840" s="491" t="s">
        <v>37033</v>
      </c>
      <c r="L2840" s="491" t="s">
        <v>37034</v>
      </c>
      <c r="M2840" s="491" t="s">
        <v>37034</v>
      </c>
      <c r="N2840" s="491" t="s">
        <v>37035</v>
      </c>
      <c r="O2840" s="490" t="s">
        <v>37036</v>
      </c>
      <c r="P2840" s="36" t="s">
        <v>29153</v>
      </c>
    </row>
    <row r="2841" spans="1:16">
      <c r="A2841" s="132">
        <v>2840</v>
      </c>
      <c r="B2841" s="36" t="s">
        <v>29156</v>
      </c>
      <c r="C2841" s="36" t="s">
        <v>29157</v>
      </c>
      <c r="D2841" s="36" t="s">
        <v>29158</v>
      </c>
      <c r="E2841" s="490" t="s">
        <v>37037</v>
      </c>
      <c r="F2841" s="490" t="s">
        <v>37038</v>
      </c>
      <c r="G2841" s="490" t="s">
        <v>37039</v>
      </c>
      <c r="H2841" s="490" t="s">
        <v>37040</v>
      </c>
      <c r="I2841" s="490" t="s">
        <v>37041</v>
      </c>
      <c r="J2841" s="491" t="s">
        <v>37042</v>
      </c>
      <c r="K2841" s="491" t="s">
        <v>37043</v>
      </c>
      <c r="L2841" s="491" t="s">
        <v>37044</v>
      </c>
      <c r="M2841" s="491" t="s">
        <v>37045</v>
      </c>
      <c r="N2841" s="491" t="s">
        <v>37045</v>
      </c>
      <c r="O2841" s="490" t="s">
        <v>37046</v>
      </c>
      <c r="P2841" s="36" t="s">
        <v>29156</v>
      </c>
    </row>
    <row r="2842" spans="1:16">
      <c r="A2842" s="132">
        <v>2841</v>
      </c>
      <c r="B2842" s="36" t="s">
        <v>29159</v>
      </c>
      <c r="C2842" s="36" t="s">
        <v>29160</v>
      </c>
      <c r="D2842" s="36" t="s">
        <v>29161</v>
      </c>
      <c r="E2842" s="490" t="s">
        <v>37047</v>
      </c>
      <c r="F2842" s="490" t="s">
        <v>37048</v>
      </c>
      <c r="G2842" s="490" t="s">
        <v>37049</v>
      </c>
      <c r="H2842" s="490" t="s">
        <v>37050</v>
      </c>
      <c r="I2842" s="490" t="s">
        <v>37051</v>
      </c>
      <c r="J2842" s="491" t="s">
        <v>37052</v>
      </c>
      <c r="K2842" s="491" t="s">
        <v>37053</v>
      </c>
      <c r="L2842" s="491" t="s">
        <v>37054</v>
      </c>
      <c r="M2842" s="491" t="s">
        <v>37055</v>
      </c>
      <c r="N2842" s="491" t="s">
        <v>37056</v>
      </c>
      <c r="O2842" s="490" t="s">
        <v>37057</v>
      </c>
      <c r="P2842" s="36" t="s">
        <v>29159</v>
      </c>
    </row>
    <row r="2843" spans="1:16">
      <c r="A2843" s="132">
        <v>2842</v>
      </c>
      <c r="B2843" s="36" t="s">
        <v>29162</v>
      </c>
      <c r="C2843" s="36" t="s">
        <v>29163</v>
      </c>
      <c r="D2843" s="36" t="s">
        <v>29164</v>
      </c>
      <c r="E2843" s="490" t="s">
        <v>37058</v>
      </c>
      <c r="F2843" s="490" t="s">
        <v>37059</v>
      </c>
      <c r="G2843" s="490" t="s">
        <v>37060</v>
      </c>
      <c r="H2843" s="490" t="s">
        <v>37061</v>
      </c>
      <c r="I2843" s="490" t="s">
        <v>37062</v>
      </c>
      <c r="J2843" s="491" t="s">
        <v>37063</v>
      </c>
      <c r="K2843" s="491" t="s">
        <v>37064</v>
      </c>
      <c r="L2843" s="491" t="s">
        <v>37065</v>
      </c>
      <c r="M2843" s="491" t="s">
        <v>37066</v>
      </c>
      <c r="N2843" s="491" t="s">
        <v>37067</v>
      </c>
      <c r="O2843" s="490" t="s">
        <v>37068</v>
      </c>
      <c r="P2843" s="36" t="s">
        <v>29162</v>
      </c>
    </row>
    <row r="2844" spans="1:16">
      <c r="A2844" s="132">
        <v>2843</v>
      </c>
      <c r="B2844" s="36" t="s">
        <v>29165</v>
      </c>
      <c r="C2844" s="36" t="s">
        <v>29166</v>
      </c>
      <c r="D2844" s="490" t="s">
        <v>37069</v>
      </c>
      <c r="E2844" s="490" t="s">
        <v>37070</v>
      </c>
      <c r="F2844" s="490" t="s">
        <v>37071</v>
      </c>
      <c r="G2844" s="490" t="s">
        <v>37072</v>
      </c>
      <c r="H2844" s="490" t="s">
        <v>37073</v>
      </c>
      <c r="I2844" s="490" t="s">
        <v>37074</v>
      </c>
      <c r="J2844" s="491" t="s">
        <v>37075</v>
      </c>
      <c r="K2844" s="491" t="s">
        <v>37076</v>
      </c>
      <c r="L2844" s="491" t="s">
        <v>37077</v>
      </c>
      <c r="M2844" s="491" t="s">
        <v>37078</v>
      </c>
      <c r="N2844" s="491" t="s">
        <v>37079</v>
      </c>
      <c r="O2844" s="490" t="s">
        <v>37080</v>
      </c>
      <c r="P2844" s="36" t="s">
        <v>29165</v>
      </c>
    </row>
    <row r="2845" spans="1:16">
      <c r="A2845" s="132">
        <v>2844</v>
      </c>
      <c r="B2845" s="36" t="s">
        <v>29167</v>
      </c>
      <c r="C2845" s="36" t="s">
        <v>29168</v>
      </c>
      <c r="D2845" s="36" t="s">
        <v>29169</v>
      </c>
      <c r="E2845" s="490" t="s">
        <v>37081</v>
      </c>
      <c r="F2845" s="490" t="s">
        <v>37082</v>
      </c>
      <c r="G2845" s="490" t="s">
        <v>37083</v>
      </c>
      <c r="H2845" s="490" t="s">
        <v>37084</v>
      </c>
      <c r="I2845" s="490" t="s">
        <v>37085</v>
      </c>
      <c r="J2845" s="491" t="s">
        <v>37086</v>
      </c>
      <c r="K2845" s="491" t="s">
        <v>37087</v>
      </c>
      <c r="L2845" s="491" t="s">
        <v>37088</v>
      </c>
      <c r="M2845" s="491" t="s">
        <v>37089</v>
      </c>
      <c r="N2845" s="491" t="s">
        <v>37090</v>
      </c>
      <c r="O2845" s="490" t="s">
        <v>37091</v>
      </c>
      <c r="P2845" s="36" t="s">
        <v>29167</v>
      </c>
    </row>
    <row r="2846" spans="1:16">
      <c r="A2846" s="132">
        <v>2845</v>
      </c>
      <c r="B2846" s="36" t="s">
        <v>29170</v>
      </c>
      <c r="C2846" s="36" t="s">
        <v>29171</v>
      </c>
      <c r="D2846" s="36" t="s">
        <v>29172</v>
      </c>
      <c r="E2846" s="490" t="s">
        <v>37092</v>
      </c>
      <c r="F2846" s="490" t="s">
        <v>37093</v>
      </c>
      <c r="G2846" s="490" t="s">
        <v>37094</v>
      </c>
      <c r="H2846" s="490" t="s">
        <v>37095</v>
      </c>
      <c r="I2846" s="490" t="s">
        <v>37096</v>
      </c>
      <c r="J2846" s="491" t="s">
        <v>37097</v>
      </c>
      <c r="K2846" s="491" t="s">
        <v>37098</v>
      </c>
      <c r="L2846" s="491" t="s">
        <v>37099</v>
      </c>
      <c r="M2846" s="491" t="s">
        <v>37100</v>
      </c>
      <c r="N2846" s="491" t="s">
        <v>37101</v>
      </c>
      <c r="O2846" s="490" t="s">
        <v>37102</v>
      </c>
      <c r="P2846" s="36" t="s">
        <v>29170</v>
      </c>
    </row>
    <row r="2847" spans="1:16">
      <c r="A2847" s="132">
        <v>2846</v>
      </c>
      <c r="B2847" s="36" t="s">
        <v>29173</v>
      </c>
      <c r="C2847" s="36" t="s">
        <v>29174</v>
      </c>
      <c r="D2847" s="36" t="s">
        <v>29175</v>
      </c>
      <c r="E2847" s="490" t="s">
        <v>37103</v>
      </c>
      <c r="F2847" s="490" t="s">
        <v>37104</v>
      </c>
      <c r="G2847" s="490" t="s">
        <v>37105</v>
      </c>
      <c r="H2847" s="490" t="s">
        <v>37106</v>
      </c>
      <c r="I2847" s="490" t="s">
        <v>37107</v>
      </c>
      <c r="J2847" s="491" t="s">
        <v>16931</v>
      </c>
      <c r="K2847" s="491" t="s">
        <v>37108</v>
      </c>
      <c r="L2847" s="491" t="s">
        <v>37109</v>
      </c>
      <c r="M2847" s="491" t="s">
        <v>37110</v>
      </c>
      <c r="N2847" s="491" t="s">
        <v>37111</v>
      </c>
      <c r="O2847" s="490" t="s">
        <v>37112</v>
      </c>
      <c r="P2847" s="36" t="s">
        <v>29173</v>
      </c>
    </row>
    <row r="2848" spans="1:16">
      <c r="A2848" s="132">
        <v>2847</v>
      </c>
      <c r="B2848" s="36" t="s">
        <v>29176</v>
      </c>
      <c r="C2848" s="36" t="s">
        <v>29177</v>
      </c>
      <c r="D2848" s="490" t="s">
        <v>37113</v>
      </c>
      <c r="E2848" s="490" t="s">
        <v>37114</v>
      </c>
      <c r="F2848" s="490" t="s">
        <v>37115</v>
      </c>
      <c r="G2848" s="490" t="s">
        <v>37116</v>
      </c>
      <c r="H2848" s="490" t="s">
        <v>37117</v>
      </c>
      <c r="I2848" s="490" t="s">
        <v>37118</v>
      </c>
      <c r="J2848" s="491" t="s">
        <v>37119</v>
      </c>
      <c r="K2848" s="491" t="s">
        <v>37120</v>
      </c>
      <c r="L2848" s="491" t="s">
        <v>37121</v>
      </c>
      <c r="M2848" s="491" t="s">
        <v>37122</v>
      </c>
      <c r="N2848" s="491" t="s">
        <v>37123</v>
      </c>
      <c r="O2848" s="490" t="s">
        <v>37124</v>
      </c>
      <c r="P2848" s="36" t="s">
        <v>29176</v>
      </c>
    </row>
    <row r="2849" spans="1:16">
      <c r="A2849" s="132">
        <v>2848</v>
      </c>
      <c r="B2849" s="36" t="s">
        <v>29178</v>
      </c>
      <c r="C2849" s="36" t="s">
        <v>29179</v>
      </c>
      <c r="D2849" s="490" t="s">
        <v>37125</v>
      </c>
      <c r="E2849" s="490" t="s">
        <v>37126</v>
      </c>
      <c r="F2849" s="490" t="s">
        <v>37127</v>
      </c>
      <c r="G2849" s="490" t="s">
        <v>37128</v>
      </c>
      <c r="H2849" s="490" t="s">
        <v>37129</v>
      </c>
      <c r="I2849" s="490" t="s">
        <v>37130</v>
      </c>
      <c r="J2849" s="491" t="s">
        <v>37131</v>
      </c>
      <c r="K2849" s="491" t="s">
        <v>37132</v>
      </c>
      <c r="L2849" s="491" t="s">
        <v>37133</v>
      </c>
      <c r="M2849" s="491" t="s">
        <v>37134</v>
      </c>
      <c r="N2849" s="491" t="s">
        <v>37135</v>
      </c>
      <c r="O2849" s="490" t="s">
        <v>37136</v>
      </c>
      <c r="P2849" s="36" t="s">
        <v>29178</v>
      </c>
    </row>
    <row r="2850" spans="1:16">
      <c r="A2850" s="132">
        <v>2849</v>
      </c>
      <c r="B2850" s="36" t="s">
        <v>29180</v>
      </c>
      <c r="C2850" s="36" t="s">
        <v>29181</v>
      </c>
      <c r="D2850" s="36" t="s">
        <v>29182</v>
      </c>
      <c r="E2850" s="490" t="s">
        <v>37137</v>
      </c>
      <c r="F2850" s="490" t="s">
        <v>37138</v>
      </c>
      <c r="G2850" s="490" t="s">
        <v>37139</v>
      </c>
      <c r="H2850" s="490" t="s">
        <v>37140</v>
      </c>
      <c r="I2850" s="490" t="s">
        <v>37141</v>
      </c>
      <c r="J2850" s="491" t="s">
        <v>37142</v>
      </c>
      <c r="K2850" s="491" t="s">
        <v>37143</v>
      </c>
      <c r="L2850" s="491" t="s">
        <v>37144</v>
      </c>
      <c r="M2850" s="491" t="s">
        <v>37145</v>
      </c>
      <c r="N2850" s="491" t="s">
        <v>37146</v>
      </c>
      <c r="O2850" s="490" t="s">
        <v>37147</v>
      </c>
      <c r="P2850" s="36" t="s">
        <v>29180</v>
      </c>
    </row>
    <row r="2851" spans="1:16">
      <c r="A2851" s="132">
        <v>2850</v>
      </c>
      <c r="B2851" s="36" t="s">
        <v>29183</v>
      </c>
      <c r="C2851" s="36" t="s">
        <v>29184</v>
      </c>
      <c r="D2851" s="36" t="s">
        <v>29185</v>
      </c>
      <c r="E2851" s="490" t="s">
        <v>37148</v>
      </c>
      <c r="F2851" s="490" t="s">
        <v>37149</v>
      </c>
      <c r="G2851" s="490" t="s">
        <v>37150</v>
      </c>
      <c r="H2851" s="490" t="s">
        <v>37151</v>
      </c>
      <c r="I2851" s="490" t="s">
        <v>37152</v>
      </c>
      <c r="J2851" s="491" t="s">
        <v>37153</v>
      </c>
      <c r="K2851" s="491" t="s">
        <v>37154</v>
      </c>
      <c r="L2851" s="491" t="s">
        <v>37155</v>
      </c>
      <c r="M2851" s="491" t="s">
        <v>37156</v>
      </c>
      <c r="N2851" s="491" t="s">
        <v>37157</v>
      </c>
      <c r="O2851" s="490" t="s">
        <v>37158</v>
      </c>
      <c r="P2851" s="36" t="s">
        <v>29183</v>
      </c>
    </row>
    <row r="2852" spans="1:16">
      <c r="A2852" s="132">
        <v>2851</v>
      </c>
      <c r="B2852" s="36" t="s">
        <v>29186</v>
      </c>
      <c r="C2852" s="36" t="s">
        <v>29187</v>
      </c>
      <c r="D2852" s="36" t="s">
        <v>29188</v>
      </c>
      <c r="E2852" s="490" t="s">
        <v>25112</v>
      </c>
      <c r="F2852" s="490" t="s">
        <v>37159</v>
      </c>
      <c r="G2852" s="490" t="s">
        <v>37160</v>
      </c>
      <c r="H2852" s="490" t="s">
        <v>37161</v>
      </c>
      <c r="I2852" s="490" t="s">
        <v>37162</v>
      </c>
      <c r="J2852" s="491" t="s">
        <v>37163</v>
      </c>
      <c r="K2852" s="491" t="s">
        <v>37164</v>
      </c>
      <c r="L2852" s="491" t="s">
        <v>37165</v>
      </c>
      <c r="M2852" s="491" t="s">
        <v>37166</v>
      </c>
      <c r="N2852" s="491" t="s">
        <v>37167</v>
      </c>
      <c r="O2852" s="490" t="s">
        <v>37168</v>
      </c>
      <c r="P2852" s="36" t="s">
        <v>29186</v>
      </c>
    </row>
    <row r="2853" spans="1:16">
      <c r="A2853" s="132">
        <v>2852</v>
      </c>
      <c r="B2853" s="36" t="s">
        <v>29189</v>
      </c>
      <c r="C2853" s="36" t="s">
        <v>25126</v>
      </c>
      <c r="D2853" s="36" t="s">
        <v>29190</v>
      </c>
      <c r="E2853" s="490" t="s">
        <v>25128</v>
      </c>
      <c r="F2853" s="490" t="s">
        <v>37169</v>
      </c>
      <c r="G2853" s="490" t="s">
        <v>37170</v>
      </c>
      <c r="H2853" s="490" t="s">
        <v>37171</v>
      </c>
      <c r="I2853" s="490" t="s">
        <v>37172</v>
      </c>
      <c r="J2853" s="491" t="s">
        <v>37173</v>
      </c>
      <c r="K2853" s="491" t="s">
        <v>37174</v>
      </c>
      <c r="L2853" s="491" t="s">
        <v>37175</v>
      </c>
      <c r="M2853" s="491" t="s">
        <v>37176</v>
      </c>
      <c r="N2853" s="491" t="s">
        <v>37177</v>
      </c>
      <c r="O2853" s="490" t="s">
        <v>37178</v>
      </c>
      <c r="P2853" s="36" t="s">
        <v>29189</v>
      </c>
    </row>
    <row r="2854" spans="1:16">
      <c r="A2854" s="132">
        <v>2853</v>
      </c>
      <c r="B2854" s="36" t="s">
        <v>29191</v>
      </c>
      <c r="C2854" s="36" t="s">
        <v>29192</v>
      </c>
      <c r="D2854" s="36" t="s">
        <v>29193</v>
      </c>
      <c r="E2854" s="490" t="s">
        <v>25120</v>
      </c>
      <c r="F2854" s="490" t="s">
        <v>37179</v>
      </c>
      <c r="G2854" s="490" t="s">
        <v>25121</v>
      </c>
      <c r="H2854" s="490" t="s">
        <v>37180</v>
      </c>
      <c r="I2854" s="490" t="s">
        <v>37181</v>
      </c>
      <c r="J2854" s="491" t="s">
        <v>37182</v>
      </c>
      <c r="K2854" s="491" t="s">
        <v>37183</v>
      </c>
      <c r="L2854" s="491" t="s">
        <v>37184</v>
      </c>
      <c r="M2854" s="491" t="s">
        <v>37185</v>
      </c>
      <c r="N2854" s="491" t="s">
        <v>37186</v>
      </c>
      <c r="O2854" s="490" t="s">
        <v>37187</v>
      </c>
      <c r="P2854" s="36" t="s">
        <v>29191</v>
      </c>
    </row>
    <row r="2855" spans="1:16">
      <c r="A2855" s="132">
        <v>2854</v>
      </c>
      <c r="B2855" s="36" t="s">
        <v>29194</v>
      </c>
      <c r="C2855" s="36" t="s">
        <v>29195</v>
      </c>
      <c r="D2855" s="490" t="s">
        <v>37188</v>
      </c>
      <c r="E2855" s="490" t="s">
        <v>37189</v>
      </c>
      <c r="F2855" s="490" t="s">
        <v>37190</v>
      </c>
      <c r="G2855" s="490" t="s">
        <v>37191</v>
      </c>
      <c r="H2855" s="490" t="s">
        <v>37192</v>
      </c>
      <c r="I2855" s="490" t="s">
        <v>37193</v>
      </c>
      <c r="J2855" s="491" t="s">
        <v>37194</v>
      </c>
      <c r="K2855" s="491" t="s">
        <v>37195</v>
      </c>
      <c r="L2855" s="491" t="s">
        <v>37196</v>
      </c>
      <c r="M2855" s="491" t="s">
        <v>37197</v>
      </c>
      <c r="N2855" s="491" t="s">
        <v>37198</v>
      </c>
      <c r="O2855" s="490" t="s">
        <v>37199</v>
      </c>
      <c r="P2855" s="36" t="s">
        <v>29194</v>
      </c>
    </row>
    <row r="2856" spans="1:16">
      <c r="A2856" s="132">
        <v>2855</v>
      </c>
      <c r="B2856" s="36" t="s">
        <v>29196</v>
      </c>
      <c r="C2856" s="36" t="s">
        <v>29197</v>
      </c>
      <c r="D2856" s="36" t="s">
        <v>29198</v>
      </c>
      <c r="E2856" s="490" t="s">
        <v>37200</v>
      </c>
      <c r="F2856" s="490" t="s">
        <v>37201</v>
      </c>
      <c r="G2856" s="490" t="s">
        <v>37202</v>
      </c>
      <c r="H2856" s="490" t="s">
        <v>37203</v>
      </c>
      <c r="I2856" s="490" t="s">
        <v>37204</v>
      </c>
      <c r="J2856" s="491" t="s">
        <v>37205</v>
      </c>
      <c r="K2856" s="491" t="s">
        <v>37206</v>
      </c>
      <c r="L2856" s="491" t="s">
        <v>37207</v>
      </c>
      <c r="M2856" s="491" t="s">
        <v>37208</v>
      </c>
      <c r="N2856" s="491" t="s">
        <v>37208</v>
      </c>
      <c r="O2856" s="490" t="s">
        <v>37209</v>
      </c>
      <c r="P2856" s="36" t="s">
        <v>29196</v>
      </c>
    </row>
    <row r="2857" spans="1:16">
      <c r="A2857" s="132">
        <v>2856</v>
      </c>
      <c r="B2857" s="36" t="s">
        <v>29199</v>
      </c>
      <c r="C2857" s="36" t="s">
        <v>29200</v>
      </c>
      <c r="D2857" s="36" t="s">
        <v>29201</v>
      </c>
      <c r="E2857" s="490" t="s">
        <v>37210</v>
      </c>
      <c r="F2857" s="490" t="s">
        <v>37211</v>
      </c>
      <c r="G2857" s="490" t="s">
        <v>37212</v>
      </c>
      <c r="H2857" s="490" t="s">
        <v>37213</v>
      </c>
      <c r="I2857" s="490" t="s">
        <v>37214</v>
      </c>
      <c r="J2857" s="491" t="s">
        <v>37215</v>
      </c>
      <c r="K2857" s="491" t="s">
        <v>37216</v>
      </c>
      <c r="L2857" s="491" t="s">
        <v>37217</v>
      </c>
      <c r="M2857" s="491" t="s">
        <v>37218</v>
      </c>
      <c r="N2857" s="491" t="s">
        <v>37218</v>
      </c>
      <c r="O2857" s="490" t="s">
        <v>37219</v>
      </c>
      <c r="P2857" s="36" t="s">
        <v>29199</v>
      </c>
    </row>
    <row r="2858" spans="1:16">
      <c r="A2858" s="132">
        <v>2857</v>
      </c>
      <c r="B2858" s="36" t="s">
        <v>29202</v>
      </c>
      <c r="C2858" s="36" t="s">
        <v>29203</v>
      </c>
      <c r="D2858" s="36" t="s">
        <v>29204</v>
      </c>
      <c r="E2858" s="490" t="s">
        <v>37220</v>
      </c>
      <c r="F2858" s="490" t="s">
        <v>37221</v>
      </c>
      <c r="G2858" s="490" t="s">
        <v>37222</v>
      </c>
      <c r="H2858" s="490" t="s">
        <v>37223</v>
      </c>
      <c r="I2858" s="490" t="s">
        <v>37224</v>
      </c>
      <c r="J2858" s="491" t="s">
        <v>37225</v>
      </c>
      <c r="K2858" s="491" t="s">
        <v>37226</v>
      </c>
      <c r="L2858" s="491" t="s">
        <v>37227</v>
      </c>
      <c r="M2858" s="491" t="s">
        <v>37227</v>
      </c>
      <c r="N2858" s="491" t="s">
        <v>37227</v>
      </c>
      <c r="O2858" s="490" t="s">
        <v>37228</v>
      </c>
      <c r="P2858" s="36" t="s">
        <v>29202</v>
      </c>
    </row>
    <row r="2859" spans="1:16">
      <c r="A2859" s="132">
        <v>2858</v>
      </c>
      <c r="B2859" s="36" t="s">
        <v>29205</v>
      </c>
      <c r="C2859" s="36" t="s">
        <v>29206</v>
      </c>
      <c r="D2859" s="36" t="s">
        <v>29207</v>
      </c>
      <c r="E2859" s="490" t="s">
        <v>37229</v>
      </c>
      <c r="F2859" s="490" t="s">
        <v>37230</v>
      </c>
      <c r="G2859" s="490" t="s">
        <v>37231</v>
      </c>
      <c r="H2859" s="490" t="s">
        <v>37232</v>
      </c>
      <c r="I2859" s="490" t="s">
        <v>37233</v>
      </c>
      <c r="J2859" s="491" t="s">
        <v>37234</v>
      </c>
      <c r="K2859" s="491" t="s">
        <v>37235</v>
      </c>
      <c r="L2859" s="491" t="s">
        <v>37236</v>
      </c>
      <c r="M2859" s="491" t="s">
        <v>37237</v>
      </c>
      <c r="N2859" s="491" t="s">
        <v>37237</v>
      </c>
      <c r="O2859" s="490" t="s">
        <v>37238</v>
      </c>
      <c r="P2859" s="36" t="s">
        <v>29205</v>
      </c>
    </row>
    <row r="2860" spans="1:16">
      <c r="A2860" s="132">
        <v>2859</v>
      </c>
      <c r="B2860" s="36" t="s">
        <v>29208</v>
      </c>
      <c r="C2860" s="36" t="s">
        <v>29209</v>
      </c>
      <c r="D2860" s="490" t="s">
        <v>37239</v>
      </c>
      <c r="E2860" s="490" t="s">
        <v>37240</v>
      </c>
      <c r="F2860" s="490" t="s">
        <v>37241</v>
      </c>
      <c r="G2860" s="490" t="s">
        <v>37242</v>
      </c>
      <c r="H2860" s="490" t="s">
        <v>37243</v>
      </c>
      <c r="I2860" s="490" t="s">
        <v>37244</v>
      </c>
      <c r="J2860" s="491" t="s">
        <v>37245</v>
      </c>
      <c r="K2860" s="491" t="s">
        <v>37246</v>
      </c>
      <c r="L2860" s="491" t="s">
        <v>37247</v>
      </c>
      <c r="M2860" s="491" t="s">
        <v>37248</v>
      </c>
      <c r="N2860" s="491" t="s">
        <v>37249</v>
      </c>
      <c r="O2860" s="490" t="s">
        <v>37250</v>
      </c>
      <c r="P2860" s="36" t="s">
        <v>29208</v>
      </c>
    </row>
    <row r="2861" spans="1:16">
      <c r="A2861" s="132">
        <v>2860</v>
      </c>
      <c r="B2861" s="36" t="s">
        <v>29210</v>
      </c>
      <c r="C2861" s="36" t="s">
        <v>29211</v>
      </c>
      <c r="D2861" s="36" t="s">
        <v>29212</v>
      </c>
      <c r="E2861" s="490" t="s">
        <v>37251</v>
      </c>
      <c r="F2861" s="490" t="s">
        <v>37252</v>
      </c>
      <c r="G2861" s="490" t="s">
        <v>37253</v>
      </c>
      <c r="H2861" s="490" t="s">
        <v>37254</v>
      </c>
      <c r="I2861" s="490" t="s">
        <v>37255</v>
      </c>
      <c r="J2861" s="491" t="s">
        <v>37256</v>
      </c>
      <c r="K2861" s="491" t="s">
        <v>37257</v>
      </c>
      <c r="L2861" s="491" t="s">
        <v>37258</v>
      </c>
      <c r="M2861" s="491" t="s">
        <v>37259</v>
      </c>
      <c r="N2861" s="491" t="s">
        <v>37260</v>
      </c>
      <c r="O2861" s="490" t="s">
        <v>37261</v>
      </c>
      <c r="P2861" s="36" t="s">
        <v>29210</v>
      </c>
    </row>
    <row r="2862" spans="1:16">
      <c r="A2862" s="132">
        <v>2861</v>
      </c>
      <c r="B2862" s="36" t="s">
        <v>29213</v>
      </c>
      <c r="C2862" s="36" t="s">
        <v>29214</v>
      </c>
      <c r="D2862" s="36" t="s">
        <v>29215</v>
      </c>
      <c r="E2862" s="490" t="s">
        <v>37262</v>
      </c>
      <c r="F2862" s="490" t="s">
        <v>37263</v>
      </c>
      <c r="G2862" s="490" t="s">
        <v>37264</v>
      </c>
      <c r="H2862" s="490" t="s">
        <v>37265</v>
      </c>
      <c r="I2862" s="490" t="s">
        <v>37266</v>
      </c>
      <c r="J2862" s="491" t="s">
        <v>37267</v>
      </c>
      <c r="K2862" s="491" t="s">
        <v>37268</v>
      </c>
      <c r="L2862" s="491" t="s">
        <v>37269</v>
      </c>
      <c r="M2862" s="491" t="s">
        <v>37270</v>
      </c>
      <c r="N2862" s="491" t="s">
        <v>37271</v>
      </c>
      <c r="O2862" s="490" t="s">
        <v>37272</v>
      </c>
      <c r="P2862" s="36" t="s">
        <v>29213</v>
      </c>
    </row>
    <row r="2863" spans="1:16">
      <c r="A2863" s="132">
        <v>2862</v>
      </c>
      <c r="B2863" s="36" t="s">
        <v>29216</v>
      </c>
      <c r="C2863" s="36" t="s">
        <v>29217</v>
      </c>
      <c r="D2863" s="36" t="s">
        <v>29218</v>
      </c>
      <c r="E2863" s="490" t="s">
        <v>37273</v>
      </c>
      <c r="F2863" s="490" t="s">
        <v>37274</v>
      </c>
      <c r="G2863" s="490" t="s">
        <v>37275</v>
      </c>
      <c r="H2863" s="490" t="s">
        <v>37276</v>
      </c>
      <c r="I2863" s="490" t="s">
        <v>37277</v>
      </c>
      <c r="J2863" s="491" t="s">
        <v>37278</v>
      </c>
      <c r="K2863" s="491" t="s">
        <v>37279</v>
      </c>
      <c r="L2863" s="491" t="s">
        <v>29216</v>
      </c>
      <c r="M2863" s="491" t="s">
        <v>29216</v>
      </c>
      <c r="N2863" s="491" t="s">
        <v>29216</v>
      </c>
      <c r="O2863" s="490" t="s">
        <v>37280</v>
      </c>
      <c r="P2863" s="36" t="s">
        <v>29216</v>
      </c>
    </row>
    <row r="2864" spans="1:16">
      <c r="A2864" s="132">
        <v>2863</v>
      </c>
      <c r="B2864" s="36" t="s">
        <v>29219</v>
      </c>
      <c r="C2864" s="36" t="s">
        <v>29220</v>
      </c>
      <c r="D2864" s="36" t="s">
        <v>29221</v>
      </c>
      <c r="E2864" s="490" t="s">
        <v>37281</v>
      </c>
      <c r="F2864" s="490" t="s">
        <v>37282</v>
      </c>
      <c r="G2864" s="490" t="s">
        <v>37283</v>
      </c>
      <c r="H2864" s="490" t="s">
        <v>37284</v>
      </c>
      <c r="I2864" s="490" t="s">
        <v>13283</v>
      </c>
      <c r="J2864" s="491" t="s">
        <v>37285</v>
      </c>
      <c r="K2864" s="491" t="s">
        <v>37286</v>
      </c>
      <c r="L2864" s="491" t="s">
        <v>37287</v>
      </c>
      <c r="M2864" s="491" t="s">
        <v>37288</v>
      </c>
      <c r="N2864" s="491" t="s">
        <v>37289</v>
      </c>
      <c r="O2864" s="490" t="s">
        <v>37290</v>
      </c>
      <c r="P2864" s="36" t="s">
        <v>29219</v>
      </c>
    </row>
    <row r="2865" spans="1:16">
      <c r="A2865" s="132">
        <v>2864</v>
      </c>
      <c r="B2865" s="36" t="s">
        <v>29222</v>
      </c>
      <c r="C2865" s="36" t="s">
        <v>29223</v>
      </c>
      <c r="D2865" s="36" t="s">
        <v>29224</v>
      </c>
      <c r="E2865" s="490" t="s">
        <v>37291</v>
      </c>
      <c r="F2865" s="490" t="s">
        <v>37292</v>
      </c>
      <c r="G2865" s="490" t="s">
        <v>37293</v>
      </c>
      <c r="H2865" s="490" t="s">
        <v>37294</v>
      </c>
      <c r="I2865" s="490" t="s">
        <v>37295</v>
      </c>
      <c r="J2865" s="491" t="s">
        <v>37296</v>
      </c>
      <c r="K2865" s="491" t="s">
        <v>37297</v>
      </c>
      <c r="L2865" s="491" t="s">
        <v>37298</v>
      </c>
      <c r="M2865" s="491" t="s">
        <v>37299</v>
      </c>
      <c r="N2865" s="491" t="s">
        <v>37299</v>
      </c>
      <c r="O2865" s="490" t="s">
        <v>37300</v>
      </c>
      <c r="P2865" s="36" t="s">
        <v>29222</v>
      </c>
    </row>
    <row r="2866" spans="1:16">
      <c r="A2866" s="132">
        <v>2865</v>
      </c>
      <c r="B2866" s="36" t="s">
        <v>29225</v>
      </c>
      <c r="C2866" s="36" t="s">
        <v>29226</v>
      </c>
      <c r="D2866" s="36" t="s">
        <v>29227</v>
      </c>
      <c r="E2866" s="490" t="s">
        <v>37301</v>
      </c>
      <c r="F2866" s="490" t="s">
        <v>37302</v>
      </c>
      <c r="G2866" s="490" t="s">
        <v>37303</v>
      </c>
      <c r="H2866" s="490" t="s">
        <v>37304</v>
      </c>
      <c r="I2866" s="490" t="s">
        <v>37305</v>
      </c>
      <c r="J2866" s="491" t="s">
        <v>37306</v>
      </c>
      <c r="K2866" s="491" t="s">
        <v>37307</v>
      </c>
      <c r="L2866" s="491" t="s">
        <v>37308</v>
      </c>
      <c r="M2866" s="491" t="s">
        <v>37308</v>
      </c>
      <c r="N2866" s="491" t="s">
        <v>37309</v>
      </c>
      <c r="O2866" s="490" t="s">
        <v>37310</v>
      </c>
      <c r="P2866" s="36" t="s">
        <v>29225</v>
      </c>
    </row>
    <row r="2867" spans="1:16">
      <c r="A2867" s="132">
        <v>2866</v>
      </c>
      <c r="B2867" s="36" t="s">
        <v>2314</v>
      </c>
      <c r="C2867" s="36" t="s">
        <v>29228</v>
      </c>
      <c r="D2867" s="36" t="s">
        <v>29229</v>
      </c>
      <c r="E2867" s="490" t="s">
        <v>37311</v>
      </c>
      <c r="F2867" s="490" t="s">
        <v>37312</v>
      </c>
      <c r="G2867" s="490" t="s">
        <v>37313</v>
      </c>
      <c r="H2867" s="490" t="s">
        <v>37314</v>
      </c>
      <c r="I2867" s="490" t="s">
        <v>37315</v>
      </c>
      <c r="J2867" s="491" t="s">
        <v>37316</v>
      </c>
      <c r="K2867" s="491" t="s">
        <v>37317</v>
      </c>
      <c r="L2867" s="491" t="s">
        <v>37318</v>
      </c>
      <c r="M2867" s="491" t="s">
        <v>37319</v>
      </c>
      <c r="N2867" s="491" t="s">
        <v>37320</v>
      </c>
      <c r="O2867" s="490" t="s">
        <v>37321</v>
      </c>
      <c r="P2867" s="36" t="s">
        <v>2314</v>
      </c>
    </row>
    <row r="2868" spans="1:16">
      <c r="A2868" s="132">
        <v>2867</v>
      </c>
      <c r="B2868" s="36" t="s">
        <v>29230</v>
      </c>
      <c r="C2868" s="36" t="s">
        <v>29231</v>
      </c>
      <c r="D2868" s="36" t="s">
        <v>29232</v>
      </c>
      <c r="E2868" s="490" t="s">
        <v>37322</v>
      </c>
      <c r="F2868" s="490" t="s">
        <v>37323</v>
      </c>
      <c r="G2868" s="490" t="s">
        <v>37324</v>
      </c>
      <c r="H2868" s="490" t="s">
        <v>37325</v>
      </c>
      <c r="I2868" s="490" t="s">
        <v>37326</v>
      </c>
      <c r="J2868" s="491" t="s">
        <v>37327</v>
      </c>
      <c r="K2868" s="491" t="s">
        <v>37328</v>
      </c>
      <c r="L2868" s="491" t="s">
        <v>37329</v>
      </c>
      <c r="M2868" s="491" t="s">
        <v>37330</v>
      </c>
      <c r="N2868" s="491" t="s">
        <v>37331</v>
      </c>
      <c r="O2868" s="490" t="s">
        <v>37332</v>
      </c>
      <c r="P2868" s="36" t="s">
        <v>29230</v>
      </c>
    </row>
    <row r="2869" spans="1:16">
      <c r="A2869" s="132">
        <v>2868</v>
      </c>
      <c r="B2869" s="36" t="s">
        <v>29233</v>
      </c>
      <c r="C2869" s="36" t="s">
        <v>20268</v>
      </c>
      <c r="D2869" s="36" t="s">
        <v>29234</v>
      </c>
      <c r="E2869" s="490" t="s">
        <v>37333</v>
      </c>
      <c r="F2869" s="490" t="s">
        <v>37334</v>
      </c>
      <c r="G2869" s="490" t="s">
        <v>37335</v>
      </c>
      <c r="H2869" s="490" t="s">
        <v>37336</v>
      </c>
      <c r="I2869" s="490" t="s">
        <v>37337</v>
      </c>
      <c r="J2869" s="491" t="s">
        <v>37338</v>
      </c>
      <c r="K2869" s="491" t="s">
        <v>24779</v>
      </c>
      <c r="L2869" s="491" t="s">
        <v>37339</v>
      </c>
      <c r="M2869" s="491" t="s">
        <v>37340</v>
      </c>
      <c r="N2869" s="491" t="s">
        <v>37341</v>
      </c>
      <c r="O2869" s="490" t="s">
        <v>37342</v>
      </c>
      <c r="P2869" s="36" t="s">
        <v>29233</v>
      </c>
    </row>
    <row r="2870" spans="1:16">
      <c r="A2870" s="132">
        <v>2869</v>
      </c>
      <c r="B2870" s="36" t="s">
        <v>29235</v>
      </c>
      <c r="C2870" s="36" t="s">
        <v>29236</v>
      </c>
      <c r="D2870" s="36" t="s">
        <v>13419</v>
      </c>
      <c r="E2870" s="490" t="s">
        <v>37343</v>
      </c>
      <c r="F2870" s="490" t="s">
        <v>37344</v>
      </c>
      <c r="G2870" s="490" t="s">
        <v>4074</v>
      </c>
      <c r="H2870" s="490" t="s">
        <v>37345</v>
      </c>
      <c r="I2870" s="490" t="s">
        <v>37346</v>
      </c>
      <c r="J2870" s="491" t="s">
        <v>37347</v>
      </c>
      <c r="K2870" s="491" t="s">
        <v>37348</v>
      </c>
      <c r="L2870" s="491" t="s">
        <v>37349</v>
      </c>
      <c r="M2870" s="491" t="s">
        <v>37350</v>
      </c>
      <c r="N2870" s="491" t="s">
        <v>37351</v>
      </c>
      <c r="O2870" s="490" t="s">
        <v>4082</v>
      </c>
      <c r="P2870" s="36" t="s">
        <v>29235</v>
      </c>
    </row>
    <row r="2871" spans="1:16">
      <c r="A2871" s="132">
        <v>2870</v>
      </c>
      <c r="B2871" s="36" t="s">
        <v>29237</v>
      </c>
      <c r="C2871" s="36" t="s">
        <v>29238</v>
      </c>
      <c r="D2871" s="36" t="s">
        <v>29239</v>
      </c>
      <c r="E2871" s="490" t="s">
        <v>37352</v>
      </c>
      <c r="F2871" s="490" t="s">
        <v>37353</v>
      </c>
      <c r="G2871" s="490" t="s">
        <v>37354</v>
      </c>
      <c r="H2871" s="490" t="s">
        <v>37355</v>
      </c>
      <c r="I2871" s="490" t="s">
        <v>37353</v>
      </c>
      <c r="J2871" s="491" t="s">
        <v>37356</v>
      </c>
      <c r="K2871" s="491" t="s">
        <v>37357</v>
      </c>
      <c r="L2871" s="491" t="s">
        <v>37358</v>
      </c>
      <c r="M2871" s="491" t="s">
        <v>37359</v>
      </c>
      <c r="N2871" s="491" t="s">
        <v>37360</v>
      </c>
      <c r="O2871" s="490" t="s">
        <v>37357</v>
      </c>
      <c r="P2871" s="36" t="s">
        <v>29237</v>
      </c>
    </row>
    <row r="2872" spans="1:16">
      <c r="A2872" s="132">
        <v>2871</v>
      </c>
      <c r="B2872" s="36" t="s">
        <v>29240</v>
      </c>
      <c r="C2872" s="36" t="s">
        <v>29241</v>
      </c>
      <c r="D2872" s="36" t="s">
        <v>29242</v>
      </c>
      <c r="E2872" s="490" t="s">
        <v>37361</v>
      </c>
      <c r="F2872" s="490" t="s">
        <v>37362</v>
      </c>
      <c r="G2872" s="490" t="s">
        <v>37363</v>
      </c>
      <c r="H2872" s="490" t="s">
        <v>37364</v>
      </c>
      <c r="I2872" s="490" t="s">
        <v>37365</v>
      </c>
      <c r="J2872" s="491" t="s">
        <v>37366</v>
      </c>
      <c r="K2872" s="491" t="s">
        <v>37367</v>
      </c>
      <c r="L2872" s="491" t="s">
        <v>37368</v>
      </c>
      <c r="M2872" s="491" t="s">
        <v>37369</v>
      </c>
      <c r="N2872" s="491" t="s">
        <v>37370</v>
      </c>
      <c r="O2872" s="490" t="s">
        <v>37371</v>
      </c>
      <c r="P2872" s="36" t="s">
        <v>29240</v>
      </c>
    </row>
    <row r="2873" spans="1:16">
      <c r="A2873" s="132">
        <v>2872</v>
      </c>
      <c r="B2873" s="36" t="s">
        <v>29243</v>
      </c>
      <c r="C2873" s="36" t="s">
        <v>29244</v>
      </c>
      <c r="D2873" s="36" t="s">
        <v>29245</v>
      </c>
      <c r="E2873" s="490" t="s">
        <v>37372</v>
      </c>
      <c r="F2873" s="490" t="s">
        <v>37373</v>
      </c>
      <c r="G2873" s="490" t="s">
        <v>37374</v>
      </c>
      <c r="H2873" s="490" t="s">
        <v>37375</v>
      </c>
      <c r="I2873" s="490" t="s">
        <v>37376</v>
      </c>
      <c r="J2873" s="491" t="s">
        <v>37377</v>
      </c>
      <c r="K2873" s="491" t="s">
        <v>37378</v>
      </c>
      <c r="L2873" s="491" t="s">
        <v>37379</v>
      </c>
      <c r="M2873" s="491" t="s">
        <v>37380</v>
      </c>
      <c r="N2873" s="491" t="s">
        <v>37380</v>
      </c>
      <c r="O2873" s="490" t="s">
        <v>37381</v>
      </c>
      <c r="P2873" s="36" t="s">
        <v>29243</v>
      </c>
    </row>
    <row r="2874" spans="1:16">
      <c r="A2874" s="132">
        <v>2873</v>
      </c>
      <c r="B2874" s="36" t="s">
        <v>29246</v>
      </c>
      <c r="C2874" s="36" t="s">
        <v>29247</v>
      </c>
      <c r="D2874" s="36" t="s">
        <v>29248</v>
      </c>
      <c r="E2874" s="490" t="s">
        <v>37382</v>
      </c>
      <c r="F2874" s="490" t="s">
        <v>37383</v>
      </c>
      <c r="G2874" s="490" t="s">
        <v>37384</v>
      </c>
      <c r="H2874" s="490" t="s">
        <v>37385</v>
      </c>
      <c r="I2874" s="490" t="s">
        <v>37386</v>
      </c>
      <c r="J2874" s="491" t="s">
        <v>37387</v>
      </c>
      <c r="K2874" s="491" t="s">
        <v>37388</v>
      </c>
      <c r="L2874" s="491" t="s">
        <v>37389</v>
      </c>
      <c r="M2874" s="491" t="s">
        <v>37390</v>
      </c>
      <c r="N2874" s="491" t="s">
        <v>37391</v>
      </c>
      <c r="O2874" s="490" t="s">
        <v>37392</v>
      </c>
      <c r="P2874" s="36" t="s">
        <v>29246</v>
      </c>
    </row>
    <row r="2875" spans="1:16">
      <c r="A2875" s="132">
        <v>2874</v>
      </c>
      <c r="B2875" s="36" t="s">
        <v>29249</v>
      </c>
      <c r="C2875" s="36" t="s">
        <v>29250</v>
      </c>
      <c r="D2875" s="36" t="s">
        <v>29251</v>
      </c>
      <c r="E2875" s="490" t="s">
        <v>37393</v>
      </c>
      <c r="F2875" s="490" t="s">
        <v>37394</v>
      </c>
      <c r="G2875" s="490" t="s">
        <v>37395</v>
      </c>
      <c r="H2875" s="490" t="s">
        <v>37396</v>
      </c>
      <c r="I2875" s="490" t="s">
        <v>37397</v>
      </c>
      <c r="J2875" s="491" t="s">
        <v>37398</v>
      </c>
      <c r="K2875" s="491" t="s">
        <v>37399</v>
      </c>
      <c r="L2875" s="491" t="s">
        <v>37400</v>
      </c>
      <c r="M2875" s="491" t="s">
        <v>37401</v>
      </c>
      <c r="N2875" s="491" t="s">
        <v>37402</v>
      </c>
      <c r="O2875" s="490" t="s">
        <v>37403</v>
      </c>
      <c r="P2875" s="36" t="s">
        <v>29249</v>
      </c>
    </row>
    <row r="2876" spans="1:16">
      <c r="A2876" s="132">
        <v>2875</v>
      </c>
      <c r="B2876" s="36" t="s">
        <v>29252</v>
      </c>
      <c r="C2876" s="36" t="s">
        <v>29253</v>
      </c>
      <c r="D2876" s="36" t="s">
        <v>29254</v>
      </c>
      <c r="E2876" s="490" t="s">
        <v>37404</v>
      </c>
      <c r="F2876" s="490" t="s">
        <v>37405</v>
      </c>
      <c r="G2876" s="490" t="s">
        <v>37406</v>
      </c>
      <c r="H2876" s="490" t="s">
        <v>37407</v>
      </c>
      <c r="I2876" s="490" t="s">
        <v>37408</v>
      </c>
      <c r="J2876" s="491" t="s">
        <v>37409</v>
      </c>
      <c r="K2876" s="491" t="s">
        <v>37410</v>
      </c>
      <c r="L2876" s="491" t="s">
        <v>37411</v>
      </c>
      <c r="M2876" s="491" t="s">
        <v>37412</v>
      </c>
      <c r="N2876" s="491" t="s">
        <v>37413</v>
      </c>
      <c r="O2876" s="490" t="s">
        <v>37414</v>
      </c>
      <c r="P2876" s="36" t="s">
        <v>29252</v>
      </c>
    </row>
    <row r="2877" spans="1:16">
      <c r="A2877" s="132">
        <v>2876</v>
      </c>
      <c r="B2877" s="36" t="s">
        <v>29255</v>
      </c>
      <c r="C2877" s="36" t="s">
        <v>29256</v>
      </c>
      <c r="D2877" s="490" t="s">
        <v>37415</v>
      </c>
      <c r="E2877" s="490" t="s">
        <v>37416</v>
      </c>
      <c r="F2877" s="490" t="s">
        <v>37417</v>
      </c>
      <c r="G2877" s="490" t="s">
        <v>37418</v>
      </c>
      <c r="H2877" s="490" t="s">
        <v>37419</v>
      </c>
      <c r="I2877" s="490" t="s">
        <v>37420</v>
      </c>
      <c r="J2877" s="491" t="s">
        <v>37421</v>
      </c>
      <c r="K2877" s="491" t="s">
        <v>37422</v>
      </c>
      <c r="L2877" s="491" t="s">
        <v>37423</v>
      </c>
      <c r="M2877" s="491" t="s">
        <v>37424</v>
      </c>
      <c r="N2877" s="491" t="s">
        <v>37424</v>
      </c>
      <c r="O2877" s="490" t="s">
        <v>37425</v>
      </c>
      <c r="P2877" s="36" t="s">
        <v>29255</v>
      </c>
    </row>
    <row r="2878" spans="1:16">
      <c r="A2878" s="132">
        <v>2877</v>
      </c>
      <c r="B2878" s="36" t="s">
        <v>29257</v>
      </c>
      <c r="C2878" s="36" t="s">
        <v>29258</v>
      </c>
      <c r="D2878" s="36" t="s">
        <v>29259</v>
      </c>
      <c r="E2878" s="490" t="s">
        <v>37426</v>
      </c>
      <c r="F2878" s="490" t="s">
        <v>37427</v>
      </c>
      <c r="G2878" s="490" t="s">
        <v>29257</v>
      </c>
      <c r="H2878" s="490" t="s">
        <v>37428</v>
      </c>
      <c r="I2878" s="490" t="s">
        <v>37427</v>
      </c>
      <c r="J2878" s="491" t="s">
        <v>37429</v>
      </c>
      <c r="K2878" s="491" t="s">
        <v>37430</v>
      </c>
      <c r="L2878" s="491" t="s">
        <v>29257</v>
      </c>
      <c r="M2878" s="491" t="s">
        <v>29257</v>
      </c>
      <c r="N2878" s="491" t="s">
        <v>29257</v>
      </c>
      <c r="O2878" s="490" t="s">
        <v>37431</v>
      </c>
      <c r="P2878" s="36" t="s">
        <v>29257</v>
      </c>
    </row>
    <row r="2879" spans="1:16">
      <c r="A2879" s="132">
        <v>2878</v>
      </c>
      <c r="B2879" s="36" t="s">
        <v>29260</v>
      </c>
      <c r="C2879" s="36" t="s">
        <v>29261</v>
      </c>
      <c r="D2879" s="36" t="s">
        <v>5014</v>
      </c>
      <c r="E2879" s="490" t="s">
        <v>37432</v>
      </c>
      <c r="F2879" s="490" t="s">
        <v>35440</v>
      </c>
      <c r="G2879" s="490" t="s">
        <v>35441</v>
      </c>
      <c r="H2879" s="490" t="s">
        <v>37433</v>
      </c>
      <c r="I2879" s="490" t="s">
        <v>35442</v>
      </c>
      <c r="J2879" s="491" t="s">
        <v>5019</v>
      </c>
      <c r="K2879" s="491" t="s">
        <v>31717</v>
      </c>
      <c r="L2879" s="491" t="s">
        <v>31718</v>
      </c>
      <c r="M2879" s="491" t="s">
        <v>31719</v>
      </c>
      <c r="N2879" s="491" t="s">
        <v>31720</v>
      </c>
      <c r="O2879" s="490" t="s">
        <v>35445</v>
      </c>
      <c r="P2879" s="36" t="s">
        <v>29260</v>
      </c>
    </row>
    <row r="2880" spans="1:16">
      <c r="A2880" s="132">
        <v>2879</v>
      </c>
      <c r="B2880" s="36" t="s">
        <v>29262</v>
      </c>
      <c r="C2880" s="36" t="s">
        <v>27806</v>
      </c>
      <c r="D2880" s="36" t="s">
        <v>29263</v>
      </c>
      <c r="E2880" s="490" t="s">
        <v>31714</v>
      </c>
      <c r="F2880" s="490" t="s">
        <v>37434</v>
      </c>
      <c r="G2880" s="490" t="s">
        <v>31716</v>
      </c>
      <c r="H2880" s="490" t="s">
        <v>37435</v>
      </c>
      <c r="I2880" s="490" t="s">
        <v>31715</v>
      </c>
      <c r="J2880" s="491" t="s">
        <v>5019</v>
      </c>
      <c r="K2880" s="491" t="s">
        <v>31717</v>
      </c>
      <c r="L2880" s="491" t="s">
        <v>31718</v>
      </c>
      <c r="M2880" s="491" t="s">
        <v>31719</v>
      </c>
      <c r="N2880" s="491" t="s">
        <v>31720</v>
      </c>
      <c r="O2880" s="490" t="s">
        <v>37436</v>
      </c>
      <c r="P2880" s="36" t="s">
        <v>29262</v>
      </c>
    </row>
    <row r="2881" spans="1:16">
      <c r="A2881" s="132">
        <v>2880</v>
      </c>
      <c r="B2881" s="36" t="s">
        <v>29264</v>
      </c>
      <c r="C2881" s="36" t="s">
        <v>29265</v>
      </c>
      <c r="D2881" s="36" t="s">
        <v>29266</v>
      </c>
      <c r="E2881" s="490" t="s">
        <v>37437</v>
      </c>
      <c r="F2881" s="490" t="s">
        <v>37438</v>
      </c>
      <c r="G2881" s="490" t="s">
        <v>37439</v>
      </c>
      <c r="H2881" s="490" t="s">
        <v>37440</v>
      </c>
      <c r="I2881" s="490" t="s">
        <v>37441</v>
      </c>
      <c r="J2881" s="491" t="s">
        <v>37442</v>
      </c>
      <c r="K2881" s="491" t="s">
        <v>37443</v>
      </c>
      <c r="L2881" s="491" t="s">
        <v>37444</v>
      </c>
      <c r="M2881" s="491" t="s">
        <v>37445</v>
      </c>
      <c r="N2881" s="491" t="s">
        <v>37446</v>
      </c>
      <c r="O2881" s="490" t="s">
        <v>37447</v>
      </c>
      <c r="P2881" s="36" t="s">
        <v>29264</v>
      </c>
    </row>
    <row r="2882" spans="1:16">
      <c r="A2882" s="132">
        <v>2881</v>
      </c>
      <c r="B2882" s="36" t="s">
        <v>29267</v>
      </c>
      <c r="C2882" s="36" t="s">
        <v>29268</v>
      </c>
      <c r="D2882" s="36" t="s">
        <v>29269</v>
      </c>
      <c r="E2882" s="490" t="s">
        <v>37448</v>
      </c>
      <c r="F2882" s="490" t="s">
        <v>37449</v>
      </c>
      <c r="G2882" s="490" t="s">
        <v>37450</v>
      </c>
      <c r="H2882" s="490" t="s">
        <v>37451</v>
      </c>
      <c r="I2882" s="490" t="s">
        <v>37452</v>
      </c>
      <c r="J2882" s="491" t="s">
        <v>37453</v>
      </c>
      <c r="K2882" s="491" t="s">
        <v>37454</v>
      </c>
      <c r="L2882" s="491" t="s">
        <v>37455</v>
      </c>
      <c r="M2882" s="491" t="s">
        <v>37456</v>
      </c>
      <c r="N2882" s="491" t="s">
        <v>37457</v>
      </c>
      <c r="O2882" s="490" t="s">
        <v>37458</v>
      </c>
      <c r="P2882" s="36" t="s">
        <v>29267</v>
      </c>
    </row>
    <row r="2883" spans="1:16">
      <c r="A2883" s="132">
        <v>2882</v>
      </c>
      <c r="B2883" s="36" t="s">
        <v>29270</v>
      </c>
      <c r="C2883" s="36" t="s">
        <v>29271</v>
      </c>
      <c r="D2883" s="36" t="s">
        <v>29272</v>
      </c>
      <c r="E2883" s="490" t="s">
        <v>37459</v>
      </c>
      <c r="F2883" s="490" t="s">
        <v>37460</v>
      </c>
      <c r="G2883" s="490" t="s">
        <v>37461</v>
      </c>
      <c r="H2883" s="490" t="s">
        <v>37462</v>
      </c>
      <c r="I2883" s="490" t="s">
        <v>37463</v>
      </c>
      <c r="J2883" s="491" t="s">
        <v>37464</v>
      </c>
      <c r="K2883" s="491" t="s">
        <v>37465</v>
      </c>
      <c r="L2883" s="491" t="s">
        <v>37466</v>
      </c>
      <c r="M2883" s="491" t="s">
        <v>37467</v>
      </c>
      <c r="N2883" s="491" t="s">
        <v>37468</v>
      </c>
      <c r="O2883" s="490" t="s">
        <v>37469</v>
      </c>
      <c r="P2883" s="36" t="s">
        <v>29270</v>
      </c>
    </row>
    <row r="2884" spans="1:16" ht="13.95" customHeight="1">
      <c r="A2884" s="132">
        <v>2883</v>
      </c>
      <c r="B2884" s="36" t="s">
        <v>29273</v>
      </c>
      <c r="C2884" s="36" t="s">
        <v>29274</v>
      </c>
      <c r="D2884" s="490" t="s">
        <v>37470</v>
      </c>
      <c r="E2884" s="490" t="s">
        <v>37471</v>
      </c>
      <c r="F2884" s="490" t="s">
        <v>37472</v>
      </c>
      <c r="G2884" s="490" t="s">
        <v>37473</v>
      </c>
      <c r="H2884" s="490" t="s">
        <v>37474</v>
      </c>
      <c r="I2884" s="490" t="s">
        <v>37475</v>
      </c>
      <c r="J2884" s="491" t="s">
        <v>37476</v>
      </c>
      <c r="K2884" s="491" t="s">
        <v>37477</v>
      </c>
      <c r="L2884" s="491" t="s">
        <v>37478</v>
      </c>
      <c r="M2884" s="491" t="s">
        <v>37479</v>
      </c>
      <c r="N2884" s="491" t="s">
        <v>37479</v>
      </c>
      <c r="O2884" s="490" t="s">
        <v>37480</v>
      </c>
      <c r="P2884" s="36" t="s">
        <v>29273</v>
      </c>
    </row>
    <row r="2885" spans="1:16" ht="13.95" customHeight="1">
      <c r="A2885" s="132">
        <v>2884</v>
      </c>
      <c r="B2885" s="36" t="s">
        <v>29275</v>
      </c>
      <c r="C2885" s="36" t="s">
        <v>29276</v>
      </c>
      <c r="D2885" s="36" t="s">
        <v>29277</v>
      </c>
      <c r="E2885" s="490" t="s">
        <v>37481</v>
      </c>
      <c r="F2885" s="490" t="s">
        <v>37482</v>
      </c>
      <c r="G2885" s="490" t="s">
        <v>37483</v>
      </c>
      <c r="H2885" s="490" t="s">
        <v>37484</v>
      </c>
      <c r="I2885" s="490" t="s">
        <v>37485</v>
      </c>
      <c r="J2885" s="491" t="s">
        <v>37486</v>
      </c>
      <c r="K2885" s="491" t="s">
        <v>37487</v>
      </c>
      <c r="L2885" s="491" t="s">
        <v>37488</v>
      </c>
      <c r="M2885" s="491" t="s">
        <v>37489</v>
      </c>
      <c r="N2885" s="491" t="s">
        <v>37488</v>
      </c>
      <c r="O2885" s="490" t="s">
        <v>37490</v>
      </c>
      <c r="P2885" s="36" t="s">
        <v>29275</v>
      </c>
    </row>
    <row r="2886" spans="1:16">
      <c r="A2886" s="132">
        <v>2885</v>
      </c>
      <c r="B2886" s="36" t="s">
        <v>29278</v>
      </c>
      <c r="C2886" s="36" t="s">
        <v>29278</v>
      </c>
      <c r="D2886" s="36" t="s">
        <v>27381</v>
      </c>
      <c r="E2886" s="490" t="s">
        <v>29278</v>
      </c>
      <c r="F2886" s="490" t="s">
        <v>29278</v>
      </c>
      <c r="G2886" s="490" t="s">
        <v>29278</v>
      </c>
      <c r="H2886" s="490" t="s">
        <v>29278</v>
      </c>
      <c r="I2886" s="490" t="s">
        <v>29278</v>
      </c>
      <c r="J2886" s="491" t="s">
        <v>29278</v>
      </c>
      <c r="K2886" s="491" t="s">
        <v>29278</v>
      </c>
      <c r="L2886" s="491" t="s">
        <v>29278</v>
      </c>
      <c r="M2886" s="491" t="s">
        <v>29278</v>
      </c>
      <c r="N2886" s="491" t="s">
        <v>29278</v>
      </c>
      <c r="O2886" s="490" t="s">
        <v>29278</v>
      </c>
      <c r="P2886" s="36" t="s">
        <v>29278</v>
      </c>
    </row>
    <row r="2887" spans="1:16">
      <c r="A2887" s="132">
        <v>2886</v>
      </c>
      <c r="B2887" s="36" t="s">
        <v>29279</v>
      </c>
      <c r="C2887" s="36" t="s">
        <v>29280</v>
      </c>
      <c r="D2887" s="490" t="s">
        <v>37491</v>
      </c>
      <c r="E2887" s="490" t="s">
        <v>37492</v>
      </c>
      <c r="F2887" s="490" t="s">
        <v>37493</v>
      </c>
      <c r="G2887" s="490" t="s">
        <v>37494</v>
      </c>
      <c r="H2887" s="490" t="s">
        <v>37495</v>
      </c>
      <c r="I2887" s="490" t="s">
        <v>37496</v>
      </c>
      <c r="J2887" s="491" t="s">
        <v>37497</v>
      </c>
      <c r="K2887" s="491" t="s">
        <v>37498</v>
      </c>
      <c r="L2887" s="491" t="s">
        <v>37499</v>
      </c>
      <c r="M2887" s="491" t="s">
        <v>37500</v>
      </c>
      <c r="N2887" s="491" t="s">
        <v>37500</v>
      </c>
      <c r="O2887" s="490" t="s">
        <v>37501</v>
      </c>
      <c r="P2887" s="36" t="s">
        <v>29279</v>
      </c>
    </row>
    <row r="2888" spans="1:16">
      <c r="A2888" s="132">
        <v>2887</v>
      </c>
      <c r="B2888" s="36" t="s">
        <v>29281</v>
      </c>
      <c r="C2888" s="36" t="s">
        <v>29282</v>
      </c>
      <c r="D2888" s="36" t="s">
        <v>29283</v>
      </c>
      <c r="E2888" s="490" t="s">
        <v>37502</v>
      </c>
      <c r="F2888" s="490" t="s">
        <v>37503</v>
      </c>
      <c r="G2888" s="490" t="s">
        <v>37504</v>
      </c>
      <c r="H2888" s="490" t="s">
        <v>37505</v>
      </c>
      <c r="I2888" s="490" t="s">
        <v>37506</v>
      </c>
      <c r="J2888" s="491" t="s">
        <v>37507</v>
      </c>
      <c r="K2888" s="491" t="s">
        <v>37508</v>
      </c>
      <c r="L2888" s="491" t="s">
        <v>37509</v>
      </c>
      <c r="M2888" s="491" t="s">
        <v>37509</v>
      </c>
      <c r="N2888" s="491" t="s">
        <v>37510</v>
      </c>
      <c r="O2888" s="490" t="s">
        <v>37511</v>
      </c>
      <c r="P2888" s="36" t="s">
        <v>29281</v>
      </c>
    </row>
    <row r="2889" spans="1:16">
      <c r="A2889" s="132">
        <v>2888</v>
      </c>
      <c r="B2889" s="36" t="s">
        <v>29284</v>
      </c>
      <c r="C2889" s="36" t="s">
        <v>29285</v>
      </c>
      <c r="D2889" s="36" t="s">
        <v>29286</v>
      </c>
      <c r="E2889" s="490" t="s">
        <v>37512</v>
      </c>
      <c r="F2889" s="490" t="s">
        <v>37513</v>
      </c>
      <c r="G2889" s="490" t="s">
        <v>37514</v>
      </c>
      <c r="H2889" s="490" t="s">
        <v>37515</v>
      </c>
      <c r="I2889" s="490" t="s">
        <v>37516</v>
      </c>
      <c r="J2889" s="491" t="s">
        <v>37517</v>
      </c>
      <c r="K2889" s="491" t="s">
        <v>37518</v>
      </c>
      <c r="L2889" s="491" t="s">
        <v>37519</v>
      </c>
      <c r="M2889" s="491" t="s">
        <v>37520</v>
      </c>
      <c r="N2889" s="491" t="s">
        <v>37521</v>
      </c>
      <c r="O2889" s="490" t="s">
        <v>37522</v>
      </c>
      <c r="P2889" s="36" t="s">
        <v>29284</v>
      </c>
    </row>
    <row r="2890" spans="1:16">
      <c r="A2890" s="132">
        <v>2889</v>
      </c>
      <c r="B2890" s="36" t="s">
        <v>29287</v>
      </c>
      <c r="C2890" s="36" t="s">
        <v>29288</v>
      </c>
      <c r="D2890" s="490" t="s">
        <v>37523</v>
      </c>
      <c r="E2890" s="490" t="s">
        <v>37524</v>
      </c>
      <c r="F2890" s="490" t="s">
        <v>37525</v>
      </c>
      <c r="G2890" s="490" t="s">
        <v>37526</v>
      </c>
      <c r="H2890" s="490" t="s">
        <v>37527</v>
      </c>
      <c r="I2890" s="490" t="s">
        <v>37528</v>
      </c>
      <c r="J2890" s="491" t="s">
        <v>37529</v>
      </c>
      <c r="K2890" s="491" t="s">
        <v>37530</v>
      </c>
      <c r="L2890" s="491" t="s">
        <v>37531</v>
      </c>
      <c r="M2890" s="491" t="s">
        <v>37532</v>
      </c>
      <c r="N2890" s="491" t="s">
        <v>37532</v>
      </c>
      <c r="O2890" s="490" t="s">
        <v>37533</v>
      </c>
      <c r="P2890" s="36" t="s">
        <v>29287</v>
      </c>
    </row>
    <row r="2891" spans="1:16">
      <c r="A2891" s="132">
        <v>2890</v>
      </c>
      <c r="B2891" s="36" t="s">
        <v>29289</v>
      </c>
      <c r="C2891" s="36" t="s">
        <v>29290</v>
      </c>
      <c r="D2891" s="36" t="s">
        <v>29291</v>
      </c>
      <c r="E2891" s="490" t="s">
        <v>37534</v>
      </c>
      <c r="F2891" s="490" t="s">
        <v>37535</v>
      </c>
      <c r="G2891" s="490" t="s">
        <v>37536</v>
      </c>
      <c r="H2891" s="490" t="s">
        <v>37537</v>
      </c>
      <c r="I2891" s="490" t="s">
        <v>37538</v>
      </c>
      <c r="J2891" s="491" t="s">
        <v>37539</v>
      </c>
      <c r="K2891" s="491" t="s">
        <v>37540</v>
      </c>
      <c r="L2891" s="491" t="s">
        <v>37541</v>
      </c>
      <c r="M2891" s="491" t="s">
        <v>37542</v>
      </c>
      <c r="N2891" s="491" t="s">
        <v>37543</v>
      </c>
      <c r="O2891" s="490" t="s">
        <v>37544</v>
      </c>
      <c r="P2891" s="36" t="s">
        <v>29289</v>
      </c>
    </row>
    <row r="2892" spans="1:16">
      <c r="A2892" s="132">
        <v>2891</v>
      </c>
      <c r="B2892" s="36" t="s">
        <v>29292</v>
      </c>
      <c r="C2892" s="36" t="s">
        <v>29293</v>
      </c>
      <c r="D2892" s="36" t="s">
        <v>29294</v>
      </c>
      <c r="E2892" s="490" t="s">
        <v>37545</v>
      </c>
      <c r="F2892" s="490" t="s">
        <v>37546</v>
      </c>
      <c r="G2892" s="490" t="s">
        <v>37547</v>
      </c>
      <c r="H2892" s="490" t="s">
        <v>37548</v>
      </c>
      <c r="I2892" s="490" t="s">
        <v>37549</v>
      </c>
      <c r="J2892" s="491" t="s">
        <v>37550</v>
      </c>
      <c r="K2892" s="491" t="s">
        <v>37551</v>
      </c>
      <c r="L2892" s="491" t="s">
        <v>37552</v>
      </c>
      <c r="M2892" s="491" t="s">
        <v>37553</v>
      </c>
      <c r="N2892" s="491" t="s">
        <v>37553</v>
      </c>
      <c r="O2892" s="490" t="s">
        <v>37490</v>
      </c>
      <c r="P2892" s="36" t="s">
        <v>29292</v>
      </c>
    </row>
    <row r="2893" spans="1:16">
      <c r="A2893" s="132">
        <v>2892</v>
      </c>
      <c r="B2893" s="36" t="s">
        <v>29295</v>
      </c>
      <c r="C2893" s="36" t="s">
        <v>29296</v>
      </c>
      <c r="D2893" s="490" t="s">
        <v>37554</v>
      </c>
      <c r="E2893" s="490" t="s">
        <v>37555</v>
      </c>
      <c r="F2893" s="490" t="s">
        <v>37556</v>
      </c>
      <c r="G2893" s="490" t="s">
        <v>37557</v>
      </c>
      <c r="H2893" s="490" t="s">
        <v>37558</v>
      </c>
      <c r="I2893" s="490" t="s">
        <v>37559</v>
      </c>
      <c r="J2893" s="491" t="s">
        <v>37560</v>
      </c>
      <c r="K2893" s="491" t="s">
        <v>37561</v>
      </c>
      <c r="L2893" s="491" t="s">
        <v>37562</v>
      </c>
      <c r="M2893" s="491" t="s">
        <v>37563</v>
      </c>
      <c r="N2893" s="491" t="s">
        <v>37564</v>
      </c>
      <c r="O2893" s="490" t="s">
        <v>37565</v>
      </c>
      <c r="P2893" s="36" t="s">
        <v>29295</v>
      </c>
    </row>
    <row r="2894" spans="1:16">
      <c r="A2894" s="132">
        <v>2893</v>
      </c>
      <c r="B2894" s="36" t="s">
        <v>29297</v>
      </c>
      <c r="C2894" s="36" t="s">
        <v>29297</v>
      </c>
      <c r="D2894" s="36" t="s">
        <v>29297</v>
      </c>
      <c r="E2894" s="488" t="s">
        <v>29297</v>
      </c>
      <c r="F2894" s="488" t="s">
        <v>29297</v>
      </c>
      <c r="G2894" s="488" t="s">
        <v>29297</v>
      </c>
      <c r="H2894" s="36" t="s">
        <v>29297</v>
      </c>
      <c r="I2894" s="36" t="s">
        <v>29297</v>
      </c>
      <c r="J2894" s="36" t="s">
        <v>29297</v>
      </c>
      <c r="K2894" s="36" t="s">
        <v>29297</v>
      </c>
      <c r="L2894" s="36" t="s">
        <v>29297</v>
      </c>
      <c r="M2894" s="36" t="s">
        <v>29297</v>
      </c>
      <c r="N2894" s="36" t="s">
        <v>29297</v>
      </c>
      <c r="O2894" s="36" t="s">
        <v>29297</v>
      </c>
      <c r="P2894" s="36" t="s">
        <v>29297</v>
      </c>
    </row>
    <row r="2895" spans="1:16">
      <c r="A2895" s="132">
        <v>2894</v>
      </c>
      <c r="B2895" s="36" t="s">
        <v>29298</v>
      </c>
      <c r="C2895" s="36" t="s">
        <v>29299</v>
      </c>
      <c r="D2895" s="36" t="s">
        <v>29300</v>
      </c>
      <c r="E2895" s="490" t="s">
        <v>37566</v>
      </c>
      <c r="F2895" s="490" t="s">
        <v>37567</v>
      </c>
      <c r="G2895" s="490" t="s">
        <v>37568</v>
      </c>
      <c r="H2895" s="490" t="s">
        <v>37569</v>
      </c>
      <c r="I2895" s="490" t="s">
        <v>37570</v>
      </c>
      <c r="J2895" s="490" t="s">
        <v>37571</v>
      </c>
      <c r="K2895" s="490" t="s">
        <v>37572</v>
      </c>
      <c r="L2895" s="490" t="s">
        <v>37573</v>
      </c>
      <c r="M2895" s="490" t="s">
        <v>37574</v>
      </c>
      <c r="N2895" s="490" t="s">
        <v>37575</v>
      </c>
      <c r="O2895" s="490" t="s">
        <v>37576</v>
      </c>
      <c r="P2895" s="36" t="s">
        <v>29298</v>
      </c>
    </row>
    <row r="2896" spans="1:16">
      <c r="A2896" s="132">
        <v>2895</v>
      </c>
      <c r="B2896" s="36" t="s">
        <v>29301</v>
      </c>
      <c r="C2896" s="36" t="s">
        <v>29302</v>
      </c>
      <c r="D2896" s="36" t="s">
        <v>29303</v>
      </c>
      <c r="E2896" s="490" t="s">
        <v>37577</v>
      </c>
      <c r="F2896" s="490" t="s">
        <v>37578</v>
      </c>
      <c r="G2896" s="490" t="s">
        <v>37579</v>
      </c>
      <c r="H2896" s="490" t="s">
        <v>37580</v>
      </c>
      <c r="I2896" s="490" t="s">
        <v>37581</v>
      </c>
      <c r="J2896" s="490" t="s">
        <v>37582</v>
      </c>
      <c r="K2896" s="490" t="s">
        <v>37583</v>
      </c>
      <c r="L2896" s="490" t="s">
        <v>37584</v>
      </c>
      <c r="M2896" s="490" t="s">
        <v>37585</v>
      </c>
      <c r="N2896" s="490" t="s">
        <v>37586</v>
      </c>
      <c r="O2896" s="490" t="s">
        <v>37587</v>
      </c>
      <c r="P2896" s="36" t="s">
        <v>29301</v>
      </c>
    </row>
    <row r="2897" spans="1:16">
      <c r="A2897" s="132">
        <v>2896</v>
      </c>
      <c r="B2897" s="36" t="s">
        <v>29304</v>
      </c>
      <c r="C2897" s="36" t="s">
        <v>29305</v>
      </c>
      <c r="D2897" s="36" t="s">
        <v>29306</v>
      </c>
      <c r="E2897" s="490" t="s">
        <v>37588</v>
      </c>
      <c r="F2897" s="490" t="s">
        <v>37589</v>
      </c>
      <c r="G2897" s="490" t="s">
        <v>37590</v>
      </c>
      <c r="H2897" s="490" t="s">
        <v>37591</v>
      </c>
      <c r="I2897" s="490" t="s">
        <v>37592</v>
      </c>
      <c r="J2897" s="490" t="s">
        <v>37593</v>
      </c>
      <c r="K2897" s="490" t="s">
        <v>37594</v>
      </c>
      <c r="L2897" s="490" t="s">
        <v>37595</v>
      </c>
      <c r="M2897" s="490" t="s">
        <v>37596</v>
      </c>
      <c r="N2897" s="490" t="s">
        <v>37597</v>
      </c>
      <c r="O2897" s="490" t="s">
        <v>37598</v>
      </c>
      <c r="P2897" s="36" t="s">
        <v>29304</v>
      </c>
    </row>
    <row r="2898" spans="1:16">
      <c r="A2898" s="132">
        <v>2897</v>
      </c>
      <c r="B2898" s="36" t="s">
        <v>29307</v>
      </c>
      <c r="C2898" s="36" t="s">
        <v>29308</v>
      </c>
      <c r="D2898" s="36" t="s">
        <v>29309</v>
      </c>
      <c r="E2898" s="490" t="s">
        <v>37599</v>
      </c>
      <c r="F2898" s="490" t="s">
        <v>37600</v>
      </c>
      <c r="G2898" s="490" t="s">
        <v>37601</v>
      </c>
      <c r="H2898" s="490" t="s">
        <v>37602</v>
      </c>
      <c r="I2898" s="490" t="s">
        <v>37603</v>
      </c>
      <c r="J2898" s="490" t="s">
        <v>37604</v>
      </c>
      <c r="K2898" s="490" t="s">
        <v>37605</v>
      </c>
      <c r="L2898" s="490" t="s">
        <v>37606</v>
      </c>
      <c r="M2898" s="490" t="s">
        <v>37607</v>
      </c>
      <c r="N2898" s="490" t="s">
        <v>37607</v>
      </c>
      <c r="O2898" s="490" t="s">
        <v>37608</v>
      </c>
      <c r="P2898" s="36" t="s">
        <v>29307</v>
      </c>
    </row>
    <row r="2899" spans="1:16">
      <c r="A2899" s="132">
        <v>2898</v>
      </c>
      <c r="B2899" s="36" t="s">
        <v>29310</v>
      </c>
      <c r="C2899" s="36" t="s">
        <v>29311</v>
      </c>
      <c r="D2899" s="490" t="s">
        <v>37609</v>
      </c>
      <c r="E2899" s="490" t="s">
        <v>37610</v>
      </c>
      <c r="F2899" s="490" t="s">
        <v>37611</v>
      </c>
      <c r="G2899" s="490" t="s">
        <v>37612</v>
      </c>
      <c r="H2899" s="490" t="s">
        <v>37613</v>
      </c>
      <c r="I2899" s="490" t="s">
        <v>37614</v>
      </c>
      <c r="J2899" s="490" t="s">
        <v>37615</v>
      </c>
      <c r="K2899" s="490" t="s">
        <v>37616</v>
      </c>
      <c r="L2899" s="490" t="s">
        <v>37617</v>
      </c>
      <c r="M2899" s="490" t="s">
        <v>37618</v>
      </c>
      <c r="N2899" s="490" t="s">
        <v>37619</v>
      </c>
      <c r="O2899" s="490" t="s">
        <v>37620</v>
      </c>
      <c r="P2899" s="36" t="s">
        <v>29310</v>
      </c>
    </row>
    <row r="2900" spans="1:16">
      <c r="A2900" s="132">
        <v>2899</v>
      </c>
      <c r="B2900" s="36" t="s">
        <v>29312</v>
      </c>
      <c r="C2900" s="36" t="s">
        <v>29313</v>
      </c>
      <c r="D2900" s="490" t="s">
        <v>37621</v>
      </c>
      <c r="E2900" s="490" t="s">
        <v>37622</v>
      </c>
      <c r="F2900" s="490" t="s">
        <v>37623</v>
      </c>
      <c r="G2900" s="490" t="s">
        <v>37624</v>
      </c>
      <c r="H2900" s="490" t="s">
        <v>37625</v>
      </c>
      <c r="I2900" s="490" t="s">
        <v>37626</v>
      </c>
      <c r="J2900" s="490" t="s">
        <v>37627</v>
      </c>
      <c r="K2900" s="490" t="s">
        <v>37628</v>
      </c>
      <c r="L2900" s="490" t="s">
        <v>37629</v>
      </c>
      <c r="M2900" s="490" t="s">
        <v>37630</v>
      </c>
      <c r="N2900" s="490" t="s">
        <v>37631</v>
      </c>
      <c r="O2900" s="490" t="s">
        <v>37632</v>
      </c>
      <c r="P2900" s="36" t="s">
        <v>29312</v>
      </c>
    </row>
    <row r="2901" spans="1:16">
      <c r="A2901" s="132">
        <v>2900</v>
      </c>
      <c r="B2901" s="36" t="s">
        <v>29314</v>
      </c>
      <c r="C2901" s="36" t="s">
        <v>29315</v>
      </c>
      <c r="D2901" s="490" t="s">
        <v>37633</v>
      </c>
      <c r="E2901" s="490" t="s">
        <v>37634</v>
      </c>
      <c r="F2901" s="490" t="s">
        <v>37635</v>
      </c>
      <c r="G2901" s="490" t="s">
        <v>37636</v>
      </c>
      <c r="H2901" s="490" t="s">
        <v>37637</v>
      </c>
      <c r="I2901" s="490" t="s">
        <v>37638</v>
      </c>
      <c r="J2901" s="490" t="s">
        <v>37639</v>
      </c>
      <c r="K2901" s="490" t="s">
        <v>37640</v>
      </c>
      <c r="L2901" s="490" t="s">
        <v>37641</v>
      </c>
      <c r="M2901" s="490" t="s">
        <v>37642</v>
      </c>
      <c r="N2901" s="490" t="s">
        <v>37643</v>
      </c>
      <c r="O2901" s="490" t="s">
        <v>37644</v>
      </c>
      <c r="P2901" s="36" t="s">
        <v>29314</v>
      </c>
    </row>
    <row r="2902" spans="1:16">
      <c r="A2902" s="132">
        <v>2901</v>
      </c>
      <c r="B2902" s="36" t="s">
        <v>29316</v>
      </c>
      <c r="C2902" s="36" t="s">
        <v>29317</v>
      </c>
      <c r="D2902" s="36" t="s">
        <v>29318</v>
      </c>
      <c r="E2902" s="490" t="s">
        <v>37645</v>
      </c>
      <c r="F2902" s="490" t="s">
        <v>37646</v>
      </c>
      <c r="G2902" s="490" t="s">
        <v>37646</v>
      </c>
      <c r="H2902" s="490" t="s">
        <v>37646</v>
      </c>
      <c r="I2902" s="490" t="s">
        <v>37646</v>
      </c>
      <c r="J2902" s="490" t="s">
        <v>37647</v>
      </c>
      <c r="K2902" s="490" t="s">
        <v>37646</v>
      </c>
      <c r="L2902" s="490" t="s">
        <v>37646</v>
      </c>
      <c r="M2902" s="490" t="s">
        <v>37646</v>
      </c>
      <c r="N2902" s="490" t="s">
        <v>37646</v>
      </c>
      <c r="O2902" s="490" t="s">
        <v>37646</v>
      </c>
      <c r="P2902" s="36" t="s">
        <v>29316</v>
      </c>
    </row>
    <row r="2903" spans="1:16">
      <c r="A2903" s="132">
        <v>2902</v>
      </c>
      <c r="B2903" s="36" t="s">
        <v>29319</v>
      </c>
      <c r="C2903" s="36" t="s">
        <v>29320</v>
      </c>
      <c r="D2903" s="36" t="s">
        <v>29321</v>
      </c>
      <c r="E2903" s="490" t="s">
        <v>37648</v>
      </c>
      <c r="F2903" s="490" t="s">
        <v>37649</v>
      </c>
      <c r="G2903" s="490" t="s">
        <v>37649</v>
      </c>
      <c r="H2903" s="490" t="s">
        <v>37649</v>
      </c>
      <c r="I2903" s="490" t="s">
        <v>37649</v>
      </c>
      <c r="J2903" s="490" t="s">
        <v>37650</v>
      </c>
      <c r="K2903" s="490" t="s">
        <v>37649</v>
      </c>
      <c r="L2903" s="490" t="s">
        <v>37649</v>
      </c>
      <c r="M2903" s="490" t="s">
        <v>37649</v>
      </c>
      <c r="N2903" s="490" t="s">
        <v>37649</v>
      </c>
      <c r="O2903" s="490" t="s">
        <v>37649</v>
      </c>
      <c r="P2903" s="36" t="s">
        <v>29319</v>
      </c>
    </row>
    <row r="2904" spans="1:16">
      <c r="A2904" s="132">
        <v>2903</v>
      </c>
      <c r="B2904" s="36" t="s">
        <v>29322</v>
      </c>
      <c r="C2904" s="36" t="s">
        <v>29323</v>
      </c>
      <c r="D2904" s="36" t="s">
        <v>29324</v>
      </c>
      <c r="E2904" s="490" t="s">
        <v>37651</v>
      </c>
      <c r="F2904" s="490" t="s">
        <v>37652</v>
      </c>
      <c r="G2904" s="490" t="s">
        <v>37652</v>
      </c>
      <c r="H2904" s="490" t="s">
        <v>37652</v>
      </c>
      <c r="I2904" s="490" t="s">
        <v>37652</v>
      </c>
      <c r="J2904" s="490" t="s">
        <v>37653</v>
      </c>
      <c r="K2904" s="490" t="s">
        <v>37652</v>
      </c>
      <c r="L2904" s="490" t="s">
        <v>37652</v>
      </c>
      <c r="M2904" s="490" t="s">
        <v>37652</v>
      </c>
      <c r="N2904" s="490" t="s">
        <v>37652</v>
      </c>
      <c r="O2904" s="490" t="s">
        <v>37652</v>
      </c>
      <c r="P2904" s="36" t="s">
        <v>29322</v>
      </c>
    </row>
    <row r="2905" spans="1:16">
      <c r="A2905" s="132">
        <v>2904</v>
      </c>
      <c r="B2905" s="36" t="s">
        <v>29325</v>
      </c>
      <c r="C2905" s="36" t="s">
        <v>29326</v>
      </c>
      <c r="D2905" s="36" t="s">
        <v>29327</v>
      </c>
      <c r="E2905" s="490" t="s">
        <v>37654</v>
      </c>
      <c r="F2905" s="490" t="s">
        <v>37655</v>
      </c>
      <c r="G2905" s="490" t="s">
        <v>37655</v>
      </c>
      <c r="H2905" s="490" t="s">
        <v>37655</v>
      </c>
      <c r="I2905" s="490" t="s">
        <v>37655</v>
      </c>
      <c r="J2905" s="490" t="s">
        <v>37656</v>
      </c>
      <c r="K2905" s="490" t="s">
        <v>37655</v>
      </c>
      <c r="L2905" s="490" t="s">
        <v>37655</v>
      </c>
      <c r="M2905" s="490" t="s">
        <v>37655</v>
      </c>
      <c r="N2905" s="490" t="s">
        <v>37655</v>
      </c>
      <c r="O2905" s="490" t="s">
        <v>37655</v>
      </c>
      <c r="P2905" s="36" t="s">
        <v>29325</v>
      </c>
    </row>
    <row r="2906" spans="1:16">
      <c r="A2906" s="132">
        <v>2905</v>
      </c>
      <c r="B2906" s="36" t="s">
        <v>29328</v>
      </c>
      <c r="C2906" s="36" t="s">
        <v>29328</v>
      </c>
      <c r="D2906" s="36" t="s">
        <v>29328</v>
      </c>
      <c r="E2906" s="488" t="s">
        <v>29328</v>
      </c>
      <c r="F2906" s="488" t="s">
        <v>29328</v>
      </c>
      <c r="G2906" s="488" t="s">
        <v>29328</v>
      </c>
      <c r="H2906" s="488" t="s">
        <v>29328</v>
      </c>
      <c r="I2906" s="488" t="s">
        <v>29328</v>
      </c>
      <c r="J2906" s="488" t="s">
        <v>29328</v>
      </c>
      <c r="K2906" s="488" t="s">
        <v>29328</v>
      </c>
      <c r="L2906" s="488" t="s">
        <v>29328</v>
      </c>
      <c r="M2906" s="488" t="s">
        <v>29328</v>
      </c>
      <c r="N2906" s="488" t="s">
        <v>29328</v>
      </c>
      <c r="O2906" s="488" t="s">
        <v>29328</v>
      </c>
      <c r="P2906" s="36" t="s">
        <v>29328</v>
      </c>
    </row>
    <row r="2907" spans="1:16">
      <c r="A2907" s="132">
        <v>2906</v>
      </c>
      <c r="B2907" s="36" t="s">
        <v>29329</v>
      </c>
      <c r="C2907" s="36" t="s">
        <v>29330</v>
      </c>
      <c r="D2907" s="36" t="s">
        <v>29331</v>
      </c>
      <c r="E2907" s="490" t="s">
        <v>37657</v>
      </c>
      <c r="F2907" s="490" t="s">
        <v>37658</v>
      </c>
      <c r="G2907" s="490" t="s">
        <v>37659</v>
      </c>
      <c r="H2907" s="490" t="s">
        <v>37660</v>
      </c>
      <c r="I2907" s="490" t="s">
        <v>37661</v>
      </c>
      <c r="J2907" s="490" t="s">
        <v>37662</v>
      </c>
      <c r="K2907" s="490" t="s">
        <v>37663</v>
      </c>
      <c r="L2907" s="490" t="s">
        <v>37664</v>
      </c>
      <c r="M2907" s="490" t="s">
        <v>37665</v>
      </c>
      <c r="N2907" s="490" t="s">
        <v>37666</v>
      </c>
      <c r="O2907" s="490" t="s">
        <v>37667</v>
      </c>
      <c r="P2907" s="36" t="s">
        <v>29329</v>
      </c>
    </row>
    <row r="2908" spans="1:16">
      <c r="A2908" s="132">
        <v>2907</v>
      </c>
      <c r="B2908" s="36" t="s">
        <v>29332</v>
      </c>
      <c r="C2908" s="36" t="s">
        <v>29333</v>
      </c>
      <c r="D2908" s="36" t="s">
        <v>29334</v>
      </c>
      <c r="E2908" s="490" t="s">
        <v>37668</v>
      </c>
      <c r="F2908" s="490" t="s">
        <v>37669</v>
      </c>
      <c r="G2908" s="490" t="s">
        <v>37670</v>
      </c>
      <c r="H2908" s="490" t="s">
        <v>37671</v>
      </c>
      <c r="I2908" s="490" t="s">
        <v>37672</v>
      </c>
      <c r="J2908" s="490" t="s">
        <v>37673</v>
      </c>
      <c r="K2908" s="490" t="s">
        <v>37674</v>
      </c>
      <c r="L2908" s="490" t="s">
        <v>37675</v>
      </c>
      <c r="M2908" s="490" t="s">
        <v>37676</v>
      </c>
      <c r="N2908" s="490" t="s">
        <v>37677</v>
      </c>
      <c r="O2908" s="490" t="s">
        <v>37678</v>
      </c>
      <c r="P2908" s="36" t="s">
        <v>29332</v>
      </c>
    </row>
    <row r="2909" spans="1:16">
      <c r="A2909" s="132">
        <v>2908</v>
      </c>
      <c r="B2909" s="36" t="s">
        <v>29335</v>
      </c>
      <c r="C2909" s="36" t="s">
        <v>29336</v>
      </c>
      <c r="D2909" s="36" t="s">
        <v>29337</v>
      </c>
      <c r="E2909" s="490" t="s">
        <v>37679</v>
      </c>
      <c r="F2909" s="490" t="s">
        <v>37680</v>
      </c>
      <c r="G2909" s="490" t="s">
        <v>37681</v>
      </c>
      <c r="H2909" s="490" t="s">
        <v>37682</v>
      </c>
      <c r="I2909" s="490" t="s">
        <v>37680</v>
      </c>
      <c r="J2909" s="490" t="s">
        <v>37683</v>
      </c>
      <c r="K2909" s="490" t="s">
        <v>37684</v>
      </c>
      <c r="L2909" s="490" t="s">
        <v>37685</v>
      </c>
      <c r="M2909" s="490" t="s">
        <v>37686</v>
      </c>
      <c r="N2909" s="490" t="s">
        <v>37686</v>
      </c>
      <c r="O2909" s="490" t="s">
        <v>37687</v>
      </c>
      <c r="P2909" s="36" t="s">
        <v>29335</v>
      </c>
    </row>
    <row r="2910" spans="1:16">
      <c r="A2910" s="132">
        <v>2909</v>
      </c>
      <c r="B2910" s="36" t="s">
        <v>29338</v>
      </c>
      <c r="C2910" s="36" t="s">
        <v>29339</v>
      </c>
      <c r="D2910" s="490" t="s">
        <v>37688</v>
      </c>
      <c r="E2910" s="490" t="s">
        <v>37689</v>
      </c>
      <c r="F2910" s="490" t="s">
        <v>37690</v>
      </c>
      <c r="G2910" s="490" t="s">
        <v>37691</v>
      </c>
      <c r="H2910" s="490" t="s">
        <v>37692</v>
      </c>
      <c r="I2910" s="490" t="s">
        <v>37693</v>
      </c>
      <c r="J2910" s="490" t="s">
        <v>37694</v>
      </c>
      <c r="K2910" s="490" t="s">
        <v>37695</v>
      </c>
      <c r="L2910" s="490" t="s">
        <v>37696</v>
      </c>
      <c r="M2910" s="490" t="s">
        <v>21457</v>
      </c>
      <c r="N2910" s="490" t="s">
        <v>37697</v>
      </c>
      <c r="O2910" s="490" t="s">
        <v>37695</v>
      </c>
      <c r="P2910" s="36" t="s">
        <v>29338</v>
      </c>
    </row>
    <row r="2911" spans="1:16">
      <c r="A2911" s="132">
        <v>2910</v>
      </c>
      <c r="B2911" s="36" t="s">
        <v>29340</v>
      </c>
      <c r="C2911" s="36" t="s">
        <v>29341</v>
      </c>
      <c r="D2911" s="36" t="s">
        <v>29342</v>
      </c>
      <c r="E2911" s="490" t="s">
        <v>37698</v>
      </c>
      <c r="F2911" s="490" t="s">
        <v>10501</v>
      </c>
      <c r="G2911" s="490" t="s">
        <v>37699</v>
      </c>
      <c r="H2911" s="490" t="s">
        <v>37700</v>
      </c>
      <c r="I2911" s="490" t="s">
        <v>10503</v>
      </c>
      <c r="J2911" s="490" t="s">
        <v>37701</v>
      </c>
      <c r="K2911" s="490" t="s">
        <v>37702</v>
      </c>
      <c r="L2911" s="490" t="s">
        <v>37703</v>
      </c>
      <c r="M2911" s="490" t="s">
        <v>14835</v>
      </c>
      <c r="N2911" s="490" t="s">
        <v>37704</v>
      </c>
      <c r="O2911" s="490" t="s">
        <v>37705</v>
      </c>
      <c r="P2911" s="36" t="s">
        <v>29340</v>
      </c>
    </row>
    <row r="2912" spans="1:16">
      <c r="A2912" s="132">
        <v>2911</v>
      </c>
      <c r="B2912" s="36" t="s">
        <v>29343</v>
      </c>
      <c r="C2912" s="36" t="s">
        <v>29344</v>
      </c>
      <c r="D2912" s="36" t="s">
        <v>6286</v>
      </c>
      <c r="E2912" s="490" t="s">
        <v>37706</v>
      </c>
      <c r="F2912" s="490" t="s">
        <v>37707</v>
      </c>
      <c r="G2912" s="490" t="s">
        <v>37708</v>
      </c>
      <c r="H2912" s="490" t="s">
        <v>37709</v>
      </c>
      <c r="I2912" s="490" t="s">
        <v>37710</v>
      </c>
      <c r="J2912" s="490" t="s">
        <v>37711</v>
      </c>
      <c r="K2912" s="490" t="s">
        <v>37712</v>
      </c>
      <c r="L2912" s="490" t="s">
        <v>37713</v>
      </c>
      <c r="M2912" s="490" t="s">
        <v>37714</v>
      </c>
      <c r="N2912" s="490" t="s">
        <v>37715</v>
      </c>
      <c r="O2912" s="490" t="s">
        <v>37716</v>
      </c>
      <c r="P2912" s="36" t="s">
        <v>29343</v>
      </c>
    </row>
    <row r="2913" spans="1:16">
      <c r="A2913" s="132">
        <v>2912</v>
      </c>
      <c r="B2913" s="36" t="s">
        <v>29345</v>
      </c>
      <c r="C2913" s="36" t="s">
        <v>29346</v>
      </c>
      <c r="D2913" s="36" t="s">
        <v>29347</v>
      </c>
      <c r="E2913" s="490" t="s">
        <v>37717</v>
      </c>
      <c r="F2913" s="490" t="s">
        <v>37718</v>
      </c>
      <c r="G2913" s="490" t="s">
        <v>37719</v>
      </c>
      <c r="H2913" s="490" t="s">
        <v>37720</v>
      </c>
      <c r="I2913" s="490" t="s">
        <v>37718</v>
      </c>
      <c r="J2913" s="490" t="s">
        <v>37721</v>
      </c>
      <c r="K2913" s="490" t="s">
        <v>37722</v>
      </c>
      <c r="L2913" s="490" t="s">
        <v>37723</v>
      </c>
      <c r="M2913" s="490" t="s">
        <v>37724</v>
      </c>
      <c r="N2913" s="490" t="s">
        <v>37725</v>
      </c>
      <c r="O2913" s="490" t="s">
        <v>37726</v>
      </c>
      <c r="P2913" s="36" t="s">
        <v>29345</v>
      </c>
    </row>
    <row r="2914" spans="1:16">
      <c r="A2914" s="132">
        <v>2913</v>
      </c>
      <c r="B2914" s="36" t="s">
        <v>29348</v>
      </c>
      <c r="C2914" s="36" t="s">
        <v>29349</v>
      </c>
      <c r="D2914" s="490" t="s">
        <v>37727</v>
      </c>
      <c r="E2914" s="490" t="s">
        <v>37728</v>
      </c>
      <c r="F2914" s="490" t="s">
        <v>37729</v>
      </c>
      <c r="G2914" s="490" t="s">
        <v>37730</v>
      </c>
      <c r="H2914" s="490" t="s">
        <v>37731</v>
      </c>
      <c r="I2914" s="490" t="s">
        <v>37729</v>
      </c>
      <c r="J2914" s="490" t="s">
        <v>37732</v>
      </c>
      <c r="K2914" s="490" t="s">
        <v>37733</v>
      </c>
      <c r="L2914" s="490" t="s">
        <v>37734</v>
      </c>
      <c r="M2914" s="490" t="s">
        <v>37735</v>
      </c>
      <c r="N2914" s="490" t="s">
        <v>37736</v>
      </c>
      <c r="O2914" s="490" t="s">
        <v>37737</v>
      </c>
      <c r="P2914" s="36" t="s">
        <v>29348</v>
      </c>
    </row>
    <row r="2915" spans="1:16">
      <c r="A2915" s="132">
        <v>2914</v>
      </c>
      <c r="B2915" s="36" t="s">
        <v>29350</v>
      </c>
      <c r="C2915" s="36" t="s">
        <v>29351</v>
      </c>
      <c r="D2915" s="36" t="s">
        <v>29352</v>
      </c>
      <c r="E2915" s="490" t="s">
        <v>37738</v>
      </c>
      <c r="F2915" s="490" t="s">
        <v>37739</v>
      </c>
      <c r="G2915" s="490" t="s">
        <v>37740</v>
      </c>
      <c r="H2915" s="490" t="s">
        <v>37741</v>
      </c>
      <c r="I2915" s="490" t="s">
        <v>37742</v>
      </c>
      <c r="J2915" s="490" t="s">
        <v>37743</v>
      </c>
      <c r="K2915" s="490" t="s">
        <v>37744</v>
      </c>
      <c r="L2915" s="490" t="s">
        <v>37745</v>
      </c>
      <c r="M2915" s="490" t="s">
        <v>37746</v>
      </c>
      <c r="N2915" s="490" t="s">
        <v>37747</v>
      </c>
      <c r="O2915" s="490" t="s">
        <v>37748</v>
      </c>
      <c r="P2915" s="36" t="s">
        <v>29350</v>
      </c>
    </row>
    <row r="2916" spans="1:16">
      <c r="A2916" s="132">
        <v>2915</v>
      </c>
      <c r="B2916" s="36" t="s">
        <v>29353</v>
      </c>
      <c r="C2916" s="36" t="s">
        <v>29354</v>
      </c>
      <c r="D2916" s="36" t="s">
        <v>29355</v>
      </c>
      <c r="E2916" s="490" t="s">
        <v>37749</v>
      </c>
      <c r="F2916" s="490" t="s">
        <v>37750</v>
      </c>
      <c r="G2916" s="490" t="s">
        <v>37751</v>
      </c>
      <c r="H2916" s="490" t="s">
        <v>37752</v>
      </c>
      <c r="I2916" s="490" t="s">
        <v>37753</v>
      </c>
      <c r="J2916" s="490" t="s">
        <v>37754</v>
      </c>
      <c r="K2916" s="490" t="s">
        <v>37755</v>
      </c>
      <c r="L2916" s="490" t="s">
        <v>37756</v>
      </c>
      <c r="M2916" s="490" t="s">
        <v>37757</v>
      </c>
      <c r="N2916" s="490" t="s">
        <v>37758</v>
      </c>
      <c r="O2916" s="490" t="s">
        <v>37759</v>
      </c>
      <c r="P2916" s="36" t="s">
        <v>29353</v>
      </c>
    </row>
    <row r="2917" spans="1:16">
      <c r="A2917" s="132">
        <v>2916</v>
      </c>
      <c r="B2917" s="36" t="s">
        <v>29356</v>
      </c>
      <c r="C2917" s="36" t="s">
        <v>29357</v>
      </c>
      <c r="D2917" s="490" t="s">
        <v>37760</v>
      </c>
      <c r="E2917" s="490" t="s">
        <v>37761</v>
      </c>
      <c r="F2917" s="490" t="s">
        <v>37762</v>
      </c>
      <c r="G2917" s="490" t="s">
        <v>37763</v>
      </c>
      <c r="H2917" s="490" t="s">
        <v>37764</v>
      </c>
      <c r="I2917" s="490" t="s">
        <v>37765</v>
      </c>
      <c r="J2917" s="490" t="s">
        <v>37766</v>
      </c>
      <c r="K2917" s="490" t="s">
        <v>37767</v>
      </c>
      <c r="L2917" s="490" t="s">
        <v>37768</v>
      </c>
      <c r="M2917" s="490" t="s">
        <v>37769</v>
      </c>
      <c r="N2917" s="490" t="s">
        <v>37770</v>
      </c>
      <c r="O2917" s="490" t="s">
        <v>37771</v>
      </c>
      <c r="P2917" s="36" t="s">
        <v>29356</v>
      </c>
    </row>
    <row r="2918" spans="1:16">
      <c r="A2918" s="132">
        <v>2917</v>
      </c>
      <c r="B2918" s="36" t="s">
        <v>29358</v>
      </c>
      <c r="C2918" s="36" t="s">
        <v>29359</v>
      </c>
      <c r="D2918" s="490" t="s">
        <v>37772</v>
      </c>
      <c r="E2918" s="490" t="s">
        <v>37773</v>
      </c>
      <c r="F2918" s="490" t="s">
        <v>37774</v>
      </c>
      <c r="G2918" s="490" t="s">
        <v>37775</v>
      </c>
      <c r="H2918" s="490" t="s">
        <v>37776</v>
      </c>
      <c r="I2918" s="490" t="s">
        <v>37777</v>
      </c>
      <c r="J2918" s="490" t="s">
        <v>37778</v>
      </c>
      <c r="K2918" s="490" t="s">
        <v>37779</v>
      </c>
      <c r="L2918" s="490" t="s">
        <v>37780</v>
      </c>
      <c r="M2918" s="490" t="s">
        <v>37781</v>
      </c>
      <c r="N2918" s="490" t="s">
        <v>37782</v>
      </c>
      <c r="O2918" s="490" t="s">
        <v>37783</v>
      </c>
      <c r="P2918" s="36" t="s">
        <v>29358</v>
      </c>
    </row>
    <row r="2919" spans="1:16">
      <c r="A2919" s="132">
        <v>2918</v>
      </c>
      <c r="B2919" s="36" t="s">
        <v>29360</v>
      </c>
      <c r="C2919" s="36" t="s">
        <v>29361</v>
      </c>
      <c r="D2919" s="36" t="s">
        <v>29362</v>
      </c>
      <c r="E2919" s="490" t="s">
        <v>37784</v>
      </c>
      <c r="F2919" s="490" t="s">
        <v>37785</v>
      </c>
      <c r="G2919" s="490" t="s">
        <v>37786</v>
      </c>
      <c r="H2919" s="490" t="s">
        <v>37787</v>
      </c>
      <c r="I2919" s="490" t="s">
        <v>37788</v>
      </c>
      <c r="J2919" s="490" t="s">
        <v>37789</v>
      </c>
      <c r="K2919" s="490" t="s">
        <v>37790</v>
      </c>
      <c r="L2919" s="490" t="s">
        <v>4107</v>
      </c>
      <c r="M2919" s="490" t="s">
        <v>4108</v>
      </c>
      <c r="N2919" s="490" t="s">
        <v>4108</v>
      </c>
      <c r="O2919" s="490" t="s">
        <v>37791</v>
      </c>
      <c r="P2919" s="36" t="s">
        <v>29360</v>
      </c>
    </row>
    <row r="2920" spans="1:16">
      <c r="A2920" s="132">
        <v>2919</v>
      </c>
      <c r="B2920" s="36" t="s">
        <v>29363</v>
      </c>
      <c r="C2920" s="36" t="s">
        <v>29364</v>
      </c>
      <c r="D2920" s="36" t="s">
        <v>29365</v>
      </c>
      <c r="E2920" s="490" t="s">
        <v>37792</v>
      </c>
      <c r="F2920" s="490" t="s">
        <v>37793</v>
      </c>
      <c r="G2920" s="490" t="s">
        <v>37794</v>
      </c>
      <c r="H2920" s="490" t="s">
        <v>37795</v>
      </c>
      <c r="I2920" s="490" t="s">
        <v>37796</v>
      </c>
      <c r="J2920" s="490" t="s">
        <v>37797</v>
      </c>
      <c r="K2920" s="490" t="s">
        <v>37798</v>
      </c>
      <c r="L2920" s="490" t="s">
        <v>37799</v>
      </c>
      <c r="M2920" s="490" t="s">
        <v>37800</v>
      </c>
      <c r="N2920" s="490" t="s">
        <v>37801</v>
      </c>
      <c r="O2920" s="490" t="s">
        <v>37802</v>
      </c>
      <c r="P2920" s="36" t="s">
        <v>29363</v>
      </c>
    </row>
    <row r="2921" spans="1:16">
      <c r="A2921" s="132">
        <v>2920</v>
      </c>
      <c r="B2921" s="36" t="s">
        <v>29366</v>
      </c>
      <c r="C2921" s="36" t="s">
        <v>29367</v>
      </c>
      <c r="D2921" s="490" t="s">
        <v>37803</v>
      </c>
      <c r="E2921" s="490" t="s">
        <v>37804</v>
      </c>
      <c r="F2921" s="490" t="s">
        <v>34955</v>
      </c>
      <c r="G2921" s="490" t="s">
        <v>34956</v>
      </c>
      <c r="H2921" s="490" t="s">
        <v>34957</v>
      </c>
      <c r="I2921" s="490" t="s">
        <v>34958</v>
      </c>
      <c r="J2921" s="490" t="s">
        <v>37805</v>
      </c>
      <c r="K2921" s="490" t="s">
        <v>37806</v>
      </c>
      <c r="L2921" s="490" t="s">
        <v>37807</v>
      </c>
      <c r="M2921" s="490" t="s">
        <v>37808</v>
      </c>
      <c r="N2921" s="490" t="s">
        <v>37809</v>
      </c>
      <c r="O2921" s="490" t="s">
        <v>37810</v>
      </c>
      <c r="P2921" s="36" t="s">
        <v>29366</v>
      </c>
    </row>
    <row r="2922" spans="1:16">
      <c r="A2922" s="132">
        <v>2921</v>
      </c>
      <c r="B2922" s="36" t="s">
        <v>29368</v>
      </c>
      <c r="C2922" s="36" t="s">
        <v>14950</v>
      </c>
      <c r="D2922" s="36" t="s">
        <v>29369</v>
      </c>
      <c r="E2922" s="490" t="s">
        <v>37811</v>
      </c>
      <c r="F2922" s="490" t="s">
        <v>37812</v>
      </c>
      <c r="G2922" s="490" t="s">
        <v>37813</v>
      </c>
      <c r="H2922" s="490" t="s">
        <v>37814</v>
      </c>
      <c r="I2922" s="490" t="s">
        <v>37815</v>
      </c>
      <c r="J2922" s="490" t="s">
        <v>37816</v>
      </c>
      <c r="K2922" s="490" t="s">
        <v>37817</v>
      </c>
      <c r="L2922" s="490" t="s">
        <v>37818</v>
      </c>
      <c r="M2922" s="490" t="s">
        <v>37819</v>
      </c>
      <c r="N2922" s="490" t="s">
        <v>37820</v>
      </c>
      <c r="O2922" s="490" t="s">
        <v>37821</v>
      </c>
      <c r="P2922" s="36" t="s">
        <v>29368</v>
      </c>
    </row>
    <row r="2923" spans="1:16">
      <c r="A2923" s="132">
        <v>2922</v>
      </c>
      <c r="B2923" s="36" t="s">
        <v>29370</v>
      </c>
      <c r="C2923" s="36" t="s">
        <v>29371</v>
      </c>
      <c r="D2923" s="36" t="s">
        <v>29372</v>
      </c>
      <c r="E2923" s="490" t="s">
        <v>37822</v>
      </c>
      <c r="F2923" s="490" t="s">
        <v>37823</v>
      </c>
      <c r="G2923" s="490" t="s">
        <v>37824</v>
      </c>
      <c r="H2923" s="490" t="s">
        <v>37825</v>
      </c>
      <c r="I2923" s="490" t="s">
        <v>37826</v>
      </c>
      <c r="J2923" s="490" t="s">
        <v>37827</v>
      </c>
      <c r="K2923" s="490" t="s">
        <v>37828</v>
      </c>
      <c r="L2923" s="490" t="s">
        <v>37829</v>
      </c>
      <c r="M2923" s="490" t="s">
        <v>37830</v>
      </c>
      <c r="N2923" s="490" t="s">
        <v>37831</v>
      </c>
      <c r="O2923" s="490" t="s">
        <v>37832</v>
      </c>
      <c r="P2923" s="36" t="s">
        <v>29370</v>
      </c>
    </row>
    <row r="2924" spans="1:16">
      <c r="A2924" s="132">
        <v>2923</v>
      </c>
      <c r="B2924" s="36" t="s">
        <v>29373</v>
      </c>
      <c r="C2924" s="36" t="s">
        <v>29374</v>
      </c>
      <c r="D2924" s="36" t="s">
        <v>29375</v>
      </c>
      <c r="E2924" s="490" t="s">
        <v>37833</v>
      </c>
      <c r="F2924" s="490" t="s">
        <v>37834</v>
      </c>
      <c r="G2924" s="490" t="s">
        <v>37835</v>
      </c>
      <c r="H2924" s="490" t="s">
        <v>37836</v>
      </c>
      <c r="I2924" s="490" t="s">
        <v>37837</v>
      </c>
      <c r="J2924" s="490" t="s">
        <v>37838</v>
      </c>
      <c r="K2924" s="490" t="s">
        <v>37839</v>
      </c>
      <c r="L2924" s="490" t="s">
        <v>37840</v>
      </c>
      <c r="M2924" s="490" t="s">
        <v>37841</v>
      </c>
      <c r="N2924" s="490" t="s">
        <v>37842</v>
      </c>
      <c r="O2924" s="490" t="s">
        <v>37843</v>
      </c>
      <c r="P2924" s="36" t="s">
        <v>29373</v>
      </c>
    </row>
    <row r="2925" spans="1:16">
      <c r="A2925" s="132">
        <v>2924</v>
      </c>
      <c r="B2925" s="36" t="s">
        <v>29376</v>
      </c>
      <c r="C2925" s="36" t="s">
        <v>29377</v>
      </c>
      <c r="D2925" s="36" t="s">
        <v>29378</v>
      </c>
      <c r="E2925" s="490" t="s">
        <v>37844</v>
      </c>
      <c r="F2925" s="490" t="s">
        <v>37845</v>
      </c>
      <c r="G2925" s="490" t="s">
        <v>37846</v>
      </c>
      <c r="H2925" s="490" t="s">
        <v>37847</v>
      </c>
      <c r="I2925" s="490" t="s">
        <v>37848</v>
      </c>
      <c r="J2925" s="490" t="s">
        <v>37849</v>
      </c>
      <c r="K2925" s="490" t="s">
        <v>37850</v>
      </c>
      <c r="L2925" s="490" t="s">
        <v>37851</v>
      </c>
      <c r="M2925" s="490" t="s">
        <v>37852</v>
      </c>
      <c r="N2925" s="490" t="s">
        <v>37853</v>
      </c>
      <c r="O2925" s="490" t="s">
        <v>37854</v>
      </c>
      <c r="P2925" s="36" t="s">
        <v>29376</v>
      </c>
    </row>
    <row r="2926" spans="1:16">
      <c r="A2926" s="132">
        <v>2925</v>
      </c>
      <c r="B2926" s="36" t="s">
        <v>29379</v>
      </c>
      <c r="C2926" s="36" t="s">
        <v>29380</v>
      </c>
      <c r="D2926" s="36" t="s">
        <v>29381</v>
      </c>
      <c r="E2926" s="490" t="s">
        <v>37855</v>
      </c>
      <c r="F2926" s="490" t="s">
        <v>16798</v>
      </c>
      <c r="G2926" s="490" t="s">
        <v>37856</v>
      </c>
      <c r="H2926" s="490" t="s">
        <v>37857</v>
      </c>
      <c r="I2926" s="490" t="s">
        <v>37858</v>
      </c>
      <c r="J2926" s="490" t="s">
        <v>37859</v>
      </c>
      <c r="K2926" s="490" t="s">
        <v>37860</v>
      </c>
      <c r="L2926" s="490" t="s">
        <v>37861</v>
      </c>
      <c r="M2926" s="490" t="s">
        <v>37862</v>
      </c>
      <c r="N2926" s="490" t="s">
        <v>37863</v>
      </c>
      <c r="O2926" s="490" t="s">
        <v>37864</v>
      </c>
      <c r="P2926" s="36" t="s">
        <v>29379</v>
      </c>
    </row>
    <row r="2927" spans="1:16">
      <c r="A2927" s="132">
        <v>2926</v>
      </c>
      <c r="B2927" s="36" t="s">
        <v>29382</v>
      </c>
      <c r="C2927" s="36" t="s">
        <v>29383</v>
      </c>
      <c r="D2927" s="490" t="s">
        <v>37865</v>
      </c>
      <c r="E2927" s="490" t="s">
        <v>37866</v>
      </c>
      <c r="F2927" s="490" t="s">
        <v>37867</v>
      </c>
      <c r="G2927" s="490" t="s">
        <v>37868</v>
      </c>
      <c r="H2927" s="490" t="s">
        <v>37869</v>
      </c>
      <c r="I2927" s="490" t="s">
        <v>37870</v>
      </c>
      <c r="J2927" s="490" t="s">
        <v>37871</v>
      </c>
      <c r="K2927" s="490" t="s">
        <v>37872</v>
      </c>
      <c r="L2927" s="490" t="s">
        <v>37873</v>
      </c>
      <c r="M2927" s="490" t="s">
        <v>37874</v>
      </c>
      <c r="N2927" s="490" t="s">
        <v>37875</v>
      </c>
      <c r="O2927" s="490" t="s">
        <v>37876</v>
      </c>
      <c r="P2927" s="36" t="s">
        <v>29382</v>
      </c>
    </row>
    <row r="2928" spans="1:16">
      <c r="A2928" s="132">
        <v>2927</v>
      </c>
      <c r="B2928" s="36" t="s">
        <v>29384</v>
      </c>
      <c r="C2928" s="36" t="s">
        <v>29385</v>
      </c>
      <c r="D2928" s="36" t="s">
        <v>29386</v>
      </c>
      <c r="E2928" s="490" t="s">
        <v>37877</v>
      </c>
      <c r="F2928" s="490" t="s">
        <v>37878</v>
      </c>
      <c r="G2928" s="490" t="s">
        <v>37879</v>
      </c>
      <c r="H2928" s="490" t="s">
        <v>37880</v>
      </c>
      <c r="I2928" s="490" t="s">
        <v>37881</v>
      </c>
      <c r="J2928" s="490" t="s">
        <v>37882</v>
      </c>
      <c r="K2928" s="490" t="s">
        <v>37883</v>
      </c>
      <c r="L2928" s="490" t="s">
        <v>37884</v>
      </c>
      <c r="M2928" s="490" t="s">
        <v>37885</v>
      </c>
      <c r="N2928" s="490" t="s">
        <v>37886</v>
      </c>
      <c r="O2928" s="490" t="s">
        <v>37887</v>
      </c>
      <c r="P2928" s="36" t="s">
        <v>29384</v>
      </c>
    </row>
    <row r="2929" spans="1:16">
      <c r="A2929" s="132">
        <v>2928</v>
      </c>
      <c r="B2929" s="36" t="s">
        <v>29387</v>
      </c>
      <c r="C2929" s="36" t="s">
        <v>29388</v>
      </c>
      <c r="D2929" s="490" t="s">
        <v>37888</v>
      </c>
      <c r="E2929" s="490" t="s">
        <v>37889</v>
      </c>
      <c r="F2929" s="490" t="s">
        <v>37890</v>
      </c>
      <c r="G2929" s="490" t="s">
        <v>37891</v>
      </c>
      <c r="H2929" s="490" t="s">
        <v>37892</v>
      </c>
      <c r="I2929" s="490" t="s">
        <v>37893</v>
      </c>
      <c r="J2929" s="490" t="s">
        <v>37894</v>
      </c>
      <c r="K2929" s="490" t="s">
        <v>37895</v>
      </c>
      <c r="L2929" s="490" t="s">
        <v>37896</v>
      </c>
      <c r="M2929" s="490" t="s">
        <v>37897</v>
      </c>
      <c r="N2929" s="490" t="s">
        <v>37898</v>
      </c>
      <c r="O2929" s="490" t="s">
        <v>37899</v>
      </c>
      <c r="P2929" s="36" t="s">
        <v>29387</v>
      </c>
    </row>
    <row r="2930" spans="1:16">
      <c r="A2930" s="132">
        <v>2929</v>
      </c>
      <c r="B2930" s="36" t="s">
        <v>29389</v>
      </c>
      <c r="C2930" s="36" t="s">
        <v>29390</v>
      </c>
      <c r="D2930" s="490" t="s">
        <v>37900</v>
      </c>
      <c r="E2930" s="490" t="s">
        <v>37901</v>
      </c>
      <c r="F2930" s="490" t="s">
        <v>37902</v>
      </c>
      <c r="G2930" s="490" t="s">
        <v>37903</v>
      </c>
      <c r="H2930" s="490" t="s">
        <v>37904</v>
      </c>
      <c r="I2930" s="490" t="s">
        <v>37905</v>
      </c>
      <c r="J2930" s="490" t="s">
        <v>37906</v>
      </c>
      <c r="K2930" s="490" t="s">
        <v>37907</v>
      </c>
      <c r="L2930" s="490" t="s">
        <v>37908</v>
      </c>
      <c r="M2930" s="490" t="s">
        <v>37909</v>
      </c>
      <c r="N2930" s="490" t="s">
        <v>37910</v>
      </c>
      <c r="O2930" s="490" t="s">
        <v>37911</v>
      </c>
      <c r="P2930" s="36" t="s">
        <v>29389</v>
      </c>
    </row>
    <row r="2931" spans="1:16">
      <c r="A2931" s="132">
        <v>2930</v>
      </c>
      <c r="B2931" s="36" t="s">
        <v>29391</v>
      </c>
      <c r="C2931" s="36" t="s">
        <v>29392</v>
      </c>
      <c r="D2931" s="36" t="s">
        <v>29393</v>
      </c>
      <c r="E2931" s="490" t="s">
        <v>37912</v>
      </c>
      <c r="F2931" s="490" t="s">
        <v>37913</v>
      </c>
      <c r="G2931" s="490" t="s">
        <v>37914</v>
      </c>
      <c r="H2931" s="490" t="s">
        <v>37915</v>
      </c>
      <c r="I2931" s="490" t="s">
        <v>37916</v>
      </c>
      <c r="J2931" s="490" t="s">
        <v>37917</v>
      </c>
      <c r="K2931" s="490" t="s">
        <v>37918</v>
      </c>
      <c r="L2931" s="490" t="s">
        <v>37919</v>
      </c>
      <c r="M2931" s="490" t="s">
        <v>37920</v>
      </c>
      <c r="N2931" s="490" t="s">
        <v>37919</v>
      </c>
      <c r="O2931" s="490" t="s">
        <v>37921</v>
      </c>
      <c r="P2931" s="36" t="s">
        <v>29391</v>
      </c>
    </row>
    <row r="2932" spans="1:16">
      <c r="A2932" s="132">
        <v>2931</v>
      </c>
      <c r="B2932" s="36" t="s">
        <v>29394</v>
      </c>
      <c r="C2932" s="36" t="s">
        <v>29395</v>
      </c>
      <c r="D2932" s="36" t="s">
        <v>29396</v>
      </c>
      <c r="E2932" s="490" t="s">
        <v>37922</v>
      </c>
      <c r="F2932" s="490" t="s">
        <v>37923</v>
      </c>
      <c r="G2932" s="490" t="s">
        <v>37924</v>
      </c>
      <c r="H2932" s="490" t="s">
        <v>37925</v>
      </c>
      <c r="I2932" s="490" t="s">
        <v>37926</v>
      </c>
      <c r="J2932" s="490" t="s">
        <v>37927</v>
      </c>
      <c r="K2932" s="490" t="s">
        <v>37928</v>
      </c>
      <c r="L2932" s="490" t="s">
        <v>37929</v>
      </c>
      <c r="M2932" s="490" t="s">
        <v>37930</v>
      </c>
      <c r="N2932" s="490" t="s">
        <v>37931</v>
      </c>
      <c r="O2932" s="490" t="s">
        <v>37932</v>
      </c>
      <c r="P2932" s="36" t="s">
        <v>29394</v>
      </c>
    </row>
    <row r="2933" spans="1:16">
      <c r="A2933" s="132">
        <v>2932</v>
      </c>
      <c r="B2933" s="36" t="s">
        <v>29397</v>
      </c>
      <c r="C2933" s="36" t="s">
        <v>29398</v>
      </c>
      <c r="D2933" s="36" t="s">
        <v>29399</v>
      </c>
      <c r="E2933" s="490" t="s">
        <v>37933</v>
      </c>
      <c r="F2933" s="490" t="s">
        <v>37934</v>
      </c>
      <c r="G2933" s="490" t="s">
        <v>37935</v>
      </c>
      <c r="H2933" s="490" t="s">
        <v>37936</v>
      </c>
      <c r="I2933" s="490" t="s">
        <v>37937</v>
      </c>
      <c r="J2933" s="490" t="s">
        <v>37938</v>
      </c>
      <c r="K2933" s="490" t="s">
        <v>37937</v>
      </c>
      <c r="L2933" s="490" t="s">
        <v>37939</v>
      </c>
      <c r="M2933" s="490" t="s">
        <v>37940</v>
      </c>
      <c r="N2933" s="490" t="s">
        <v>37941</v>
      </c>
      <c r="O2933" s="490" t="s">
        <v>37942</v>
      </c>
      <c r="P2933" s="36" t="s">
        <v>29397</v>
      </c>
    </row>
    <row r="2934" spans="1:16">
      <c r="A2934" s="132">
        <v>2933</v>
      </c>
      <c r="B2934" s="36" t="s">
        <v>29400</v>
      </c>
      <c r="C2934" s="36" t="s">
        <v>29401</v>
      </c>
      <c r="D2934" s="36" t="s">
        <v>29402</v>
      </c>
      <c r="E2934" s="490" t="s">
        <v>37943</v>
      </c>
      <c r="F2934" s="490" t="s">
        <v>37944</v>
      </c>
      <c r="G2934" s="490" t="s">
        <v>37945</v>
      </c>
      <c r="H2934" s="490" t="s">
        <v>37946</v>
      </c>
      <c r="I2934" s="490" t="s">
        <v>37947</v>
      </c>
      <c r="J2934" s="490" t="s">
        <v>37948</v>
      </c>
      <c r="K2934" s="490" t="s">
        <v>37949</v>
      </c>
      <c r="L2934" s="490" t="s">
        <v>37950</v>
      </c>
      <c r="M2934" s="490" t="s">
        <v>37951</v>
      </c>
      <c r="N2934" s="490" t="s">
        <v>37951</v>
      </c>
      <c r="O2934" s="490" t="s">
        <v>37952</v>
      </c>
      <c r="P2934" s="36" t="s">
        <v>29400</v>
      </c>
    </row>
    <row r="2935" spans="1:16">
      <c r="A2935" s="132">
        <v>2934</v>
      </c>
      <c r="B2935" s="36" t="s">
        <v>29403</v>
      </c>
      <c r="C2935" s="36" t="s">
        <v>29404</v>
      </c>
      <c r="D2935" s="36" t="s">
        <v>29405</v>
      </c>
      <c r="E2935" s="490" t="s">
        <v>37953</v>
      </c>
      <c r="F2935" s="490" t="s">
        <v>37954</v>
      </c>
      <c r="G2935" s="490" t="s">
        <v>37955</v>
      </c>
      <c r="H2935" s="490" t="s">
        <v>37956</v>
      </c>
      <c r="I2935" s="490" t="s">
        <v>37954</v>
      </c>
      <c r="J2935" s="490" t="s">
        <v>37957</v>
      </c>
      <c r="K2935" s="490" t="s">
        <v>37958</v>
      </c>
      <c r="L2935" s="490" t="s">
        <v>37959</v>
      </c>
      <c r="M2935" s="490" t="s">
        <v>37959</v>
      </c>
      <c r="N2935" s="490" t="s">
        <v>37960</v>
      </c>
      <c r="O2935" s="490" t="s">
        <v>37961</v>
      </c>
      <c r="P2935" s="36" t="s">
        <v>29403</v>
      </c>
    </row>
    <row r="2936" spans="1:16">
      <c r="A2936" s="132">
        <v>2935</v>
      </c>
      <c r="B2936" s="36" t="s">
        <v>29406</v>
      </c>
      <c r="C2936" s="36" t="s">
        <v>29407</v>
      </c>
      <c r="D2936" s="36" t="s">
        <v>29408</v>
      </c>
      <c r="E2936" s="490" t="s">
        <v>37962</v>
      </c>
      <c r="F2936" s="490" t="s">
        <v>37963</v>
      </c>
      <c r="G2936" s="490" t="s">
        <v>37964</v>
      </c>
      <c r="H2936" s="490" t="s">
        <v>37965</v>
      </c>
      <c r="I2936" s="490" t="s">
        <v>37963</v>
      </c>
      <c r="J2936" s="490" t="s">
        <v>37966</v>
      </c>
      <c r="K2936" s="490" t="s">
        <v>37967</v>
      </c>
      <c r="L2936" s="490" t="s">
        <v>37968</v>
      </c>
      <c r="M2936" s="490" t="s">
        <v>37969</v>
      </c>
      <c r="N2936" s="490" t="s">
        <v>37970</v>
      </c>
      <c r="O2936" s="490" t="s">
        <v>37971</v>
      </c>
      <c r="P2936" s="36" t="s">
        <v>29406</v>
      </c>
    </row>
    <row r="2937" spans="1:16">
      <c r="A2937" s="132">
        <v>2936</v>
      </c>
      <c r="B2937" s="36" t="s">
        <v>29409</v>
      </c>
      <c r="C2937" s="36" t="s">
        <v>29410</v>
      </c>
      <c r="D2937" s="36" t="s">
        <v>29411</v>
      </c>
      <c r="E2937" s="490" t="s">
        <v>37972</v>
      </c>
      <c r="F2937" s="490" t="s">
        <v>37973</v>
      </c>
      <c r="G2937" s="490" t="s">
        <v>37974</v>
      </c>
      <c r="H2937" s="490" t="s">
        <v>37975</v>
      </c>
      <c r="I2937" s="490" t="s">
        <v>37976</v>
      </c>
      <c r="J2937" s="490" t="s">
        <v>37977</v>
      </c>
      <c r="K2937" s="490" t="s">
        <v>37978</v>
      </c>
      <c r="L2937" s="490" t="s">
        <v>37979</v>
      </c>
      <c r="M2937" s="490" t="s">
        <v>37980</v>
      </c>
      <c r="N2937" s="490" t="s">
        <v>37981</v>
      </c>
      <c r="O2937" s="490" t="s">
        <v>37982</v>
      </c>
      <c r="P2937" s="36" t="s">
        <v>29409</v>
      </c>
    </row>
    <row r="2938" spans="1:16">
      <c r="A2938" s="132">
        <v>2937</v>
      </c>
      <c r="B2938" s="36" t="s">
        <v>29412</v>
      </c>
      <c r="C2938" s="36" t="s">
        <v>29413</v>
      </c>
      <c r="D2938" s="36" t="s">
        <v>29414</v>
      </c>
      <c r="E2938" s="36" t="s">
        <v>29412</v>
      </c>
      <c r="F2938" s="36" t="s">
        <v>29412</v>
      </c>
      <c r="G2938" s="36" t="s">
        <v>29412</v>
      </c>
      <c r="H2938" s="36" t="s">
        <v>29412</v>
      </c>
      <c r="I2938" s="36" t="s">
        <v>29412</v>
      </c>
      <c r="J2938" s="36" t="s">
        <v>29412</v>
      </c>
      <c r="K2938" s="36" t="s">
        <v>29412</v>
      </c>
      <c r="L2938" s="36" t="s">
        <v>29412</v>
      </c>
      <c r="M2938" s="36" t="s">
        <v>29412</v>
      </c>
      <c r="N2938" s="36" t="s">
        <v>29412</v>
      </c>
      <c r="O2938" s="36" t="s">
        <v>29412</v>
      </c>
      <c r="P2938" s="36" t="s">
        <v>29412</v>
      </c>
    </row>
    <row r="2939" spans="1:16">
      <c r="A2939" s="132">
        <v>2938</v>
      </c>
      <c r="B2939" s="36" t="s">
        <v>29415</v>
      </c>
      <c r="C2939" s="36" t="s">
        <v>29416</v>
      </c>
      <c r="D2939" s="36" t="s">
        <v>29417</v>
      </c>
      <c r="E2939" s="36" t="s">
        <v>29418</v>
      </c>
      <c r="F2939" s="36" t="s">
        <v>29419</v>
      </c>
      <c r="G2939" s="36" t="s">
        <v>29420</v>
      </c>
      <c r="H2939" s="36" t="s">
        <v>29421</v>
      </c>
      <c r="I2939" s="36" t="s">
        <v>29422</v>
      </c>
      <c r="J2939" s="36" t="s">
        <v>29423</v>
      </c>
      <c r="K2939" s="36" t="s">
        <v>29424</v>
      </c>
      <c r="L2939" s="36" t="s">
        <v>29425</v>
      </c>
      <c r="M2939" s="36" t="s">
        <v>29426</v>
      </c>
      <c r="N2939" s="36" t="s">
        <v>29427</v>
      </c>
      <c r="O2939" s="36" t="s">
        <v>29428</v>
      </c>
      <c r="P2939" s="36" t="s">
        <v>29415</v>
      </c>
    </row>
    <row r="2940" spans="1:16">
      <c r="A2940" s="132">
        <v>2939</v>
      </c>
      <c r="B2940" s="36" t="s">
        <v>29429</v>
      </c>
      <c r="C2940" s="36" t="s">
        <v>29430</v>
      </c>
      <c r="D2940" s="36" t="s">
        <v>29431</v>
      </c>
      <c r="E2940" s="36" t="s">
        <v>29429</v>
      </c>
      <c r="F2940" s="36" t="s">
        <v>29429</v>
      </c>
      <c r="G2940" s="36" t="s">
        <v>29429</v>
      </c>
      <c r="H2940" s="36" t="s">
        <v>29429</v>
      </c>
      <c r="I2940" s="36" t="s">
        <v>29429</v>
      </c>
      <c r="J2940" s="36" t="s">
        <v>29429</v>
      </c>
      <c r="K2940" s="36" t="s">
        <v>29429</v>
      </c>
      <c r="L2940" s="36" t="s">
        <v>29429</v>
      </c>
      <c r="M2940" s="36" t="s">
        <v>29429</v>
      </c>
      <c r="N2940" s="36" t="s">
        <v>29429</v>
      </c>
      <c r="O2940" s="36" t="s">
        <v>29429</v>
      </c>
      <c r="P2940" s="36" t="s">
        <v>29429</v>
      </c>
    </row>
    <row r="2941" spans="1:16">
      <c r="A2941" s="132">
        <v>2940</v>
      </c>
      <c r="B2941" s="36" t="s">
        <v>29432</v>
      </c>
      <c r="C2941" s="36" t="s">
        <v>29433</v>
      </c>
      <c r="D2941" s="36" t="s">
        <v>29434</v>
      </c>
      <c r="E2941" s="36" t="s">
        <v>29435</v>
      </c>
      <c r="F2941" s="36" t="s">
        <v>29436</v>
      </c>
      <c r="G2941" s="36" t="s">
        <v>29437</v>
      </c>
      <c r="H2941" s="36" t="s">
        <v>29438</v>
      </c>
      <c r="I2941" s="36" t="s">
        <v>29439</v>
      </c>
      <c r="J2941" s="36" t="s">
        <v>29440</v>
      </c>
      <c r="K2941" s="36" t="s">
        <v>29441</v>
      </c>
      <c r="L2941" s="36" t="s">
        <v>29442</v>
      </c>
      <c r="M2941" s="36" t="s">
        <v>29443</v>
      </c>
      <c r="N2941" s="36" t="s">
        <v>29444</v>
      </c>
      <c r="O2941" s="36" t="s">
        <v>29445</v>
      </c>
      <c r="P2941" s="36" t="s">
        <v>29432</v>
      </c>
    </row>
    <row r="2942" spans="1:16" ht="14.4" customHeight="1">
      <c r="A2942" s="132">
        <v>2941</v>
      </c>
      <c r="B2942" s="36" t="s">
        <v>29446</v>
      </c>
      <c r="C2942" s="36" t="s">
        <v>29447</v>
      </c>
      <c r="D2942" s="36" t="s">
        <v>29448</v>
      </c>
      <c r="E2942" s="36" t="s">
        <v>29449</v>
      </c>
      <c r="F2942" s="36" t="s">
        <v>29450</v>
      </c>
      <c r="G2942" s="36" t="s">
        <v>29451</v>
      </c>
      <c r="H2942" s="36" t="s">
        <v>29452</v>
      </c>
      <c r="I2942" s="36" t="s">
        <v>29453</v>
      </c>
      <c r="J2942" s="36" t="s">
        <v>29454</v>
      </c>
      <c r="K2942" s="36" t="s">
        <v>29455</v>
      </c>
      <c r="L2942" s="36" t="s">
        <v>29456</v>
      </c>
      <c r="M2942" s="36" t="s">
        <v>29457</v>
      </c>
      <c r="N2942" s="36" t="s">
        <v>29458</v>
      </c>
      <c r="O2942" s="36" t="s">
        <v>29459</v>
      </c>
      <c r="P2942" s="36" t="s">
        <v>29446</v>
      </c>
    </row>
    <row r="2943" spans="1:16">
      <c r="A2943" s="132">
        <v>2942</v>
      </c>
      <c r="B2943" s="36" t="s">
        <v>29460</v>
      </c>
      <c r="C2943" s="36" t="s">
        <v>29461</v>
      </c>
      <c r="D2943" s="36" t="s">
        <v>29462</v>
      </c>
      <c r="E2943" s="36" t="s">
        <v>29463</v>
      </c>
      <c r="F2943" s="36" t="s">
        <v>29464</v>
      </c>
      <c r="G2943" s="36" t="s">
        <v>29465</v>
      </c>
      <c r="H2943" s="36" t="s">
        <v>29466</v>
      </c>
      <c r="I2943" s="36" t="s">
        <v>29467</v>
      </c>
      <c r="J2943" s="36" t="s">
        <v>29468</v>
      </c>
      <c r="K2943" s="36" t="s">
        <v>29469</v>
      </c>
      <c r="L2943" s="36" t="s">
        <v>29470</v>
      </c>
      <c r="M2943" s="36" t="s">
        <v>29471</v>
      </c>
      <c r="N2943" s="36" t="s">
        <v>29472</v>
      </c>
      <c r="O2943" s="36" t="s">
        <v>29473</v>
      </c>
      <c r="P2943" s="36" t="s">
        <v>29474</v>
      </c>
    </row>
    <row r="2944" spans="1:16">
      <c r="A2944" s="132">
        <v>2943</v>
      </c>
      <c r="B2944" s="36" t="s">
        <v>29475</v>
      </c>
      <c r="C2944" s="36" t="s">
        <v>29476</v>
      </c>
      <c r="D2944" s="36" t="s">
        <v>29477</v>
      </c>
      <c r="E2944" s="36" t="s">
        <v>29478</v>
      </c>
      <c r="F2944" s="36" t="s">
        <v>29479</v>
      </c>
      <c r="G2944" s="36" t="s">
        <v>29480</v>
      </c>
      <c r="H2944" s="36" t="s">
        <v>29481</v>
      </c>
      <c r="I2944" s="36" t="s">
        <v>29482</v>
      </c>
      <c r="J2944" s="36" t="s">
        <v>29483</v>
      </c>
      <c r="K2944" s="36" t="s">
        <v>29484</v>
      </c>
      <c r="L2944" s="36" t="s">
        <v>29485</v>
      </c>
      <c r="M2944" s="36" t="s">
        <v>29486</v>
      </c>
      <c r="N2944" s="36" t="s">
        <v>29487</v>
      </c>
      <c r="O2944" s="36" t="s">
        <v>29488</v>
      </c>
      <c r="P2944" s="36" t="s">
        <v>29475</v>
      </c>
    </row>
    <row r="2945" spans="1:16">
      <c r="A2945" s="132">
        <v>2944</v>
      </c>
      <c r="B2945" s="36" t="s">
        <v>29489</v>
      </c>
      <c r="C2945" s="36" t="s">
        <v>29490</v>
      </c>
      <c r="D2945" s="36" t="s">
        <v>29491</v>
      </c>
      <c r="E2945" s="36" t="s">
        <v>29492</v>
      </c>
      <c r="F2945" s="36" t="s">
        <v>29493</v>
      </c>
      <c r="G2945" s="36" t="s">
        <v>29494</v>
      </c>
      <c r="H2945" s="36" t="s">
        <v>29495</v>
      </c>
      <c r="I2945" s="36" t="s">
        <v>29496</v>
      </c>
      <c r="J2945" s="36" t="s">
        <v>29497</v>
      </c>
      <c r="K2945" s="36" t="s">
        <v>29498</v>
      </c>
      <c r="L2945" s="36" t="s">
        <v>29499</v>
      </c>
      <c r="M2945" s="36" t="s">
        <v>29500</v>
      </c>
      <c r="N2945" s="36" t="s">
        <v>29501</v>
      </c>
      <c r="O2945" s="36" t="s">
        <v>29502</v>
      </c>
      <c r="P2945" s="36" t="s">
        <v>29489</v>
      </c>
    </row>
    <row r="2946" spans="1:16">
      <c r="A2946" s="132">
        <v>2945</v>
      </c>
      <c r="B2946" s="36" t="s">
        <v>29503</v>
      </c>
      <c r="C2946" s="36" t="s">
        <v>29504</v>
      </c>
      <c r="D2946" s="36" t="s">
        <v>29505</v>
      </c>
      <c r="E2946" s="36" t="s">
        <v>29506</v>
      </c>
      <c r="F2946" s="36" t="s">
        <v>29507</v>
      </c>
      <c r="G2946" s="36" t="s">
        <v>29508</v>
      </c>
      <c r="H2946" s="36" t="s">
        <v>29509</v>
      </c>
      <c r="I2946" s="36" t="s">
        <v>29510</v>
      </c>
      <c r="J2946" s="36" t="s">
        <v>29511</v>
      </c>
      <c r="K2946" s="36" t="s">
        <v>29512</v>
      </c>
      <c r="L2946" s="36" t="s">
        <v>29513</v>
      </c>
      <c r="M2946" s="36" t="s">
        <v>29514</v>
      </c>
      <c r="N2946" s="36" t="s">
        <v>29515</v>
      </c>
      <c r="O2946" s="36" t="s">
        <v>29516</v>
      </c>
      <c r="P2946" s="36" t="s">
        <v>29503</v>
      </c>
    </row>
    <row r="2947" spans="1:16">
      <c r="A2947" s="132">
        <v>2946</v>
      </c>
      <c r="B2947" s="36" t="s">
        <v>39115</v>
      </c>
      <c r="C2947" s="36" t="s">
        <v>39116</v>
      </c>
      <c r="D2947" s="36" t="s">
        <v>39117</v>
      </c>
      <c r="E2947" s="36" t="s">
        <v>39118</v>
      </c>
      <c r="F2947" s="36" t="s">
        <v>39119</v>
      </c>
      <c r="G2947" s="36" t="s">
        <v>39120</v>
      </c>
      <c r="H2947" s="36" t="s">
        <v>39121</v>
      </c>
      <c r="I2947" s="36" t="s">
        <v>39122</v>
      </c>
      <c r="J2947" s="36" t="s">
        <v>39123</v>
      </c>
      <c r="K2947" s="36" t="s">
        <v>39124</v>
      </c>
      <c r="L2947" s="36" t="s">
        <v>39125</v>
      </c>
      <c r="M2947" s="36" t="s">
        <v>39126</v>
      </c>
      <c r="N2947" s="36" t="s">
        <v>39127</v>
      </c>
      <c r="O2947" s="36" t="s">
        <v>39128</v>
      </c>
      <c r="P2947" s="36" t="s">
        <v>39115</v>
      </c>
    </row>
    <row r="2948" spans="1:16">
      <c r="A2948" s="132">
        <v>2947</v>
      </c>
      <c r="B2948" s="36" t="s">
        <v>29517</v>
      </c>
      <c r="C2948" s="36" t="s">
        <v>29518</v>
      </c>
      <c r="D2948" s="36" t="s">
        <v>29519</v>
      </c>
      <c r="E2948" s="36" t="s">
        <v>29520</v>
      </c>
      <c r="F2948" s="36" t="s">
        <v>29521</v>
      </c>
      <c r="G2948" s="36" t="s">
        <v>29522</v>
      </c>
      <c r="H2948" s="36" t="s">
        <v>29523</v>
      </c>
      <c r="I2948" s="36" t="s">
        <v>29524</v>
      </c>
      <c r="J2948" s="36" t="s">
        <v>29525</v>
      </c>
      <c r="K2948" s="36" t="s">
        <v>29526</v>
      </c>
      <c r="L2948" s="36" t="s">
        <v>29527</v>
      </c>
      <c r="M2948" s="36" t="s">
        <v>29528</v>
      </c>
      <c r="N2948" s="36" t="s">
        <v>29529</v>
      </c>
      <c r="O2948" s="36" t="s">
        <v>29530</v>
      </c>
      <c r="P2948" s="36" t="s">
        <v>29517</v>
      </c>
    </row>
    <row r="2949" spans="1:16">
      <c r="A2949" s="132">
        <v>2948</v>
      </c>
      <c r="B2949" s="36" t="s">
        <v>37983</v>
      </c>
      <c r="C2949" s="496" t="s">
        <v>37984</v>
      </c>
      <c r="D2949" s="496" t="s">
        <v>37985</v>
      </c>
      <c r="E2949" s="496" t="s">
        <v>37986</v>
      </c>
      <c r="F2949" s="496" t="s">
        <v>37987</v>
      </c>
      <c r="G2949" s="496" t="s">
        <v>37988</v>
      </c>
      <c r="H2949" s="496" t="s">
        <v>37989</v>
      </c>
      <c r="I2949" s="496" t="s">
        <v>37990</v>
      </c>
      <c r="J2949" s="496" t="s">
        <v>37991</v>
      </c>
      <c r="K2949" s="496" t="s">
        <v>37992</v>
      </c>
      <c r="L2949" s="496" t="s">
        <v>37993</v>
      </c>
      <c r="M2949" s="496" t="s">
        <v>37994</v>
      </c>
      <c r="N2949" s="496" t="s">
        <v>37995</v>
      </c>
      <c r="O2949" s="496" t="s">
        <v>37996</v>
      </c>
      <c r="P2949" s="64" t="s">
        <v>37983</v>
      </c>
    </row>
    <row r="2950" spans="1:16">
      <c r="A2950" s="132">
        <v>2949</v>
      </c>
      <c r="B2950" s="36" t="s">
        <v>37997</v>
      </c>
      <c r="C2950" s="496" t="s">
        <v>37998</v>
      </c>
      <c r="D2950" s="496" t="s">
        <v>37999</v>
      </c>
      <c r="E2950" s="496" t="s">
        <v>38000</v>
      </c>
      <c r="F2950" s="496" t="s">
        <v>38001</v>
      </c>
      <c r="G2950" s="496" t="s">
        <v>38002</v>
      </c>
      <c r="H2950" s="496" t="s">
        <v>38003</v>
      </c>
      <c r="I2950" s="496" t="s">
        <v>38004</v>
      </c>
      <c r="J2950" s="496" t="s">
        <v>38005</v>
      </c>
      <c r="K2950" s="496" t="s">
        <v>38006</v>
      </c>
      <c r="L2950" s="496" t="s">
        <v>38007</v>
      </c>
      <c r="M2950" s="496" t="s">
        <v>38008</v>
      </c>
      <c r="N2950" s="496" t="s">
        <v>38009</v>
      </c>
      <c r="O2950" s="496" t="s">
        <v>38010</v>
      </c>
      <c r="P2950" s="64" t="s">
        <v>37997</v>
      </c>
    </row>
    <row r="2951" spans="1:16" ht="14.4">
      <c r="A2951" s="132">
        <v>2950</v>
      </c>
      <c r="B2951" s="36" t="s">
        <v>38011</v>
      </c>
      <c r="C2951" s="496" t="s">
        <v>38012</v>
      </c>
      <c r="D2951" s="496" t="s">
        <v>38013</v>
      </c>
      <c r="E2951" s="496" t="s">
        <v>38014</v>
      </c>
      <c r="F2951" s="496" t="s">
        <v>38015</v>
      </c>
      <c r="G2951" s="496" t="s">
        <v>38016</v>
      </c>
      <c r="H2951" s="496" t="s">
        <v>38017</v>
      </c>
      <c r="I2951" s="496" t="s">
        <v>38018</v>
      </c>
      <c r="J2951" s="496" t="s">
        <v>38019</v>
      </c>
      <c r="K2951" s="496" t="s">
        <v>38020</v>
      </c>
      <c r="L2951" s="496" t="s">
        <v>38021</v>
      </c>
      <c r="M2951" s="496" t="s">
        <v>38022</v>
      </c>
      <c r="N2951" s="496" t="s">
        <v>38023</v>
      </c>
      <c r="O2951" s="496" t="s">
        <v>38024</v>
      </c>
      <c r="P2951" t="s">
        <v>38011</v>
      </c>
    </row>
    <row r="2952" spans="1:16">
      <c r="A2952" s="132">
        <v>2951</v>
      </c>
      <c r="B2952" s="36" t="s">
        <v>38025</v>
      </c>
      <c r="C2952" s="36" t="s">
        <v>38026</v>
      </c>
      <c r="D2952" s="36" t="s">
        <v>38027</v>
      </c>
      <c r="E2952" s="36" t="s">
        <v>38025</v>
      </c>
      <c r="F2952" s="36" t="s">
        <v>38028</v>
      </c>
      <c r="G2952" s="36" t="s">
        <v>38029</v>
      </c>
      <c r="H2952" s="36" t="s">
        <v>38030</v>
      </c>
      <c r="I2952" s="36" t="s">
        <v>38031</v>
      </c>
      <c r="J2952" s="36" t="s">
        <v>38032</v>
      </c>
      <c r="K2952" s="36" t="s">
        <v>38033</v>
      </c>
      <c r="L2952" s="36" t="s">
        <v>38032</v>
      </c>
      <c r="M2952" s="36" t="s">
        <v>38032</v>
      </c>
      <c r="N2952" s="36" t="s">
        <v>38032</v>
      </c>
      <c r="O2952" s="36" t="s">
        <v>38034</v>
      </c>
      <c r="P2952" s="36" t="s">
        <v>38025</v>
      </c>
    </row>
    <row r="2953" spans="1:16">
      <c r="A2953" s="132">
        <v>2952</v>
      </c>
      <c r="B2953" s="36" t="s">
        <v>38035</v>
      </c>
      <c r="C2953" s="36" t="s">
        <v>38036</v>
      </c>
      <c r="D2953" s="36" t="s">
        <v>38035</v>
      </c>
      <c r="E2953" s="36" t="s">
        <v>38035</v>
      </c>
      <c r="F2953" s="36" t="s">
        <v>38037</v>
      </c>
      <c r="G2953" s="36" t="s">
        <v>38038</v>
      </c>
      <c r="H2953" s="36" t="s">
        <v>38030</v>
      </c>
      <c r="I2953" s="36" t="s">
        <v>38031</v>
      </c>
      <c r="J2953" s="36" t="s">
        <v>38039</v>
      </c>
      <c r="K2953" s="36" t="s">
        <v>38040</v>
      </c>
      <c r="L2953" s="36" t="s">
        <v>38039</v>
      </c>
      <c r="M2953" s="36" t="s">
        <v>38039</v>
      </c>
      <c r="N2953" s="36" t="s">
        <v>38039</v>
      </c>
      <c r="O2953" s="36" t="s">
        <v>38041</v>
      </c>
      <c r="P2953" s="36" t="s">
        <v>38035</v>
      </c>
    </row>
    <row r="2954" spans="1:16">
      <c r="A2954" s="132">
        <v>2953</v>
      </c>
      <c r="B2954" s="36" t="s">
        <v>38042</v>
      </c>
      <c r="C2954" s="36" t="s">
        <v>38043</v>
      </c>
      <c r="D2954" s="36" t="s">
        <v>38044</v>
      </c>
      <c r="E2954" s="36" t="s">
        <v>38045</v>
      </c>
      <c r="F2954" s="36" t="s">
        <v>38046</v>
      </c>
      <c r="G2954" s="36" t="s">
        <v>38047</v>
      </c>
      <c r="H2954" s="36" t="s">
        <v>38048</v>
      </c>
      <c r="I2954" s="36" t="s">
        <v>38049</v>
      </c>
      <c r="J2954" s="36" t="s">
        <v>38050</v>
      </c>
      <c r="K2954" s="36" t="s">
        <v>38051</v>
      </c>
      <c r="L2954" s="36" t="s">
        <v>38052</v>
      </c>
      <c r="M2954" s="36" t="s">
        <v>38053</v>
      </c>
      <c r="N2954" s="36" t="s">
        <v>38054</v>
      </c>
      <c r="O2954" s="36" t="s">
        <v>38055</v>
      </c>
      <c r="P2954" s="36" t="s">
        <v>38042</v>
      </c>
    </row>
    <row r="2955" spans="1:16">
      <c r="A2955" s="132">
        <v>2954</v>
      </c>
      <c r="B2955" s="36" t="s">
        <v>38056</v>
      </c>
      <c r="C2955" s="36" t="s">
        <v>38057</v>
      </c>
      <c r="D2955" s="36" t="s">
        <v>38058</v>
      </c>
      <c r="E2955" s="36" t="s">
        <v>38059</v>
      </c>
      <c r="F2955" s="36" t="s">
        <v>38060</v>
      </c>
      <c r="G2955" s="36" t="s">
        <v>38061</v>
      </c>
      <c r="H2955" s="36" t="s">
        <v>38062</v>
      </c>
      <c r="I2955" s="36" t="s">
        <v>38063</v>
      </c>
      <c r="J2955" s="36" t="s">
        <v>38064</v>
      </c>
      <c r="K2955" s="36" t="s">
        <v>38065</v>
      </c>
      <c r="L2955" s="36" t="s">
        <v>38066</v>
      </c>
      <c r="M2955" s="36" t="s">
        <v>38067</v>
      </c>
      <c r="N2955" s="36" t="s">
        <v>38068</v>
      </c>
      <c r="O2955" s="36" t="s">
        <v>38069</v>
      </c>
      <c r="P2955" s="36" t="s">
        <v>38056</v>
      </c>
    </row>
    <row r="2956" spans="1:16">
      <c r="A2956" s="132">
        <v>2955</v>
      </c>
      <c r="B2956" s="36" t="s">
        <v>38070</v>
      </c>
      <c r="C2956" s="36" t="s">
        <v>38071</v>
      </c>
      <c r="D2956" s="36" t="s">
        <v>38072</v>
      </c>
      <c r="E2956" s="36" t="s">
        <v>38073</v>
      </c>
      <c r="F2956" s="36" t="s">
        <v>38074</v>
      </c>
      <c r="G2956" s="36" t="s">
        <v>38075</v>
      </c>
      <c r="H2956" s="36" t="s">
        <v>38076</v>
      </c>
      <c r="I2956" s="36" t="s">
        <v>38077</v>
      </c>
      <c r="J2956" s="36" t="s">
        <v>38078</v>
      </c>
      <c r="K2956" s="36" t="s">
        <v>38079</v>
      </c>
      <c r="L2956" s="36" t="s">
        <v>38080</v>
      </c>
      <c r="M2956" s="36" t="s">
        <v>38081</v>
      </c>
      <c r="N2956" s="36" t="s">
        <v>38082</v>
      </c>
      <c r="O2956" s="36" t="s">
        <v>38083</v>
      </c>
      <c r="P2956" s="36" t="s">
        <v>38070</v>
      </c>
    </row>
    <row r="2957" spans="1:16">
      <c r="A2957" s="132">
        <v>2956</v>
      </c>
      <c r="B2957" s="36" t="s">
        <v>38084</v>
      </c>
      <c r="C2957" s="36" t="s">
        <v>38085</v>
      </c>
      <c r="D2957" s="36" t="s">
        <v>38086</v>
      </c>
      <c r="E2957" s="36" t="s">
        <v>38087</v>
      </c>
      <c r="F2957" s="36" t="s">
        <v>38088</v>
      </c>
      <c r="G2957" s="36" t="s">
        <v>38089</v>
      </c>
      <c r="H2957" s="36" t="s">
        <v>38090</v>
      </c>
      <c r="I2957" s="36" t="s">
        <v>38091</v>
      </c>
      <c r="J2957" s="36" t="s">
        <v>38092</v>
      </c>
      <c r="K2957" s="36" t="s">
        <v>38093</v>
      </c>
      <c r="L2957" s="36" t="s">
        <v>38094</v>
      </c>
      <c r="M2957" s="36" t="s">
        <v>38095</v>
      </c>
      <c r="N2957" s="36" t="s">
        <v>38096</v>
      </c>
      <c r="O2957" s="36" t="s">
        <v>38097</v>
      </c>
      <c r="P2957" s="36" t="s">
        <v>38084</v>
      </c>
    </row>
    <row r="2958" spans="1:16">
      <c r="A2958" s="132">
        <v>2957</v>
      </c>
      <c r="B2958" s="36" t="s">
        <v>38098</v>
      </c>
      <c r="C2958" s="36" t="s">
        <v>38098</v>
      </c>
      <c r="D2958" s="36" t="s">
        <v>38098</v>
      </c>
      <c r="E2958" s="36" t="s">
        <v>38098</v>
      </c>
      <c r="F2958" s="36" t="s">
        <v>38098</v>
      </c>
      <c r="G2958" s="36" t="s">
        <v>38098</v>
      </c>
      <c r="H2958" s="36" t="s">
        <v>38098</v>
      </c>
      <c r="I2958" s="36" t="s">
        <v>38098</v>
      </c>
      <c r="J2958" s="36" t="s">
        <v>38098</v>
      </c>
      <c r="K2958" s="36" t="s">
        <v>38098</v>
      </c>
      <c r="L2958" s="36" t="s">
        <v>38098</v>
      </c>
      <c r="M2958" s="36" t="s">
        <v>38098</v>
      </c>
      <c r="N2958" s="36" t="s">
        <v>38098</v>
      </c>
      <c r="O2958" s="36" t="s">
        <v>38098</v>
      </c>
      <c r="P2958" s="36" t="s">
        <v>38098</v>
      </c>
    </row>
    <row r="2959" spans="1:16">
      <c r="A2959" s="132">
        <v>2958</v>
      </c>
      <c r="B2959" s="36" t="s">
        <v>38099</v>
      </c>
      <c r="C2959" s="36" t="s">
        <v>38099</v>
      </c>
      <c r="D2959" s="36" t="s">
        <v>38099</v>
      </c>
      <c r="E2959" s="36" t="s">
        <v>38099</v>
      </c>
      <c r="F2959" s="36" t="s">
        <v>38099</v>
      </c>
      <c r="G2959" s="36" t="s">
        <v>38099</v>
      </c>
      <c r="H2959" s="36" t="s">
        <v>38099</v>
      </c>
      <c r="I2959" s="36" t="s">
        <v>38099</v>
      </c>
      <c r="J2959" s="36" t="s">
        <v>38099</v>
      </c>
      <c r="K2959" s="36" t="s">
        <v>38099</v>
      </c>
      <c r="L2959" s="36" t="s">
        <v>38099</v>
      </c>
      <c r="M2959" s="36" t="s">
        <v>38099</v>
      </c>
      <c r="N2959" s="36" t="s">
        <v>38099</v>
      </c>
      <c r="O2959" s="36" t="s">
        <v>38099</v>
      </c>
      <c r="P2959" s="36" t="s">
        <v>38099</v>
      </c>
    </row>
    <row r="2960" spans="1:16">
      <c r="A2960" s="132">
        <v>2959</v>
      </c>
      <c r="B2960" s="36" t="s">
        <v>38100</v>
      </c>
      <c r="C2960" s="36" t="s">
        <v>38100</v>
      </c>
      <c r="D2960" s="36" t="s">
        <v>38100</v>
      </c>
      <c r="E2960" s="36" t="s">
        <v>38100</v>
      </c>
      <c r="F2960" s="36" t="s">
        <v>38100</v>
      </c>
      <c r="G2960" s="36" t="s">
        <v>38100</v>
      </c>
      <c r="H2960" s="36" t="s">
        <v>38100</v>
      </c>
      <c r="I2960" s="36" t="s">
        <v>38100</v>
      </c>
      <c r="J2960" s="36" t="s">
        <v>38100</v>
      </c>
      <c r="K2960" s="36" t="s">
        <v>38100</v>
      </c>
      <c r="L2960" s="36" t="s">
        <v>38100</v>
      </c>
      <c r="M2960" s="36" t="s">
        <v>38100</v>
      </c>
      <c r="N2960" s="36" t="s">
        <v>38100</v>
      </c>
      <c r="O2960" s="36" t="s">
        <v>38100</v>
      </c>
      <c r="P2960" s="36" t="s">
        <v>38100</v>
      </c>
    </row>
    <row r="2961" spans="1:16">
      <c r="A2961" s="132">
        <v>2960</v>
      </c>
      <c r="B2961" s="36" t="s">
        <v>38101</v>
      </c>
      <c r="C2961" s="36" t="s">
        <v>38102</v>
      </c>
      <c r="D2961" s="36" t="s">
        <v>38103</v>
      </c>
      <c r="E2961" s="36" t="s">
        <v>38104</v>
      </c>
      <c r="F2961" s="36" t="s">
        <v>38105</v>
      </c>
      <c r="G2961" s="36" t="s">
        <v>38106</v>
      </c>
      <c r="H2961" s="36" t="s">
        <v>38107</v>
      </c>
      <c r="I2961" s="36" t="s">
        <v>38108</v>
      </c>
      <c r="J2961" s="36" t="s">
        <v>38109</v>
      </c>
      <c r="K2961" s="36" t="s">
        <v>38110</v>
      </c>
      <c r="L2961" s="36" t="s">
        <v>38111</v>
      </c>
      <c r="M2961" s="36" t="s">
        <v>38112</v>
      </c>
      <c r="N2961" s="36" t="s">
        <v>38113</v>
      </c>
      <c r="O2961" s="36" t="s">
        <v>38114</v>
      </c>
      <c r="P2961" s="36" t="s">
        <v>38101</v>
      </c>
    </row>
    <row r="2962" spans="1:16">
      <c r="A2962" s="132">
        <v>2961</v>
      </c>
      <c r="B2962" s="36" t="s">
        <v>38115</v>
      </c>
      <c r="C2962" s="36" t="s">
        <v>38116</v>
      </c>
      <c r="D2962" s="36" t="s">
        <v>38117</v>
      </c>
      <c r="E2962" s="36" t="s">
        <v>38118</v>
      </c>
      <c r="F2962" s="36" t="s">
        <v>38119</v>
      </c>
      <c r="G2962" s="36" t="s">
        <v>38120</v>
      </c>
      <c r="H2962" s="36" t="s">
        <v>38121</v>
      </c>
      <c r="I2962" s="36" t="s">
        <v>38122</v>
      </c>
      <c r="J2962" s="36" t="s">
        <v>38123</v>
      </c>
      <c r="K2962" s="36" t="s">
        <v>38124</v>
      </c>
      <c r="L2962" s="36" t="s">
        <v>38125</v>
      </c>
      <c r="M2962" s="36" t="s">
        <v>38126</v>
      </c>
      <c r="N2962" s="36" t="s">
        <v>38127</v>
      </c>
      <c r="O2962" s="36" t="s">
        <v>38128</v>
      </c>
      <c r="P2962" s="36" t="s">
        <v>38115</v>
      </c>
    </row>
    <row r="2963" spans="1:16">
      <c r="A2963" s="132">
        <v>2962</v>
      </c>
      <c r="B2963" s="36" t="s">
        <v>38129</v>
      </c>
      <c r="C2963" s="36" t="s">
        <v>38130</v>
      </c>
      <c r="D2963" s="36" t="s">
        <v>38131</v>
      </c>
      <c r="E2963" s="36" t="s">
        <v>38132</v>
      </c>
      <c r="F2963" s="36" t="s">
        <v>38133</v>
      </c>
      <c r="G2963" s="36" t="s">
        <v>38134</v>
      </c>
      <c r="H2963" s="36" t="s">
        <v>38135</v>
      </c>
      <c r="I2963" s="36" t="s">
        <v>38136</v>
      </c>
      <c r="J2963" s="36" t="s">
        <v>38137</v>
      </c>
      <c r="K2963" s="36" t="s">
        <v>38138</v>
      </c>
      <c r="L2963" s="36" t="s">
        <v>38139</v>
      </c>
      <c r="M2963" s="36" t="s">
        <v>38140</v>
      </c>
      <c r="N2963" s="36" t="s">
        <v>38141</v>
      </c>
      <c r="O2963" s="36" t="s">
        <v>38142</v>
      </c>
      <c r="P2963" s="36" t="s">
        <v>38129</v>
      </c>
    </row>
    <row r="2964" spans="1:16">
      <c r="A2964" s="132">
        <v>2963</v>
      </c>
      <c r="B2964" s="36" t="s">
        <v>26762</v>
      </c>
      <c r="C2964" s="36" t="s">
        <v>38143</v>
      </c>
      <c r="D2964" s="36" t="s">
        <v>38144</v>
      </c>
      <c r="E2964" s="36" t="s">
        <v>38145</v>
      </c>
      <c r="F2964" s="36" t="s">
        <v>38146</v>
      </c>
      <c r="G2964" s="36" t="s">
        <v>38147</v>
      </c>
      <c r="H2964" s="36" t="s">
        <v>38148</v>
      </c>
      <c r="I2964" s="36" t="s">
        <v>38149</v>
      </c>
      <c r="J2964" s="36" t="s">
        <v>38150</v>
      </c>
      <c r="K2964" s="36" t="s">
        <v>38151</v>
      </c>
      <c r="L2964" s="36" t="s">
        <v>38152</v>
      </c>
      <c r="M2964" s="36" t="s">
        <v>38153</v>
      </c>
      <c r="N2964" s="36" t="s">
        <v>38154</v>
      </c>
      <c r="O2964" s="36" t="s">
        <v>38155</v>
      </c>
      <c r="P2964" s="36" t="s">
        <v>26762</v>
      </c>
    </row>
    <row r="2965" spans="1:16">
      <c r="A2965" s="132">
        <v>2964</v>
      </c>
      <c r="B2965" s="36" t="s">
        <v>26765</v>
      </c>
      <c r="C2965" s="36" t="s">
        <v>38156</v>
      </c>
      <c r="D2965" s="36" t="s">
        <v>38157</v>
      </c>
      <c r="E2965" s="36" t="s">
        <v>38158</v>
      </c>
      <c r="F2965" s="36" t="s">
        <v>38159</v>
      </c>
      <c r="G2965" s="36" t="s">
        <v>38160</v>
      </c>
      <c r="H2965" s="36" t="s">
        <v>38161</v>
      </c>
      <c r="I2965" s="36" t="s">
        <v>38162</v>
      </c>
      <c r="J2965" s="36" t="s">
        <v>38163</v>
      </c>
      <c r="K2965" s="36" t="s">
        <v>38164</v>
      </c>
      <c r="L2965" s="36" t="s">
        <v>38165</v>
      </c>
      <c r="M2965" s="36" t="s">
        <v>38166</v>
      </c>
      <c r="N2965" s="36" t="s">
        <v>38167</v>
      </c>
      <c r="O2965" s="36" t="s">
        <v>38168</v>
      </c>
      <c r="P2965" s="36" t="s">
        <v>26765</v>
      </c>
    </row>
    <row r="2966" spans="1:16">
      <c r="A2966" s="132">
        <v>2965</v>
      </c>
      <c r="B2966" s="36" t="s">
        <v>38169</v>
      </c>
      <c r="C2966" s="36" t="s">
        <v>38170</v>
      </c>
      <c r="D2966" s="36" t="s">
        <v>38171</v>
      </c>
      <c r="E2966" s="36" t="s">
        <v>38172</v>
      </c>
      <c r="F2966" s="36" t="s">
        <v>38173</v>
      </c>
      <c r="G2966" s="36" t="s">
        <v>38174</v>
      </c>
      <c r="H2966" s="36" t="s">
        <v>38175</v>
      </c>
      <c r="I2966" s="36" t="s">
        <v>38176</v>
      </c>
      <c r="J2966" s="36" t="s">
        <v>38177</v>
      </c>
      <c r="K2966" s="36" t="s">
        <v>38178</v>
      </c>
      <c r="L2966" s="36" t="s">
        <v>38179</v>
      </c>
      <c r="M2966" s="36" t="s">
        <v>38180</v>
      </c>
      <c r="N2966" s="36" t="s">
        <v>38181</v>
      </c>
      <c r="O2966" s="36" t="s">
        <v>38182</v>
      </c>
      <c r="P2966" s="36" t="s">
        <v>38169</v>
      </c>
    </row>
    <row r="2967" spans="1:16">
      <c r="A2967" s="132">
        <v>2966</v>
      </c>
      <c r="B2967" s="36" t="s">
        <v>38183</v>
      </c>
      <c r="C2967" s="36" t="s">
        <v>38184</v>
      </c>
      <c r="D2967" s="36" t="s">
        <v>38185</v>
      </c>
      <c r="E2967" s="36" t="s">
        <v>38186</v>
      </c>
      <c r="F2967" s="36" t="s">
        <v>38187</v>
      </c>
      <c r="G2967" s="36" t="s">
        <v>38188</v>
      </c>
      <c r="H2967" s="36" t="s">
        <v>38189</v>
      </c>
      <c r="I2967" s="36" t="s">
        <v>38190</v>
      </c>
      <c r="J2967" s="36" t="s">
        <v>38191</v>
      </c>
      <c r="K2967" s="36" t="s">
        <v>38192</v>
      </c>
      <c r="L2967" s="36" t="s">
        <v>38193</v>
      </c>
      <c r="M2967" s="36" t="s">
        <v>38194</v>
      </c>
      <c r="N2967" s="36" t="s">
        <v>38194</v>
      </c>
      <c r="O2967" s="36" t="s">
        <v>38195</v>
      </c>
      <c r="P2967" s="36" t="s">
        <v>38183</v>
      </c>
    </row>
    <row r="2968" spans="1:16">
      <c r="A2968" s="132">
        <v>2967</v>
      </c>
      <c r="B2968" s="36" t="s">
        <v>38196</v>
      </c>
      <c r="C2968" s="36" t="s">
        <v>38197</v>
      </c>
      <c r="D2968" s="36" t="s">
        <v>38198</v>
      </c>
      <c r="E2968" s="36" t="s">
        <v>38199</v>
      </c>
      <c r="F2968" s="36" t="s">
        <v>38200</v>
      </c>
      <c r="G2968" s="36" t="s">
        <v>11789</v>
      </c>
      <c r="H2968" s="36" t="s">
        <v>38201</v>
      </c>
      <c r="I2968" s="36" t="s">
        <v>38202</v>
      </c>
      <c r="J2968" s="36" t="s">
        <v>38203</v>
      </c>
      <c r="K2968" s="36" t="s">
        <v>38204</v>
      </c>
      <c r="L2968" s="36" t="s">
        <v>38205</v>
      </c>
      <c r="M2968" s="36" t="s">
        <v>38206</v>
      </c>
      <c r="N2968" s="36" t="s">
        <v>11796</v>
      </c>
      <c r="O2968" s="36" t="s">
        <v>38207</v>
      </c>
      <c r="P2968" s="36" t="s">
        <v>38196</v>
      </c>
    </row>
    <row r="2969" spans="1:16">
      <c r="A2969" s="132">
        <v>2968</v>
      </c>
      <c r="B2969" s="36" t="s">
        <v>38208</v>
      </c>
      <c r="C2969" s="36" t="s">
        <v>38209</v>
      </c>
      <c r="D2969" s="36" t="s">
        <v>38210</v>
      </c>
      <c r="E2969" s="36" t="s">
        <v>38211</v>
      </c>
      <c r="F2969" s="36" t="s">
        <v>38212</v>
      </c>
      <c r="G2969" s="36" t="s">
        <v>11817</v>
      </c>
      <c r="H2969" s="36" t="s">
        <v>38213</v>
      </c>
      <c r="I2969" s="36" t="s">
        <v>38214</v>
      </c>
      <c r="J2969" s="36" t="s">
        <v>38215</v>
      </c>
      <c r="K2969" s="36" t="s">
        <v>38216</v>
      </c>
      <c r="L2969" s="36" t="s">
        <v>38217</v>
      </c>
      <c r="M2969" s="36" t="s">
        <v>38218</v>
      </c>
      <c r="N2969" s="36" t="s">
        <v>11824</v>
      </c>
      <c r="O2969" s="36" t="s">
        <v>38219</v>
      </c>
      <c r="P2969" s="36" t="s">
        <v>38208</v>
      </c>
    </row>
    <row r="2970" spans="1:16">
      <c r="A2970" s="132">
        <v>2969</v>
      </c>
      <c r="B2970" s="497" t="s">
        <v>38220</v>
      </c>
      <c r="C2970" s="497" t="s">
        <v>38221</v>
      </c>
      <c r="D2970" s="497" t="s">
        <v>38222</v>
      </c>
      <c r="E2970" s="497" t="s">
        <v>38223</v>
      </c>
      <c r="F2970" s="497" t="s">
        <v>38224</v>
      </c>
      <c r="G2970" s="497" t="s">
        <v>38225</v>
      </c>
      <c r="H2970" s="497" t="s">
        <v>38226</v>
      </c>
      <c r="I2970" s="497" t="s">
        <v>38227</v>
      </c>
      <c r="J2970" s="497" t="s">
        <v>38228</v>
      </c>
      <c r="K2970" s="497" t="s">
        <v>38229</v>
      </c>
      <c r="L2970" s="497" t="s">
        <v>38230</v>
      </c>
      <c r="M2970" s="497" t="s">
        <v>38231</v>
      </c>
      <c r="N2970" s="497" t="s">
        <v>38232</v>
      </c>
      <c r="O2970" s="497" t="s">
        <v>38233</v>
      </c>
      <c r="P2970" s="497" t="s">
        <v>38220</v>
      </c>
    </row>
    <row r="2971" spans="1:16">
      <c r="A2971" s="132">
        <v>2970</v>
      </c>
      <c r="B2971" s="36" t="s">
        <v>38234</v>
      </c>
      <c r="C2971" s="36" t="s">
        <v>38235</v>
      </c>
      <c r="D2971" s="36" t="s">
        <v>38236</v>
      </c>
      <c r="E2971" s="36" t="s">
        <v>38237</v>
      </c>
      <c r="F2971" s="36" t="s">
        <v>38238</v>
      </c>
      <c r="G2971" s="36" t="s">
        <v>38239</v>
      </c>
      <c r="H2971" s="36" t="s">
        <v>38240</v>
      </c>
      <c r="I2971" s="36" t="s">
        <v>38241</v>
      </c>
      <c r="J2971" s="36" t="s">
        <v>38242</v>
      </c>
      <c r="K2971" s="36" t="s">
        <v>38243</v>
      </c>
      <c r="L2971" s="36" t="s">
        <v>38244</v>
      </c>
      <c r="M2971" s="36" t="s">
        <v>38245</v>
      </c>
      <c r="N2971" s="36" t="s">
        <v>38246</v>
      </c>
      <c r="O2971" s="36" t="s">
        <v>38247</v>
      </c>
      <c r="P2971" s="36" t="s">
        <v>38234</v>
      </c>
    </row>
    <row r="2972" spans="1:16">
      <c r="A2972" s="132">
        <v>2971</v>
      </c>
      <c r="B2972" s="36" t="s">
        <v>38248</v>
      </c>
      <c r="C2972" s="36" t="s">
        <v>38249</v>
      </c>
      <c r="D2972" s="36" t="s">
        <v>38250</v>
      </c>
      <c r="E2972" s="36" t="s">
        <v>38251</v>
      </c>
      <c r="F2972" s="36" t="s">
        <v>38252</v>
      </c>
      <c r="G2972" s="36" t="s">
        <v>38253</v>
      </c>
      <c r="H2972" s="36" t="s">
        <v>38254</v>
      </c>
      <c r="I2972" s="36" t="s">
        <v>38255</v>
      </c>
      <c r="J2972" s="36" t="s">
        <v>38256</v>
      </c>
      <c r="K2972" s="36" t="s">
        <v>38257</v>
      </c>
      <c r="L2972" s="36" t="s">
        <v>38258</v>
      </c>
      <c r="M2972" s="36" t="s">
        <v>38259</v>
      </c>
      <c r="N2972" s="36" t="s">
        <v>38260</v>
      </c>
      <c r="O2972" s="36" t="s">
        <v>38261</v>
      </c>
      <c r="P2972" s="36" t="s">
        <v>38248</v>
      </c>
    </row>
    <row r="2973" spans="1:16">
      <c r="A2973" s="132">
        <v>2972</v>
      </c>
      <c r="B2973" s="36" t="s">
        <v>38262</v>
      </c>
      <c r="C2973" s="36" t="s">
        <v>38263</v>
      </c>
      <c r="D2973" s="36" t="s">
        <v>38264</v>
      </c>
      <c r="E2973" s="36" t="s">
        <v>38265</v>
      </c>
      <c r="F2973" s="36" t="s">
        <v>38266</v>
      </c>
      <c r="G2973" s="36" t="s">
        <v>38267</v>
      </c>
      <c r="H2973" s="36" t="s">
        <v>38268</v>
      </c>
      <c r="I2973" s="36" t="s">
        <v>38269</v>
      </c>
      <c r="J2973" s="36" t="s">
        <v>38270</v>
      </c>
      <c r="K2973" s="36" t="s">
        <v>38271</v>
      </c>
      <c r="L2973" s="36" t="s">
        <v>38272</v>
      </c>
      <c r="M2973" s="36" t="s">
        <v>38273</v>
      </c>
      <c r="N2973" s="36" t="s">
        <v>38274</v>
      </c>
      <c r="O2973" s="36" t="s">
        <v>38275</v>
      </c>
      <c r="P2973" s="36" t="s">
        <v>38262</v>
      </c>
    </row>
    <row r="2974" spans="1:16">
      <c r="A2974" s="132">
        <v>2973</v>
      </c>
      <c r="B2974" s="36" t="s">
        <v>38276</v>
      </c>
      <c r="C2974" s="36" t="s">
        <v>38277</v>
      </c>
      <c r="D2974" s="36" t="s">
        <v>38278</v>
      </c>
      <c r="E2974" s="36" t="s">
        <v>38279</v>
      </c>
      <c r="F2974" s="36" t="s">
        <v>38280</v>
      </c>
      <c r="G2974" s="36" t="s">
        <v>38281</v>
      </c>
      <c r="H2974" s="36" t="s">
        <v>38282</v>
      </c>
      <c r="I2974" s="36" t="s">
        <v>38283</v>
      </c>
      <c r="J2974" s="36" t="s">
        <v>38284</v>
      </c>
      <c r="K2974" s="36" t="s">
        <v>38285</v>
      </c>
      <c r="L2974" s="36" t="s">
        <v>38286</v>
      </c>
      <c r="M2974" s="36" t="s">
        <v>38287</v>
      </c>
      <c r="N2974" s="36" t="s">
        <v>38288</v>
      </c>
      <c r="O2974" s="36" t="s">
        <v>38289</v>
      </c>
      <c r="P2974" s="36" t="s">
        <v>38276</v>
      </c>
    </row>
    <row r="2975" spans="1:16">
      <c r="A2975" s="132">
        <v>2974</v>
      </c>
      <c r="B2975" s="36" t="s">
        <v>38290</v>
      </c>
      <c r="C2975" s="36" t="s">
        <v>38291</v>
      </c>
      <c r="D2975" s="36" t="s">
        <v>38292</v>
      </c>
      <c r="E2975" s="36" t="s">
        <v>38293</v>
      </c>
      <c r="F2975" s="36" t="s">
        <v>38294</v>
      </c>
      <c r="G2975" s="36" t="s">
        <v>38295</v>
      </c>
      <c r="H2975" s="36" t="s">
        <v>38296</v>
      </c>
      <c r="I2975" s="36" t="s">
        <v>38297</v>
      </c>
      <c r="J2975" s="36" t="s">
        <v>38298</v>
      </c>
      <c r="K2975" s="36" t="s">
        <v>38299</v>
      </c>
      <c r="L2975" s="36" t="s">
        <v>38300</v>
      </c>
      <c r="M2975" s="36" t="s">
        <v>38301</v>
      </c>
      <c r="N2975" s="36" t="s">
        <v>38302</v>
      </c>
      <c r="O2975" s="36" t="s">
        <v>38303</v>
      </c>
      <c r="P2975" s="36" t="s">
        <v>38290</v>
      </c>
    </row>
    <row r="2976" spans="1:16">
      <c r="A2976" s="132">
        <v>2975</v>
      </c>
      <c r="B2976" s="36" t="s">
        <v>38304</v>
      </c>
      <c r="C2976" s="36" t="s">
        <v>38305</v>
      </c>
      <c r="D2976" s="36" t="s">
        <v>38306</v>
      </c>
      <c r="E2976" s="36" t="s">
        <v>38307</v>
      </c>
      <c r="F2976" s="36" t="s">
        <v>38308</v>
      </c>
      <c r="G2976" s="36" t="s">
        <v>38309</v>
      </c>
      <c r="H2976" s="36" t="s">
        <v>38310</v>
      </c>
      <c r="I2976" s="36" t="s">
        <v>38311</v>
      </c>
      <c r="J2976" s="36" t="s">
        <v>38312</v>
      </c>
      <c r="K2976" s="36" t="s">
        <v>38313</v>
      </c>
      <c r="L2976" s="36" t="s">
        <v>38314</v>
      </c>
      <c r="M2976" s="36" t="s">
        <v>38315</v>
      </c>
      <c r="N2976" s="36" t="s">
        <v>38316</v>
      </c>
      <c r="O2976" s="36" t="s">
        <v>38317</v>
      </c>
      <c r="P2976" s="36" t="s">
        <v>38304</v>
      </c>
    </row>
    <row r="2977" spans="1:16">
      <c r="A2977" s="132">
        <v>2976</v>
      </c>
      <c r="B2977" s="36" t="s">
        <v>38318</v>
      </c>
      <c r="C2977" s="36" t="s">
        <v>38319</v>
      </c>
      <c r="D2977" s="36" t="s">
        <v>38320</v>
      </c>
      <c r="E2977" s="36" t="s">
        <v>38321</v>
      </c>
      <c r="F2977" s="36" t="s">
        <v>38322</v>
      </c>
      <c r="G2977" s="36" t="s">
        <v>21990</v>
      </c>
      <c r="H2977" s="36" t="s">
        <v>38323</v>
      </c>
      <c r="I2977" s="36" t="s">
        <v>38324</v>
      </c>
      <c r="J2977" s="36" t="s">
        <v>38325</v>
      </c>
      <c r="K2977" s="36" t="s">
        <v>38326</v>
      </c>
      <c r="L2977" s="36" t="s">
        <v>38327</v>
      </c>
      <c r="M2977" s="36" t="s">
        <v>38328</v>
      </c>
      <c r="N2977" s="36" t="s">
        <v>38329</v>
      </c>
      <c r="O2977" s="36" t="s">
        <v>38330</v>
      </c>
      <c r="P2977" s="36" t="s">
        <v>21985</v>
      </c>
    </row>
    <row r="2978" spans="1:16">
      <c r="A2978" s="132">
        <v>2977</v>
      </c>
      <c r="B2978" s="36" t="s">
        <v>38331</v>
      </c>
      <c r="C2978" s="36" t="s">
        <v>38332</v>
      </c>
      <c r="D2978" s="36" t="s">
        <v>38333</v>
      </c>
      <c r="E2978" s="36" t="s">
        <v>38334</v>
      </c>
      <c r="F2978" s="36" t="s">
        <v>38335</v>
      </c>
      <c r="G2978" s="36" t="s">
        <v>38336</v>
      </c>
      <c r="H2978" s="36" t="s">
        <v>38337</v>
      </c>
      <c r="I2978" s="36" t="s">
        <v>38338</v>
      </c>
      <c r="J2978" s="36" t="s">
        <v>38339</v>
      </c>
      <c r="K2978" s="36" t="s">
        <v>38340</v>
      </c>
      <c r="L2978" s="36" t="s">
        <v>38341</v>
      </c>
      <c r="M2978" s="36" t="s">
        <v>38342</v>
      </c>
      <c r="N2978" s="36" t="s">
        <v>38343</v>
      </c>
      <c r="O2978" s="36" t="s">
        <v>38344</v>
      </c>
      <c r="P2978" s="36" t="s">
        <v>38331</v>
      </c>
    </row>
    <row r="2979" spans="1:16">
      <c r="A2979" s="132">
        <v>2978</v>
      </c>
      <c r="B2979" s="36" t="s">
        <v>38345</v>
      </c>
      <c r="C2979" s="36" t="s">
        <v>38346</v>
      </c>
      <c r="D2979" s="36" t="s">
        <v>38347</v>
      </c>
      <c r="E2979" s="36" t="s">
        <v>38348</v>
      </c>
      <c r="F2979" s="36" t="s">
        <v>38349</v>
      </c>
      <c r="G2979" s="36" t="s">
        <v>38350</v>
      </c>
      <c r="H2979" s="36" t="s">
        <v>38351</v>
      </c>
      <c r="I2979" s="36" t="s">
        <v>38352</v>
      </c>
      <c r="J2979" s="36" t="s">
        <v>38353</v>
      </c>
      <c r="K2979" s="36" t="s">
        <v>38354</v>
      </c>
      <c r="L2979" s="36" t="s">
        <v>38355</v>
      </c>
      <c r="M2979" s="36" t="s">
        <v>38356</v>
      </c>
      <c r="N2979" s="36" t="s">
        <v>38357</v>
      </c>
      <c r="O2979" s="36" t="s">
        <v>38358</v>
      </c>
      <c r="P2979" s="36" t="s">
        <v>38345</v>
      </c>
    </row>
    <row r="2980" spans="1:16">
      <c r="A2980" s="132">
        <v>2979</v>
      </c>
      <c r="B2980" s="36" t="s">
        <v>38359</v>
      </c>
      <c r="C2980" s="36" t="s">
        <v>38360</v>
      </c>
      <c r="D2980" s="36" t="s">
        <v>38361</v>
      </c>
      <c r="E2980" s="36" t="s">
        <v>38362</v>
      </c>
      <c r="F2980" s="36" t="s">
        <v>38363</v>
      </c>
      <c r="G2980" s="36" t="s">
        <v>38364</v>
      </c>
      <c r="H2980" s="36" t="s">
        <v>38365</v>
      </c>
      <c r="I2980" s="36" t="s">
        <v>38366</v>
      </c>
      <c r="J2980" s="36" t="s">
        <v>38367</v>
      </c>
      <c r="K2980" s="36" t="s">
        <v>38368</v>
      </c>
      <c r="L2980" s="36" t="s">
        <v>38369</v>
      </c>
      <c r="M2980" s="36" t="s">
        <v>38370</v>
      </c>
      <c r="N2980" s="36" t="s">
        <v>38371</v>
      </c>
      <c r="O2980" s="36" t="s">
        <v>38372</v>
      </c>
      <c r="P2980" s="36" t="s">
        <v>38359</v>
      </c>
    </row>
    <row r="2981" spans="1:16">
      <c r="A2981" s="132">
        <v>2980</v>
      </c>
      <c r="B2981" s="36" t="s">
        <v>38373</v>
      </c>
      <c r="C2981" s="36" t="s">
        <v>38374</v>
      </c>
      <c r="D2981" s="36" t="s">
        <v>38375</v>
      </c>
      <c r="E2981" s="36" t="s">
        <v>38376</v>
      </c>
      <c r="F2981" s="36" t="s">
        <v>38377</v>
      </c>
      <c r="G2981" s="36" t="s">
        <v>38378</v>
      </c>
      <c r="H2981" s="36" t="s">
        <v>38379</v>
      </c>
      <c r="I2981" s="36" t="s">
        <v>38380</v>
      </c>
      <c r="J2981" s="36" t="s">
        <v>38381</v>
      </c>
      <c r="K2981" s="36" t="s">
        <v>38382</v>
      </c>
      <c r="L2981" s="36" t="s">
        <v>38383</v>
      </c>
      <c r="M2981" s="36" t="s">
        <v>38384</v>
      </c>
      <c r="N2981" s="36" t="s">
        <v>38385</v>
      </c>
      <c r="O2981" s="36" t="s">
        <v>38386</v>
      </c>
      <c r="P2981" s="36" t="s">
        <v>38373</v>
      </c>
    </row>
    <row r="2982" spans="1:16">
      <c r="A2982" s="132">
        <v>2981</v>
      </c>
      <c r="B2982" s="36" t="s">
        <v>38387</v>
      </c>
      <c r="C2982" s="36" t="s">
        <v>38388</v>
      </c>
      <c r="D2982" s="36" t="s">
        <v>38389</v>
      </c>
      <c r="E2982" s="36" t="s">
        <v>38390</v>
      </c>
      <c r="F2982" s="36" t="s">
        <v>38391</v>
      </c>
      <c r="G2982" s="36" t="s">
        <v>38392</v>
      </c>
      <c r="H2982" s="36" t="s">
        <v>38393</v>
      </c>
      <c r="I2982" s="36" t="s">
        <v>38394</v>
      </c>
      <c r="J2982" s="36" t="s">
        <v>38395</v>
      </c>
      <c r="K2982" s="36" t="s">
        <v>38396</v>
      </c>
      <c r="L2982" s="36" t="s">
        <v>38397</v>
      </c>
      <c r="M2982" s="36" t="s">
        <v>38398</v>
      </c>
      <c r="N2982" s="36" t="s">
        <v>38399</v>
      </c>
      <c r="O2982" s="36" t="s">
        <v>38400</v>
      </c>
      <c r="P2982" s="36" t="s">
        <v>38387</v>
      </c>
    </row>
    <row r="2983" spans="1:16">
      <c r="A2983" s="132">
        <v>2982</v>
      </c>
      <c r="B2983" s="36" t="s">
        <v>38401</v>
      </c>
      <c r="C2983" s="36" t="s">
        <v>38402</v>
      </c>
      <c r="D2983" s="36" t="s">
        <v>38403</v>
      </c>
      <c r="E2983" s="36" t="s">
        <v>38404</v>
      </c>
      <c r="F2983" s="36" t="s">
        <v>38405</v>
      </c>
      <c r="G2983" s="36" t="s">
        <v>38406</v>
      </c>
      <c r="H2983" s="36" t="s">
        <v>38407</v>
      </c>
      <c r="I2983" s="36" t="s">
        <v>38405</v>
      </c>
      <c r="J2983" s="36" t="s">
        <v>38408</v>
      </c>
      <c r="K2983" s="36" t="s">
        <v>38409</v>
      </c>
      <c r="L2983" s="36" t="s">
        <v>38403</v>
      </c>
      <c r="M2983" s="36" t="s">
        <v>38401</v>
      </c>
      <c r="N2983" s="36" t="s">
        <v>38401</v>
      </c>
      <c r="O2983" s="36" t="s">
        <v>38410</v>
      </c>
      <c r="P2983" s="36" t="s">
        <v>38401</v>
      </c>
    </row>
    <row r="2984" spans="1:16">
      <c r="A2984" s="132">
        <v>2983</v>
      </c>
      <c r="B2984" s="36" t="s">
        <v>38411</v>
      </c>
      <c r="C2984" s="36" t="s">
        <v>38412</v>
      </c>
      <c r="D2984" s="36" t="s">
        <v>38413</v>
      </c>
      <c r="E2984" s="36" t="s">
        <v>38414</v>
      </c>
      <c r="F2984" s="36" t="s">
        <v>38415</v>
      </c>
      <c r="G2984" s="36" t="s">
        <v>38416</v>
      </c>
      <c r="H2984" s="36" t="s">
        <v>38417</v>
      </c>
      <c r="I2984" s="36" t="s">
        <v>38418</v>
      </c>
      <c r="J2984" s="36" t="s">
        <v>38419</v>
      </c>
      <c r="K2984" s="36" t="s">
        <v>38420</v>
      </c>
      <c r="L2984" s="36" t="s">
        <v>38421</v>
      </c>
      <c r="M2984" s="36" t="s">
        <v>38422</v>
      </c>
      <c r="N2984" s="36" t="s">
        <v>38423</v>
      </c>
      <c r="O2984" s="36" t="s">
        <v>38424</v>
      </c>
      <c r="P2984" s="36" t="s">
        <v>38411</v>
      </c>
    </row>
    <row r="2985" spans="1:16">
      <c r="A2985" s="132">
        <v>2984</v>
      </c>
      <c r="B2985" s="36" t="s">
        <v>38425</v>
      </c>
      <c r="C2985" s="36" t="s">
        <v>38426</v>
      </c>
      <c r="D2985" s="36" t="s">
        <v>38427</v>
      </c>
      <c r="E2985" s="36" t="s">
        <v>38428</v>
      </c>
      <c r="F2985" s="36" t="s">
        <v>38429</v>
      </c>
      <c r="G2985" s="36" t="s">
        <v>38430</v>
      </c>
      <c r="H2985" s="36" t="s">
        <v>38431</v>
      </c>
      <c r="I2985" s="36" t="s">
        <v>38432</v>
      </c>
      <c r="J2985" s="36" t="s">
        <v>38433</v>
      </c>
      <c r="K2985" s="36" t="s">
        <v>38434</v>
      </c>
      <c r="L2985" s="36" t="s">
        <v>38435</v>
      </c>
      <c r="M2985" s="36" t="s">
        <v>38436</v>
      </c>
      <c r="N2985" s="36" t="s">
        <v>38437</v>
      </c>
      <c r="O2985" s="36" t="s">
        <v>38438</v>
      </c>
      <c r="P2985" s="36" t="s">
        <v>38425</v>
      </c>
    </row>
    <row r="2986" spans="1:16">
      <c r="A2986" s="132">
        <v>2985</v>
      </c>
      <c r="B2986" s="36" t="s">
        <v>38439</v>
      </c>
      <c r="C2986" s="36" t="s">
        <v>38440</v>
      </c>
      <c r="D2986" s="36" t="s">
        <v>38441</v>
      </c>
      <c r="E2986" s="36" t="s">
        <v>38442</v>
      </c>
      <c r="F2986" s="36" t="s">
        <v>38443</v>
      </c>
      <c r="G2986" s="36" t="s">
        <v>38444</v>
      </c>
      <c r="H2986" s="36" t="s">
        <v>38445</v>
      </c>
      <c r="I2986" s="36" t="s">
        <v>38446</v>
      </c>
      <c r="J2986" s="36" t="s">
        <v>38447</v>
      </c>
      <c r="K2986" s="36" t="s">
        <v>38448</v>
      </c>
      <c r="L2986" s="36" t="s">
        <v>38449</v>
      </c>
      <c r="M2986" s="36" t="s">
        <v>38450</v>
      </c>
      <c r="N2986" s="36" t="s">
        <v>38451</v>
      </c>
      <c r="O2986" s="36" t="s">
        <v>38452</v>
      </c>
      <c r="P2986" s="36" t="s">
        <v>38439</v>
      </c>
    </row>
    <row r="2987" spans="1:16">
      <c r="A2987" s="132">
        <v>2986</v>
      </c>
      <c r="B2987" s="36" t="s">
        <v>38453</v>
      </c>
      <c r="C2987" s="36" t="s">
        <v>38454</v>
      </c>
      <c r="D2987" s="36" t="s">
        <v>38455</v>
      </c>
      <c r="E2987" s="36" t="s">
        <v>38456</v>
      </c>
      <c r="F2987" s="36" t="s">
        <v>38457</v>
      </c>
      <c r="G2987" s="36" t="s">
        <v>38458</v>
      </c>
      <c r="H2987" s="36" t="s">
        <v>38459</v>
      </c>
      <c r="I2987" s="36" t="s">
        <v>38460</v>
      </c>
      <c r="J2987" s="36" t="s">
        <v>38461</v>
      </c>
      <c r="K2987" s="36" t="s">
        <v>38462</v>
      </c>
      <c r="L2987" s="36" t="s">
        <v>38463</v>
      </c>
      <c r="M2987" s="36" t="s">
        <v>38463</v>
      </c>
      <c r="N2987" s="36" t="s">
        <v>38464</v>
      </c>
      <c r="O2987" s="36" t="s">
        <v>38465</v>
      </c>
      <c r="P2987" s="36" t="s">
        <v>38453</v>
      </c>
    </row>
    <row r="2988" spans="1:16">
      <c r="A2988" s="132">
        <v>2987</v>
      </c>
      <c r="B2988" s="36" t="s">
        <v>38466</v>
      </c>
      <c r="C2988" s="36" t="s">
        <v>38467</v>
      </c>
      <c r="D2988" s="36" t="s">
        <v>38467</v>
      </c>
      <c r="E2988" s="36" t="s">
        <v>38468</v>
      </c>
      <c r="F2988" s="36" t="s">
        <v>38469</v>
      </c>
      <c r="G2988" s="36" t="s">
        <v>38470</v>
      </c>
      <c r="H2988" s="36" t="s">
        <v>38471</v>
      </c>
      <c r="I2988" s="36" t="s">
        <v>38472</v>
      </c>
      <c r="J2988" s="36" t="s">
        <v>38473</v>
      </c>
      <c r="K2988" s="36" t="s">
        <v>38474</v>
      </c>
      <c r="L2988" s="36" t="s">
        <v>38475</v>
      </c>
      <c r="M2988" s="36" t="s">
        <v>38476</v>
      </c>
      <c r="N2988" s="36" t="s">
        <v>38476</v>
      </c>
      <c r="O2988" s="36" t="s">
        <v>38477</v>
      </c>
      <c r="P2988" s="36" t="s">
        <v>38466</v>
      </c>
    </row>
    <row r="2989" spans="1:16">
      <c r="A2989" s="132">
        <v>2988</v>
      </c>
      <c r="B2989" s="36" t="s">
        <v>38478</v>
      </c>
      <c r="C2989" s="36" t="s">
        <v>38479</v>
      </c>
      <c r="D2989" s="36" t="s">
        <v>38479</v>
      </c>
      <c r="E2989" s="36" t="s">
        <v>38480</v>
      </c>
      <c r="F2989" s="36" t="s">
        <v>38481</v>
      </c>
      <c r="G2989" s="36" t="s">
        <v>38482</v>
      </c>
      <c r="H2989" s="36" t="s">
        <v>38483</v>
      </c>
      <c r="I2989" s="36" t="s">
        <v>38484</v>
      </c>
      <c r="J2989" s="36" t="s">
        <v>38485</v>
      </c>
      <c r="K2989" s="36" t="s">
        <v>38486</v>
      </c>
      <c r="L2989" s="36" t="s">
        <v>38487</v>
      </c>
      <c r="M2989" s="36" t="s">
        <v>38488</v>
      </c>
      <c r="N2989" s="36" t="s">
        <v>38489</v>
      </c>
      <c r="O2989" s="36" t="s">
        <v>38490</v>
      </c>
      <c r="P2989" s="36" t="s">
        <v>38478</v>
      </c>
    </row>
    <row r="2990" spans="1:16">
      <c r="A2990" s="132">
        <v>2989</v>
      </c>
      <c r="B2990" s="36" t="s">
        <v>38491</v>
      </c>
      <c r="C2990" s="36" t="s">
        <v>38492</v>
      </c>
      <c r="D2990" s="36" t="s">
        <v>38493</v>
      </c>
      <c r="E2990" s="36" t="s">
        <v>38494</v>
      </c>
      <c r="F2990" s="36" t="s">
        <v>38495</v>
      </c>
      <c r="G2990" s="36" t="s">
        <v>38496</v>
      </c>
      <c r="H2990" s="36" t="s">
        <v>38497</v>
      </c>
      <c r="I2990" s="36" t="s">
        <v>38498</v>
      </c>
      <c r="J2990" s="36" t="s">
        <v>38499</v>
      </c>
      <c r="K2990" s="36" t="s">
        <v>38500</v>
      </c>
      <c r="L2990" s="36" t="s">
        <v>38501</v>
      </c>
      <c r="M2990" s="36" t="s">
        <v>38502</v>
      </c>
      <c r="N2990" s="36" t="s">
        <v>38502</v>
      </c>
      <c r="O2990" s="36" t="s">
        <v>38503</v>
      </c>
      <c r="P2990" s="36" t="s">
        <v>38491</v>
      </c>
    </row>
    <row r="2991" spans="1:16">
      <c r="A2991" s="132">
        <v>2990</v>
      </c>
      <c r="B2991" s="36" t="s">
        <v>38504</v>
      </c>
      <c r="C2991" s="36" t="s">
        <v>38505</v>
      </c>
      <c r="D2991" s="36" t="s">
        <v>38506</v>
      </c>
      <c r="E2991" s="36" t="s">
        <v>38507</v>
      </c>
      <c r="F2991" s="36" t="s">
        <v>38508</v>
      </c>
      <c r="G2991" s="36" t="s">
        <v>38509</v>
      </c>
      <c r="H2991" s="36" t="s">
        <v>38510</v>
      </c>
      <c r="I2991" s="36" t="s">
        <v>38511</v>
      </c>
      <c r="J2991" s="36" t="s">
        <v>38512</v>
      </c>
      <c r="K2991" s="36" t="s">
        <v>38513</v>
      </c>
      <c r="L2991" s="36" t="s">
        <v>38514</v>
      </c>
      <c r="M2991" s="36" t="s">
        <v>38515</v>
      </c>
      <c r="N2991" s="36" t="s">
        <v>38516</v>
      </c>
      <c r="O2991" s="36" t="s">
        <v>38517</v>
      </c>
      <c r="P2991" s="36" t="s">
        <v>38504</v>
      </c>
    </row>
    <row r="2992" spans="1:16">
      <c r="A2992" s="132">
        <v>2991</v>
      </c>
      <c r="B2992" s="36" t="s">
        <v>38518</v>
      </c>
      <c r="C2992" s="36" t="s">
        <v>38519</v>
      </c>
      <c r="D2992" s="36" t="s">
        <v>38520</v>
      </c>
      <c r="E2992" s="36" t="s">
        <v>38521</v>
      </c>
      <c r="F2992" s="36" t="s">
        <v>38522</v>
      </c>
      <c r="G2992" s="36" t="s">
        <v>38523</v>
      </c>
      <c r="H2992" s="36" t="s">
        <v>38524</v>
      </c>
      <c r="I2992" s="36" t="s">
        <v>38525</v>
      </c>
      <c r="J2992" s="36" t="s">
        <v>38526</v>
      </c>
      <c r="K2992" s="36" t="s">
        <v>38527</v>
      </c>
      <c r="L2992" s="36" t="s">
        <v>38528</v>
      </c>
      <c r="M2992" s="36" t="s">
        <v>38529</v>
      </c>
      <c r="N2992" s="36" t="s">
        <v>38529</v>
      </c>
      <c r="O2992" s="36" t="s">
        <v>38527</v>
      </c>
      <c r="P2992" s="36" t="s">
        <v>38518</v>
      </c>
    </row>
    <row r="2993" spans="1:16">
      <c r="A2993" s="132">
        <v>2992</v>
      </c>
      <c r="B2993" s="36" t="s">
        <v>38530</v>
      </c>
      <c r="C2993" s="36" t="s">
        <v>38531</v>
      </c>
      <c r="D2993" s="36" t="s">
        <v>38532</v>
      </c>
      <c r="E2993" s="36" t="s">
        <v>38533</v>
      </c>
      <c r="F2993" s="36" t="s">
        <v>38534</v>
      </c>
      <c r="G2993" s="36" t="s">
        <v>38535</v>
      </c>
      <c r="H2993" s="36" t="s">
        <v>38536</v>
      </c>
      <c r="I2993" s="36" t="s">
        <v>38537</v>
      </c>
      <c r="J2993" s="36" t="s">
        <v>38538</v>
      </c>
      <c r="K2993" s="36" t="s">
        <v>38539</v>
      </c>
      <c r="L2993" s="36" t="s">
        <v>38540</v>
      </c>
      <c r="M2993" s="36" t="s">
        <v>38541</v>
      </c>
      <c r="N2993" s="36" t="s">
        <v>38542</v>
      </c>
      <c r="O2993" s="36" t="s">
        <v>38543</v>
      </c>
      <c r="P2993" s="36" t="s">
        <v>38530</v>
      </c>
    </row>
    <row r="2994" spans="1:16">
      <c r="A2994" s="132">
        <v>2993</v>
      </c>
      <c r="B2994" s="36" t="s">
        <v>38544</v>
      </c>
      <c r="C2994" s="36" t="s">
        <v>38545</v>
      </c>
      <c r="D2994" s="36" t="s">
        <v>38545</v>
      </c>
      <c r="E2994" s="36" t="s">
        <v>38546</v>
      </c>
      <c r="F2994" s="36" t="s">
        <v>38547</v>
      </c>
      <c r="G2994" s="36" t="s">
        <v>38548</v>
      </c>
      <c r="H2994" s="36" t="s">
        <v>38549</v>
      </c>
      <c r="I2994" s="36" t="s">
        <v>38550</v>
      </c>
      <c r="J2994" s="36" t="s">
        <v>38551</v>
      </c>
      <c r="K2994" s="36" t="s">
        <v>38552</v>
      </c>
      <c r="L2994" s="36" t="s">
        <v>38553</v>
      </c>
      <c r="M2994" s="36" t="s">
        <v>38553</v>
      </c>
      <c r="N2994" s="36" t="s">
        <v>38553</v>
      </c>
      <c r="O2994" s="36" t="s">
        <v>38554</v>
      </c>
      <c r="P2994" s="36" t="s">
        <v>38544</v>
      </c>
    </row>
    <row r="2995" spans="1:16">
      <c r="A2995" s="132">
        <v>2994</v>
      </c>
      <c r="B2995" s="36" t="s">
        <v>38555</v>
      </c>
      <c r="C2995" s="36" t="s">
        <v>38556</v>
      </c>
      <c r="D2995" s="36" t="s">
        <v>38557</v>
      </c>
      <c r="E2995" s="36" t="s">
        <v>38558</v>
      </c>
      <c r="F2995" s="36" t="s">
        <v>38559</v>
      </c>
      <c r="G2995" s="36" t="s">
        <v>38560</v>
      </c>
      <c r="H2995" s="36" t="s">
        <v>38561</v>
      </c>
      <c r="I2995" s="36" t="s">
        <v>38562</v>
      </c>
      <c r="J2995" s="36" t="s">
        <v>38563</v>
      </c>
      <c r="K2995" s="36" t="s">
        <v>38564</v>
      </c>
      <c r="L2995" s="36" t="s">
        <v>38565</v>
      </c>
      <c r="M2995" s="36" t="s">
        <v>38565</v>
      </c>
      <c r="N2995" s="36" t="s">
        <v>38566</v>
      </c>
      <c r="O2995" s="36" t="s">
        <v>38564</v>
      </c>
      <c r="P2995" s="36" t="s">
        <v>38555</v>
      </c>
    </row>
    <row r="2996" spans="1:16">
      <c r="A2996" s="132">
        <v>2995</v>
      </c>
      <c r="B2996" s="36" t="s">
        <v>38567</v>
      </c>
      <c r="C2996" s="36" t="s">
        <v>38568</v>
      </c>
      <c r="D2996" s="36" t="s">
        <v>38569</v>
      </c>
      <c r="E2996" s="36" t="s">
        <v>38570</v>
      </c>
      <c r="F2996" s="36" t="s">
        <v>38571</v>
      </c>
      <c r="G2996" s="36" t="s">
        <v>38572</v>
      </c>
      <c r="H2996" s="36" t="s">
        <v>38573</v>
      </c>
      <c r="I2996" s="36" t="s">
        <v>38574</v>
      </c>
      <c r="J2996" s="36" t="s">
        <v>38575</v>
      </c>
      <c r="K2996" s="36" t="s">
        <v>38576</v>
      </c>
      <c r="L2996" s="36" t="s">
        <v>38577</v>
      </c>
      <c r="M2996" s="36" t="s">
        <v>38578</v>
      </c>
      <c r="N2996" s="36" t="s">
        <v>38579</v>
      </c>
      <c r="O2996" s="36" t="s">
        <v>38580</v>
      </c>
      <c r="P2996" s="36" t="s">
        <v>38567</v>
      </c>
    </row>
    <row r="2997" spans="1:16">
      <c r="A2997" s="132">
        <v>2996</v>
      </c>
      <c r="B2997" s="36" t="s">
        <v>38581</v>
      </c>
      <c r="C2997" s="36" t="s">
        <v>38582</v>
      </c>
      <c r="D2997" s="36" t="s">
        <v>38583</v>
      </c>
      <c r="E2997" s="36" t="s">
        <v>38582</v>
      </c>
      <c r="F2997" s="36" t="s">
        <v>38584</v>
      </c>
      <c r="G2997" s="36" t="s">
        <v>38584</v>
      </c>
      <c r="H2997" s="36" t="s">
        <v>38585</v>
      </c>
      <c r="I2997" s="36" t="s">
        <v>38584</v>
      </c>
      <c r="J2997" s="36" t="s">
        <v>38582</v>
      </c>
      <c r="K2997" s="36" t="s">
        <v>38584</v>
      </c>
      <c r="L2997" s="36" t="s">
        <v>38582</v>
      </c>
      <c r="M2997" s="36" t="s">
        <v>38586</v>
      </c>
      <c r="N2997" s="36" t="s">
        <v>38582</v>
      </c>
      <c r="O2997" s="36" t="s">
        <v>38587</v>
      </c>
      <c r="P2997" s="36" t="s">
        <v>38581</v>
      </c>
    </row>
    <row r="2998" spans="1:16">
      <c r="A2998" s="132">
        <v>2997</v>
      </c>
      <c r="B2998" s="36" t="s">
        <v>38588</v>
      </c>
      <c r="C2998" s="36" t="s">
        <v>38589</v>
      </c>
      <c r="D2998" s="36" t="s">
        <v>38590</v>
      </c>
      <c r="E2998" s="36" t="s">
        <v>38591</v>
      </c>
      <c r="F2998" s="36" t="s">
        <v>38592</v>
      </c>
      <c r="G2998" s="36" t="s">
        <v>38593</v>
      </c>
      <c r="H2998" s="36" t="s">
        <v>38594</v>
      </c>
      <c r="I2998" s="36" t="s">
        <v>38595</v>
      </c>
      <c r="J2998" s="36" t="s">
        <v>38596</v>
      </c>
      <c r="K2998" s="36" t="s">
        <v>38597</v>
      </c>
      <c r="L2998" s="36" t="s">
        <v>38598</v>
      </c>
      <c r="M2998" s="36" t="s">
        <v>38599</v>
      </c>
      <c r="N2998" s="36" t="s">
        <v>38600</v>
      </c>
      <c r="O2998" s="36" t="s">
        <v>38601</v>
      </c>
      <c r="P2998" s="36" t="s">
        <v>38588</v>
      </c>
    </row>
    <row r="2999" spans="1:16">
      <c r="A2999" s="132">
        <v>2998</v>
      </c>
      <c r="B2999" s="36" t="s">
        <v>38602</v>
      </c>
      <c r="C2999" s="36" t="s">
        <v>38603</v>
      </c>
      <c r="D2999" s="36" t="s">
        <v>38604</v>
      </c>
      <c r="E2999" s="36" t="s">
        <v>38605</v>
      </c>
      <c r="F2999" s="36" t="s">
        <v>38606</v>
      </c>
      <c r="G2999" s="36" t="s">
        <v>38607</v>
      </c>
      <c r="H2999" s="36" t="s">
        <v>38608</v>
      </c>
      <c r="I2999" s="36" t="s">
        <v>38608</v>
      </c>
      <c r="J2999" s="36" t="s">
        <v>38609</v>
      </c>
      <c r="K2999" s="36" t="s">
        <v>38602</v>
      </c>
      <c r="L2999" s="36" t="s">
        <v>38609</v>
      </c>
      <c r="M2999" s="36" t="s">
        <v>38602</v>
      </c>
      <c r="N2999" s="36" t="s">
        <v>38602</v>
      </c>
      <c r="O2999" s="36" t="s">
        <v>38610</v>
      </c>
      <c r="P2999" s="36" t="s">
        <v>38611</v>
      </c>
    </row>
    <row r="3000" spans="1:16">
      <c r="A3000" s="132">
        <v>2999</v>
      </c>
      <c r="B3000" s="36" t="s">
        <v>38612</v>
      </c>
      <c r="C3000" s="36" t="s">
        <v>38613</v>
      </c>
      <c r="D3000" s="36" t="s">
        <v>38614</v>
      </c>
      <c r="E3000" s="36" t="s">
        <v>38615</v>
      </c>
      <c r="F3000" s="36" t="s">
        <v>38616</v>
      </c>
      <c r="G3000" s="36" t="s">
        <v>38617</v>
      </c>
      <c r="H3000" s="36" t="s">
        <v>38618</v>
      </c>
      <c r="I3000" s="36" t="s">
        <v>38618</v>
      </c>
      <c r="J3000" s="36" t="s">
        <v>38619</v>
      </c>
      <c r="K3000" s="36" t="s">
        <v>38612</v>
      </c>
      <c r="L3000" s="36" t="s">
        <v>38619</v>
      </c>
      <c r="M3000" s="36" t="s">
        <v>38612</v>
      </c>
      <c r="N3000" s="36" t="s">
        <v>38612</v>
      </c>
      <c r="O3000" s="36" t="s">
        <v>38620</v>
      </c>
      <c r="P3000" s="36" t="s">
        <v>38612</v>
      </c>
    </row>
    <row r="3001" spans="1:16">
      <c r="A3001" s="132">
        <v>3000</v>
      </c>
      <c r="B3001" s="36" t="s">
        <v>38621</v>
      </c>
      <c r="C3001" s="36" t="s">
        <v>38622</v>
      </c>
      <c r="D3001" s="36" t="s">
        <v>38623</v>
      </c>
      <c r="E3001" s="36" t="s">
        <v>38624</v>
      </c>
      <c r="F3001" s="36" t="s">
        <v>38625</v>
      </c>
      <c r="G3001" s="36" t="s">
        <v>38626</v>
      </c>
      <c r="H3001" s="36" t="s">
        <v>38627</v>
      </c>
      <c r="I3001" s="36" t="s">
        <v>38628</v>
      </c>
      <c r="J3001" s="36" t="s">
        <v>38629</v>
      </c>
      <c r="K3001" s="36" t="s">
        <v>38628</v>
      </c>
      <c r="L3001" s="36" t="s">
        <v>38623</v>
      </c>
      <c r="M3001" s="36" t="s">
        <v>38630</v>
      </c>
      <c r="N3001" s="36" t="s">
        <v>38623</v>
      </c>
      <c r="O3001" s="36" t="s">
        <v>38631</v>
      </c>
      <c r="P3001" s="36" t="s">
        <v>38621</v>
      </c>
    </row>
    <row r="3002" spans="1:16">
      <c r="A3002" s="132">
        <v>3001</v>
      </c>
      <c r="B3002" s="36" t="s">
        <v>38632</v>
      </c>
      <c r="C3002" s="36" t="s">
        <v>38632</v>
      </c>
      <c r="D3002" s="36" t="s">
        <v>38633</v>
      </c>
      <c r="E3002" s="36" t="s">
        <v>38634</v>
      </c>
      <c r="F3002" s="36" t="s">
        <v>38635</v>
      </c>
      <c r="G3002" s="36" t="s">
        <v>38636</v>
      </c>
      <c r="H3002" s="36" t="s">
        <v>38637</v>
      </c>
      <c r="I3002" s="36" t="s">
        <v>38638</v>
      </c>
      <c r="J3002" s="36" t="s">
        <v>38632</v>
      </c>
      <c r="K3002" s="36" t="s">
        <v>38632</v>
      </c>
      <c r="L3002" s="36" t="s">
        <v>38632</v>
      </c>
      <c r="M3002" s="36" t="s">
        <v>38632</v>
      </c>
      <c r="N3002" s="36" t="s">
        <v>38632</v>
      </c>
      <c r="O3002" s="36" t="s">
        <v>38639</v>
      </c>
      <c r="P3002" s="36" t="s">
        <v>38632</v>
      </c>
    </row>
    <row r="3003" spans="1:16">
      <c r="A3003" s="132">
        <v>3002</v>
      </c>
      <c r="B3003" s="36" t="s">
        <v>38640</v>
      </c>
      <c r="C3003" s="36" t="s">
        <v>38641</v>
      </c>
      <c r="D3003" s="36" t="s">
        <v>38640</v>
      </c>
      <c r="E3003" s="36" t="s">
        <v>38642</v>
      </c>
      <c r="F3003" s="36" t="s">
        <v>38643</v>
      </c>
      <c r="G3003" s="36" t="s">
        <v>38644</v>
      </c>
      <c r="H3003" s="36" t="s">
        <v>38645</v>
      </c>
      <c r="I3003" s="36" t="s">
        <v>38646</v>
      </c>
      <c r="J3003" s="36" t="s">
        <v>38647</v>
      </c>
      <c r="K3003" s="36" t="s">
        <v>38644</v>
      </c>
      <c r="L3003" s="36" t="s">
        <v>38644</v>
      </c>
      <c r="M3003" s="36" t="s">
        <v>38644</v>
      </c>
      <c r="N3003" s="36" t="s">
        <v>38640</v>
      </c>
      <c r="O3003" s="36" t="s">
        <v>38648</v>
      </c>
      <c r="P3003" s="36" t="s">
        <v>38640</v>
      </c>
    </row>
    <row r="3004" spans="1:16">
      <c r="A3004" s="132">
        <v>3003</v>
      </c>
      <c r="B3004" s="36" t="s">
        <v>38649</v>
      </c>
      <c r="C3004" s="36" t="s">
        <v>38650</v>
      </c>
      <c r="D3004" s="36" t="s">
        <v>38651</v>
      </c>
      <c r="E3004" s="36" t="s">
        <v>38652</v>
      </c>
      <c r="F3004" s="36" t="s">
        <v>38653</v>
      </c>
      <c r="G3004" s="36" t="s">
        <v>38654</v>
      </c>
      <c r="H3004" s="36" t="s">
        <v>38655</v>
      </c>
      <c r="I3004" s="36" t="s">
        <v>38656</v>
      </c>
      <c r="J3004" s="36" t="s">
        <v>38649</v>
      </c>
      <c r="K3004" s="36" t="s">
        <v>38657</v>
      </c>
      <c r="L3004" s="36" t="s">
        <v>38649</v>
      </c>
      <c r="M3004" s="36" t="s">
        <v>38649</v>
      </c>
      <c r="N3004" s="36" t="s">
        <v>38649</v>
      </c>
      <c r="O3004" s="36" t="s">
        <v>38658</v>
      </c>
      <c r="P3004" s="36" t="s">
        <v>38649</v>
      </c>
    </row>
    <row r="3005" spans="1:16">
      <c r="A3005" s="132">
        <v>3004</v>
      </c>
      <c r="B3005" s="36" t="s">
        <v>38659</v>
      </c>
      <c r="C3005" s="36" t="s">
        <v>38660</v>
      </c>
      <c r="D3005" s="36" t="s">
        <v>38661</v>
      </c>
      <c r="E3005" s="36" t="s">
        <v>38662</v>
      </c>
      <c r="F3005" s="36" t="s">
        <v>38663</v>
      </c>
      <c r="G3005" s="36" t="s">
        <v>38664</v>
      </c>
      <c r="H3005" s="36" t="s">
        <v>38665</v>
      </c>
      <c r="I3005" s="36" t="s">
        <v>38666</v>
      </c>
      <c r="J3005" s="36" t="s">
        <v>38659</v>
      </c>
      <c r="K3005" s="36" t="s">
        <v>38667</v>
      </c>
      <c r="L3005" s="36" t="s">
        <v>38659</v>
      </c>
      <c r="M3005" s="36" t="s">
        <v>38659</v>
      </c>
      <c r="N3005" s="36" t="s">
        <v>38659</v>
      </c>
      <c r="O3005" s="36" t="s">
        <v>38668</v>
      </c>
      <c r="P3005" s="36" t="s">
        <v>38659</v>
      </c>
    </row>
    <row r="3006" spans="1:16">
      <c r="A3006" s="132">
        <v>3005</v>
      </c>
      <c r="B3006" s="36" t="s">
        <v>38669</v>
      </c>
      <c r="C3006" s="36" t="s">
        <v>38669</v>
      </c>
      <c r="D3006" s="36" t="s">
        <v>38670</v>
      </c>
      <c r="E3006" s="36" t="s">
        <v>38671</v>
      </c>
      <c r="F3006" s="36" t="s">
        <v>38672</v>
      </c>
      <c r="G3006" s="36" t="s">
        <v>38673</v>
      </c>
      <c r="H3006" s="36" t="s">
        <v>38674</v>
      </c>
      <c r="I3006" s="36" t="s">
        <v>38669</v>
      </c>
      <c r="J3006" s="36" t="s">
        <v>38675</v>
      </c>
      <c r="K3006" s="36" t="s">
        <v>38676</v>
      </c>
      <c r="L3006" s="36" t="s">
        <v>38677</v>
      </c>
      <c r="M3006" s="36" t="s">
        <v>38669</v>
      </c>
      <c r="N3006" s="36" t="s">
        <v>38669</v>
      </c>
      <c r="O3006" s="36" t="s">
        <v>38678</v>
      </c>
      <c r="P3006" s="36" t="s">
        <v>38669</v>
      </c>
    </row>
    <row r="3007" spans="1:16">
      <c r="A3007" s="132">
        <v>3006</v>
      </c>
      <c r="B3007" s="36" t="s">
        <v>38679</v>
      </c>
      <c r="C3007" s="36" t="s">
        <v>38679</v>
      </c>
      <c r="D3007" s="36" t="s">
        <v>38680</v>
      </c>
      <c r="E3007" s="36" t="s">
        <v>38681</v>
      </c>
      <c r="F3007" s="36" t="s">
        <v>38682</v>
      </c>
      <c r="G3007" s="36" t="s">
        <v>38683</v>
      </c>
      <c r="H3007" s="36" t="s">
        <v>38684</v>
      </c>
      <c r="I3007" s="36" t="s">
        <v>38679</v>
      </c>
      <c r="J3007" s="36" t="s">
        <v>38679</v>
      </c>
      <c r="K3007" s="36" t="s">
        <v>38679</v>
      </c>
      <c r="L3007" s="36" t="s">
        <v>38679</v>
      </c>
      <c r="M3007" s="36" t="s">
        <v>38679</v>
      </c>
      <c r="N3007" s="36" t="s">
        <v>38679</v>
      </c>
      <c r="O3007" s="36" t="s">
        <v>38685</v>
      </c>
      <c r="P3007" s="36" t="s">
        <v>38679</v>
      </c>
    </row>
    <row r="3008" spans="1:16">
      <c r="A3008" s="132">
        <v>3007</v>
      </c>
      <c r="B3008" s="36" t="s">
        <v>38686</v>
      </c>
      <c r="C3008" s="36" t="s">
        <v>38687</v>
      </c>
      <c r="D3008" s="36" t="s">
        <v>38688</v>
      </c>
      <c r="E3008" s="36" t="s">
        <v>38689</v>
      </c>
      <c r="F3008" s="36" t="s">
        <v>38690</v>
      </c>
      <c r="G3008" s="36" t="s">
        <v>38691</v>
      </c>
      <c r="H3008" s="36" t="s">
        <v>38692</v>
      </c>
      <c r="I3008" s="36" t="s">
        <v>38692</v>
      </c>
      <c r="J3008" s="36" t="s">
        <v>38686</v>
      </c>
      <c r="K3008" s="36" t="s">
        <v>38686</v>
      </c>
      <c r="L3008" s="36" t="s">
        <v>38686</v>
      </c>
      <c r="M3008" s="36" t="s">
        <v>38686</v>
      </c>
      <c r="N3008" s="36" t="s">
        <v>38686</v>
      </c>
      <c r="O3008" s="36" t="s">
        <v>38693</v>
      </c>
      <c r="P3008" s="36" t="s">
        <v>38686</v>
      </c>
    </row>
    <row r="3009" spans="1:16">
      <c r="A3009" s="132">
        <v>3008</v>
      </c>
      <c r="B3009" s="36" t="s">
        <v>38694</v>
      </c>
      <c r="C3009" s="36" t="s">
        <v>38694</v>
      </c>
      <c r="D3009" s="36" t="s">
        <v>38695</v>
      </c>
      <c r="E3009" s="36" t="s">
        <v>38695</v>
      </c>
      <c r="F3009" s="36" t="s">
        <v>38693</v>
      </c>
      <c r="G3009" s="36" t="s">
        <v>38693</v>
      </c>
      <c r="H3009" s="36" t="s">
        <v>38694</v>
      </c>
      <c r="I3009" s="36" t="s">
        <v>38694</v>
      </c>
      <c r="J3009" s="36" t="s">
        <v>38694</v>
      </c>
      <c r="K3009" s="36" t="s">
        <v>38694</v>
      </c>
      <c r="L3009" s="36" t="s">
        <v>38694</v>
      </c>
      <c r="M3009" s="36" t="s">
        <v>38694</v>
      </c>
      <c r="N3009" s="36" t="s">
        <v>38694</v>
      </c>
      <c r="O3009" s="36" t="s">
        <v>38696</v>
      </c>
      <c r="P3009" s="36" t="s">
        <v>38694</v>
      </c>
    </row>
    <row r="3010" spans="1:16">
      <c r="A3010" s="132">
        <v>3009</v>
      </c>
      <c r="B3010" s="36" t="s">
        <v>38697</v>
      </c>
      <c r="C3010" s="36" t="s">
        <v>38698</v>
      </c>
      <c r="D3010" s="36" t="s">
        <v>38699</v>
      </c>
      <c r="E3010" s="36" t="s">
        <v>38700</v>
      </c>
      <c r="F3010" s="36" t="s">
        <v>38701</v>
      </c>
      <c r="G3010" s="36" t="s">
        <v>38702</v>
      </c>
      <c r="H3010" s="36" t="s">
        <v>38698</v>
      </c>
      <c r="I3010" s="36" t="s">
        <v>38698</v>
      </c>
      <c r="J3010" s="36" t="s">
        <v>38698</v>
      </c>
      <c r="K3010" s="36" t="s">
        <v>38698</v>
      </c>
      <c r="L3010" s="36" t="s">
        <v>38698</v>
      </c>
      <c r="M3010" s="36" t="s">
        <v>38698</v>
      </c>
      <c r="N3010" s="36" t="s">
        <v>38703</v>
      </c>
      <c r="O3010" s="36" t="s">
        <v>38704</v>
      </c>
      <c r="P3010" s="36" t="s">
        <v>38697</v>
      </c>
    </row>
    <row r="3011" spans="1:16">
      <c r="A3011" s="132">
        <v>3010</v>
      </c>
      <c r="B3011" s="36" t="s">
        <v>38705</v>
      </c>
      <c r="C3011" s="36" t="s">
        <v>38706</v>
      </c>
      <c r="D3011" s="36" t="s">
        <v>38707</v>
      </c>
      <c r="E3011" s="36" t="s">
        <v>38708</v>
      </c>
      <c r="F3011" s="36" t="s">
        <v>38709</v>
      </c>
      <c r="G3011" s="36" t="s">
        <v>38710</v>
      </c>
      <c r="H3011" s="36" t="s">
        <v>38711</v>
      </c>
      <c r="I3011" s="36" t="s">
        <v>38712</v>
      </c>
      <c r="J3011" s="36" t="s">
        <v>38713</v>
      </c>
      <c r="K3011" s="36" t="s">
        <v>38714</v>
      </c>
      <c r="L3011" s="36" t="s">
        <v>38715</v>
      </c>
      <c r="M3011" s="36" t="s">
        <v>38716</v>
      </c>
      <c r="N3011" s="36" t="s">
        <v>38716</v>
      </c>
      <c r="O3011" s="36" t="s">
        <v>38717</v>
      </c>
      <c r="P3011" s="36" t="s">
        <v>38705</v>
      </c>
    </row>
    <row r="3012" spans="1:16">
      <c r="A3012" s="132">
        <v>3011</v>
      </c>
      <c r="B3012" s="36" t="s">
        <v>38718</v>
      </c>
      <c r="C3012" s="36" t="s">
        <v>38719</v>
      </c>
      <c r="D3012" s="36" t="s">
        <v>38720</v>
      </c>
      <c r="E3012" s="36" t="s">
        <v>38721</v>
      </c>
      <c r="F3012" s="36" t="s">
        <v>38722</v>
      </c>
      <c r="G3012" s="36" t="s">
        <v>38723</v>
      </c>
      <c r="H3012" s="36" t="s">
        <v>38724</v>
      </c>
      <c r="I3012" s="36" t="s">
        <v>38722</v>
      </c>
      <c r="J3012" s="36" t="s">
        <v>38725</v>
      </c>
      <c r="K3012" s="36" t="s">
        <v>38726</v>
      </c>
      <c r="L3012" s="36" t="s">
        <v>38727</v>
      </c>
      <c r="M3012" s="36" t="s">
        <v>38728</v>
      </c>
      <c r="N3012" s="36" t="s">
        <v>38729</v>
      </c>
      <c r="O3012" s="36" t="s">
        <v>38730</v>
      </c>
      <c r="P3012" s="36" t="s">
        <v>38718</v>
      </c>
    </row>
    <row r="3013" spans="1:16">
      <c r="A3013" s="132">
        <v>3012</v>
      </c>
      <c r="B3013" s="36" t="s">
        <v>38731</v>
      </c>
      <c r="C3013" s="36" t="s">
        <v>38732</v>
      </c>
      <c r="D3013" s="36" t="s">
        <v>38733</v>
      </c>
      <c r="E3013" s="36" t="s">
        <v>38734</v>
      </c>
      <c r="F3013" s="36" t="s">
        <v>38735</v>
      </c>
      <c r="G3013" s="36" t="s">
        <v>38736</v>
      </c>
      <c r="H3013" s="36" t="s">
        <v>38737</v>
      </c>
      <c r="I3013" s="36" t="s">
        <v>38735</v>
      </c>
      <c r="J3013" s="36" t="s">
        <v>38738</v>
      </c>
      <c r="K3013" s="36" t="s">
        <v>38739</v>
      </c>
      <c r="L3013" s="36" t="s">
        <v>38740</v>
      </c>
      <c r="M3013" s="36" t="s">
        <v>38741</v>
      </c>
      <c r="N3013" s="36" t="s">
        <v>38741</v>
      </c>
      <c r="O3013" s="36" t="s">
        <v>38739</v>
      </c>
      <c r="P3013" s="36" t="s">
        <v>38731</v>
      </c>
    </row>
    <row r="3014" spans="1:16">
      <c r="A3014" s="132">
        <v>3013</v>
      </c>
      <c r="B3014" s="36" t="s">
        <v>38742</v>
      </c>
      <c r="C3014" s="36" t="s">
        <v>13653</v>
      </c>
      <c r="D3014" s="36" t="s">
        <v>13653</v>
      </c>
      <c r="E3014" s="36" t="s">
        <v>13654</v>
      </c>
      <c r="F3014" s="36" t="s">
        <v>13655</v>
      </c>
      <c r="G3014" s="36" t="s">
        <v>38743</v>
      </c>
      <c r="H3014" s="36" t="s">
        <v>38744</v>
      </c>
      <c r="I3014" s="36" t="s">
        <v>38745</v>
      </c>
      <c r="J3014" s="36" t="s">
        <v>13659</v>
      </c>
      <c r="K3014" s="36" t="s">
        <v>38746</v>
      </c>
      <c r="L3014" s="36" t="s">
        <v>13661</v>
      </c>
      <c r="M3014" s="36" t="s">
        <v>38747</v>
      </c>
      <c r="N3014" s="36" t="s">
        <v>13661</v>
      </c>
      <c r="O3014" s="36" t="s">
        <v>13663</v>
      </c>
      <c r="P3014" s="36" t="s">
        <v>38742</v>
      </c>
    </row>
    <row r="3015" spans="1:16">
      <c r="A3015" s="132">
        <v>3014</v>
      </c>
      <c r="B3015" s="36" t="s">
        <v>38748</v>
      </c>
      <c r="C3015" s="36" t="s">
        <v>38749</v>
      </c>
      <c r="D3015" s="36" t="s">
        <v>38750</v>
      </c>
      <c r="E3015" s="36" t="s">
        <v>38751</v>
      </c>
      <c r="F3015" s="36" t="s">
        <v>38752</v>
      </c>
      <c r="G3015" s="36" t="s">
        <v>38753</v>
      </c>
      <c r="H3015" s="36" t="s">
        <v>38754</v>
      </c>
      <c r="I3015" s="36" t="s">
        <v>38755</v>
      </c>
      <c r="J3015" s="36" t="s">
        <v>38756</v>
      </c>
      <c r="K3015" s="36" t="s">
        <v>38757</v>
      </c>
      <c r="L3015" s="36" t="s">
        <v>38758</v>
      </c>
      <c r="M3015" s="36" t="s">
        <v>38759</v>
      </c>
      <c r="N3015" s="36" t="s">
        <v>38760</v>
      </c>
      <c r="O3015" s="36" t="s">
        <v>38761</v>
      </c>
      <c r="P3015" s="36" t="s">
        <v>38748</v>
      </c>
    </row>
    <row r="3016" spans="1:16">
      <c r="A3016" s="132">
        <v>3015</v>
      </c>
      <c r="B3016" s="36" t="s">
        <v>38762</v>
      </c>
      <c r="C3016" s="36" t="s">
        <v>38763</v>
      </c>
      <c r="D3016" s="36" t="s">
        <v>38764</v>
      </c>
      <c r="E3016" s="36" t="s">
        <v>38765</v>
      </c>
      <c r="F3016" s="36" t="s">
        <v>38766</v>
      </c>
      <c r="G3016" s="36" t="s">
        <v>38767</v>
      </c>
      <c r="H3016" s="36" t="s">
        <v>38768</v>
      </c>
      <c r="I3016" s="36" t="s">
        <v>38769</v>
      </c>
      <c r="J3016" s="36" t="s">
        <v>38770</v>
      </c>
      <c r="K3016" s="36" t="s">
        <v>38771</v>
      </c>
      <c r="L3016" s="36" t="s">
        <v>38772</v>
      </c>
      <c r="M3016" s="36" t="s">
        <v>38773</v>
      </c>
      <c r="N3016" s="36" t="s">
        <v>38774</v>
      </c>
      <c r="O3016" s="36" t="s">
        <v>38775</v>
      </c>
      <c r="P3016" s="36" t="s">
        <v>38762</v>
      </c>
    </row>
    <row r="3017" spans="1:16">
      <c r="A3017" s="132">
        <v>3016</v>
      </c>
      <c r="B3017" s="36" t="s">
        <v>38776</v>
      </c>
      <c r="C3017" s="36" t="s">
        <v>38777</v>
      </c>
      <c r="D3017" s="36" t="s">
        <v>38778</v>
      </c>
      <c r="E3017" s="36" t="s">
        <v>38779</v>
      </c>
      <c r="F3017" s="36" t="s">
        <v>38780</v>
      </c>
      <c r="G3017" s="36" t="s">
        <v>38781</v>
      </c>
      <c r="H3017" s="36" t="s">
        <v>38782</v>
      </c>
      <c r="I3017" s="36" t="s">
        <v>38783</v>
      </c>
      <c r="J3017" s="36" t="s">
        <v>38784</v>
      </c>
      <c r="K3017" s="36" t="s">
        <v>38785</v>
      </c>
      <c r="L3017" s="36" t="s">
        <v>38786</v>
      </c>
      <c r="M3017" s="36" t="s">
        <v>38787</v>
      </c>
      <c r="N3017" s="36" t="s">
        <v>38788</v>
      </c>
      <c r="O3017" s="36" t="s">
        <v>38789</v>
      </c>
      <c r="P3017" s="36" t="s">
        <v>38776</v>
      </c>
    </row>
    <row r="3018" spans="1:16">
      <c r="A3018" s="132">
        <v>3017</v>
      </c>
      <c r="B3018" s="36" t="s">
        <v>38790</v>
      </c>
      <c r="C3018" s="36" t="s">
        <v>38791</v>
      </c>
      <c r="D3018" s="36" t="s">
        <v>38792</v>
      </c>
      <c r="E3018" s="36" t="s">
        <v>38793</v>
      </c>
      <c r="F3018" s="36" t="s">
        <v>38794</v>
      </c>
      <c r="G3018" s="36" t="s">
        <v>38795</v>
      </c>
      <c r="H3018" s="36" t="s">
        <v>38796</v>
      </c>
      <c r="I3018" s="36" t="s">
        <v>38797</v>
      </c>
      <c r="J3018" s="36" t="s">
        <v>38798</v>
      </c>
      <c r="K3018" s="36" t="s">
        <v>38799</v>
      </c>
      <c r="L3018" s="36" t="s">
        <v>38800</v>
      </c>
      <c r="M3018" s="36" t="s">
        <v>38801</v>
      </c>
      <c r="N3018" s="36" t="s">
        <v>38802</v>
      </c>
      <c r="O3018" s="36" t="s">
        <v>38803</v>
      </c>
      <c r="P3018" s="36" t="s">
        <v>38790</v>
      </c>
    </row>
    <row r="3019" spans="1:16">
      <c r="A3019" s="132">
        <v>3018</v>
      </c>
      <c r="B3019" s="36" t="s">
        <v>38804</v>
      </c>
      <c r="C3019" s="36" t="s">
        <v>38805</v>
      </c>
      <c r="D3019" s="36" t="s">
        <v>38806</v>
      </c>
      <c r="E3019" s="36" t="s">
        <v>38807</v>
      </c>
      <c r="F3019" s="36" t="s">
        <v>38808</v>
      </c>
      <c r="G3019" s="36" t="s">
        <v>38809</v>
      </c>
      <c r="H3019" s="36" t="s">
        <v>38810</v>
      </c>
      <c r="I3019" s="36" t="s">
        <v>38811</v>
      </c>
      <c r="J3019" s="36" t="s">
        <v>38812</v>
      </c>
      <c r="K3019" s="36" t="s">
        <v>38813</v>
      </c>
      <c r="L3019" s="36" t="s">
        <v>38814</v>
      </c>
      <c r="M3019" s="36" t="s">
        <v>38815</v>
      </c>
      <c r="N3019" s="36" t="s">
        <v>38816</v>
      </c>
      <c r="O3019" s="36" t="s">
        <v>38817</v>
      </c>
      <c r="P3019" s="36" t="s">
        <v>38804</v>
      </c>
    </row>
    <row r="3020" spans="1:16">
      <c r="A3020" s="132">
        <v>3019</v>
      </c>
      <c r="B3020" s="36" t="s">
        <v>38818</v>
      </c>
      <c r="C3020" s="36" t="s">
        <v>38819</v>
      </c>
      <c r="D3020" s="36" t="s">
        <v>38820</v>
      </c>
      <c r="E3020" s="36" t="s">
        <v>38821</v>
      </c>
      <c r="F3020" s="36" t="s">
        <v>38822</v>
      </c>
      <c r="G3020" s="36" t="s">
        <v>38823</v>
      </c>
      <c r="H3020" s="36" t="s">
        <v>38824</v>
      </c>
      <c r="I3020" s="36" t="s">
        <v>38822</v>
      </c>
      <c r="J3020" s="36" t="s">
        <v>38825</v>
      </c>
      <c r="K3020" s="36" t="s">
        <v>38826</v>
      </c>
      <c r="L3020" s="36" t="s">
        <v>38827</v>
      </c>
      <c r="M3020" s="36" t="s">
        <v>38828</v>
      </c>
      <c r="N3020" s="36" t="s">
        <v>38828</v>
      </c>
      <c r="O3020" s="36" t="s">
        <v>38829</v>
      </c>
      <c r="P3020" s="36" t="s">
        <v>38818</v>
      </c>
    </row>
    <row r="3021" spans="1:16">
      <c r="A3021" s="132">
        <v>3020</v>
      </c>
      <c r="B3021" s="36" t="s">
        <v>38830</v>
      </c>
      <c r="C3021" s="36" t="s">
        <v>38831</v>
      </c>
      <c r="D3021" s="36" t="s">
        <v>38832</v>
      </c>
      <c r="E3021" s="36" t="s">
        <v>38833</v>
      </c>
      <c r="F3021" s="36" t="s">
        <v>38834</v>
      </c>
      <c r="G3021" s="36" t="s">
        <v>38835</v>
      </c>
      <c r="H3021" s="36" t="s">
        <v>38836</v>
      </c>
      <c r="I3021" s="36" t="s">
        <v>38837</v>
      </c>
      <c r="J3021" s="36" t="s">
        <v>38838</v>
      </c>
      <c r="K3021" s="36" t="s">
        <v>38839</v>
      </c>
      <c r="L3021" s="36" t="s">
        <v>38840</v>
      </c>
      <c r="M3021" s="36" t="s">
        <v>38841</v>
      </c>
      <c r="N3021" s="36" t="s">
        <v>38842</v>
      </c>
      <c r="O3021" s="36" t="s">
        <v>38843</v>
      </c>
      <c r="P3021" s="36" t="s">
        <v>38830</v>
      </c>
    </row>
    <row r="3022" spans="1:16">
      <c r="A3022" s="132">
        <v>3021</v>
      </c>
      <c r="B3022" s="36" t="s">
        <v>38844</v>
      </c>
      <c r="C3022" s="36" t="s">
        <v>38845</v>
      </c>
      <c r="D3022" s="36" t="s">
        <v>38846</v>
      </c>
      <c r="E3022" s="36" t="s">
        <v>38847</v>
      </c>
      <c r="F3022" s="36" t="s">
        <v>38848</v>
      </c>
      <c r="G3022" s="36" t="s">
        <v>38849</v>
      </c>
      <c r="H3022" s="36" t="s">
        <v>38850</v>
      </c>
      <c r="I3022" s="36" t="s">
        <v>38851</v>
      </c>
      <c r="J3022" s="36" t="s">
        <v>38852</v>
      </c>
      <c r="K3022" s="36" t="s">
        <v>38853</v>
      </c>
      <c r="L3022" s="36" t="s">
        <v>38854</v>
      </c>
      <c r="M3022" s="36" t="s">
        <v>38855</v>
      </c>
      <c r="N3022" s="36" t="s">
        <v>38856</v>
      </c>
      <c r="O3022" s="36" t="s">
        <v>38857</v>
      </c>
      <c r="P3022" s="36" t="s">
        <v>38844</v>
      </c>
    </row>
    <row r="3023" spans="1:16">
      <c r="A3023" s="132">
        <v>3022</v>
      </c>
      <c r="B3023" s="36" t="s">
        <v>38858</v>
      </c>
      <c r="C3023" s="36" t="s">
        <v>38859</v>
      </c>
      <c r="D3023" s="36" t="s">
        <v>38860</v>
      </c>
      <c r="E3023" s="36" t="s">
        <v>38861</v>
      </c>
      <c r="F3023" s="36" t="s">
        <v>38862</v>
      </c>
      <c r="G3023" s="36" t="s">
        <v>38863</v>
      </c>
      <c r="H3023" s="36" t="s">
        <v>38864</v>
      </c>
      <c r="I3023" s="36" t="s">
        <v>38865</v>
      </c>
      <c r="J3023" s="36" t="s">
        <v>38866</v>
      </c>
      <c r="K3023" s="36" t="s">
        <v>38867</v>
      </c>
      <c r="L3023" s="36" t="s">
        <v>38868</v>
      </c>
      <c r="M3023" s="36" t="s">
        <v>38869</v>
      </c>
      <c r="N3023" s="36" t="s">
        <v>38870</v>
      </c>
      <c r="O3023" s="36" t="s">
        <v>38871</v>
      </c>
      <c r="P3023" s="36" t="s">
        <v>38858</v>
      </c>
    </row>
    <row r="3024" spans="1:16">
      <c r="A3024" s="132">
        <v>3023</v>
      </c>
      <c r="B3024" s="36" t="s">
        <v>38872</v>
      </c>
      <c r="C3024" s="36" t="s">
        <v>38873</v>
      </c>
      <c r="D3024" s="36" t="s">
        <v>38874</v>
      </c>
      <c r="E3024" s="36" t="s">
        <v>38875</v>
      </c>
      <c r="F3024" s="36" t="s">
        <v>38876</v>
      </c>
      <c r="G3024" s="36" t="s">
        <v>38877</v>
      </c>
      <c r="H3024" s="36" t="s">
        <v>38878</v>
      </c>
      <c r="I3024" s="36" t="s">
        <v>38879</v>
      </c>
      <c r="J3024" s="36" t="s">
        <v>38880</v>
      </c>
      <c r="K3024" s="36" t="s">
        <v>38881</v>
      </c>
      <c r="L3024" s="36" t="s">
        <v>38882</v>
      </c>
      <c r="M3024" s="36" t="s">
        <v>38883</v>
      </c>
      <c r="N3024" s="36" t="s">
        <v>38884</v>
      </c>
      <c r="O3024" s="36" t="s">
        <v>38885</v>
      </c>
      <c r="P3024" s="36" t="s">
        <v>38872</v>
      </c>
    </row>
    <row r="3025" spans="1:16">
      <c r="A3025" s="132">
        <v>3024</v>
      </c>
      <c r="B3025" s="36" t="s">
        <v>38886</v>
      </c>
      <c r="C3025" s="36" t="s">
        <v>38887</v>
      </c>
      <c r="D3025" s="36" t="s">
        <v>38888</v>
      </c>
      <c r="E3025" s="36" t="s">
        <v>38889</v>
      </c>
      <c r="F3025" s="36" t="s">
        <v>38890</v>
      </c>
      <c r="G3025" s="36" t="s">
        <v>38891</v>
      </c>
      <c r="H3025" s="36" t="s">
        <v>38892</v>
      </c>
      <c r="I3025" s="36" t="s">
        <v>38893</v>
      </c>
      <c r="J3025" s="36" t="s">
        <v>38894</v>
      </c>
      <c r="K3025" s="36" t="s">
        <v>38895</v>
      </c>
      <c r="L3025" s="36" t="s">
        <v>38896</v>
      </c>
      <c r="M3025" s="36" t="s">
        <v>38897</v>
      </c>
      <c r="N3025" s="36" t="s">
        <v>38898</v>
      </c>
      <c r="O3025" s="36" t="s">
        <v>38899</v>
      </c>
      <c r="P3025" s="36" t="s">
        <v>38886</v>
      </c>
    </row>
    <row r="3026" spans="1:16">
      <c r="A3026" s="132">
        <v>3025</v>
      </c>
      <c r="B3026" s="36" t="s">
        <v>38900</v>
      </c>
      <c r="C3026" s="36" t="s">
        <v>38901</v>
      </c>
      <c r="D3026" s="36" t="s">
        <v>38902</v>
      </c>
      <c r="E3026" s="36" t="s">
        <v>38903</v>
      </c>
      <c r="F3026" s="36" t="s">
        <v>38904</v>
      </c>
      <c r="G3026" s="36" t="s">
        <v>38905</v>
      </c>
      <c r="H3026" s="36" t="s">
        <v>38906</v>
      </c>
      <c r="I3026" s="36" t="s">
        <v>38907</v>
      </c>
      <c r="J3026" s="36" t="s">
        <v>38908</v>
      </c>
      <c r="K3026" s="36" t="s">
        <v>38909</v>
      </c>
      <c r="L3026" s="36" t="s">
        <v>38910</v>
      </c>
      <c r="M3026" s="36" t="s">
        <v>38911</v>
      </c>
      <c r="N3026" s="36" t="s">
        <v>38912</v>
      </c>
      <c r="O3026" s="36" t="s">
        <v>38913</v>
      </c>
      <c r="P3026" s="36" t="s">
        <v>38900</v>
      </c>
    </row>
    <row r="3027" spans="1:16">
      <c r="A3027" s="132">
        <v>3026</v>
      </c>
      <c r="B3027" s="36" t="s">
        <v>38914</v>
      </c>
      <c r="C3027" s="36" t="s">
        <v>38915</v>
      </c>
      <c r="D3027" s="36" t="s">
        <v>38916</v>
      </c>
      <c r="E3027" s="36" t="s">
        <v>38917</v>
      </c>
      <c r="F3027" s="36" t="s">
        <v>38918</v>
      </c>
      <c r="G3027" s="36" t="s">
        <v>38919</v>
      </c>
      <c r="H3027" s="36" t="s">
        <v>38920</v>
      </c>
      <c r="I3027" s="36" t="s">
        <v>38921</v>
      </c>
      <c r="J3027" s="36" t="s">
        <v>38922</v>
      </c>
      <c r="K3027" s="36" t="s">
        <v>38923</v>
      </c>
      <c r="L3027" s="36" t="s">
        <v>38924</v>
      </c>
      <c r="M3027" s="36" t="s">
        <v>38925</v>
      </c>
      <c r="N3027" s="36" t="s">
        <v>38926</v>
      </c>
      <c r="O3027" s="36" t="s">
        <v>38927</v>
      </c>
      <c r="P3027" s="36" t="s">
        <v>38914</v>
      </c>
    </row>
    <row r="3028" spans="1:16">
      <c r="A3028" s="132">
        <v>3027</v>
      </c>
      <c r="B3028" s="36" t="s">
        <v>38928</v>
      </c>
      <c r="C3028" s="36" t="s">
        <v>38929</v>
      </c>
      <c r="D3028" s="36" t="s">
        <v>38930</v>
      </c>
      <c r="E3028" s="36" t="s">
        <v>38931</v>
      </c>
      <c r="F3028" s="36" t="s">
        <v>38932</v>
      </c>
      <c r="G3028" s="36" t="s">
        <v>38933</v>
      </c>
      <c r="H3028" s="36" t="s">
        <v>38934</v>
      </c>
      <c r="I3028" s="36" t="s">
        <v>38935</v>
      </c>
      <c r="J3028" s="36" t="s">
        <v>38936</v>
      </c>
      <c r="K3028" s="36" t="s">
        <v>38937</v>
      </c>
      <c r="L3028" s="36" t="s">
        <v>38938</v>
      </c>
      <c r="M3028" s="36" t="s">
        <v>38939</v>
      </c>
      <c r="N3028" s="36" t="s">
        <v>38940</v>
      </c>
      <c r="O3028" s="36" t="s">
        <v>38941</v>
      </c>
      <c r="P3028" s="36" t="s">
        <v>38928</v>
      </c>
    </row>
    <row r="3029" spans="1:16">
      <c r="A3029" s="132">
        <v>3028</v>
      </c>
      <c r="B3029" s="36" t="s">
        <v>38942</v>
      </c>
      <c r="C3029" s="36" t="s">
        <v>38943</v>
      </c>
      <c r="D3029" s="36" t="s">
        <v>38944</v>
      </c>
      <c r="E3029" s="36" t="s">
        <v>38945</v>
      </c>
      <c r="F3029" s="36" t="s">
        <v>38946</v>
      </c>
      <c r="G3029" s="36" t="s">
        <v>38946</v>
      </c>
      <c r="H3029" s="36" t="s">
        <v>38946</v>
      </c>
      <c r="I3029" s="36" t="s">
        <v>38946</v>
      </c>
      <c r="J3029" s="36" t="s">
        <v>38943</v>
      </c>
      <c r="K3029" s="36" t="s">
        <v>38946</v>
      </c>
      <c r="L3029" s="36" t="s">
        <v>38946</v>
      </c>
      <c r="M3029" s="36" t="s">
        <v>38946</v>
      </c>
      <c r="N3029" s="36" t="s">
        <v>38947</v>
      </c>
      <c r="O3029" s="36" t="s">
        <v>38946</v>
      </c>
      <c r="P3029" s="36" t="s">
        <v>38942</v>
      </c>
    </row>
    <row r="3030" spans="1:16">
      <c r="A3030" s="132">
        <v>3029</v>
      </c>
      <c r="B3030" s="36" t="s">
        <v>38948</v>
      </c>
      <c r="C3030" s="36" t="s">
        <v>38949</v>
      </c>
      <c r="D3030" s="36" t="s">
        <v>38950</v>
      </c>
      <c r="E3030" s="36" t="s">
        <v>38951</v>
      </c>
      <c r="F3030" s="36" t="s">
        <v>38952</v>
      </c>
      <c r="G3030" s="36" t="s">
        <v>38953</v>
      </c>
      <c r="H3030" s="36" t="s">
        <v>38954</v>
      </c>
      <c r="I3030" s="36" t="s">
        <v>38955</v>
      </c>
      <c r="J3030" s="36" t="s">
        <v>38956</v>
      </c>
      <c r="K3030" s="36" t="s">
        <v>38957</v>
      </c>
      <c r="L3030" s="36" t="s">
        <v>38958</v>
      </c>
      <c r="M3030" s="36" t="s">
        <v>38959</v>
      </c>
      <c r="N3030" s="36" t="s">
        <v>38960</v>
      </c>
      <c r="O3030" s="36" t="s">
        <v>38961</v>
      </c>
      <c r="P3030" s="36" t="s">
        <v>38948</v>
      </c>
    </row>
    <row r="3031" spans="1:16">
      <c r="A3031" s="132">
        <v>3030</v>
      </c>
      <c r="B3031" s="36" t="s">
        <v>38962</v>
      </c>
      <c r="C3031" s="36" t="s">
        <v>38962</v>
      </c>
      <c r="D3031" s="36" t="s">
        <v>38963</v>
      </c>
      <c r="E3031" s="36" t="s">
        <v>38964</v>
      </c>
      <c r="F3031" s="36" t="s">
        <v>38965</v>
      </c>
      <c r="G3031" s="36" t="s">
        <v>38965</v>
      </c>
      <c r="H3031" s="36" t="s">
        <v>38965</v>
      </c>
      <c r="I3031" s="36" t="s">
        <v>38965</v>
      </c>
      <c r="J3031" s="36" t="s">
        <v>38962</v>
      </c>
      <c r="K3031" s="36" t="s">
        <v>38965</v>
      </c>
      <c r="L3031" s="36" t="s">
        <v>38962</v>
      </c>
      <c r="M3031" s="36" t="s">
        <v>38962</v>
      </c>
      <c r="N3031" s="36" t="s">
        <v>38966</v>
      </c>
      <c r="O3031" s="36" t="s">
        <v>38967</v>
      </c>
      <c r="P3031" s="36" t="s">
        <v>38962</v>
      </c>
    </row>
    <row r="3032" spans="1:16">
      <c r="A3032" s="132">
        <v>3031</v>
      </c>
      <c r="B3032" s="36" t="s">
        <v>38968</v>
      </c>
      <c r="C3032" s="36" t="s">
        <v>38969</v>
      </c>
      <c r="D3032" s="36" t="s">
        <v>38970</v>
      </c>
      <c r="E3032" s="36" t="s">
        <v>38971</v>
      </c>
      <c r="F3032" s="36" t="s">
        <v>38972</v>
      </c>
      <c r="G3032" s="36" t="s">
        <v>38973</v>
      </c>
      <c r="H3032" s="36" t="s">
        <v>38974</v>
      </c>
      <c r="I3032" s="36" t="s">
        <v>38975</v>
      </c>
      <c r="J3032" s="36" t="s">
        <v>38976</v>
      </c>
      <c r="K3032" s="36" t="s">
        <v>38977</v>
      </c>
      <c r="L3032" s="36" t="s">
        <v>38978</v>
      </c>
      <c r="M3032" s="36" t="s">
        <v>38979</v>
      </c>
      <c r="N3032" s="36" t="s">
        <v>38980</v>
      </c>
      <c r="O3032" s="36" t="s">
        <v>38981</v>
      </c>
      <c r="P3032" s="36" t="s">
        <v>38968</v>
      </c>
    </row>
    <row r="3033" spans="1:16">
      <c r="A3033" s="132">
        <v>3032</v>
      </c>
      <c r="B3033" s="36" t="s">
        <v>38982</v>
      </c>
      <c r="C3033" s="36" t="s">
        <v>38982</v>
      </c>
      <c r="D3033" s="36" t="s">
        <v>38982</v>
      </c>
      <c r="E3033" s="36" t="s">
        <v>38982</v>
      </c>
      <c r="F3033" s="36" t="s">
        <v>38982</v>
      </c>
      <c r="G3033" s="36" t="s">
        <v>38982</v>
      </c>
      <c r="H3033" s="36" t="s">
        <v>38983</v>
      </c>
      <c r="I3033" s="36" t="s">
        <v>38984</v>
      </c>
      <c r="J3033" s="36" t="s">
        <v>38982</v>
      </c>
      <c r="K3033" s="36" t="s">
        <v>38982</v>
      </c>
      <c r="L3033" s="36" t="s">
        <v>38982</v>
      </c>
      <c r="M3033" s="36" t="s">
        <v>38982</v>
      </c>
      <c r="N3033" s="36" t="s">
        <v>38982</v>
      </c>
      <c r="O3033" s="36" t="s">
        <v>38982</v>
      </c>
      <c r="P3033" s="36" t="s">
        <v>38982</v>
      </c>
    </row>
    <row r="3034" spans="1:16">
      <c r="A3034" s="132">
        <v>3033</v>
      </c>
      <c r="B3034" s="36" t="s">
        <v>38985</v>
      </c>
      <c r="C3034" s="36" t="s">
        <v>38986</v>
      </c>
      <c r="D3034" s="36" t="s">
        <v>38987</v>
      </c>
      <c r="E3034" s="36" t="s">
        <v>38988</v>
      </c>
      <c r="F3034" s="490" t="s">
        <v>38989</v>
      </c>
      <c r="G3034" s="490" t="s">
        <v>38990</v>
      </c>
      <c r="H3034" s="490" t="s">
        <v>38991</v>
      </c>
      <c r="I3034" s="490" t="s">
        <v>38992</v>
      </c>
      <c r="J3034" s="491" t="s">
        <v>38993</v>
      </c>
      <c r="K3034" s="490" t="s">
        <v>38994</v>
      </c>
      <c r="L3034" s="490" t="s">
        <v>38995</v>
      </c>
      <c r="M3034" s="490" t="s">
        <v>38996</v>
      </c>
      <c r="N3034" s="490" t="s">
        <v>38997</v>
      </c>
      <c r="O3034" s="490" t="s">
        <v>38998</v>
      </c>
      <c r="P3034" s="36" t="s">
        <v>38985</v>
      </c>
    </row>
    <row r="3035" spans="1:16">
      <c r="A3035" s="132">
        <v>3034</v>
      </c>
      <c r="B3035" s="36" t="s">
        <v>38999</v>
      </c>
      <c r="C3035" s="36" t="s">
        <v>39000</v>
      </c>
      <c r="D3035" s="36" t="s">
        <v>39001</v>
      </c>
      <c r="E3035" s="36" t="s">
        <v>39002</v>
      </c>
      <c r="F3035" s="36" t="s">
        <v>39003</v>
      </c>
      <c r="G3035" s="36" t="s">
        <v>39004</v>
      </c>
      <c r="H3035" s="36" t="s">
        <v>39005</v>
      </c>
      <c r="I3035" s="36" t="s">
        <v>39006</v>
      </c>
      <c r="J3035" s="36" t="s">
        <v>39007</v>
      </c>
      <c r="K3035" s="36" t="s">
        <v>39008</v>
      </c>
      <c r="L3035" s="36" t="s">
        <v>39009</v>
      </c>
      <c r="M3035" s="36" t="s">
        <v>39009</v>
      </c>
      <c r="N3035" s="36" t="s">
        <v>39009</v>
      </c>
      <c r="O3035" s="36" t="s">
        <v>39010</v>
      </c>
      <c r="P3035" s="36" t="s">
        <v>38999</v>
      </c>
    </row>
    <row r="3036" spans="1:16">
      <c r="A3036" s="132">
        <v>3035</v>
      </c>
      <c r="B3036" s="36" t="s">
        <v>39011</v>
      </c>
      <c r="C3036" s="36" t="s">
        <v>39012</v>
      </c>
      <c r="D3036" s="36" t="s">
        <v>39013</v>
      </c>
      <c r="E3036" s="36" t="s">
        <v>39014</v>
      </c>
      <c r="F3036" s="36" t="s">
        <v>39015</v>
      </c>
      <c r="G3036" s="36" t="s">
        <v>39016</v>
      </c>
      <c r="H3036" s="36" t="s">
        <v>39017</v>
      </c>
      <c r="I3036" s="36" t="s">
        <v>39015</v>
      </c>
      <c r="J3036" s="36" t="s">
        <v>39018</v>
      </c>
      <c r="K3036" s="36" t="s">
        <v>39019</v>
      </c>
      <c r="L3036" s="36" t="s">
        <v>39020</v>
      </c>
      <c r="M3036" s="36" t="s">
        <v>39021</v>
      </c>
      <c r="N3036" s="36" t="s">
        <v>39022</v>
      </c>
      <c r="O3036" s="36" t="s">
        <v>39023</v>
      </c>
      <c r="P3036" s="36" t="s">
        <v>39011</v>
      </c>
    </row>
    <row r="3037" spans="1:16">
      <c r="A3037" s="132">
        <v>3036</v>
      </c>
      <c r="B3037" s="36" t="s">
        <v>39024</v>
      </c>
      <c r="C3037" s="36" t="s">
        <v>39025</v>
      </c>
      <c r="D3037" s="36" t="s">
        <v>39026</v>
      </c>
      <c r="E3037" s="36" t="s">
        <v>39027</v>
      </c>
      <c r="F3037" s="36" t="s">
        <v>39028</v>
      </c>
      <c r="G3037" s="36" t="s">
        <v>39029</v>
      </c>
      <c r="H3037" s="36" t="s">
        <v>39030</v>
      </c>
      <c r="I3037" s="36" t="s">
        <v>39031</v>
      </c>
      <c r="J3037" s="36" t="s">
        <v>39032</v>
      </c>
      <c r="K3037" s="36" t="s">
        <v>39033</v>
      </c>
      <c r="L3037" s="36" t="s">
        <v>39034</v>
      </c>
      <c r="M3037" s="36" t="s">
        <v>39034</v>
      </c>
      <c r="N3037" s="36" t="s">
        <v>39034</v>
      </c>
      <c r="O3037" s="36" t="s">
        <v>39035</v>
      </c>
      <c r="P3037" s="36" t="s">
        <v>39024</v>
      </c>
    </row>
    <row r="3038" spans="1:16">
      <c r="A3038" s="132">
        <v>3037</v>
      </c>
      <c r="B3038" s="36" t="s">
        <v>39036</v>
      </c>
      <c r="C3038" s="36" t="s">
        <v>39037</v>
      </c>
      <c r="D3038" s="36" t="s">
        <v>39038</v>
      </c>
      <c r="E3038" s="36" t="s">
        <v>39039</v>
      </c>
      <c r="F3038" s="36" t="s">
        <v>39040</v>
      </c>
      <c r="G3038" s="36" t="s">
        <v>39041</v>
      </c>
      <c r="H3038" s="36" t="s">
        <v>39042</v>
      </c>
      <c r="I3038" s="36" t="s">
        <v>39043</v>
      </c>
      <c r="J3038" s="36" t="s">
        <v>39044</v>
      </c>
      <c r="K3038" s="36" t="s">
        <v>39045</v>
      </c>
      <c r="L3038" s="36" t="s">
        <v>39046</v>
      </c>
      <c r="M3038" s="36" t="s">
        <v>39047</v>
      </c>
      <c r="N3038" s="36" t="s">
        <v>39047</v>
      </c>
      <c r="O3038" s="36" t="s">
        <v>39048</v>
      </c>
      <c r="P3038" s="36" t="s">
        <v>39036</v>
      </c>
    </row>
    <row r="3039" spans="1:16">
      <c r="A3039" s="132">
        <v>3038</v>
      </c>
      <c r="B3039" s="36" t="s">
        <v>39160</v>
      </c>
      <c r="C3039" s="36" t="s">
        <v>39161</v>
      </c>
      <c r="D3039" s="36" t="s">
        <v>39163</v>
      </c>
      <c r="E3039" s="36" t="s">
        <v>39165</v>
      </c>
      <c r="F3039" s="36" t="s">
        <v>39167</v>
      </c>
      <c r="G3039" s="36" t="s">
        <v>39169</v>
      </c>
      <c r="H3039" s="36" t="s">
        <v>39171</v>
      </c>
      <c r="I3039" s="36" t="s">
        <v>39173</v>
      </c>
      <c r="J3039" s="36" t="s">
        <v>39175</v>
      </c>
      <c r="K3039" s="36" t="s">
        <v>39177</v>
      </c>
      <c r="L3039" s="36" t="s">
        <v>39179</v>
      </c>
      <c r="M3039" s="36" t="s">
        <v>39181</v>
      </c>
      <c r="N3039" s="36" t="s">
        <v>39183</v>
      </c>
      <c r="O3039" s="36" t="s">
        <v>39185</v>
      </c>
      <c r="P3039" s="36" t="s">
        <v>39160</v>
      </c>
    </row>
    <row r="3040" spans="1:16">
      <c r="A3040" s="132">
        <v>3039</v>
      </c>
      <c r="B3040" s="36" t="s">
        <v>39159</v>
      </c>
      <c r="C3040" s="36" t="s">
        <v>39162</v>
      </c>
      <c r="D3040" s="36" t="s">
        <v>39164</v>
      </c>
      <c r="E3040" s="36" t="s">
        <v>39166</v>
      </c>
      <c r="F3040" s="36" t="s">
        <v>39168</v>
      </c>
      <c r="G3040" s="36" t="s">
        <v>39170</v>
      </c>
      <c r="H3040" s="36" t="s">
        <v>39172</v>
      </c>
      <c r="I3040" s="36" t="s">
        <v>39174</v>
      </c>
      <c r="J3040" s="36" t="s">
        <v>39176</v>
      </c>
      <c r="K3040" s="36" t="s">
        <v>39178</v>
      </c>
      <c r="L3040" s="36" t="s">
        <v>39180</v>
      </c>
      <c r="M3040" s="36" t="s">
        <v>39182</v>
      </c>
      <c r="N3040" s="36" t="s">
        <v>39184</v>
      </c>
      <c r="O3040" s="36" t="s">
        <v>39186</v>
      </c>
      <c r="P3040" s="36" t="s">
        <v>39159</v>
      </c>
    </row>
    <row r="3041" spans="1:16">
      <c r="A3041" s="132">
        <v>3040</v>
      </c>
      <c r="B3041" s="36" t="s">
        <v>29531</v>
      </c>
      <c r="C3041" s="36" t="s">
        <v>29532</v>
      </c>
      <c r="D3041" s="36" t="s">
        <v>29533</v>
      </c>
      <c r="E3041" s="36" t="s">
        <v>29534</v>
      </c>
      <c r="F3041" s="36" t="s">
        <v>29535</v>
      </c>
      <c r="G3041" s="36" t="s">
        <v>29536</v>
      </c>
      <c r="H3041" s="36" t="s">
        <v>29537</v>
      </c>
      <c r="I3041" s="36" t="s">
        <v>29538</v>
      </c>
      <c r="J3041" s="36" t="s">
        <v>29539</v>
      </c>
      <c r="K3041" s="36" t="s">
        <v>29540</v>
      </c>
      <c r="L3041" s="36" t="s">
        <v>29541</v>
      </c>
      <c r="M3041" s="36" t="s">
        <v>29542</v>
      </c>
      <c r="N3041" s="36" t="s">
        <v>29543</v>
      </c>
      <c r="O3041" s="36" t="s">
        <v>29544</v>
      </c>
      <c r="P3041" s="36" t="s">
        <v>29531</v>
      </c>
    </row>
    <row r="3042" spans="1:16">
      <c r="A3042" s="132">
        <v>3041</v>
      </c>
      <c r="B3042" s="36" t="s">
        <v>29545</v>
      </c>
      <c r="C3042" s="36" t="s">
        <v>29546</v>
      </c>
      <c r="D3042" s="36" t="s">
        <v>29547</v>
      </c>
      <c r="E3042" s="36" t="s">
        <v>29548</v>
      </c>
      <c r="F3042" s="36" t="s">
        <v>29549</v>
      </c>
      <c r="G3042" s="36" t="s">
        <v>29550</v>
      </c>
      <c r="H3042" s="36" t="s">
        <v>29551</v>
      </c>
      <c r="I3042" s="36" t="s">
        <v>29552</v>
      </c>
      <c r="J3042" s="36" t="s">
        <v>29553</v>
      </c>
      <c r="K3042" s="36" t="s">
        <v>29554</v>
      </c>
      <c r="L3042" s="36" t="s">
        <v>29555</v>
      </c>
      <c r="M3042" s="36" t="s">
        <v>29556</v>
      </c>
      <c r="N3042" s="36" t="s">
        <v>29557</v>
      </c>
      <c r="O3042" s="36" t="s">
        <v>29558</v>
      </c>
      <c r="P3042" s="36" t="s">
        <v>29545</v>
      </c>
    </row>
    <row r="3043" spans="1:16">
      <c r="A3043" s="132">
        <v>3042</v>
      </c>
      <c r="B3043" s="36" t="s">
        <v>39052</v>
      </c>
      <c r="C3043" s="36" t="s">
        <v>39053</v>
      </c>
      <c r="D3043" s="36" t="s">
        <v>39054</v>
      </c>
      <c r="E3043" s="36" t="s">
        <v>39055</v>
      </c>
      <c r="F3043" s="36" t="s">
        <v>39056</v>
      </c>
      <c r="G3043" s="36" t="s">
        <v>39057</v>
      </c>
      <c r="H3043" s="36" t="s">
        <v>39058</v>
      </c>
      <c r="I3043" s="36" t="s">
        <v>39056</v>
      </c>
      <c r="J3043" s="36" t="s">
        <v>39059</v>
      </c>
      <c r="K3043" s="36" t="s">
        <v>39060</v>
      </c>
      <c r="L3043" s="36" t="s">
        <v>39061</v>
      </c>
      <c r="M3043" s="36" t="s">
        <v>39062</v>
      </c>
      <c r="N3043" s="36" t="s">
        <v>39063</v>
      </c>
      <c r="O3043" s="36" t="s">
        <v>39064</v>
      </c>
      <c r="P3043" s="36" t="s">
        <v>39052</v>
      </c>
    </row>
    <row r="3044" spans="1:16">
      <c r="A3044" s="132">
        <v>3043</v>
      </c>
      <c r="B3044" s="36" t="s">
        <v>39065</v>
      </c>
      <c r="C3044" s="36" t="s">
        <v>39066</v>
      </c>
      <c r="D3044" s="36" t="s">
        <v>39067</v>
      </c>
      <c r="E3044" s="36" t="s">
        <v>39068</v>
      </c>
      <c r="F3044" s="36" t="s">
        <v>39069</v>
      </c>
      <c r="G3044" s="36" t="s">
        <v>39070</v>
      </c>
      <c r="H3044" s="36" t="s">
        <v>39071</v>
      </c>
      <c r="I3044" s="36" t="s">
        <v>39072</v>
      </c>
      <c r="J3044" s="36" t="s">
        <v>39073</v>
      </c>
      <c r="K3044" s="36" t="s">
        <v>39074</v>
      </c>
      <c r="L3044" s="36" t="s">
        <v>39075</v>
      </c>
      <c r="M3044" s="36" t="s">
        <v>39076</v>
      </c>
      <c r="N3044" s="36" t="s">
        <v>39077</v>
      </c>
      <c r="O3044" s="36" t="s">
        <v>39078</v>
      </c>
      <c r="P3044" s="36" t="s">
        <v>39065</v>
      </c>
    </row>
    <row r="3045" spans="1:16">
      <c r="A3045" s="132">
        <v>3044</v>
      </c>
      <c r="B3045" s="36" t="s">
        <v>39234</v>
      </c>
      <c r="C3045" s="36" t="s">
        <v>39235</v>
      </c>
      <c r="D3045" s="36" t="s">
        <v>39236</v>
      </c>
      <c r="E3045" s="36" t="s">
        <v>39237</v>
      </c>
      <c r="F3045" s="36" t="s">
        <v>39238</v>
      </c>
      <c r="G3045" s="36" t="s">
        <v>39239</v>
      </c>
      <c r="H3045" s="36" t="s">
        <v>39240</v>
      </c>
      <c r="I3045" s="36" t="s">
        <v>39241</v>
      </c>
      <c r="J3045" s="36" t="s">
        <v>39242</v>
      </c>
      <c r="K3045" s="36" t="s">
        <v>39243</v>
      </c>
      <c r="L3045" s="36" t="s">
        <v>39244</v>
      </c>
      <c r="M3045" s="36" t="s">
        <v>39245</v>
      </c>
      <c r="N3045" s="36" t="s">
        <v>39246</v>
      </c>
      <c r="O3045" s="36" t="s">
        <v>39247</v>
      </c>
      <c r="P3045" s="36" t="s">
        <v>39234</v>
      </c>
    </row>
    <row r="3046" spans="1:16">
      <c r="A3046" s="132">
        <v>3045</v>
      </c>
      <c r="B3046" s="36" t="s">
        <v>39220</v>
      </c>
      <c r="C3046" s="36" t="s">
        <v>39221</v>
      </c>
      <c r="D3046" s="36" t="s">
        <v>39222</v>
      </c>
      <c r="E3046" s="36" t="s">
        <v>39223</v>
      </c>
      <c r="F3046" s="36" t="s">
        <v>39224</v>
      </c>
      <c r="G3046" s="36" t="s">
        <v>39225</v>
      </c>
      <c r="H3046" s="36" t="s">
        <v>39226</v>
      </c>
      <c r="I3046" s="36" t="s">
        <v>39227</v>
      </c>
      <c r="J3046" s="36" t="s">
        <v>39228</v>
      </c>
      <c r="K3046" s="36" t="s">
        <v>39229</v>
      </c>
      <c r="L3046" s="36" t="s">
        <v>39230</v>
      </c>
      <c r="M3046" s="36" t="s">
        <v>39231</v>
      </c>
      <c r="N3046" s="36" t="s">
        <v>39232</v>
      </c>
      <c r="O3046" s="36" t="s">
        <v>39233</v>
      </c>
      <c r="P3046" s="36" t="s">
        <v>39220</v>
      </c>
    </row>
  </sheetData>
  <phoneticPr fontId="43" type="noConversion"/>
  <conditionalFormatting sqref="A2:A2097 B2944:G2945 B2985:P3019 A3033:XFD3033">
    <cfRule type="expression" dxfId="132" priority="134">
      <formula>ISBLANK(A2)</formula>
    </cfRule>
  </conditionalFormatting>
  <conditionalFormatting sqref="A2157:A2234">
    <cfRule type="expression" dxfId="131" priority="6">
      <formula>ISBLANK(A2157)</formula>
    </cfRule>
  </conditionalFormatting>
  <conditionalFormatting sqref="A2942:A3032 A3035:XFD3038">
    <cfRule type="expression" dxfId="130" priority="20">
      <formula>ISBLANK(A2942)</formula>
    </cfRule>
  </conditionalFormatting>
  <conditionalFormatting sqref="A1:B1">
    <cfRule type="expression" dxfId="129" priority="136">
      <formula>ISBLANK(A1)</formula>
    </cfRule>
  </conditionalFormatting>
  <conditionalFormatting sqref="A3039:B3042">
    <cfRule type="expression" dxfId="128" priority="13">
      <formula>ISBLANK(A3039)</formula>
    </cfRule>
  </conditionalFormatting>
  <conditionalFormatting sqref="A2099:C2114">
    <cfRule type="expression" dxfId="127" priority="16">
      <formula>ISBLANK(A2099)</formula>
    </cfRule>
  </conditionalFormatting>
  <conditionalFormatting sqref="A2119:C2153">
    <cfRule type="expression" dxfId="126" priority="21">
      <formula>ISBLANK(A2119)</formula>
    </cfRule>
  </conditionalFormatting>
  <conditionalFormatting sqref="A2244:D2244 A2259:B2259 A2260">
    <cfRule type="expression" dxfId="125" priority="70">
      <formula>ISBLANK(A2244)</formula>
    </cfRule>
  </conditionalFormatting>
  <conditionalFormatting sqref="A2246:D2258">
    <cfRule type="expression" dxfId="124" priority="29">
      <formula>ISBLANK(A2246)</formula>
    </cfRule>
  </conditionalFormatting>
  <conditionalFormatting sqref="A2261:D2272 A2273:C2274 A2275:D2277 A2278:C2278 A2279:D2279 A2280:C2280 A2281:D2281 A2282:C2283 A2284:D2290 A2291:C2293 A2294:D2300 A2301:C2301 A2302:D2303 A2304:C2304 A2305:D2307 A2308:C2309 A2310:D2314 A2315:C2315 A2316:D2316 A2317:C2317 A2318:D2318 A2319:C2319 A2320:D2320 A2321:C2322 A2323:D2333 A2334:C2336 A2337:D2338 A2339:C2340 A2341:D2341 A2342:C2342 A2343:D2345 A2346:C2346 A2347:D2350 A2351:C2351 A2352:D2354 A2355:C2355 A2356:D2367 A2368:C2368 A2369:D2370 A2371:C2371 A2372:D2372 A2373:C2373 A2374:D2377 A2378:C2378 A2379:D2381 A2382:C2382 A2383:D2383 A2384:C2384 A2385:D2388 A2389:C2390 A2391:D2397 A2398:C2399 A2400:D2408 A2409:C2409 A2410:D2415 A2416:C2416 A2417:D2418 A2419:C2419 A2420:D2420 A2421:C2421 A2422:D2427 A2428:C2429 A2430:D2432 A2433:C2433 A2434:D2434 A2435:C2435 A2436:D2439 A2440:C2441 A2442:D2442 A2443:C2443 A2444:D2446 A2447:C2448 A2449:D2451 A2452:C2453 A2454:D2458 A2459:C2460 A2461:D2462 A2463:C2465 A2466:D2466 A2467:C2467 A2468:D2468 A2469:C2470 A2471:D2472 A2473:C2474 A2475:D2479 A2480:C2483 A2484:D2485 A2486:C2486 A2487:D2488 A2489:C2489 A2490:D2491 A2492:C2492 A2493:D2498 A2499:C2500 A2501:D2501 A2502:C2502 A2503:D2513 A2514:C2514 A2515:D2517 A2518:C2518 A2519:D2521 A2522:C2522 A2523:D2523 A2524:C2526 A2527:D2533 A2534:C2534 A2535:D2545 A2546:C2547 A2548:D2549 A2550:C2550 A2551:D2565 A2566:C2566 A2567:D2567 A2568:C2569 A2570:D2574 A2575:C2577 A2578:D2578 A2579:C2580 E2581:O2581 A2581:D2583 A2584:C2585 A2586:D2600 A2601:C2603 A2604:D2610 A2611:C2611 A2612:D2614 A2615:C2616 A2617:D2620 A2621:C2621 A2622:D2625 A2626:C2626 A2627:D2627 A2628:C2628 A2629:D2630 A2631:C2631 A2632:D2642 A2643:C2643 A2644:D2644 A2645:C2645 A2646:D2648 A2649:C2649 A2650:D2653 A2654:P2654 A2655:D2655 A2656:C2656 A2657:D2659 A2660:C2662 A2663:D2673 A2674:C2674 A2675:D2676 A2677:C2677 A2678:D2680 A2681:C2682 A2683:D2692 A2693:C2697 A2698:D2699 A2700:C2700 A2701:D2714 A2715:C2717 A2718:D2721 A2722:C2723 A2724:D2726 A2727:C2728 A2729:D2740 A2741:C2741 A2742:D2750 A2751:C2752 A2753:D2765 A2766:C2766 A2767:D2770 A2771:C2771 A2772:D2772 A2773:C2774 A2775:D2776 A2777:C2777 A2778:D2779 A2780:C2780 A2781:D2784 A2785:C2785 A2786:D2786 A2787:C2787 A2788:D2789 A2790:C2790 A2791:D2792 A2793:C2793 A2794:D2794 A2795:C2796 A2797:D2800 A2801:C2801 A2802:D2802 A2803:C2803 A2804:D2808 A2809:C2811 A2812:D2814 A2815:C2816 A2817:D2821 A2822:C2822 A2823:D2835 A2836:C2836 A2837:D2837 A2838:C2839 A2840:D2843 A2844:C2844 A2845:D2847 A2848:C2849 A2850:D2854 A2855:C2855 A2856:D2859 A2860:C2860 A2861:D2876 A2877:C2877 A2878:D2883 A2884:C2884 A2885:D2886 A2887:C2887 A2888:D2889 A2890:C2890 A2891:D2892 A2893:C2893 H2894:O2894 A2894:D2898 A2899:C2901 A2902:D2909 A2910:C2910 A2911:D2913 A2914:C2914 A2915:D2916 A2917:C2918 A2919:D2920 A2921:C2921 A2922:D2926 A2927:C2927 A2928:D2928 A2929:C2930 A2931:D2941">
    <cfRule type="expression" dxfId="123" priority="65">
      <formula>ISBLANK(A2261)</formula>
    </cfRule>
  </conditionalFormatting>
  <conditionalFormatting sqref="A3034:E3034">
    <cfRule type="expression" dxfId="122" priority="19">
      <formula>ISBLANK(A3034)</formula>
    </cfRule>
  </conditionalFormatting>
  <conditionalFormatting sqref="A3043:P3044">
    <cfRule type="expression" dxfId="121" priority="9">
      <formula>ISBLANK(A3043)</formula>
    </cfRule>
  </conditionalFormatting>
  <conditionalFormatting sqref="A3045:XFD1048576">
    <cfRule type="expression" dxfId="120" priority="1">
      <formula>ISBLANK(A3045)</formula>
    </cfRule>
  </conditionalFormatting>
  <conditionalFormatting sqref="B2:B325 B327:B1931">
    <cfRule type="expression" dxfId="119" priority="48">
      <formula>ISBLANK(B2)</formula>
    </cfRule>
  </conditionalFormatting>
  <conditionalFormatting sqref="B2958:B2962">
    <cfRule type="expression" dxfId="118" priority="38">
      <formula>ISBLANK(B2958)</formula>
    </cfRule>
  </conditionalFormatting>
  <conditionalFormatting sqref="B1933:C1959 B1960 B1961:C1962 B1963 B1964:C1971 B1972:B1975 B1976:C1977 B1978:B2010 B2011:C2013 B2014:B2029 B2030:C2096">
    <cfRule type="expression" dxfId="117" priority="92">
      <formula>ISBLANK(B1933)</formula>
    </cfRule>
  </conditionalFormatting>
  <conditionalFormatting sqref="B2157:C2186">
    <cfRule type="expression" dxfId="116" priority="72">
      <formula>ISBLANK(B2157)</formula>
    </cfRule>
  </conditionalFormatting>
  <conditionalFormatting sqref="B2238:C2244 A2245:B2245 B2259:B2260 B2261:C2271">
    <cfRule type="expression" dxfId="115" priority="68">
      <formula>ISBLANK(A2238)</formula>
    </cfRule>
  </conditionalFormatting>
  <conditionalFormatting sqref="B2942:D2943">
    <cfRule type="expression" dxfId="114" priority="62">
      <formula>ISBLANK(B2942)</formula>
    </cfRule>
  </conditionalFormatting>
  <conditionalFormatting sqref="B2968:K2969">
    <cfRule type="expression" dxfId="113" priority="23">
      <formula>ISBLANK(B2968)</formula>
    </cfRule>
  </conditionalFormatting>
  <conditionalFormatting sqref="B2983:K2984">
    <cfRule type="expression" dxfId="112" priority="32">
      <formula>ISBLANK(B2983)</formula>
    </cfRule>
  </conditionalFormatting>
  <conditionalFormatting sqref="B326:P326">
    <cfRule type="expression" dxfId="111" priority="8">
      <formula>ISBLANK(B326)</formula>
    </cfRule>
  </conditionalFormatting>
  <conditionalFormatting sqref="B2232:P2232">
    <cfRule type="expression" dxfId="110" priority="66">
      <formula>ISBLANK(B2232)</formula>
    </cfRule>
  </conditionalFormatting>
  <conditionalFormatting sqref="B2947:P2947 M2948:P2948">
    <cfRule type="expression" dxfId="109" priority="46">
      <formula>ISBLANK(B2947)</formula>
    </cfRule>
  </conditionalFormatting>
  <conditionalFormatting sqref="B2963:P2967">
    <cfRule type="expression" dxfId="108" priority="25">
      <formula>ISBLANK(B2963)</formula>
    </cfRule>
  </conditionalFormatting>
  <conditionalFormatting sqref="B2971:P2982">
    <cfRule type="expression" dxfId="107" priority="31">
      <formula>ISBLANK(B2971)</formula>
    </cfRule>
  </conditionalFormatting>
  <conditionalFormatting sqref="B2946:XFD2946 B2948:B2953">
    <cfRule type="expression" dxfId="106" priority="42">
      <formula>ISBLANK(B2946)</formula>
    </cfRule>
  </conditionalFormatting>
  <conditionalFormatting sqref="B2954:XFD2957">
    <cfRule type="expression" dxfId="105" priority="40">
      <formula>ISBLANK(B2954)</formula>
    </cfRule>
  </conditionalFormatting>
  <conditionalFormatting sqref="B3020:XFD3032">
    <cfRule type="expression" dxfId="104" priority="17">
      <formula>ISBLANK(B3020)</formula>
    </cfRule>
  </conditionalFormatting>
  <conditionalFormatting sqref="C327:C1904">
    <cfRule type="expression" dxfId="103" priority="55">
      <formula>ISBLANK(C327)</formula>
    </cfRule>
  </conditionalFormatting>
  <conditionalFormatting sqref="C1906:C1929">
    <cfRule type="expression" dxfId="102" priority="133">
      <formula>ISBLANK(C1906)</formula>
    </cfRule>
  </conditionalFormatting>
  <conditionalFormatting sqref="C1931">
    <cfRule type="expression" dxfId="101" priority="135">
      <formula>ISBLANK(C1931)</formula>
    </cfRule>
  </conditionalFormatting>
  <conditionalFormatting sqref="C2253:D2258">
    <cfRule type="expression" dxfId="100" priority="30">
      <formula>ISBLANK(C2253)</formula>
    </cfRule>
  </conditionalFormatting>
  <conditionalFormatting sqref="C1:K325 H327:K1918 K1921 H1922:L1923 G1931:L1931 J1936 L1936 J1950:J1952 L1950:N1952">
    <cfRule type="expression" dxfId="99" priority="49">
      <formula>ISBLANK(C1)</formula>
    </cfRule>
  </conditionalFormatting>
  <conditionalFormatting sqref="C2948:K2948">
    <cfRule type="expression" dxfId="98" priority="45">
      <formula>ISBLANK(C2948)</formula>
    </cfRule>
  </conditionalFormatting>
  <conditionalFormatting sqref="C2961:K2962">
    <cfRule type="expression" dxfId="97" priority="36">
      <formula>ISBLANK(C2961)</formula>
    </cfRule>
  </conditionalFormatting>
  <conditionalFormatting sqref="C3042:K3042">
    <cfRule type="expression" dxfId="96" priority="14">
      <formula>ISBLANK(C3042)</formula>
    </cfRule>
  </conditionalFormatting>
  <conditionalFormatting sqref="C2952:P2953">
    <cfRule type="expression" dxfId="95" priority="41">
      <formula>ISBLANK(C2952)</formula>
    </cfRule>
  </conditionalFormatting>
  <conditionalFormatting sqref="C2958:P2960">
    <cfRule type="expression" dxfId="94" priority="39">
      <formula>ISBLANK(C2958)</formula>
    </cfRule>
  </conditionalFormatting>
  <conditionalFormatting sqref="C2974:P2979">
    <cfRule type="expression" dxfId="93" priority="35">
      <formula>ISBLANK(C2974)</formula>
    </cfRule>
  </conditionalFormatting>
  <conditionalFormatting sqref="C3039:P3041">
    <cfRule type="expression" dxfId="92" priority="11">
      <formula>ISBLANK(C3039)</formula>
    </cfRule>
  </conditionalFormatting>
  <conditionalFormatting sqref="D327:D1645 N327:N1923 N1936 N1944">
    <cfRule type="expression" dxfId="91" priority="54">
      <formula>ISBLANK(D327)</formula>
    </cfRule>
  </conditionalFormatting>
  <conditionalFormatting sqref="D1648:D1700">
    <cfRule type="expression" dxfId="90" priority="84">
      <formula>ISBLANK(D1648)</formula>
    </cfRule>
  </conditionalFormatting>
  <conditionalFormatting sqref="D1703:D1705 D1707:D1754 D1756:D1758 D1762:D1778 D1780:D1782 D1784:D1786 D1788:D1790 D1792:D1816">
    <cfRule type="expression" dxfId="89" priority="88">
      <formula>ISBLANK(D1703)</formula>
    </cfRule>
  </conditionalFormatting>
  <conditionalFormatting sqref="D1818:D1919">
    <cfRule type="expression" dxfId="88" priority="87">
      <formula>ISBLANK(D1818)</formula>
    </cfRule>
  </conditionalFormatting>
  <conditionalFormatting sqref="D1921:D1928">
    <cfRule type="expression" dxfId="87" priority="89">
      <formula>ISBLANK(D1921)</formula>
    </cfRule>
  </conditionalFormatting>
  <conditionalFormatting sqref="D1931:D1933">
    <cfRule type="expression" dxfId="86" priority="86">
      <formula>ISBLANK(D1931)</formula>
    </cfRule>
  </conditionalFormatting>
  <conditionalFormatting sqref="D1937:D1968 D1970">
    <cfRule type="expression" dxfId="85" priority="85">
      <formula>ISBLANK(D1937)</formula>
    </cfRule>
  </conditionalFormatting>
  <conditionalFormatting sqref="D1972:D1973 D1975:D1991 D1993:D2000 D2011:D2186">
    <cfRule type="expression" dxfId="84" priority="71">
      <formula>ISBLANK(D1972)</formula>
    </cfRule>
  </conditionalFormatting>
  <conditionalFormatting sqref="D2238:D2241 F2238:K2241">
    <cfRule type="expression" dxfId="83" priority="80">
      <formula>ISBLANK(D2238)</formula>
    </cfRule>
  </conditionalFormatting>
  <conditionalFormatting sqref="D2243 F2243:K2243">
    <cfRule type="expression" dxfId="82" priority="78">
      <formula>ISBLANK(D2243)</formula>
    </cfRule>
  </conditionalFormatting>
  <conditionalFormatting sqref="D2260">
    <cfRule type="expression" dxfId="81" priority="67">
      <formula>ISBLANK(D2260)</formula>
    </cfRule>
  </conditionalFormatting>
  <conditionalFormatting sqref="E2235:E2259">
    <cfRule type="expression" dxfId="80" priority="27">
      <formula>ISBLANK(E2235)</formula>
    </cfRule>
  </conditionalFormatting>
  <conditionalFormatting sqref="E327:G497 F499 F502:F844 F846:F1341 L1049:L1425 F1343:F1359 F1361:F1517 F1519:F1939 F1941:F1945">
    <cfRule type="expression" dxfId="79" priority="52">
      <formula>ISBLANK(E327)</formula>
    </cfRule>
  </conditionalFormatting>
  <conditionalFormatting sqref="F2942:G2943">
    <cfRule type="expression" dxfId="78" priority="61">
      <formula>ISBLANK(F2942)</formula>
    </cfRule>
  </conditionalFormatting>
  <conditionalFormatting sqref="F2165:J2165 L2165:O2165 F2166:O2167 F2170:P2171">
    <cfRule type="expression" dxfId="77" priority="100">
      <formula>ISBLANK(F2165)</formula>
    </cfRule>
  </conditionalFormatting>
  <conditionalFormatting sqref="F2101:K2102">
    <cfRule type="expression" dxfId="76" priority="107">
      <formula>ISBLANK(F2101)</formula>
    </cfRule>
  </conditionalFormatting>
  <conditionalFormatting sqref="F2104:K2104">
    <cfRule type="expression" dxfId="75" priority="105">
      <formula>ISBLANK(F2104)</formula>
    </cfRule>
  </conditionalFormatting>
  <conditionalFormatting sqref="F2163:K2164">
    <cfRule type="expression" dxfId="74" priority="93">
      <formula>ISBLANK(F2163)</formula>
    </cfRule>
  </conditionalFormatting>
  <conditionalFormatting sqref="F2168:K2169">
    <cfRule type="expression" dxfId="73" priority="97">
      <formula>ISBLANK(F2168)</formula>
    </cfRule>
  </conditionalFormatting>
  <conditionalFormatting sqref="F2172:K2176">
    <cfRule type="expression" dxfId="72" priority="95">
      <formula>ISBLANK(F2172)</formula>
    </cfRule>
  </conditionalFormatting>
  <conditionalFormatting sqref="F2178:K2185">
    <cfRule type="expression" dxfId="71" priority="74">
      <formula>ISBLANK(F2178)</formula>
    </cfRule>
  </conditionalFormatting>
  <conditionalFormatting sqref="F1956:P1956 F1967:G1967 I1967:M1967 O1967:P1967 F2030:I2094 F2097:P2100">
    <cfRule type="expression" dxfId="70" priority="103">
      <formula>ISBLANK(F1956)</formula>
    </cfRule>
  </conditionalFormatting>
  <conditionalFormatting sqref="F2107:P2109 F2111 A2115:B2115 A2116:C2117 F2117:P2117 A2118:B2118 F2121:P2121 F2123:P2127 F2130:P2147 A2154:B2156">
    <cfRule type="expression" dxfId="69" priority="101">
      <formula>ISBLANK(A2107)</formula>
    </cfRule>
  </conditionalFormatting>
  <conditionalFormatting sqref="F2235:P2235 A2235:D2237 A2238:A2243 B2242:D2242 F2242:P2242">
    <cfRule type="expression" dxfId="68" priority="83">
      <formula>ISBLANK(A2235)</formula>
    </cfRule>
  </conditionalFormatting>
  <conditionalFormatting sqref="F2246:P2258">
    <cfRule type="expression" dxfId="67" priority="28">
      <formula>ISBLANK(F2246)</formula>
    </cfRule>
  </conditionalFormatting>
  <conditionalFormatting sqref="F2112:XFD2112">
    <cfRule type="expression" dxfId="66" priority="44">
      <formula>ISBLANK(F2112)</formula>
    </cfRule>
  </conditionalFormatting>
  <conditionalFormatting sqref="G499:G844 G846:G1299">
    <cfRule type="expression" dxfId="65" priority="132">
      <formula>ISBLANK(G499)</formula>
    </cfRule>
  </conditionalFormatting>
  <conditionalFormatting sqref="G1302:G1918 G1922 G1944 G1946:G1955">
    <cfRule type="expression" dxfId="64" priority="51">
      <formula>ISBLANK(G1302)</formula>
    </cfRule>
  </conditionalFormatting>
  <conditionalFormatting sqref="G1958 C2097:C2098">
    <cfRule type="expression" dxfId="63" priority="104">
      <formula>ISBLANK(C1958)</formula>
    </cfRule>
  </conditionalFormatting>
  <conditionalFormatting sqref="G2301:M2301 O2301:P2301 E2303:P2303 E2938:E2943">
    <cfRule type="expression" dxfId="62" priority="60">
      <formula>ISBLANK(E2301)</formula>
    </cfRule>
  </conditionalFormatting>
  <conditionalFormatting sqref="H1919:H1921 H1924:H1930">
    <cfRule type="expression" dxfId="61" priority="50">
      <formula>ISBLANK(H1919)</formula>
    </cfRule>
  </conditionalFormatting>
  <conditionalFormatting sqref="H1933:H1945">
    <cfRule type="expression" dxfId="60" priority="129">
      <formula>ISBLANK(H1933)</formula>
    </cfRule>
  </conditionalFormatting>
  <conditionalFormatting sqref="H2942:K2945">
    <cfRule type="expression" dxfId="59" priority="58">
      <formula>ISBLANK(H2942)</formula>
    </cfRule>
  </conditionalFormatting>
  <conditionalFormatting sqref="J2160 L2160:N2160 J2162 L2162:N2162">
    <cfRule type="expression" dxfId="58" priority="91">
      <formula>ISBLANK(J2160)</formula>
    </cfRule>
  </conditionalFormatting>
  <conditionalFormatting sqref="J2177 L2177:N2177">
    <cfRule type="expression" dxfId="57" priority="90">
      <formula>ISBLANK(J2177)</formula>
    </cfRule>
  </conditionalFormatting>
  <conditionalFormatting sqref="J2040:K2040">
    <cfRule type="expression" dxfId="56" priority="126">
      <formula>ISBLANK(J2040)</formula>
    </cfRule>
  </conditionalFormatting>
  <conditionalFormatting sqref="J2043:K2047">
    <cfRule type="expression" dxfId="55" priority="124">
      <formula>ISBLANK(J2043)</formula>
    </cfRule>
  </conditionalFormatting>
  <conditionalFormatting sqref="J2062:K2063">
    <cfRule type="expression" dxfId="54" priority="119">
      <formula>ISBLANK(J2062)</formula>
    </cfRule>
  </conditionalFormatting>
  <conditionalFormatting sqref="J2068:K2068">
    <cfRule type="expression" dxfId="53" priority="115">
      <formula>ISBLANK(J2068)</formula>
    </cfRule>
  </conditionalFormatting>
  <conditionalFormatting sqref="J2083:K2085">
    <cfRule type="expression" dxfId="52" priority="112">
      <formula>ISBLANK(J2083)</formula>
    </cfRule>
  </conditionalFormatting>
  <conditionalFormatting sqref="J2092:K2093">
    <cfRule type="expression" dxfId="51" priority="110">
      <formula>ISBLANK(J2092)</formula>
    </cfRule>
  </conditionalFormatting>
  <conditionalFormatting sqref="J2050:O2061">
    <cfRule type="expression" dxfId="50" priority="121">
      <formula>ISBLANK(J2050)</formula>
    </cfRule>
  </conditionalFormatting>
  <conditionalFormatting sqref="J2041:P2041 J2042:O2042 J2048:P2049 A2098:B2098 F2103:P2103 F2105:P2105 F2106 P2106">
    <cfRule type="expression" dxfId="49" priority="128">
      <formula>ISBLANK(A2041)</formula>
    </cfRule>
  </conditionalFormatting>
  <conditionalFormatting sqref="J2064:P2067 J2086:P2091">
    <cfRule type="expression" dxfId="48" priority="117">
      <formula>ISBLANK(J2064)</formula>
    </cfRule>
  </conditionalFormatting>
  <conditionalFormatting sqref="J2069:P2082">
    <cfRule type="expression" dxfId="47" priority="114">
      <formula>ISBLANK(J2069)</formula>
    </cfRule>
  </conditionalFormatting>
  <conditionalFormatting sqref="J2094:P2094 P2095:P2096 B2097">
    <cfRule type="expression" dxfId="46" priority="109">
      <formula>ISBLANK(B2094)</formula>
    </cfRule>
  </conditionalFormatting>
  <conditionalFormatting sqref="L1 L1427:L1918">
    <cfRule type="expression" dxfId="45" priority="131">
      <formula>ISBLANK(L1)</formula>
    </cfRule>
  </conditionalFormatting>
  <conditionalFormatting sqref="L3:L7">
    <cfRule type="expression" dxfId="44" priority="130">
      <formula>ISBLANK(L3)</formula>
    </cfRule>
  </conditionalFormatting>
  <conditionalFormatting sqref="L2169">
    <cfRule type="expression" dxfId="43" priority="99">
      <formula>ISBLANK(L2169)</formula>
    </cfRule>
  </conditionalFormatting>
  <conditionalFormatting sqref="L2180">
    <cfRule type="expression" dxfId="42" priority="77">
      <formula>ISBLANK(L2180)</formula>
    </cfRule>
  </conditionalFormatting>
  <conditionalFormatting sqref="L2240:L2241">
    <cfRule type="expression" dxfId="41" priority="81">
      <formula>ISBLANK(L2240)</formula>
    </cfRule>
  </conditionalFormatting>
  <conditionalFormatting sqref="L2943">
    <cfRule type="expression" dxfId="40" priority="63">
      <formula>ISBLANK(L2943)</formula>
    </cfRule>
  </conditionalFormatting>
  <conditionalFormatting sqref="L2984:P2984">
    <cfRule type="expression" dxfId="39" priority="26">
      <formula>ISBLANK(L2984)</formula>
    </cfRule>
  </conditionalFormatting>
  <conditionalFormatting sqref="M327:M1918">
    <cfRule type="expression" dxfId="38" priority="56">
      <formula>ISBLANK(M327)</formula>
    </cfRule>
  </conditionalFormatting>
  <conditionalFormatting sqref="M2043:O2047">
    <cfRule type="expression" dxfId="37" priority="125">
      <formula>ISBLANK(M2043)</formula>
    </cfRule>
  </conditionalFormatting>
  <conditionalFormatting sqref="M2062:O2063">
    <cfRule type="expression" dxfId="36" priority="120">
      <formula>ISBLANK(M2062)</formula>
    </cfRule>
  </conditionalFormatting>
  <conditionalFormatting sqref="M2163:O2164">
    <cfRule type="expression" dxfId="35" priority="94">
      <formula>ISBLANK(M2163)</formula>
    </cfRule>
  </conditionalFormatting>
  <conditionalFormatting sqref="M2168:O2169">
    <cfRule type="expression" dxfId="34" priority="98">
      <formula>ISBLANK(M2168)</formula>
    </cfRule>
  </conditionalFormatting>
  <conditionalFormatting sqref="M2172:O2176">
    <cfRule type="expression" dxfId="33" priority="96">
      <formula>ISBLANK(M2172)</formula>
    </cfRule>
  </conditionalFormatting>
  <conditionalFormatting sqref="M2178:O2185">
    <cfRule type="expression" dxfId="32" priority="75">
      <formula>ISBLANK(M2178)</formula>
    </cfRule>
  </conditionalFormatting>
  <conditionalFormatting sqref="M2238:O2241">
    <cfRule type="expression" dxfId="31" priority="82">
      <formula>ISBLANK(M2238)</formula>
    </cfRule>
  </conditionalFormatting>
  <conditionalFormatting sqref="M2243:O2243">
    <cfRule type="expression" dxfId="30" priority="79">
      <formula>ISBLANK(M2243)</formula>
    </cfRule>
  </conditionalFormatting>
  <conditionalFormatting sqref="M1:P325">
    <cfRule type="expression" dxfId="29" priority="7">
      <formula>ISBLANK(M1)</formula>
    </cfRule>
  </conditionalFormatting>
  <conditionalFormatting sqref="M2040:P2040">
    <cfRule type="expression" dxfId="28" priority="127">
      <formula>ISBLANK(M2040)</formula>
    </cfRule>
  </conditionalFormatting>
  <conditionalFormatting sqref="M2068:P2068">
    <cfRule type="expression" dxfId="27" priority="116">
      <formula>ISBLANK(M2068)</formula>
    </cfRule>
  </conditionalFormatting>
  <conditionalFormatting sqref="M2083:P2085">
    <cfRule type="expression" dxfId="26" priority="113">
      <formula>ISBLANK(M2083)</formula>
    </cfRule>
  </conditionalFormatting>
  <conditionalFormatting sqref="M2092:P2093">
    <cfRule type="expression" dxfId="25" priority="111">
      <formula>ISBLANK(M2092)</formula>
    </cfRule>
  </conditionalFormatting>
  <conditionalFormatting sqref="M2101:P2102">
    <cfRule type="expression" dxfId="24" priority="108">
      <formula>ISBLANK(M2101)</formula>
    </cfRule>
  </conditionalFormatting>
  <conditionalFormatting sqref="M2104:P2104">
    <cfRule type="expression" dxfId="23" priority="106">
      <formula>ISBLANK(M2104)</formula>
    </cfRule>
  </conditionalFormatting>
  <conditionalFormatting sqref="M2942:P2945">
    <cfRule type="expression" dxfId="22" priority="57">
      <formula>ISBLANK(M2942)</formula>
    </cfRule>
  </conditionalFormatting>
  <conditionalFormatting sqref="M2961:P2962">
    <cfRule type="expression" dxfId="21" priority="37">
      <formula>ISBLANK(M2961)</formula>
    </cfRule>
  </conditionalFormatting>
  <conditionalFormatting sqref="M2968:P2969">
    <cfRule type="expression" dxfId="20" priority="24">
      <formula>ISBLANK(M2968)</formula>
    </cfRule>
  </conditionalFormatting>
  <conditionalFormatting sqref="M2983:P2983">
    <cfRule type="expression" dxfId="19" priority="33">
      <formula>ISBLANK(M2983)</formula>
    </cfRule>
  </conditionalFormatting>
  <conditionalFormatting sqref="M3042:P3042">
    <cfRule type="expression" dxfId="18" priority="12">
      <formula>ISBLANK(M3042)</formula>
    </cfRule>
  </conditionalFormatting>
  <conditionalFormatting sqref="O327:O1918 E499:E1949 O1920 O1922:O1923 N1931:O1931 E1951:E2186">
    <cfRule type="expression" dxfId="17" priority="53">
      <formula>ISBLANK(E327)</formula>
    </cfRule>
  </conditionalFormatting>
  <conditionalFormatting sqref="P327:P1955">
    <cfRule type="expression" dxfId="16" priority="47">
      <formula>ISBLANK(P327)</formula>
    </cfRule>
  </conditionalFormatting>
  <conditionalFormatting sqref="P1957:P1966 P1968:P2029 J1974 J2030:P2039">
    <cfRule type="expression" dxfId="15" priority="123">
      <formula>ISBLANK(J1957)</formula>
    </cfRule>
  </conditionalFormatting>
  <conditionalFormatting sqref="P2042:P2047">
    <cfRule type="expression" dxfId="14" priority="122">
      <formula>ISBLANK(P2042)</formula>
    </cfRule>
  </conditionalFormatting>
  <conditionalFormatting sqref="P2050:P2063">
    <cfRule type="expression" dxfId="13" priority="118">
      <formula>ISBLANK(P2050)</formula>
    </cfRule>
  </conditionalFormatting>
  <conditionalFormatting sqref="P2110:P2111 P2113:P2116 P2118:P2120 P2122 P2128:P2129">
    <cfRule type="expression" dxfId="12" priority="102">
      <formula>ISBLANK(P2110)</formula>
    </cfRule>
  </conditionalFormatting>
  <conditionalFormatting sqref="P2148:P2169">
    <cfRule type="expression" dxfId="11" priority="22">
      <formula>ISBLANK(P2148)</formula>
    </cfRule>
  </conditionalFormatting>
  <conditionalFormatting sqref="P2172:P2186">
    <cfRule type="expression" dxfId="10" priority="73">
      <formula>ISBLANK(P2172)</formula>
    </cfRule>
  </conditionalFormatting>
  <conditionalFormatting sqref="P2236:P2245 F2244:O2244 P2259:P2300 P2302 P2304:P2653 P2655:P2937 F2938:P2941">
    <cfRule type="expression" dxfId="9" priority="64">
      <formula>ISBLANK(F2236)</formula>
    </cfRule>
  </conditionalFormatting>
  <conditionalFormatting sqref="P2249">
    <cfRule type="expression" dxfId="8" priority="69">
      <formula>ISBLANK(P2249)</formula>
    </cfRule>
  </conditionalFormatting>
  <conditionalFormatting sqref="P2980">
    <cfRule type="expression" dxfId="7" priority="34">
      <formula>ISBLANK(P2980)</formula>
    </cfRule>
  </conditionalFormatting>
  <conditionalFormatting sqref="P3034:XFD3034">
    <cfRule type="expression" dxfId="6" priority="18">
      <formula>ISBLANK(P3034)</formula>
    </cfRule>
  </conditionalFormatting>
  <conditionalFormatting sqref="Q1:XFD1931">
    <cfRule type="expression" dxfId="5" priority="137">
      <formula>ISBLANK(Q1)</formula>
    </cfRule>
  </conditionalFormatting>
  <conditionalFormatting sqref="Q1933:XFD2111">
    <cfRule type="expression" dxfId="4" priority="59">
      <formula>ISBLANK(Q1933)</formula>
    </cfRule>
  </conditionalFormatting>
  <conditionalFormatting sqref="Q2113:XFD2945">
    <cfRule type="expression" dxfId="3" priority="5">
      <formula>ISBLANK(Q2113)</formula>
    </cfRule>
  </conditionalFormatting>
  <conditionalFormatting sqref="Q2947:XFD2953 Q2958:XFD3019">
    <cfRule type="expression" dxfId="2" priority="43">
      <formula>ISBLANK(Q2947)</formula>
    </cfRule>
  </conditionalFormatting>
  <conditionalFormatting sqref="Q3039:XFD3044">
    <cfRule type="expression" dxfId="1" priority="15">
      <formula>ISBLANK(Q3039)</formula>
    </cfRule>
  </conditionalFormatting>
  <hyperlinks>
    <hyperlink ref="C3015" r:id="rId1" display="https://re.jrc.ec.europa.eu/pvg_tools/en/" xr:uid="{98C6B9F1-DC7B-44D4-AF05-8BCD8B8F4440}"/>
    <hyperlink ref="D3015" r:id="rId2" display="https://re.jrc.ec.europa.eu/pvg_tools/en/" xr:uid="{5FD8EE83-3A91-4F3F-8935-26748739CA76}"/>
    <hyperlink ref="E3015" r:id="rId3" display="https://re.jrc.ec.europa.eu/pvg_tools/en/" xr:uid="{64EEF3A3-973C-4800-892E-1CD40BBAF5C7}"/>
    <hyperlink ref="F3015" r:id="rId4" display="https://re.jrc.ec.europa.eu/pvg_tools/en/" xr:uid="{03E0F378-0CA3-470B-A2E6-F8E1BCD1025F}"/>
    <hyperlink ref="G3015" r:id="rId5" display="https://re.jrc.ec.europa.eu/pvg_tools/en/" xr:uid="{F50ADF7A-C6A0-48BD-87C9-5944977C5EEE}"/>
    <hyperlink ref="H3015" r:id="rId6" display="https://re.jrc.ec.europa.eu/pvg_tools/en/" xr:uid="{F70BA6F6-2EEF-42F0-8F76-A088C93A3284}"/>
    <hyperlink ref="I3015" r:id="rId7" display="https://re.jrc.ec.europa.eu/pvg_tools/en/" xr:uid="{81641E76-1E69-40C3-A393-A9B35D010B42}"/>
    <hyperlink ref="J3015" r:id="rId8" display="https://re.jrc.ec.europa.eu/pvg_tools/en/" xr:uid="{F23EA88E-4827-4E39-8D28-F1911C2A4F77}"/>
    <hyperlink ref="K3015" r:id="rId9" display="https://re.jrc.ec.europa.eu/pvg_tools/en/" xr:uid="{6211B0B3-EC5E-43AB-8E46-9A404591659D}"/>
    <hyperlink ref="L3015" r:id="rId10" display="https://re.jrc.ec.europa.eu/pvg_tools/en/" xr:uid="{74D3CC65-F841-4BC6-98CB-AEB72449C1B6}"/>
    <hyperlink ref="M3015" r:id="rId11" display="https://re.jrc.ec.europa.eu/pvg_tools/en/" xr:uid="{7C0154D2-EC0B-4A8A-B348-DDDC7065806E}"/>
    <hyperlink ref="N3015" r:id="rId12" display="https://re.jrc.ec.europa.eu/pvg_tools/en/" xr:uid="{0B28ABB9-C7C1-47A4-8A87-27C7C41689CC}"/>
    <hyperlink ref="O3015" r:id="rId13" display="https://re.jrc.ec.europa.eu/pvg_tools/en/" xr:uid="{9E1D675B-79F6-467D-96A7-5A747C9762E9}"/>
  </hyperlinks>
  <pageMargins left="0.7" right="0.7" top="0.78740157499999996" bottom="0.78740157499999996" header="0.3" footer="0.3"/>
  <pageSetup paperSize="9" orientation="portrait" r:id="rId14"/>
  <legacyDrawing r:id="rId1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dimension ref="A1:G297"/>
  <sheetViews>
    <sheetView topLeftCell="A46" workbookViewId="0">
      <selection activeCell="G66" sqref="G66"/>
    </sheetView>
  </sheetViews>
  <sheetFormatPr baseColWidth="10" defaultColWidth="11.44140625" defaultRowHeight="14.4"/>
  <cols>
    <col min="1" max="1" width="59.109375" customWidth="1"/>
    <col min="2" max="4" width="11.44140625" customWidth="1"/>
    <col min="5" max="5" width="47.44140625" bestFit="1" customWidth="1"/>
    <col min="7" max="7" width="15" customWidth="1"/>
  </cols>
  <sheetData>
    <row r="1" spans="1:6">
      <c r="A1" s="6"/>
      <c r="F1" s="6"/>
    </row>
    <row r="2" spans="1:6">
      <c r="A2" s="6" t="str">
        <f>VLOOKUP(2193,Sprachindex!$A:$Z,Info!$O$7,FALSE)</f>
        <v>2,8/25 (1 kg = ca. 570 St.)</v>
      </c>
      <c r="B2">
        <v>2.5</v>
      </c>
      <c r="F2" s="6"/>
    </row>
    <row r="3" spans="1:6">
      <c r="A3" s="6" t="str">
        <f>VLOOKUP(2194,Sprachindex!$A:$Z,Info!$O$7,FALSE)</f>
        <v>2,8/30 (1 kg = ca. 480 St.)</v>
      </c>
      <c r="B3">
        <v>2.5</v>
      </c>
      <c r="F3" s="6"/>
    </row>
    <row r="4" spans="1:6">
      <c r="A4" s="6" t="str">
        <f>VLOOKUP(2195,Sprachindex!$A:$Z,Info!$O$7,FALSE)</f>
        <v>2,8/40 (1 kg = ca. 380 St.)</v>
      </c>
      <c r="B4">
        <v>2</v>
      </c>
      <c r="F4" s="6"/>
    </row>
    <row r="6" spans="1:6">
      <c r="A6" s="6" t="str">
        <f>VLOOKUP(2196,Sprachindex!$A:$Z,Info!$O$7,FALSE)</f>
        <v>Länge 26 mm (3.200 Stk/Karton)</v>
      </c>
      <c r="F6" s="6"/>
    </row>
    <row r="7" spans="1:6">
      <c r="A7" s="6" t="str">
        <f>VLOOKUP(2197,Sprachindex!$A:$Z,Info!$O$7,FALSE)</f>
        <v>Länge 35 mm (2.400 Stk/Karton)</v>
      </c>
      <c r="F7" s="6"/>
    </row>
    <row r="8" spans="1:6">
      <c r="A8" s="6" t="str">
        <f>VLOOKUP(2198,Sprachindex!$A:$Z,Info!$O$7,FALSE)</f>
        <v>Länge 26 mm (3.200 Stk/Karton) NIRO</v>
      </c>
      <c r="F8" s="6"/>
    </row>
    <row r="10" spans="1:6">
      <c r="A10" s="6" t="str">
        <f>VLOOKUP(2199,Sprachindex!$A:$Z,Info!$O$7,FALSE) &amp; " " &amp; VLOOKUP(25,Sprachindex!$A:$Z,Info!$O$7,FALSE)</f>
        <v>1x250 (A=140 B=85 C=25 mm) 01 P.10 Braun</v>
      </c>
      <c r="E10" s="6"/>
    </row>
    <row r="11" spans="1:6">
      <c r="A11" s="6" t="str">
        <f>VLOOKUP(2199,Sprachindex!$A:$Z,Info!$O$7,FALSE) &amp; " " &amp; VLOOKUP(27,Sprachindex!$A:$Z,Info!$O$7,FALSE)</f>
        <v>1x250 (A=140 B=85 C=25 mm) 02 P.10 Anthrazit</v>
      </c>
      <c r="E11" s="6"/>
    </row>
    <row r="12" spans="1:6">
      <c r="A12" s="6" t="str">
        <f>VLOOKUP(2199,Sprachindex!$A:$Z,Info!$O$7,FALSE) &amp; " " &amp; VLOOKUP(28,Sprachindex!$A:$Z,Info!$O$7,FALSE)</f>
        <v>1x250 (A=140 B=85 C=25 mm) 03 P.10 Schwarz</v>
      </c>
      <c r="E12" s="6"/>
    </row>
    <row r="13" spans="1:6">
      <c r="A13" s="6" t="str">
        <f>VLOOKUP(2199,Sprachindex!$A:$Z,Info!$O$7,FALSE) &amp; " " &amp; VLOOKUP(37,Sprachindex!$A:$Z,Info!$O$7,FALSE)</f>
        <v>1x250 (A=140 B=85 C=25 mm) 07 P.10 Hellgrau</v>
      </c>
      <c r="E13" s="6"/>
    </row>
    <row r="14" spans="1:6">
      <c r="A14" s="6" t="str">
        <f>VLOOKUP(2200,Sprachindex!$A:$Z,Info!$O$7,FALSE) &amp; " " &amp; VLOOKUP(25,Sprachindex!$A:$Z,Info!$O$7,FALSE)</f>
        <v>1x333 (A=223 B=85 C=25 mm) 01 P.10 Braun</v>
      </c>
      <c r="E14" s="6"/>
    </row>
    <row r="15" spans="1:6">
      <c r="A15" s="6" t="str">
        <f>VLOOKUP(2200,Sprachindex!$A:$Z,Info!$O$7,FALSE) &amp; " " &amp; VLOOKUP(27,Sprachindex!$A:$Z,Info!$O$7,FALSE)</f>
        <v>1x333 (A=223 B=85 C=25 mm) 02 P.10 Anthrazit</v>
      </c>
      <c r="E15" s="6"/>
    </row>
    <row r="16" spans="1:6">
      <c r="A16" s="6"/>
      <c r="E16" s="6"/>
    </row>
    <row r="18" spans="1:5">
      <c r="A18" s="6" t="str">
        <f>VLOOKUP(2201,Sprachindex!$A:$Z,Info!$O$7,FALSE)</f>
        <v>(4,5 x 45 mm, 250 Stk/Pkt)</v>
      </c>
      <c r="B18" s="6" t="str">
        <f>VLOOKUP(3042,Sprachindex!$A:$Z,Info!$O$7,FALSE)</f>
        <v>(4,5 × 25 mm; 200 Stk./Pkt)</v>
      </c>
      <c r="E18" s="6"/>
    </row>
    <row r="19" spans="1:5">
      <c r="A19" s="6" t="str">
        <f>VLOOKUP(2202,Sprachindex!$A:$Z,Info!$O$7,FALSE)</f>
        <v>(4,5 x 45 mm, 250 Stk/Pkt, blank)</v>
      </c>
      <c r="B19" s="6" t="str">
        <f>VLOOKUP(3043,Sprachindex!$A:$Z,Info!$O$7,FALSE)</f>
        <v>(4,5 × 25 mm; 200 Stk./Pkt; blank)</v>
      </c>
      <c r="E19" s="6"/>
    </row>
    <row r="21" spans="1:5">
      <c r="A21" s="6" t="str">
        <f>VLOOKUP(2203,Sprachindex!$A:$Z,Info!$O$7,FALSE)</f>
        <v>(4,5 x 60 mm, 100 Stk/Pkt)</v>
      </c>
      <c r="E21" s="6"/>
    </row>
    <row r="22" spans="1:5">
      <c r="A22" s="6" t="str">
        <f>VLOOKUP(2204,Sprachindex!$A:$Z,Info!$O$7,FALSE)</f>
        <v>(4,5 x 60 mm, 100 Stk/Pkt, blank)</v>
      </c>
      <c r="E22" s="6"/>
    </row>
    <row r="24" spans="1:5">
      <c r="A24" s="6" t="str">
        <f>VLOOKUP(433,Sprachindex!$A:$Z,Info!$O$7,FALSE)</f>
        <v>glatt</v>
      </c>
    </row>
    <row r="25" spans="1:5">
      <c r="A25" s="6" t="str">
        <f>VLOOKUP(886,Sprachindex!$A:$Z,Info!$O$7,FALSE)</f>
        <v>Stucco</v>
      </c>
    </row>
    <row r="27" spans="1:5">
      <c r="A27" s="6" t="str">
        <f>VLOOKUP(2205,Sprachindex!$A:$Z,Info!$O$7,FALSE)</f>
        <v>0,7 x 500 mm</v>
      </c>
      <c r="D27" s="6"/>
    </row>
    <row r="28" spans="1:5">
      <c r="A28" s="6" t="str">
        <f>VLOOKUP(2206,Sprachindex!$A:$Z,Info!$O$7,FALSE)</f>
        <v>0,7 x 650 mm</v>
      </c>
      <c r="D28" s="6"/>
    </row>
    <row r="29" spans="1:5">
      <c r="A29" s="6" t="str">
        <f>VLOOKUP(2207,Sprachindex!$A:$Z,Info!$O$7,FALSE)</f>
        <v>0,7 x 1.000 mm</v>
      </c>
      <c r="D29" s="6"/>
    </row>
    <row r="31" spans="1:5">
      <c r="A31" s="6" t="s">
        <v>2169</v>
      </c>
    </row>
    <row r="32" spans="1:5">
      <c r="A32" s="6" t="s">
        <v>2170</v>
      </c>
      <c r="C32" t="s">
        <v>2171</v>
      </c>
    </row>
    <row r="33" spans="1:4">
      <c r="A33" s="7" t="s">
        <v>2172</v>
      </c>
    </row>
    <row r="34" spans="1:4">
      <c r="A34" s="6" t="s">
        <v>88</v>
      </c>
      <c r="B34">
        <v>513980</v>
      </c>
      <c r="C34" s="770" t="s">
        <v>2173</v>
      </c>
      <c r="D34" s="770"/>
    </row>
    <row r="35" spans="1:4">
      <c r="A35" s="6" t="s">
        <v>2174</v>
      </c>
      <c r="B35">
        <v>513981</v>
      </c>
      <c r="C35" s="770" t="s">
        <v>2175</v>
      </c>
      <c r="D35" s="770"/>
    </row>
    <row r="36" spans="1:4">
      <c r="A36" s="6" t="s">
        <v>2176</v>
      </c>
      <c r="B36">
        <v>513982</v>
      </c>
      <c r="C36" s="770" t="s">
        <v>2177</v>
      </c>
      <c r="D36" s="770"/>
    </row>
    <row r="37" spans="1:4">
      <c r="A37" s="118" t="s">
        <v>2178</v>
      </c>
      <c r="B37">
        <v>513983</v>
      </c>
      <c r="C37" s="770" t="s">
        <v>2179</v>
      </c>
      <c r="D37" s="770"/>
    </row>
    <row r="38" spans="1:4">
      <c r="A38" s="6" t="s">
        <v>2180</v>
      </c>
      <c r="B38">
        <v>513984</v>
      </c>
      <c r="C38" s="770" t="s">
        <v>367</v>
      </c>
      <c r="D38" s="770"/>
    </row>
    <row r="39" spans="1:4">
      <c r="A39" s="7" t="s">
        <v>2181</v>
      </c>
      <c r="B39">
        <v>513985</v>
      </c>
      <c r="C39" s="770" t="s">
        <v>2182</v>
      </c>
      <c r="D39" s="770"/>
    </row>
    <row r="40" spans="1:4">
      <c r="A40" s="6" t="s">
        <v>2183</v>
      </c>
      <c r="B40">
        <v>513986</v>
      </c>
      <c r="C40" s="770" t="s">
        <v>2184</v>
      </c>
      <c r="D40" s="770"/>
    </row>
    <row r="41" spans="1:4">
      <c r="A41" s="6" t="s">
        <v>2185</v>
      </c>
      <c r="B41">
        <v>513987</v>
      </c>
      <c r="C41" s="770" t="s">
        <v>2186</v>
      </c>
      <c r="D41" s="770"/>
    </row>
    <row r="42" spans="1:4">
      <c r="A42" s="6" t="s">
        <v>2187</v>
      </c>
      <c r="B42">
        <v>513988</v>
      </c>
      <c r="C42" s="770" t="s">
        <v>2188</v>
      </c>
      <c r="D42" s="770"/>
    </row>
    <row r="43" spans="1:4">
      <c r="A43" s="7" t="s">
        <v>2189</v>
      </c>
      <c r="B43">
        <v>513989</v>
      </c>
      <c r="C43" s="770" t="s">
        <v>2190</v>
      </c>
      <c r="D43" s="770"/>
    </row>
    <row r="44" spans="1:4">
      <c r="A44" s="6" t="s">
        <v>2191</v>
      </c>
    </row>
    <row r="45" spans="1:4">
      <c r="A45" s="6" t="s">
        <v>2192</v>
      </c>
    </row>
    <row r="46" spans="1:4">
      <c r="A46" s="6" t="s">
        <v>2193</v>
      </c>
    </row>
    <row r="47" spans="1:4">
      <c r="A47" s="6" t="s">
        <v>2194</v>
      </c>
    </row>
    <row r="48" spans="1:4">
      <c r="A48" s="7" t="s">
        <v>2195</v>
      </c>
    </row>
    <row r="49" spans="1:7">
      <c r="A49" s="6" t="s">
        <v>2196</v>
      </c>
    </row>
    <row r="50" spans="1:7">
      <c r="A50" s="6" t="s">
        <v>2197</v>
      </c>
    </row>
    <row r="51" spans="1:7">
      <c r="A51" s="6" t="s">
        <v>2198</v>
      </c>
    </row>
    <row r="53" spans="1:7">
      <c r="A53" s="6"/>
      <c r="C53" s="6"/>
      <c r="D53" s="6"/>
    </row>
    <row r="54" spans="1:7">
      <c r="A54" s="6" t="s">
        <v>39260</v>
      </c>
      <c r="C54" s="118" t="s">
        <v>39285</v>
      </c>
      <c r="D54" s="28"/>
    </row>
    <row r="55" spans="1:7">
      <c r="A55" s="6" t="s">
        <v>39261</v>
      </c>
      <c r="C55" s="6" t="s">
        <v>39286</v>
      </c>
    </row>
    <row r="56" spans="1:7">
      <c r="A56" s="7" t="s">
        <v>39262</v>
      </c>
      <c r="C56" s="7" t="s">
        <v>39287</v>
      </c>
      <c r="D56" s="33"/>
    </row>
    <row r="57" spans="1:7">
      <c r="A57" s="6" t="s">
        <v>39263</v>
      </c>
      <c r="C57" s="118" t="s">
        <v>39288</v>
      </c>
      <c r="D57" s="28"/>
    </row>
    <row r="58" spans="1:7">
      <c r="A58" s="6" t="s">
        <v>39264</v>
      </c>
      <c r="C58" s="6" t="s">
        <v>39289</v>
      </c>
    </row>
    <row r="59" spans="1:7">
      <c r="A59" s="6" t="s">
        <v>39265</v>
      </c>
      <c r="C59" s="7" t="s">
        <v>39290</v>
      </c>
      <c r="D59" s="33"/>
    </row>
    <row r="60" spans="1:7">
      <c r="A60" s="118" t="s">
        <v>39266</v>
      </c>
      <c r="C60" s="118" t="s">
        <v>39291</v>
      </c>
      <c r="D60" s="28"/>
    </row>
    <row r="61" spans="1:7">
      <c r="A61" s="6" t="s">
        <v>39267</v>
      </c>
      <c r="C61" s="6" t="s">
        <v>39292</v>
      </c>
    </row>
    <row r="62" spans="1:7">
      <c r="A62" s="7" t="s">
        <v>39268</v>
      </c>
      <c r="C62" s="6" t="s">
        <v>39293</v>
      </c>
    </row>
    <row r="63" spans="1:7">
      <c r="A63" s="6" t="s">
        <v>39269</v>
      </c>
      <c r="C63" s="6" t="s">
        <v>39294</v>
      </c>
      <c r="G63" s="6" t="str">
        <f>VLOOKUP(1505,Sprachindex!$A:$Z,Info!$O$7,FALSE)</f>
        <v>Bitte wählen</v>
      </c>
    </row>
    <row r="64" spans="1:7">
      <c r="A64" s="7" t="s">
        <v>39270</v>
      </c>
      <c r="C64" s="7" t="s">
        <v>39295</v>
      </c>
      <c r="D64" s="33"/>
      <c r="G64" s="6" t="str">
        <f>VLOOKUP(608,Sprachindex!$A:$Z,Info!$O$7,FALSE)</f>
        <v>MIT Wärmedämmung</v>
      </c>
    </row>
    <row r="65" spans="1:7">
      <c r="A65" s="6" t="s">
        <v>39271</v>
      </c>
      <c r="C65" s="118" t="s">
        <v>39296</v>
      </c>
      <c r="D65" s="28"/>
      <c r="G65" s="6" t="str">
        <f>VLOOKUP(640,Sprachindex!$A:$Z,Info!$O$7,FALSE)</f>
        <v>OHNE Wärmedämmung</v>
      </c>
    </row>
    <row r="66" spans="1:7">
      <c r="A66" s="6" t="s">
        <v>39272</v>
      </c>
      <c r="C66" s="6" t="s">
        <v>39297</v>
      </c>
      <c r="G66" s="6"/>
    </row>
    <row r="67" spans="1:7">
      <c r="A67" s="7" t="s">
        <v>39273</v>
      </c>
      <c r="C67" s="6" t="s">
        <v>39298</v>
      </c>
      <c r="G67" s="6"/>
    </row>
    <row r="68" spans="1:7">
      <c r="A68" s="6" t="s">
        <v>39274</v>
      </c>
      <c r="C68" s="6" t="s">
        <v>39299</v>
      </c>
      <c r="G68" s="6"/>
    </row>
    <row r="69" spans="1:7">
      <c r="A69" s="7" t="s">
        <v>39275</v>
      </c>
      <c r="C69" s="6" t="s">
        <v>39300</v>
      </c>
    </row>
    <row r="70" spans="1:7">
      <c r="A70" s="6" t="s">
        <v>39276</v>
      </c>
      <c r="C70" s="7" t="s">
        <v>39301</v>
      </c>
      <c r="D70" s="33"/>
    </row>
    <row r="71" spans="1:7">
      <c r="A71" s="6" t="s">
        <v>39277</v>
      </c>
      <c r="C71" s="595" t="s">
        <v>39302</v>
      </c>
      <c r="D71" s="596"/>
    </row>
    <row r="72" spans="1:7">
      <c r="A72" s="6" t="s">
        <v>39278</v>
      </c>
      <c r="C72" s="181" t="s">
        <v>39303</v>
      </c>
      <c r="D72" s="165"/>
    </row>
    <row r="73" spans="1:7">
      <c r="A73" s="6" t="s">
        <v>39279</v>
      </c>
      <c r="C73" s="181" t="s">
        <v>39304</v>
      </c>
      <c r="D73" s="165"/>
    </row>
    <row r="74" spans="1:7">
      <c r="A74" s="7" t="s">
        <v>39280</v>
      </c>
      <c r="C74" s="181" t="s">
        <v>39305</v>
      </c>
      <c r="D74" s="165"/>
    </row>
    <row r="75" spans="1:7">
      <c r="A75" s="6" t="s">
        <v>39281</v>
      </c>
      <c r="C75" s="181" t="s">
        <v>39306</v>
      </c>
      <c r="D75" s="165"/>
    </row>
    <row r="76" spans="1:7">
      <c r="A76" s="6" t="s">
        <v>39282</v>
      </c>
      <c r="C76" s="597" t="s">
        <v>39307</v>
      </c>
      <c r="D76" s="598"/>
    </row>
    <row r="77" spans="1:7">
      <c r="A77" s="6" t="s">
        <v>39283</v>
      </c>
      <c r="C77" s="599" t="s">
        <v>39308</v>
      </c>
      <c r="D77" s="600"/>
    </row>
    <row r="78" spans="1:7">
      <c r="A78" s="6"/>
      <c r="C78" s="601" t="s">
        <v>39309</v>
      </c>
      <c r="D78" s="602"/>
    </row>
    <row r="79" spans="1:7">
      <c r="A79" s="6"/>
      <c r="C79" s="601" t="s">
        <v>39310</v>
      </c>
      <c r="D79" s="601"/>
    </row>
    <row r="80" spans="1:7">
      <c r="A80" s="6"/>
      <c r="C80" s="601" t="s">
        <v>39311</v>
      </c>
      <c r="D80" s="602"/>
    </row>
    <row r="81" spans="1:4">
      <c r="A81" s="6"/>
      <c r="C81" s="603" t="s">
        <v>39312</v>
      </c>
      <c r="D81" s="604"/>
    </row>
    <row r="82" spans="1:4">
      <c r="A82" s="6"/>
    </row>
    <row r="83" spans="1:4">
      <c r="A83" s="6"/>
      <c r="C83" s="6"/>
    </row>
    <row r="84" spans="1:4">
      <c r="A84" s="6"/>
      <c r="C84" s="6"/>
    </row>
    <row r="85" spans="1:4">
      <c r="A85" s="6"/>
      <c r="C85" s="6"/>
    </row>
    <row r="86" spans="1:4">
      <c r="A86" s="6"/>
      <c r="C86" s="6"/>
    </row>
    <row r="87" spans="1:4">
      <c r="A87" s="6"/>
      <c r="C87" s="6"/>
    </row>
    <row r="88" spans="1:4">
      <c r="A88" s="6"/>
      <c r="C88" s="6"/>
    </row>
    <row r="89" spans="1:4">
      <c r="A89" s="6"/>
      <c r="C89" s="6"/>
    </row>
    <row r="90" spans="1:4">
      <c r="A90" s="6"/>
      <c r="C90" s="6"/>
    </row>
    <row r="91" spans="1:4">
      <c r="A91" s="6"/>
      <c r="C91" s="6"/>
    </row>
    <row r="92" spans="1:4">
      <c r="A92" s="6"/>
      <c r="C92" s="6"/>
    </row>
    <row r="93" spans="1:4">
      <c r="A93" s="6"/>
      <c r="C93" s="6"/>
    </row>
    <row r="94" spans="1:4">
      <c r="A94" s="6"/>
      <c r="C94" s="6"/>
    </row>
    <row r="95" spans="1:4">
      <c r="A95" s="6"/>
      <c r="C95" s="6"/>
    </row>
    <row r="96" spans="1:4">
      <c r="A96" s="6"/>
      <c r="C96" s="6"/>
    </row>
    <row r="97" spans="1:4">
      <c r="A97" s="6"/>
      <c r="C97" s="6"/>
    </row>
    <row r="98" spans="1:4">
      <c r="A98" s="6"/>
      <c r="C98" s="6"/>
    </row>
    <row r="99" spans="1:4">
      <c r="A99" s="6"/>
      <c r="C99" s="6"/>
    </row>
    <row r="100" spans="1:4">
      <c r="A100" s="6"/>
      <c r="C100" s="6"/>
    </row>
    <row r="101" spans="1:4">
      <c r="A101" s="6"/>
      <c r="C101" s="6"/>
    </row>
    <row r="102" spans="1:4">
      <c r="A102" s="6"/>
      <c r="C102" s="6"/>
    </row>
    <row r="103" spans="1:4">
      <c r="A103" s="6"/>
      <c r="C103" s="6"/>
    </row>
    <row r="104" spans="1:4">
      <c r="C104" s="6"/>
    </row>
    <row r="105" spans="1:4">
      <c r="A105" s="6" t="str">
        <f>VLOOKUP(591,Sprachindex!$A:$Z,Info!$O$7,FALSE)</f>
        <v>Maße:</v>
      </c>
      <c r="C105" s="6"/>
      <c r="D105" s="6"/>
    </row>
    <row r="106" spans="1:4">
      <c r="C106" s="6"/>
    </row>
    <row r="107" spans="1:4">
      <c r="A107" s="6" t="str">
        <f>VLOOKUP(617,Sprachindex!$A:$Z,Info!$O$7,FALSE)</f>
        <v>Moosgrün/Hellgrau</v>
      </c>
      <c r="C107" s="6"/>
      <c r="D107" s="6"/>
    </row>
    <row r="108" spans="1:4">
      <c r="A108" s="6" t="str">
        <f>VLOOKUP(242,Sprachindex!$A:$Z,Info!$O$7,FALSE)</f>
        <v>Braun/Anthrazit</v>
      </c>
      <c r="C108" s="6"/>
      <c r="D108" s="6"/>
    </row>
    <row r="109" spans="1:4">
      <c r="A109" s="6" t="str">
        <f>VLOOKUP(1031,Sprachindex!$A:$Z,Info!$O$7,FALSE)</f>
        <v>Ziegelrot/Oxydrot</v>
      </c>
      <c r="C109" s="6"/>
      <c r="D109" s="6"/>
    </row>
    <row r="110" spans="1:4">
      <c r="A110" s="6" t="str">
        <f>VLOOKUP(54,Sprachindex!$A:$Z,Info!$O$7,FALSE)</f>
        <v>13 Naturblank</v>
      </c>
      <c r="C110" s="6"/>
      <c r="D110" s="6"/>
    </row>
    <row r="111" spans="1:4">
      <c r="C111" s="6"/>
      <c r="D111" s="6"/>
    </row>
    <row r="113" spans="1:3">
      <c r="A113" s="6" t="str">
        <f>VLOOKUP(588,Sprachindex!$A:$Z,Info!$O$7,FALSE)</f>
        <v>m²</v>
      </c>
    </row>
    <row r="114" spans="1:3">
      <c r="A114" s="6" t="str">
        <f>VLOOKUP(878,Sprachindex!$A:$Z,Info!$O$7,FALSE)</f>
        <v>Stk.</v>
      </c>
    </row>
    <row r="115" spans="1:3">
      <c r="A115" s="6" t="str">
        <f>VLOOKUP(1512,Sprachindex!$A:$Z,Info!$O$7,FALSE)</f>
        <v>lfm</v>
      </c>
    </row>
    <row r="116" spans="1:3">
      <c r="A116" s="6" t="str">
        <f>VLOOKUP(515,Sprachindex!$A:$Z,Info!$O$7,FALSE)</f>
        <v>Karton</v>
      </c>
    </row>
    <row r="117" spans="1:3">
      <c r="A117" s="6" t="str">
        <f>VLOOKUP(531,Sprachindex!$A:$Z,Info!$O$7,FALSE)</f>
        <v>kg</v>
      </c>
    </row>
    <row r="118" spans="1:3">
      <c r="A118" s="6" t="str">
        <f>VLOOKUP(748,Sprachindex!$A:$Z,Info!$O$7,FALSE)</f>
        <v>Rolle</v>
      </c>
    </row>
    <row r="119" spans="1:3">
      <c r="A119" s="6" t="str">
        <f>VLOOKUP(749,Sprachindex!$A:$Z,Info!$O$7,FALSE)</f>
        <v>Rollen</v>
      </c>
    </row>
    <row r="120" spans="1:3">
      <c r="A120" s="6" t="s">
        <v>2301</v>
      </c>
    </row>
    <row r="121" spans="1:3">
      <c r="A121" s="6" t="str">
        <f>VLOOKUP(1433,Sprachindex!$A:$Z,Info!$O$7,FALSE)</f>
        <v>Magazin</v>
      </c>
    </row>
    <row r="122" spans="1:3">
      <c r="A122" s="6" t="str">
        <f>VLOOKUP(460,Sprachindex!$A:$Z,Info!$O$7,FALSE)</f>
        <v>Hellgrau/Hellgrau</v>
      </c>
    </row>
    <row r="123" spans="1:3">
      <c r="A123" s="6" t="str">
        <f>VLOOKUP(1436,Sprachindex!$A:$Z,Info!$O$7,FALSE)</f>
        <v>Sets</v>
      </c>
    </row>
    <row r="124" spans="1:3">
      <c r="A124" t="str">
        <f>VLOOKUP(25,Sprachindex!$A:$Z,Info!$O$7,FALSE)</f>
        <v>01 P.10 Braun</v>
      </c>
    </row>
    <row r="125" spans="1:3">
      <c r="A125" s="6" t="str">
        <f>VLOOKUP(242,Sprachindex!$A:$Z,Info!$O$7,FALSE)</f>
        <v>Braun/Anthrazit</v>
      </c>
      <c r="C125" s="15"/>
    </row>
    <row r="126" spans="1:3">
      <c r="A126" s="6" t="str">
        <f>VLOOKUP(460,Sprachindex!$A:$Z,Info!$O$7,FALSE)</f>
        <v>Hellgrau/Hellgrau</v>
      </c>
      <c r="C126" s="15"/>
    </row>
    <row r="127" spans="1:3">
      <c r="A127" t="str">
        <f>VLOOKUP(30,Sprachindex!$A:$Z,Info!$O$7,FALSE)</f>
        <v>04 P.10 Ziegelrot</v>
      </c>
    </row>
    <row r="128" spans="1:3">
      <c r="A128" s="6" t="str">
        <f>VLOOKUP(25,Sprachindex!$A:$Z,Info!$O$7,FALSE)</f>
        <v>01 P.10 Braun</v>
      </c>
    </row>
    <row r="129" spans="1:4">
      <c r="A129" s="6" t="str">
        <f>VLOOKUP(27,Sprachindex!$A:$Z,Info!$O$7,FALSE)</f>
        <v>02 P.10 Anthrazit</v>
      </c>
    </row>
    <row r="130" spans="1:4">
      <c r="A130" s="6" t="str">
        <f>VLOOKUP(28,Sprachindex!$A:$Z,Info!$O$7,FALSE)</f>
        <v>03 P.10 Schwarz</v>
      </c>
    </row>
    <row r="131" spans="1:4">
      <c r="A131" s="6" t="str">
        <f>VLOOKUP(30,Sprachindex!$A:$Z,Info!$O$7,FALSE)</f>
        <v>04 P.10 Ziegelrot</v>
      </c>
    </row>
    <row r="132" spans="1:4">
      <c r="A132" s="6" t="str">
        <f>VLOOKUP(33,Sprachindex!$A:$Z,Info!$O$7,FALSE)</f>
        <v>05 P.10 Oxydrot</v>
      </c>
    </row>
    <row r="133" spans="1:4">
      <c r="A133" s="6" t="str">
        <f>VLOOKUP(35,Sprachindex!$A:$Z,Info!$O$7,FALSE)</f>
        <v>06 P.10 Moosgrün</v>
      </c>
      <c r="D133" s="64"/>
    </row>
    <row r="134" spans="1:4">
      <c r="A134" s="6" t="str">
        <f>VLOOKUP(37,Sprachindex!$A:$Z,Info!$O$7,FALSE)</f>
        <v>07 P.10 Hellgrau</v>
      </c>
      <c r="D134" s="65"/>
    </row>
    <row r="135" spans="1:4">
      <c r="A135" s="6" t="str">
        <f>VLOOKUP(51,Sprachindex!$A:$Z,Info!$O$7,FALSE)</f>
        <v>11 P.10 Nussbraun</v>
      </c>
    </row>
    <row r="136" spans="1:4">
      <c r="A136" s="6" t="str">
        <f>VLOOKUP(63,Sprachindex!$A:$Z,Info!$O$7,FALSE)</f>
        <v>19 P.10 Dunkelgrau</v>
      </c>
    </row>
    <row r="137" spans="1:4">
      <c r="A137" s="6" t="str">
        <f>VLOOKUP(110,Sprachindex!$A:$Z,Info!$O$7,FALSE)</f>
        <v>43 P.10 Steingrau</v>
      </c>
    </row>
    <row r="140" spans="1:4">
      <c r="A140" s="15" t="str">
        <f>VLOOKUP(257,Sprachindex!$A:$Z,Info!$O$7,FALSE)</f>
        <v>Dachlukendeckel mit Holzrahmen  (Innenmaß: 600 × 600 mm)</v>
      </c>
    </row>
    <row r="141" spans="1:4">
      <c r="A141" s="15" t="str">
        <f>VLOOKUP(464,Sprachindex!$A:$Z,Info!$O$7,FALSE)</f>
        <v>Holzrahmen (Innenmaß: 600 × 600 mm)</v>
      </c>
    </row>
    <row r="142" spans="1:4">
      <c r="A142" s="15" t="str">
        <f>VLOOKUP(258,Sprachindex!$A:$Z,Info!$O$7,FALSE)</f>
        <v>Dachlukendeckel (Innenmaß: 600 × 600 mm)</v>
      </c>
    </row>
    <row r="143" spans="1:4">
      <c r="B143" t="str">
        <f>VLOOKUP(2208,Sprachindex!$A:$Z,Info!$O$7,FALSE)</f>
        <v>600 mm</v>
      </c>
    </row>
    <row r="144" spans="1:4">
      <c r="A144" t="str">
        <f>VLOOKUP(2209,Sprachindex!$A:$Z,Info!$O$7,FALSE)</f>
        <v>1.500 mm</v>
      </c>
      <c r="B144" t="str">
        <f>VLOOKUP(2209,Sprachindex!$A:$Z,Info!$O$7,FALSE)</f>
        <v>1.500 mm</v>
      </c>
    </row>
    <row r="145" spans="1:5">
      <c r="A145" t="str">
        <f>VLOOKUP(2210,Sprachindex!$A:$Z,Info!$O$7,FALSE)</f>
        <v>3.000 mm</v>
      </c>
      <c r="B145" t="str">
        <f>VLOOKUP(2210,Sprachindex!$A:$Z,Info!$O$7,FALSE)</f>
        <v>3.000 mm</v>
      </c>
    </row>
    <row r="147" spans="1:5">
      <c r="A147" t="str">
        <f>VLOOKUP(18,Sprachindex!$A:$Z,Info!$O$7,FALSE)</f>
        <v>⌀ 100 mm; passend für HT/KG (NW 110 mm)</v>
      </c>
    </row>
    <row r="148" spans="1:5">
      <c r="A148" t="str">
        <f>VLOOKUP(19,Sprachindex!$A:$Z,Info!$O$7,FALSE)</f>
        <v>⌀ 115 mm; passend für HT/KG (NW 125 mm)</v>
      </c>
    </row>
    <row r="150" spans="1:5">
      <c r="A150" t="str">
        <f>VLOOKUP(91,Sprachindex!$A:$Z,Info!$O$7,FALSE)</f>
        <v>333 mm / 100 × 100 mm</v>
      </c>
    </row>
    <row r="151" spans="1:5">
      <c r="A151" t="str">
        <f>VLOOKUP(103,Sprachindex!$A:$Z,Info!$O$7,FALSE)</f>
        <v>400 mm / 100 × 100 mm</v>
      </c>
    </row>
    <row r="153" spans="1:5">
      <c r="B153" t="str">
        <f>VLOOKUP(57,Sprachindex!$A:$Z,Info!$O$7,FALSE)</f>
        <v>140 mm</v>
      </c>
    </row>
    <row r="154" spans="1:5">
      <c r="B154" t="str">
        <f>VLOOKUP(69,Sprachindex!$A:$Z,Info!$O$7,FALSE)</f>
        <v>200 mm</v>
      </c>
    </row>
    <row r="155" spans="1:5">
      <c r="B155" t="str">
        <f>VLOOKUP(90,Sprachindex!$A:$Z,Info!$O$7,FALSE)</f>
        <v>330 mm</v>
      </c>
    </row>
    <row r="157" spans="1:5">
      <c r="A157" t="str">
        <f>VLOOKUP(48,Sprachindex!$A:$Z,Info!$O$7,FALSE)</f>
        <v>100–160 mm</v>
      </c>
    </row>
    <row r="158" spans="1:5">
      <c r="A158" t="str">
        <f>VLOOKUP(61,Sprachindex!$A:$Z,Info!$O$7,FALSE)</f>
        <v>180–220 mm</v>
      </c>
    </row>
    <row r="160" spans="1:5">
      <c r="A160" t="str">
        <f>VLOOKUP(49,Sprachindex!$A:$Z,Info!$O$7,FALSE)</f>
        <v>100–180 mm</v>
      </c>
      <c r="E160" t="s">
        <v>2302</v>
      </c>
    </row>
    <row r="161" spans="1:5">
      <c r="A161" t="str">
        <f>VLOOKUP(62,Sprachindex!$A:$Z,Info!$O$7,FALSE)</f>
        <v>180–260 mm</v>
      </c>
      <c r="E161" s="22" t="s">
        <v>2303</v>
      </c>
    </row>
    <row r="162" spans="1:5">
      <c r="E162" s="22"/>
    </row>
    <row r="163" spans="1:5">
      <c r="A163" t="str">
        <f>VLOOKUP(83,Sprachindex!$A:$Z,Info!$O$7,FALSE)</f>
        <v>3 m</v>
      </c>
      <c r="B163" s="15" t="str">
        <f>IF(RI!O24=1,RI!G25,IF(RI!O24=2,RI!G26,IF(RI!O24=3,RI!G27,IF(RI!O24=4,RI!G28,IF(RI!O24=5,VLOOKUP(305,Sprachindex!$A:$Z,Info!$O$7,FALSE),"")))))</f>
        <v/>
      </c>
      <c r="E163" s="22" t="str">
        <f>IF(RI!O24=0,"",IF(B163= 305,"",A163))</f>
        <v/>
      </c>
    </row>
    <row r="164" spans="1:5">
      <c r="A164" t="str">
        <f>VLOOKUP(121,Sprachindex!$A:$Z,Info!$O$7,FALSE)</f>
        <v>6 m</v>
      </c>
      <c r="B164" s="15" t="str">
        <f>IF(RI!O24=1,RI!G25,IF(RI!O24=2,RI!G26,IF(RI!O24=3,RI!G27,IF(RI!O24=4,RI!G28,IF(RI!O24=5,VLOOKUP(305,Sprachindex!$A:$Z,Info!$O$7,FALSE),"")))))</f>
        <v/>
      </c>
      <c r="E164" s="22" t="str">
        <f>IF(RI!O24=0,"",IF(B164= 305,"",A164))</f>
        <v/>
      </c>
    </row>
    <row r="165" spans="1:5">
      <c r="B165" s="15"/>
    </row>
    <row r="166" spans="1:5">
      <c r="B166" s="15"/>
      <c r="E166" s="22" t="s">
        <v>2304</v>
      </c>
    </row>
    <row r="167" spans="1:5">
      <c r="E167" s="24"/>
    </row>
    <row r="168" spans="1:5">
      <c r="A168" t="str">
        <f>VLOOKUP(635,Sprachindex!$A:$Z,Info!$O$7,FALSE)</f>
        <v>normal</v>
      </c>
      <c r="B168" t="str">
        <f>IF(RI!O24=1,RI!G25,IF(RI!O24=2,RI!G26,IF(RI!O24=3,RI!G27,IF(RI!O24=4,RI!G28,IF(RI!O24=5,VLOOKUP(305,Sprachindex!$A:$Z,Info!$O$7,FALSE),"")))))</f>
        <v/>
      </c>
      <c r="E168" s="24" t="str">
        <f>IF(RI!O24=0,"",IF(RI!O24=5,"",A168))</f>
        <v/>
      </c>
    </row>
    <row r="169" spans="1:5">
      <c r="A169" t="str">
        <f>VLOOKUP(547,Sprachindex!$A:$Z,Info!$O$7,FALSE)</f>
        <v>kurz</v>
      </c>
      <c r="B169" t="str">
        <f>IF(RI!O24=1,RI!G25,IF(RI!O24=2,RI!G26,IF(RI!O24=3,RI!G27,IF(RI!O24=4,RI!G28,IF(RI!O24=5,VLOOKUP(305,Sprachindex!$A:$Z,Info!$O$7,FALSE),"")))))</f>
        <v/>
      </c>
      <c r="E169" s="24" t="str">
        <f>IF(RI!O24=0,"",IF(RI!O24=4,"",IF(RI!O24=5,"",A169)))</f>
        <v/>
      </c>
    </row>
    <row r="170" spans="1:5">
      <c r="A170" t="str">
        <f>VLOOKUP(551,Sprachindex!$A:$Z,Info!$O$7,FALSE)</f>
        <v>lang</v>
      </c>
      <c r="B170" t="str">
        <f>IF(RI!O24=1,RI!G25,IF(RI!O24=2,RI!G26,IF(RI!O24=3,RI!G27,IF(RI!O24=4,RI!G28,IF(RI!O24=5,VLOOKUP(305,Sprachindex!$A:$Z,Info!$O$7,FALSE),"")))))</f>
        <v/>
      </c>
      <c r="E170" s="22" t="str">
        <f>IF(RI!O24=0,"",IF(RI!O24=1,"",IF(RI!O24=4,"",IF(RI!O24=5,"",A170))))</f>
        <v/>
      </c>
    </row>
    <row r="172" spans="1:5">
      <c r="E172" s="22" t="s">
        <v>2305</v>
      </c>
    </row>
    <row r="173" spans="1:5">
      <c r="E173" s="22"/>
    </row>
    <row r="174" spans="1:5">
      <c r="A174" t="str">
        <f>VLOOKUP(121,Sprachindex!$A:$Z,Info!$O$7,FALSE)</f>
        <v>6 m</v>
      </c>
      <c r="B174" t="str">
        <f>IF(RI!O24=1,RI!G25,IF(RI!O24=2,RI!G26,IF(RI!O24=3,RI!G27,IF(RI!O24=4,RI!G28,IF(RI!O24=5,RI!G29,"")))))</f>
        <v/>
      </c>
      <c r="E174" s="22" t="str">
        <f>IF(RI!O24=0,"",B174 &amp; ", " &amp;A174)</f>
        <v/>
      </c>
    </row>
    <row r="175" spans="1:5">
      <c r="A175" t="str">
        <f>VLOOKUP(83,Sprachindex!$A:$Z,Info!$O$7,FALSE)</f>
        <v>3 m</v>
      </c>
      <c r="B175" t="str">
        <f>IF(RI!O24=1,RI!G25,IF(RI!O24=2,RI!G26,IF(RI!O24=3,RI!G27,IF(RI!O24=4,RI!G28,IF(RI!O24=5,RI!G29,"")))))</f>
        <v/>
      </c>
      <c r="E175" s="22" t="str">
        <f>IF(RI!O24=0,"",IF(RI!O24=4,"",B175 &amp; ", " &amp;A175))</f>
        <v/>
      </c>
    </row>
    <row r="177" spans="1:6">
      <c r="A177" s="21" t="str">
        <f>VLOOKUP(305,Sprachindex!$A:$Z,Info!$O$7,FALSE)</f>
        <v>Dimension nicht möglich</v>
      </c>
      <c r="E177" s="22" t="s">
        <v>2306</v>
      </c>
    </row>
    <row r="178" spans="1:6">
      <c r="E178" s="22"/>
    </row>
    <row r="179" spans="1:6">
      <c r="A179" t="str">
        <f>VLOOKUP(635,Sprachindex!$A:$Z,Info!$O$7,FALSE)</f>
        <v>normal</v>
      </c>
      <c r="B179" t="str">
        <f>IF(RI!O24=1,RI!G25,IF(RI!O24=2,RI!G26,IF(RI!O24=3,RI!G27,IF(RI!O24=4,RI!G28,IF(RI!O24=5,VLOOKUP(305,Sprachindex!$A:$Z,Info!$O$7,FALSE),"")))))</f>
        <v/>
      </c>
      <c r="E179" s="22" t="str">
        <f>IF(RI!O24=3, A179,IF(RI!O24=4,A179,IF(RI!O24=2, A179,"")))</f>
        <v/>
      </c>
    </row>
    <row r="180" spans="1:6">
      <c r="A180" t="str">
        <f>VLOOKUP(547,Sprachindex!$A:$Z,Info!$O$7,FALSE)</f>
        <v>kurz</v>
      </c>
      <c r="B180" t="str">
        <f>IF(RI!O24=1,RI!G25,IF(RI!O24=2,RI!G26,IF(RI!O24=3,RI!G27,IF(RI!O24=4,RI!G28,IF(RI!O24=5,VLOOKUP(305,Sprachindex!$A:$Z,Info!$O$7,FALSE),"")))))</f>
        <v/>
      </c>
      <c r="E180" t="str">
        <f>IF(RI!O24=3,A180,"")</f>
        <v/>
      </c>
    </row>
    <row r="182" spans="1:6">
      <c r="A182" s="22" t="s">
        <v>2307</v>
      </c>
      <c r="B182" s="22"/>
    </row>
    <row r="183" spans="1:6">
      <c r="A183" s="22" t="str">
        <f>IF(RI!O24=0,"",IF(RI!O24=1,RI!G25,IF(RI!O24=2,RI!G26,IF(RI!O24=3,RI!G27,IF(RI!O24=4,RI!G28,IF(RI!O24=5,VLOOKUP(305,Sprachindex!$A:$Z,Info!$O$7,FALSE),""))))))</f>
        <v/>
      </c>
      <c r="B183" s="22"/>
    </row>
    <row r="185" spans="1:6">
      <c r="A185" s="22" t="s">
        <v>2308</v>
      </c>
      <c r="B185" s="22"/>
    </row>
    <row r="186" spans="1:6">
      <c r="A186" s="22" t="str">
        <f>IF(RI!O24=0,"",IF(RI!O24=1,RI!G25,IF(RI!O24=5,RI!G29,IF(RI!O24=3,RI!G27,IF(RI!O24=4,RI!G28,IF(RI!O24=2,VLOOKUP(305,Sprachindex!$A:$Z,Info!$O$7,FALSE),A177))))))</f>
        <v/>
      </c>
      <c r="B186" s="22"/>
    </row>
    <row r="188" spans="1:6">
      <c r="A188" s="22" t="s">
        <v>2309</v>
      </c>
      <c r="B188" s="22"/>
    </row>
    <row r="189" spans="1:6">
      <c r="A189" s="22" t="str">
        <f>IF(RI!O24=0,"",IF(RI!O24=1,RI!G25,IF(RI!O24=3,RI!G27,IF(RI!O24=4,RI!G28,A177))))</f>
        <v/>
      </c>
      <c r="B189" s="22"/>
    </row>
    <row r="192" spans="1:6">
      <c r="A192" t="str">
        <f>IF(AND(RI!O24=1,RI!O25=2),Formeln!E192 &amp; " x " &amp; Formeln!F193,IF(AND(RI!O24=3,RI!O25=3),E194 &amp; " x " &amp; F194,IF(AND(RI!O24=4,RI!O25=4),Formeln!E195 &amp; " x " &amp; Formeln!F195,IF(AND(RI!O24=5,RI!O25=4),Formeln!E196 &amp; " x " &amp; Formeln!F195,A177))))</f>
        <v>Dimension nicht möglich</v>
      </c>
      <c r="E192" s="20">
        <f>VLOOKUP(1,Sprachindex!$A:$Z,Info!O7,FALSE)</f>
        <v>250</v>
      </c>
      <c r="F192" s="19" t="str">
        <f>VLOOKUP(125,Sprachindex!$A:$Z,Info!O7,FALSE)</f>
        <v>⌀ 60</v>
      </c>
    </row>
    <row r="193" spans="1:7">
      <c r="A193" t="str">
        <f>IF(RI!O25=1,Formeln!F192,IF(RI!O25=2,Formeln!F193,IF(RI!O25=3,Formeln!F194,IF(RI!O25=4,Formeln!F195,IF(RI!O25=5,Formeln!F196,"")))))</f>
        <v/>
      </c>
      <c r="E193" s="20">
        <f>VLOOKUP(2,Sprachindex!$A:$Z,Info!O7,FALSE)</f>
        <v>280</v>
      </c>
      <c r="F193" s="19" t="str">
        <f>VLOOKUP(133,Sprachindex!$A:$Z,Info!O7,FALSE)</f>
        <v>⌀ 80</v>
      </c>
      <c r="G193" s="19" t="str">
        <f>VLOOKUP(133,Sprachindex!$A:$Z,Info!O7,FALSE)</f>
        <v>⌀ 80</v>
      </c>
    </row>
    <row r="194" spans="1:7">
      <c r="E194" s="20">
        <f>VLOOKUP(3,Sprachindex!$A:$Z,Info!O7,FALSE)</f>
        <v>333</v>
      </c>
      <c r="F194" s="19" t="str">
        <f>VLOOKUP(45,Sprachindex!$A:$Z,Info!O7,FALSE)</f>
        <v>⌀ 100</v>
      </c>
      <c r="G194" s="19" t="str">
        <f>VLOOKUP(45,Sprachindex!$A:$Z,Info!O7,FALSE)</f>
        <v>⌀ 100</v>
      </c>
    </row>
    <row r="195" spans="1:7">
      <c r="E195" s="20">
        <f>VLOOKUP(4,Sprachindex!$A:$Z,Info!O7,FALSE)</f>
        <v>400</v>
      </c>
      <c r="F195" s="19" t="str">
        <f>VLOOKUP(53,Sprachindex!$A:$Z,Info!O7,FALSE)</f>
        <v>⌀ 120</v>
      </c>
      <c r="G195" s="19" t="str">
        <f>VLOOKUP(53,Sprachindex!$A:$Z,Info!O7,FALSE)</f>
        <v>⌀ 120</v>
      </c>
    </row>
    <row r="196" spans="1:7">
      <c r="E196" s="20">
        <f>VLOOKUP(5,Sprachindex!$A:$Z,Info!O7,FALSE)</f>
        <v>500</v>
      </c>
      <c r="F196" s="19" t="str">
        <f>VLOOKUP(58,Sprachindex!$A:$Z,Info!O7,FALSE)</f>
        <v>⌀ 150</v>
      </c>
    </row>
    <row r="198" spans="1:7">
      <c r="A198" s="22" t="s">
        <v>2310</v>
      </c>
      <c r="B198" s="22"/>
    </row>
    <row r="199" spans="1:7">
      <c r="A199" s="22" t="str">
        <f>IF(RI!O24=0,"",IF(AND(RI!O24=1,RI!O25=2),E192 &amp; " x " &amp;F193,IF(AND(RI!O24=2,RI!O25=2),E193 &amp; " x " &amp;F193,IF(AND(RI!O24=3,RI!O25=2),E194 &amp; " x " &amp;F193,IF(AND(RI!O24=4,RI!O25=4),E195 &amp; " x " &amp;F195,IF(AND(RI!O24=2,RI!O25=3),E193 &amp; " x " &amp;F194,IF(AND(RI!O24=3,RI!O25=3),E194 &amp; " x " &amp;F194,IF(AND(RI!O24=4,RI!O25=5),E195 &amp; " x " &amp;F196,IF(AND(RI!O24=3,RI!O25=4),E194 &amp; " x " &amp;F195,IF(AND(RI!O24=1,RI!O25=1),E192 &amp; " x " &amp;F192,A177))))))))))</f>
        <v/>
      </c>
      <c r="B199" s="22"/>
    </row>
    <row r="201" spans="1:7">
      <c r="A201" s="22" t="s">
        <v>2311</v>
      </c>
      <c r="B201" s="22"/>
    </row>
    <row r="202" spans="1:7">
      <c r="A202" s="22" t="str">
        <f>IF(RI!O24=0,"",IF(AND(RI!O24=1,RI!O25=2),Formeln!E192 &amp; " x " &amp; Formeln!F193,IF(AND(RI!O24=2,RI!O25=2),Formeln!E193 &amp; " x " &amp; Formeln!F193,IF(AND(RI!O24=3,RI!O25=2),Formeln!E194 &amp; " x " &amp; Formeln!F193,IF(AND(RI!O24=2,RI!O25=3),Formeln!E193 &amp; " x " &amp; Formeln!F194,IF(AND(RI!O24=3,RI!O25=3),Formeln!E194 &amp; " x " &amp; Formeln!F194,IF(AND(RI!O24=3,RI!O25=4),Formeln!E194 &amp; " x " &amp; Formeln!F195,IF(AND(RI!O24=4,RI!O25=4),Formeln!E195 &amp; " x " &amp; Formeln!F195,A177))))))))</f>
        <v/>
      </c>
      <c r="B202" s="22"/>
    </row>
    <row r="204" spans="1:7">
      <c r="A204" s="22" t="s">
        <v>2312</v>
      </c>
      <c r="B204" s="22"/>
      <c r="C204" s="22"/>
      <c r="D204" s="22"/>
      <c r="E204" s="22"/>
    </row>
    <row r="205" spans="1:7">
      <c r="A205" s="22"/>
      <c r="B205" s="22"/>
      <c r="C205" s="22"/>
      <c r="D205" s="22"/>
      <c r="E205" s="22"/>
    </row>
    <row r="206" spans="1:7">
      <c r="A206" s="22" t="str">
        <f>VLOOKUP(121,Sprachindex!$A:$Z,Info!$O$7,FALSE)</f>
        <v>6 m</v>
      </c>
      <c r="B206" s="22" t="str">
        <f>IF(RI!O24=1,RI!G25,IF(RI!O24=5,RI!G29,IF(RI!O24=3,RI!G27,IF(RI!O24=4,RI!G28,IF(RI!O24="","",A177)))))</f>
        <v>Dimension nicht möglich</v>
      </c>
      <c r="C206" s="22"/>
      <c r="D206" s="22"/>
      <c r="E206" s="22" t="str">
        <f>IF(B206=A177,"",A206)</f>
        <v/>
      </c>
    </row>
    <row r="207" spans="1:7">
      <c r="A207" s="22" t="str">
        <f>VLOOKUP(83,Sprachindex!$A:$Z,Info!$O$7,FALSE)</f>
        <v>3 m</v>
      </c>
      <c r="B207" s="22" t="str">
        <f>IF(RI!O24=1,RI!G25,IF(RI!O24=5,RI!G29,IF(RI!O24=3,RI!G27,IF(RI!O24=4,RI!G28,IF(RI!O24="","",A177)))))</f>
        <v>Dimension nicht möglich</v>
      </c>
      <c r="C207" s="22"/>
      <c r="D207" s="22"/>
      <c r="E207" s="22" t="str">
        <f>IF(B207=A177,"",A207)</f>
        <v/>
      </c>
    </row>
    <row r="209" spans="1:5">
      <c r="A209" s="23" t="s">
        <v>2313</v>
      </c>
      <c r="B209" s="22"/>
      <c r="C209" s="22"/>
      <c r="D209" s="22"/>
      <c r="E209" s="22"/>
    </row>
    <row r="210" spans="1:5">
      <c r="A210" s="23" t="str">
        <f>IF(RI!O24=0,"",IF(RI!O24=1,D210,IF(RI!O24=3,D211,IF(RI!O24=4,D212,IF(RI!O24=5,D213,A177)))))</f>
        <v/>
      </c>
      <c r="B210" s="22"/>
      <c r="C210" s="22"/>
      <c r="D210" s="22" t="str">
        <f>VLOOKUP(2211,Sprachindex!$A:$Z,Info!$O$7,FALSE)</f>
        <v>250/23 × 7</v>
      </c>
      <c r="E210" s="22"/>
    </row>
    <row r="211" spans="1:5">
      <c r="A211" s="22"/>
      <c r="B211" s="22"/>
      <c r="C211" s="22"/>
      <c r="D211" s="22" t="str">
        <f>VLOOKUP(2212,Sprachindex!$A:$Z,Info!$O$7,FALSE)</f>
        <v>333/28 × 7</v>
      </c>
      <c r="E211" s="22"/>
    </row>
    <row r="212" spans="1:5">
      <c r="A212" s="22"/>
      <c r="B212" s="22"/>
      <c r="C212" s="22"/>
      <c r="D212" s="22" t="str">
        <f>VLOOKUP(2213,Sprachindex!$A:$Z,Info!$O$7,FALSE)</f>
        <v>400/30 × 7</v>
      </c>
      <c r="E212" s="22"/>
    </row>
    <row r="213" spans="1:5">
      <c r="A213" s="22"/>
      <c r="B213" s="22"/>
      <c r="C213" s="22"/>
      <c r="D213" s="22" t="str">
        <f>VLOOKUP(2214,Sprachindex!$A:$Z,Info!$O$7,FALSE)</f>
        <v>500/35 × 7</v>
      </c>
      <c r="E213" s="22"/>
    </row>
    <row r="217" spans="1:5">
      <c r="A217" s="23" t="s">
        <v>2314</v>
      </c>
      <c r="B217" s="23"/>
      <c r="C217" s="22"/>
      <c r="D217" s="22"/>
    </row>
    <row r="218" spans="1:5">
      <c r="A218" s="23" t="str">
        <f>IF(RI!O24=0,"",IF(RI!O24=1,D218,IF(RI!O24=3,D219,A177)))</f>
        <v/>
      </c>
      <c r="B218" s="23"/>
      <c r="C218" s="22"/>
      <c r="D218" s="22" t="str">
        <f>VLOOKUP(2211,Sprachindex!$A:$Z,Info!$O$7,FALSE)</f>
        <v>250/23 × 7</v>
      </c>
    </row>
    <row r="219" spans="1:5">
      <c r="A219" s="22"/>
      <c r="B219" s="22"/>
      <c r="C219" s="22"/>
      <c r="D219" s="22" t="str">
        <f>VLOOKUP(2212,Sprachindex!$A:$Z,Info!$O$7,FALSE)</f>
        <v>333/28 × 7</v>
      </c>
    </row>
    <row r="221" spans="1:5">
      <c r="A221" s="22" t="s">
        <v>2315</v>
      </c>
      <c r="B221" s="22"/>
    </row>
    <row r="222" spans="1:5">
      <c r="A222" s="22" t="str">
        <f>IF(RI!O24=0,"",IF(RI!O24=1,E192,IF(RI!O24=3,E194,IF(RI!O24=4,E195,A177))))</f>
        <v/>
      </c>
      <c r="B222" s="22"/>
    </row>
    <row r="224" spans="1:5">
      <c r="A224" s="22" t="s">
        <v>2316</v>
      </c>
      <c r="B224" s="22"/>
    </row>
    <row r="225" spans="1:5">
      <c r="A225" s="22" t="str">
        <f>IF(OR(RI!O24=0,RI!O25=0),"",IF(AND(RI!O24=1,RI!O25=2),Formeln!E192&amp;" x "&amp;Formeln!F193,IF(AND(RI!O24=3,RI!O25=3),Formeln!E194&amp;" x "&amp;Formeln!F194,IF(AND(RI!O24=4,RI!O25=4),Formeln!E195 &amp; " x " &amp; Formeln!F195,IF(AND(RI!O24=5,RI!O25=4),Formeln!E196 &amp; " x " &amp; Formeln!F195,IF(AND(RI!O24=5,RI!O25=5),Formeln!E196 &amp; " x " &amp; Formeln!F196,A177))))))</f>
        <v/>
      </c>
      <c r="B225" s="22"/>
      <c r="E225" s="22"/>
    </row>
    <row r="226" spans="1:5">
      <c r="E226" s="22" t="str">
        <f>IF(AND(RI!$O$24=0,RI!$O$25=0),"",IF(AND(RI!O24=1,RI!O25=2),Formeln!E192 &amp; " x " &amp; Formeln!F193,IF(AND(RI!O24=3,RI!O25=3),Formeln!E194 &amp; " x " &amp; Formeln!F194,IF(AND(RI!O24=4,RI!O25=4),Formeln!E195 &amp; " x " &amp; Formeln!F195,IF(AND(RI!O24=5,RI!O25=4),Formeln!E196 &amp; " x " &amp; Formeln!F195,A177)))))</f>
        <v/>
      </c>
    </row>
    <row r="227" spans="1:5">
      <c r="E227" s="22" t="str">
        <f>IF(AND(RI!O24=5,RI!O25=5),E196 &amp; " x " &amp; F196,"")</f>
        <v/>
      </c>
    </row>
    <row r="229" spans="1:5">
      <c r="A229" s="22" t="s">
        <v>2317</v>
      </c>
      <c r="B229" s="22"/>
    </row>
    <row r="230" spans="1:5">
      <c r="A230" s="22" t="str">
        <f>IF(RI!O25=0,"",IF(RI!O25=2,F193,IF(RI!O25=3,F194,IF(RI!O25=4,F195,IF(RI!O25=5,F196,A177)))))</f>
        <v/>
      </c>
    </row>
    <row r="232" spans="1:5">
      <c r="A232" s="22" t="s">
        <v>2318</v>
      </c>
      <c r="B232" s="22"/>
      <c r="C232" s="22"/>
      <c r="D232" s="22"/>
    </row>
    <row r="233" spans="1:5">
      <c r="A233" s="22" t="str">
        <f>IF(RI!O25=0,"",IF(RI!O25=1,F192,IF(RI!O25=2,F193,IF(RI!O25=3,F194,IF(RI!O25=4,F195,IF(RI!O25=5,F196,A177))))))</f>
        <v/>
      </c>
    </row>
    <row r="235" spans="1:5">
      <c r="A235" s="22" t="s">
        <v>2319</v>
      </c>
    </row>
    <row r="236" spans="1:5">
      <c r="A236" s="22" t="str">
        <f>IF(RI!O25=1,F192,IF(RI!O25=2,F193,IF(RI!O25=3,F194,IF(RI!O25=4,F195,IF(RI!O25=5,F196,"")))))</f>
        <v/>
      </c>
    </row>
    <row r="238" spans="1:5">
      <c r="A238" s="22" t="s">
        <v>2320</v>
      </c>
    </row>
    <row r="239" spans="1:5">
      <c r="A239" s="22" t="str">
        <f>IF(RI!O25=0,"",IF(RI!O25=2,F193,IF(RI!O25=3,F194,IF(RI!O25=4,F195,A177))))</f>
        <v/>
      </c>
    </row>
    <row r="241" spans="1:3">
      <c r="A241" s="22" t="s">
        <v>2321</v>
      </c>
    </row>
    <row r="242" spans="1:3">
      <c r="A242" s="22"/>
    </row>
    <row r="243" spans="1:3">
      <c r="A243" s="22" t="str">
        <f>IF(RI!O25=2,"80 x " &amp; F192,IF(RI!O25=3,"100 x " &amp; F192,IF(RI!O25=4,"120 x " &amp; F193,"")))</f>
        <v/>
      </c>
      <c r="B243">
        <v>1</v>
      </c>
    </row>
    <row r="244" spans="1:3">
      <c r="A244" s="22" t="str">
        <f>IF(RI!O25=2,"80 x " &amp; F193,IF(RI!O25=3,"100 x " &amp; F193,IF(RI!O25=4,"120 x " &amp; F194,"")))</f>
        <v/>
      </c>
      <c r="B244">
        <v>2</v>
      </c>
    </row>
    <row r="245" spans="1:3">
      <c r="A245" s="22" t="str">
        <f>IF(RI!O25=3,"100 x " &amp; F194,IF(RI!O25=4,"120 x " &amp; F195,""))</f>
        <v/>
      </c>
      <c r="B245">
        <v>3</v>
      </c>
    </row>
    <row r="247" spans="1:3">
      <c r="A247" s="22" t="s">
        <v>2322</v>
      </c>
    </row>
    <row r="248" spans="1:3">
      <c r="A248" s="22" t="str">
        <f>IF(RI!O25=0,VLOOKUP(2215,Sprachindex!$A:$Z,Info!$O$7,FALSE),IF(RI!O25=1,VLOOKUP(2215,Sprachindex!$A:$Z,Info!$O$7,FALSE),A177))</f>
        <v>60 ⌀ × 3.000 mm</v>
      </c>
    </row>
    <row r="250" spans="1:3">
      <c r="A250" s="22" t="s">
        <v>2323</v>
      </c>
    </row>
    <row r="251" spans="1:3">
      <c r="A251" s="22" t="str">
        <f>IF(RI!O25=0,VLOOKUP(2216,Sprachindex!$A:$Z,Info!$O$7,FALSE),IF(RI!O25=3,VLOOKUP(2216,Sprachindex!$A:$Z,Info!$O$7,FALSE),A177))</f>
        <v>100 ⌀ × 2950 mm</v>
      </c>
    </row>
    <row r="253" spans="1:3">
      <c r="A253" s="22" t="s">
        <v>2324</v>
      </c>
    </row>
    <row r="254" spans="1:3">
      <c r="A254" s="22" t="str">
        <f>IF(RI!O25=0,VLOOKUP(2217,Sprachindex!$A:$Z,Info!$O$7,FALSE),IF(RI!O25=3,VLOOKUP(2217,Sprachindex!$A:$Z,Info!$O$7,FALSE),A177))</f>
        <v>100 ⌀ 700–1.100 mm</v>
      </c>
    </row>
    <row r="255" spans="1:3">
      <c r="C255" t="s">
        <v>1294</v>
      </c>
    </row>
    <row r="256" spans="1:3">
      <c r="A256" s="22" t="s">
        <v>2325</v>
      </c>
      <c r="C256" t="s">
        <v>1302</v>
      </c>
    </row>
    <row r="257" spans="1:3">
      <c r="A257" s="22"/>
      <c r="C257" t="s">
        <v>1310</v>
      </c>
    </row>
    <row r="258" spans="1:3">
      <c r="A258" s="22" t="str">
        <f>IF(RI!O25=0,"",IF(RI!O25=2,C256,IF(RI!O25=3,C257,IF(RI!O25=4,C259,IF(RI!O25=1,C255,"")))))</f>
        <v/>
      </c>
      <c r="C258" t="s">
        <v>1286</v>
      </c>
    </row>
    <row r="259" spans="1:3">
      <c r="A259" s="22" t="str">
        <f>IF(RI!O25=0,"",IF(RI!O25=3,C258,""))</f>
        <v/>
      </c>
      <c r="C259" t="s">
        <v>1325</v>
      </c>
    </row>
    <row r="261" spans="1:3">
      <c r="A261" s="22" t="s">
        <v>2326</v>
      </c>
      <c r="C261" t="s">
        <v>2327</v>
      </c>
    </row>
    <row r="262" spans="1:3">
      <c r="A262" s="22" t="str">
        <f>IF(RI!O25=0,"",IF(RI!O25=2,C261,IF(RI!O25=3,C262,IF(RI!O25=4,C263,A177))))</f>
        <v/>
      </c>
      <c r="C262" t="s">
        <v>2328</v>
      </c>
    </row>
    <row r="263" spans="1:3">
      <c r="A263" s="22"/>
      <c r="C263" t="s">
        <v>2329</v>
      </c>
    </row>
    <row r="265" spans="1:3">
      <c r="A265" s="22" t="s">
        <v>2330</v>
      </c>
    </row>
    <row r="266" spans="1:3">
      <c r="A266" s="22"/>
    </row>
    <row r="267" spans="1:3">
      <c r="A267" s="26" t="str">
        <f>VLOOKUP(96,Sprachindex!$A:$Z,Info!$O$7,FALSE)</f>
        <v>4 × 9,5 mm</v>
      </c>
    </row>
    <row r="268" spans="1:3">
      <c r="A268" s="26" t="str">
        <f>VLOOKUP(97,Sprachindex!$A:$Z,Info!$O$7,FALSE)</f>
        <v>4,8 × 17 mm</v>
      </c>
    </row>
    <row r="270" spans="1:3">
      <c r="A270" s="22" t="s">
        <v>2331</v>
      </c>
    </row>
    <row r="271" spans="1:3">
      <c r="A271" s="22"/>
    </row>
    <row r="272" spans="1:3">
      <c r="A272" s="22" t="str">
        <f>VLOOKUP(23,Sprachindex!$A:$Z,Info!$O$7,FALSE)</f>
        <v>0,75 l Dose</v>
      </c>
    </row>
    <row r="273" spans="1:1">
      <c r="A273" s="25" t="str">
        <f>VLOOKUP(119,Sprachindex!$A:$Z,Info!$O$7,FALSE)</f>
        <v>Dose mit Pinsel (50 ml)</v>
      </c>
    </row>
    <row r="275" spans="1:1">
      <c r="A275" s="22" t="s">
        <v>2332</v>
      </c>
    </row>
    <row r="276" spans="1:1">
      <c r="A276" s="22" t="str">
        <f>IF(RI!O25=0,"",IF(RI!O25=2,F193,IF(RI!O25=3,F194,IF(RI!O25=4,F195,IF(RI!O25=1,F192,A177)))))</f>
        <v/>
      </c>
    </row>
    <row r="279" spans="1:1">
      <c r="A279" t="s">
        <v>2333</v>
      </c>
    </row>
    <row r="281" spans="1:1">
      <c r="A281" s="127" t="s">
        <v>2334</v>
      </c>
    </row>
    <row r="282" spans="1:1">
      <c r="A282" s="127" t="s">
        <v>2335</v>
      </c>
    </row>
    <row r="283" spans="1:1">
      <c r="A283" s="127" t="s">
        <v>2336</v>
      </c>
    </row>
    <row r="285" spans="1:1">
      <c r="A285" t="str">
        <f>VLOOKUP(57,Sprachindex!$A:$Z,Info!$O$7,FALSE)</f>
        <v>140 mm</v>
      </c>
    </row>
    <row r="286" spans="1:1">
      <c r="A286" t="str">
        <f>VLOOKUP(90,Sprachindex!$A:$Z,Info!$O$7,FALSE)</f>
        <v>330 mm</v>
      </c>
    </row>
    <row r="288" spans="1:1">
      <c r="A288" t="str">
        <f>"60"&amp; " " &amp; VLOOKUP(531,Sprachindex!$A:$Z,Info!$O$7,FALSE)</f>
        <v>60 kg</v>
      </c>
    </row>
    <row r="289" spans="1:1">
      <c r="A289" t="str">
        <f>"500"&amp; " " &amp; VLOOKUP(531,Sprachindex!$A:$Z,Info!$O$7,FALSE)</f>
        <v>500 kg</v>
      </c>
    </row>
    <row r="291" spans="1:1">
      <c r="A291" t="s">
        <v>2337</v>
      </c>
    </row>
    <row r="293" spans="1:1">
      <c r="A293" t="str">
        <f>VLOOKUP(1440,Sprachindex!$A:$Z,Info!$O$7,FALSE)</f>
        <v>Ø 110/100 mm</v>
      </c>
    </row>
    <row r="294" spans="1:1">
      <c r="A294" t="str">
        <f>VLOOKUP(1441,Sprachindex!$A:$Z,Info!$O$7,FALSE)</f>
        <v>Ø 125/120 mm</v>
      </c>
    </row>
    <row r="296" spans="1:1">
      <c r="A296" t="s">
        <v>39187</v>
      </c>
    </row>
    <row r="297" spans="1:1">
      <c r="A297" t="s">
        <v>39188</v>
      </c>
    </row>
  </sheetData>
  <mergeCells count="10">
    <mergeCell ref="C40:D40"/>
    <mergeCell ref="C41:D41"/>
    <mergeCell ref="C42:D42"/>
    <mergeCell ref="C43:D43"/>
    <mergeCell ref="C34:D34"/>
    <mergeCell ref="C35:D35"/>
    <mergeCell ref="C36:D36"/>
    <mergeCell ref="C37:D37"/>
    <mergeCell ref="C38:D38"/>
    <mergeCell ref="C39:D39"/>
  </mergeCells>
  <conditionalFormatting sqref="G45:J45">
    <cfRule type="expression" priority="5">
      <formula>$G$45=$A$17</formula>
    </cfRule>
  </conditionalFormatting>
  <conditionalFormatting sqref="I40:J40">
    <cfRule type="expression" priority="1459">
      <formula>$I$40=$A$167:$A$169</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6" id="{86A2E31C-CA14-439D-960F-C53D62450541}">
            <xm:f>RI!#REF!=$A$23</xm:f>
            <x14:dxf/>
          </x14:cfRule>
          <xm:sqref>H60</xm:sqref>
        </x14:conditionalFormatting>
        <x14:conditionalFormatting xmlns:xm="http://schemas.microsoft.com/office/excel/2006/main">
          <x14:cfRule type="expression" priority="39" id="{75FAAE3B-4DAB-444F-B043-744338C787F1}">
            <xm:f>RI!#REF!=$A$23</xm:f>
            <x14:dxf>
              <fill>
                <patternFill>
                  <bgColor theme="0" tint="-4.9989318521683403E-2"/>
                </patternFill>
              </fill>
            </x14:dxf>
          </x14:cfRule>
          <xm:sqref>H88</xm:sqref>
        </x14:conditionalFormatting>
        <x14:conditionalFormatting xmlns:xm="http://schemas.microsoft.com/office/excel/2006/main">
          <x14:cfRule type="expression" priority="47" id="{DA35FC52-DD5E-42EB-BB4F-DA2E3994CE9F}">
            <xm:f>RI!#REF!=$A$30</xm:f>
            <x14:dxf/>
          </x14:cfRule>
          <xm:sqref>I50:J50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outlinePr summaryBelow="0" summaryRight="0"/>
  </sheetPr>
  <dimension ref="A1:RF122"/>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 style="1" customWidth="1"/>
    <col min="11" max="11" width="10.6640625" style="1" customWidth="1"/>
    <col min="12" max="12" width="13.6640625" style="1" customWidth="1"/>
    <col min="13" max="13" width="13.44140625" style="1" customWidth="1"/>
    <col min="14" max="14" width="10.6640625" style="1" customWidth="1"/>
    <col min="15" max="15" width="14.6640625" style="1" customWidth="1"/>
    <col min="16" max="16" width="5.109375" style="267" customWidth="1"/>
    <col min="17" max="17" width="9.6640625" style="5" hidden="1" customWidth="1"/>
    <col min="18" max="28" width="9.6640625" style="179" hidden="1" customWidth="1"/>
    <col min="29" max="29" width="9.6640625" style="142" hidden="1" customWidth="1"/>
    <col min="30" max="30" width="27.6640625" style="9" hidden="1" customWidth="1"/>
    <col min="31" max="31" width="26.88671875" style="1" hidden="1" customWidth="1"/>
    <col min="32" max="32" width="13.33203125" style="1" hidden="1" customWidth="1"/>
    <col min="33" max="33" width="14.33203125" style="1" hidden="1" customWidth="1"/>
    <col min="34" max="34" width="10.6640625" style="1" hidden="1" customWidth="1"/>
    <col min="35" max="35" width="12.44140625" style="1" hidden="1" customWidth="1"/>
    <col min="36" max="36" width="12.88671875" style="1" hidden="1" customWidth="1"/>
    <col min="37" max="37" width="11" style="1" hidden="1" customWidth="1"/>
    <col min="38" max="38" width="14.44140625" style="1" hidden="1" customWidth="1"/>
    <col min="39" max="39" width="13.6640625" style="1" hidden="1" customWidth="1"/>
    <col min="40" max="40" width="15.44140625" style="1" hidden="1" customWidth="1"/>
    <col min="41" max="201" width="12.44140625" style="1" hidden="1" customWidth="1"/>
    <col min="202" max="474" width="11.6640625" style="1" hidden="1" customWidth="1"/>
    <col min="475" max="16384" width="1.33203125" style="1" hidden="1"/>
  </cols>
  <sheetData>
    <row r="1" spans="1:31" ht="28.2">
      <c r="N1" s="2" t="str">
        <f>VLOOKUP(279,Sprachindex!$A:$Z,Info!$O$7,FALSE)</f>
        <v>Dachsysteme</v>
      </c>
    </row>
    <row r="2" spans="1:31" ht="28.2">
      <c r="D2" s="18"/>
      <c r="N2" s="2" t="str">
        <f>VLOOKUP(261,Sprachindex!$A:$Z,Info!$O$7,FALSE)</f>
        <v>Dachplatte</v>
      </c>
    </row>
    <row r="3" spans="1:31" ht="15" customHeight="1">
      <c r="F3" s="67"/>
      <c r="G3" s="67"/>
      <c r="H3" s="67"/>
      <c r="I3" s="67"/>
      <c r="J3" s="67"/>
      <c r="K3" s="67"/>
      <c r="L3" s="67"/>
      <c r="M3" s="67"/>
      <c r="N3" s="67"/>
      <c r="O3" s="67"/>
      <c r="P3" s="499"/>
      <c r="Q3" s="68"/>
    </row>
    <row r="4" spans="1:31" ht="16.95" customHeight="1">
      <c r="F4" s="67"/>
      <c r="G4" s="67"/>
      <c r="H4" s="67"/>
      <c r="I4" s="67"/>
      <c r="J4" s="67"/>
      <c r="K4" s="67"/>
      <c r="L4" s="67"/>
      <c r="M4" s="67"/>
      <c r="N4" s="186"/>
      <c r="O4" s="67"/>
      <c r="P4" s="499"/>
      <c r="Q4" s="68"/>
      <c r="AE4" s="3"/>
    </row>
    <row r="5" spans="1:31" ht="16.95" customHeight="1">
      <c r="F5" s="67"/>
      <c r="G5" s="67"/>
      <c r="H5" s="67"/>
      <c r="I5" s="67"/>
      <c r="J5" s="67"/>
      <c r="K5" s="67"/>
      <c r="L5" s="67"/>
      <c r="M5" s="67"/>
      <c r="N5" s="186"/>
      <c r="O5" s="67"/>
      <c r="P5" s="499"/>
      <c r="Q5" s="68"/>
      <c r="AD5" s="5"/>
      <c r="AE5" s="3"/>
    </row>
    <row r="6" spans="1:31" ht="16.95" customHeight="1">
      <c r="F6" s="67"/>
      <c r="G6" s="67"/>
      <c r="H6" s="67"/>
      <c r="I6" s="67"/>
      <c r="J6" s="67"/>
      <c r="K6" s="67"/>
      <c r="L6" s="67"/>
      <c r="M6" s="67"/>
      <c r="N6" s="186"/>
      <c r="O6" s="67"/>
      <c r="P6" s="500"/>
      <c r="Q6" s="94"/>
      <c r="AD6" s="5"/>
      <c r="AE6" s="3"/>
    </row>
    <row r="7" spans="1:31" ht="16.95" customHeight="1">
      <c r="F7" s="67"/>
      <c r="G7" s="67"/>
      <c r="H7" s="67"/>
      <c r="I7" s="67"/>
      <c r="J7" s="67"/>
      <c r="K7" s="67"/>
      <c r="L7" s="67"/>
      <c r="M7" s="67"/>
      <c r="N7" s="186"/>
      <c r="O7" s="67"/>
      <c r="P7" s="500"/>
      <c r="Q7" s="94"/>
      <c r="AD7" s="5"/>
      <c r="AE7" s="5"/>
    </row>
    <row r="8" spans="1:31" s="5" customFormat="1" ht="16.95" customHeight="1">
      <c r="A8" s="178" t="str">
        <f>VLOOKUP(393,Sprachindex!$A:$Z,Info!$O$7,FALSE)</f>
        <v>Firma / Besteller:</v>
      </c>
      <c r="B8" s="1"/>
      <c r="C8" s="1"/>
      <c r="D8" s="1"/>
      <c r="E8" s="1"/>
      <c r="F8" s="67"/>
      <c r="G8" s="67"/>
      <c r="H8" s="67"/>
      <c r="I8" s="67"/>
      <c r="J8" s="67"/>
      <c r="K8" s="67"/>
      <c r="L8" s="67"/>
      <c r="M8" s="67"/>
      <c r="N8" s="67"/>
      <c r="O8" s="68"/>
      <c r="P8" s="68"/>
      <c r="Q8" s="68"/>
      <c r="R8" s="179"/>
      <c r="S8" s="179"/>
      <c r="T8" s="179"/>
      <c r="U8" s="179"/>
      <c r="V8" s="179"/>
      <c r="W8" s="179"/>
      <c r="X8" s="179"/>
      <c r="Y8" s="179"/>
      <c r="Z8" s="179"/>
      <c r="AA8" s="179"/>
      <c r="AB8" s="179"/>
      <c r="AC8" s="142"/>
    </row>
    <row r="9" spans="1:31" s="5" customFormat="1" ht="15" customHeight="1">
      <c r="A9" s="1"/>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M9" s="66"/>
      <c r="N9" s="66"/>
      <c r="O9" s="68"/>
      <c r="P9" s="94">
        <v>0</v>
      </c>
      <c r="Q9" s="94"/>
      <c r="R9" s="179"/>
      <c r="S9" s="179"/>
      <c r="T9" s="179"/>
      <c r="U9" s="179"/>
      <c r="V9" s="179"/>
      <c r="W9" s="179"/>
      <c r="X9" s="179"/>
      <c r="Y9" s="179"/>
      <c r="Z9" s="179"/>
      <c r="AA9" s="179"/>
      <c r="AB9" s="179"/>
      <c r="AC9" s="156"/>
    </row>
    <row r="10" spans="1:31" s="5" customFormat="1" ht="15" customHeight="1">
      <c r="A10" s="1"/>
      <c r="B10" s="71" t="str">
        <f>VLOOKUP(884,Sprachindex!$A:$Z,Info!$O$7,FALSE)</f>
        <v>Straße:</v>
      </c>
      <c r="C10" s="615"/>
      <c r="D10" s="616"/>
      <c r="E10" s="617"/>
      <c r="F10" s="67"/>
      <c r="G10" s="67"/>
      <c r="H10" s="67"/>
      <c r="I10" s="88"/>
      <c r="J10" s="88"/>
      <c r="K10" s="88"/>
      <c r="L10" s="88"/>
      <c r="M10" s="67"/>
      <c r="N10" s="67"/>
      <c r="O10" s="68"/>
      <c r="P10" s="68"/>
      <c r="Q10" s="68"/>
      <c r="R10" s="179"/>
      <c r="S10" s="179"/>
      <c r="T10" s="179"/>
      <c r="U10" s="179"/>
      <c r="V10" s="179"/>
      <c r="W10" s="179"/>
      <c r="X10" s="179"/>
      <c r="Y10" s="179"/>
      <c r="Z10" s="179"/>
      <c r="AA10" s="179"/>
      <c r="AB10" s="179"/>
      <c r="AC10" s="142"/>
    </row>
    <row r="11" spans="1:31" s="5" customFormat="1" ht="15" customHeight="1">
      <c r="A11" s="1"/>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6"/>
      <c r="N11" s="66"/>
      <c r="O11" s="68"/>
      <c r="P11" s="51">
        <v>0</v>
      </c>
      <c r="Q11" s="51"/>
      <c r="R11" s="179"/>
      <c r="S11" s="179"/>
      <c r="T11" s="179"/>
      <c r="U11" s="179"/>
      <c r="V11" s="179"/>
      <c r="W11" s="179"/>
      <c r="X11" s="179"/>
      <c r="Y11" s="179"/>
      <c r="Z11" s="179"/>
      <c r="AA11" s="179"/>
      <c r="AB11" s="179"/>
      <c r="AC11" s="156"/>
    </row>
    <row r="12" spans="1:31" s="5" customFormat="1" ht="15" customHeight="1">
      <c r="A12" s="1"/>
      <c r="B12" s="67"/>
      <c r="C12" s="67"/>
      <c r="D12" s="67"/>
      <c r="E12" s="67"/>
      <c r="F12" s="67"/>
      <c r="G12" s="67"/>
      <c r="H12" s="67"/>
      <c r="I12" s="84"/>
      <c r="J12" s="88"/>
      <c r="K12" s="88"/>
      <c r="L12" s="88"/>
      <c r="M12" s="67"/>
      <c r="N12" s="67"/>
      <c r="O12" s="68"/>
      <c r="P12" s="68"/>
      <c r="Q12" s="68"/>
      <c r="R12" s="179"/>
      <c r="S12" s="179"/>
      <c r="T12" s="179"/>
      <c r="U12" s="179"/>
      <c r="V12" s="179"/>
      <c r="W12" s="179"/>
      <c r="X12" s="179"/>
      <c r="Y12" s="179"/>
      <c r="Z12" s="179"/>
      <c r="AA12" s="179"/>
      <c r="AB12" s="179"/>
      <c r="AC12" s="142"/>
    </row>
    <row r="13" spans="1:31" s="5" customFormat="1" ht="15" customHeight="1">
      <c r="A13" s="1"/>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6"/>
      <c r="N13" s="66"/>
      <c r="O13" s="68"/>
      <c r="P13" s="94">
        <v>0</v>
      </c>
      <c r="Q13" s="94"/>
      <c r="R13" s="179"/>
      <c r="S13" s="179"/>
      <c r="T13" s="179"/>
      <c r="U13" s="179"/>
      <c r="V13" s="179"/>
      <c r="W13" s="179"/>
      <c r="X13" s="179"/>
      <c r="Y13" s="179"/>
      <c r="Z13" s="179"/>
      <c r="AA13" s="179"/>
      <c r="AB13" s="179"/>
      <c r="AC13" s="157"/>
    </row>
    <row r="14" spans="1:31" s="5" customFormat="1" ht="15" customHeight="1">
      <c r="A14" s="1"/>
      <c r="B14" s="71" t="str">
        <f>VLOOKUP(901,Sprachindex!$A:$Z,Info!$O$7,FALSE)</f>
        <v>Telefon:</v>
      </c>
      <c r="C14" s="615"/>
      <c r="D14" s="616"/>
      <c r="E14" s="617"/>
      <c r="F14" s="67"/>
      <c r="G14" s="67"/>
      <c r="H14" s="88"/>
      <c r="I14" s="88"/>
      <c r="J14" s="88"/>
      <c r="K14" s="88"/>
      <c r="L14" s="88"/>
      <c r="M14" s="88"/>
      <c r="N14" s="67"/>
      <c r="O14" s="68"/>
      <c r="P14" s="68"/>
      <c r="Q14" s="68"/>
      <c r="R14" s="179"/>
      <c r="S14" s="179"/>
      <c r="T14" s="179"/>
      <c r="U14" s="179"/>
      <c r="V14" s="179"/>
      <c r="W14" s="179"/>
      <c r="X14" s="179"/>
      <c r="Y14" s="179"/>
      <c r="Z14" s="179"/>
      <c r="AA14" s="179"/>
      <c r="AB14" s="179"/>
      <c r="AC14" s="142"/>
    </row>
    <row r="15" spans="1:31" s="5" customFormat="1" ht="15" customHeight="1">
      <c r="A15" s="1"/>
      <c r="B15" s="71" t="str">
        <f>VLOOKUP(1698,Sprachindex!$A:$Z,Info!$O$7,FALSE)</f>
        <v>eMail:</v>
      </c>
      <c r="C15" s="615"/>
      <c r="D15" s="616"/>
      <c r="E15" s="617"/>
      <c r="F15" s="67"/>
      <c r="G15" s="89" t="str">
        <f>VLOOKUP(385,Sprachindex!$A:$Z,Info!$O$7,FALSE)</f>
        <v>Farbe:</v>
      </c>
      <c r="H15" s="67"/>
      <c r="I15" s="67"/>
      <c r="J15" s="67"/>
      <c r="K15" s="67"/>
      <c r="L15" s="67"/>
      <c r="M15" s="67"/>
      <c r="N15" s="67"/>
      <c r="O15" s="68"/>
      <c r="P15" s="68"/>
      <c r="Q15" s="68"/>
      <c r="R15" s="179"/>
      <c r="S15" s="179"/>
      <c r="T15" s="179"/>
      <c r="U15" s="179"/>
      <c r="V15" s="179"/>
      <c r="W15" s="179"/>
      <c r="X15" s="179"/>
      <c r="Y15" s="179"/>
      <c r="Z15" s="179"/>
      <c r="AA15" s="179"/>
      <c r="AB15" s="179"/>
      <c r="AC15" s="142"/>
      <c r="AD15" s="142"/>
    </row>
    <row r="16" spans="1:31" s="5" customFormat="1" ht="15" customHeight="1">
      <c r="A16" s="1"/>
      <c r="B16" s="67"/>
      <c r="C16" s="67"/>
      <c r="D16" s="67"/>
      <c r="E16" s="67"/>
      <c r="F16" s="179"/>
      <c r="G16" s="67" t="str">
        <f>VLOOKUP(25,Sprachindex!$A:$Z,Info!$O$7,FALSE)</f>
        <v>01 P.10 Braun</v>
      </c>
      <c r="H16" s="67"/>
      <c r="I16" s="179"/>
      <c r="J16" s="66" t="str">
        <f>VLOOKUP(37,Sprachindex!$A:$Z,Info!$O$7,FALSE)</f>
        <v>07 P.10 Hellgrau</v>
      </c>
      <c r="K16" s="67"/>
      <c r="L16" s="67"/>
      <c r="M16" s="67"/>
      <c r="N16" s="67"/>
      <c r="O16" s="68"/>
      <c r="P16" s="68"/>
      <c r="Q16" s="68"/>
      <c r="R16" s="179"/>
      <c r="S16" s="179"/>
      <c r="T16" s="179"/>
      <c r="U16" s="179"/>
      <c r="V16" s="179"/>
      <c r="W16" s="179"/>
      <c r="X16" s="179"/>
      <c r="Y16" s="179"/>
      <c r="Z16" s="179"/>
      <c r="AA16" s="179"/>
      <c r="AB16" s="179"/>
      <c r="AC16" s="142"/>
      <c r="AD16" s="129"/>
    </row>
    <row r="17" spans="1:195" s="5" customFormat="1" ht="15" customHeight="1">
      <c r="A17" s="178" t="str">
        <f>VLOOKUP(580,Sprachindex!$A:$Z,Info!$O$7,FALSE)</f>
        <v>Lieferadresse:</v>
      </c>
      <c r="B17" s="67"/>
      <c r="C17" s="67"/>
      <c r="D17" s="67"/>
      <c r="E17" s="67"/>
      <c r="F17" s="179"/>
      <c r="G17" s="67" t="str">
        <f>VLOOKUP(27,Sprachindex!$A:$Z,Info!$O$7,FALSE)</f>
        <v>02 P.10 Anthrazit</v>
      </c>
      <c r="H17" s="67"/>
      <c r="I17" s="179"/>
      <c r="J17" s="69" t="str">
        <f>VLOOKUP(51,Sprachindex!$A:$Z,Info!$O$7,FALSE)</f>
        <v>11 P.10 Nussbraun</v>
      </c>
      <c r="K17" s="67"/>
      <c r="L17" s="67"/>
      <c r="M17" s="67"/>
      <c r="N17" s="67"/>
      <c r="O17" s="68"/>
      <c r="P17" s="68"/>
      <c r="Q17" s="68"/>
      <c r="R17" s="179"/>
      <c r="S17" s="179"/>
      <c r="T17" s="179"/>
      <c r="U17" s="179"/>
      <c r="V17" s="179"/>
      <c r="W17" s="179"/>
      <c r="X17" s="179"/>
      <c r="Y17" s="179"/>
      <c r="Z17" s="179"/>
      <c r="AA17" s="179"/>
      <c r="AB17" s="179"/>
      <c r="AC17" s="142"/>
      <c r="AD17" s="53"/>
    </row>
    <row r="18" spans="1:195" s="5" customFormat="1" ht="15" customHeight="1">
      <c r="A18" s="1"/>
      <c r="B18" s="71" t="str">
        <f>VLOOKUP(622,Sprachindex!$A:$Z,Info!$O$7,FALSE)</f>
        <v>Name:</v>
      </c>
      <c r="C18" s="615"/>
      <c r="D18" s="616"/>
      <c r="E18" s="617"/>
      <c r="F18" s="179"/>
      <c r="G18" s="67" t="str">
        <f>VLOOKUP(28,Sprachindex!$A:$Z,Info!$O$7,FALSE)</f>
        <v>03 P.10 Schwarz</v>
      </c>
      <c r="H18" s="67"/>
      <c r="I18" s="179"/>
      <c r="J18" s="69" t="str">
        <f>VLOOKUP(63,Sprachindex!$A:$Z,Info!$O$7,FALSE)</f>
        <v>19 P.10 Dunkelgrau</v>
      </c>
      <c r="K18" s="67"/>
      <c r="L18" s="67"/>
      <c r="M18" s="67"/>
      <c r="N18" s="67"/>
      <c r="O18" s="68"/>
      <c r="P18" s="90"/>
      <c r="Q18" s="90"/>
      <c r="R18" s="179"/>
      <c r="S18" s="179"/>
      <c r="T18" s="179"/>
      <c r="U18" s="179"/>
      <c r="V18" s="179"/>
      <c r="W18" s="179"/>
      <c r="X18" s="179"/>
      <c r="Y18" s="179"/>
      <c r="Z18" s="179"/>
      <c r="AA18" s="179"/>
      <c r="AB18" s="179"/>
      <c r="AC18" s="142"/>
      <c r="AD18" s="52"/>
      <c r="AE18" s="14"/>
    </row>
    <row r="19" spans="1:195" s="5" customFormat="1" ht="15" customHeight="1">
      <c r="A19" s="1"/>
      <c r="B19" s="71" t="str">
        <f>VLOOKUP(540,Sprachindex!$A:$Z,Info!$O$7,FALSE)</f>
        <v>Kommission:</v>
      </c>
      <c r="C19" s="615"/>
      <c r="D19" s="616"/>
      <c r="E19" s="617"/>
      <c r="F19" s="179"/>
      <c r="G19" s="67" t="str">
        <f>VLOOKUP(30,Sprachindex!$A:$Z,Info!$O$7,FALSE)</f>
        <v>04 P.10 Ziegelrot</v>
      </c>
      <c r="H19" s="67"/>
      <c r="I19" s="179"/>
      <c r="J19" s="69" t="str">
        <f>VLOOKUP(110,Sprachindex!$A:$Z,Info!$O$7,FALSE)</f>
        <v>43 P.10 Steingrau</v>
      </c>
      <c r="K19" s="67"/>
      <c r="L19" s="67"/>
      <c r="M19" s="67"/>
      <c r="N19" s="67"/>
      <c r="O19" s="68"/>
      <c r="P19" s="68"/>
      <c r="Q19" s="68"/>
      <c r="R19" s="179"/>
      <c r="S19" s="179"/>
      <c r="T19" s="179"/>
      <c r="U19" s="179"/>
      <c r="V19" s="179"/>
      <c r="W19" s="179"/>
      <c r="X19" s="179"/>
      <c r="Y19" s="179"/>
      <c r="Z19" s="179"/>
      <c r="AA19" s="179"/>
      <c r="AB19" s="179"/>
      <c r="AC19" s="142"/>
      <c r="AD19" s="52"/>
      <c r="AE19" s="14"/>
    </row>
    <row r="20" spans="1:195" s="5" customFormat="1" ht="15" customHeight="1">
      <c r="A20" s="1"/>
      <c r="B20" s="71" t="str">
        <f>VLOOKUP(884,Sprachindex!$A:$Z,Info!$O$7,FALSE)</f>
        <v>Straße:</v>
      </c>
      <c r="C20" s="615"/>
      <c r="D20" s="616"/>
      <c r="E20" s="617"/>
      <c r="F20" s="179"/>
      <c r="G20" s="67" t="str">
        <f>VLOOKUP(33,Sprachindex!$A:$Z,Info!$O$7,FALSE)</f>
        <v>05 P.10 Oxydrot</v>
      </c>
      <c r="H20" s="67"/>
      <c r="I20" s="67"/>
      <c r="J20" s="69" t="str">
        <f>"28 " &amp; VLOOKUP(3030,Sprachindex!$A:$Z,Info!$O$7,FALSE)</f>
        <v>28 P.10 Prefabronze</v>
      </c>
      <c r="K20" s="67"/>
      <c r="L20" s="68"/>
      <c r="M20" s="68"/>
      <c r="N20" s="68"/>
      <c r="O20" s="68"/>
      <c r="P20" s="68"/>
      <c r="Q20" s="68"/>
      <c r="R20" s="179"/>
      <c r="S20" s="179"/>
      <c r="T20" s="179"/>
      <c r="U20" s="179"/>
      <c r="V20" s="179"/>
      <c r="W20" s="179"/>
      <c r="X20" s="179"/>
      <c r="Y20" s="179"/>
      <c r="Z20" s="179"/>
      <c r="AA20" s="179"/>
      <c r="AB20" s="179"/>
      <c r="AC20" s="142"/>
      <c r="AD20" s="52"/>
      <c r="AE20" s="14"/>
    </row>
    <row r="21" spans="1:195" s="5" customFormat="1" ht="15" customHeight="1">
      <c r="A21" s="1"/>
      <c r="B21" s="71" t="str">
        <f>VLOOKUP(641,Sprachindex!$A:$Z,Info!$O$7,FALSE)</f>
        <v>Ort:</v>
      </c>
      <c r="C21" s="615"/>
      <c r="D21" s="616"/>
      <c r="E21" s="617"/>
      <c r="F21" s="179"/>
      <c r="G21" s="67" t="str">
        <f>VLOOKUP(35,Sprachindex!$A:$Z,Info!$O$7,FALSE)</f>
        <v>06 P.10 Moosgrün</v>
      </c>
      <c r="H21" s="67"/>
      <c r="I21" s="90"/>
      <c r="J21" s="70"/>
      <c r="K21" s="70"/>
      <c r="L21" s="67"/>
      <c r="M21" s="67"/>
      <c r="N21" s="67"/>
      <c r="O21" s="68"/>
      <c r="P21" s="94">
        <v>0</v>
      </c>
      <c r="Q21" s="166"/>
      <c r="R21" s="179"/>
      <c r="S21" s="179"/>
      <c r="T21" s="179"/>
      <c r="U21" s="179"/>
      <c r="V21" s="179"/>
      <c r="W21" s="179"/>
      <c r="X21" s="179"/>
      <c r="Y21" s="179"/>
      <c r="Z21" s="179"/>
      <c r="AA21" s="179"/>
      <c r="AB21" s="179"/>
      <c r="AC21" s="142"/>
      <c r="AD21" s="52"/>
      <c r="AE21" s="14"/>
      <c r="AZ21" s="129"/>
      <c r="BA21" s="129"/>
      <c r="BB21" s="129"/>
      <c r="BC21" s="129"/>
      <c r="BD21" s="129"/>
      <c r="BE21" s="129"/>
      <c r="BF21" s="129"/>
    </row>
    <row r="22" spans="1:195" s="5" customFormat="1" ht="15" customHeight="1">
      <c r="A22" s="1"/>
      <c r="B22" s="71"/>
      <c r="C22" s="67"/>
      <c r="D22" s="67"/>
      <c r="E22" s="67"/>
      <c r="F22" s="71"/>
      <c r="G22" s="67"/>
      <c r="H22" s="67"/>
      <c r="I22" s="90"/>
      <c r="J22" s="67"/>
      <c r="K22" s="67"/>
      <c r="L22" s="67"/>
      <c r="M22" s="67"/>
      <c r="N22" s="67"/>
      <c r="O22" s="68"/>
      <c r="P22" s="68"/>
      <c r="Q22" s="68"/>
      <c r="R22" s="179"/>
      <c r="S22" s="179"/>
      <c r="T22" s="179"/>
      <c r="U22" s="179"/>
      <c r="V22" s="179"/>
      <c r="W22" s="179"/>
      <c r="X22" s="179"/>
      <c r="Y22" s="179"/>
      <c r="Z22" s="179"/>
      <c r="AA22" s="179"/>
      <c r="AB22" s="179"/>
      <c r="AC22" s="142"/>
      <c r="AE22" s="14"/>
      <c r="AZ22" s="129"/>
      <c r="BA22" s="129"/>
      <c r="BB22" s="129"/>
      <c r="BC22" s="129"/>
      <c r="BD22" s="129"/>
      <c r="BE22" s="129"/>
      <c r="BF22" s="129"/>
    </row>
    <row r="23" spans="1:195" s="5" customFormat="1" ht="15" customHeight="1">
      <c r="A23" s="178"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68"/>
      <c r="R23" s="179"/>
      <c r="S23" s="179"/>
      <c r="T23" s="179"/>
      <c r="U23" s="179"/>
      <c r="V23" s="179"/>
      <c r="W23" s="179"/>
      <c r="X23" s="179"/>
      <c r="Y23" s="179"/>
      <c r="Z23" s="179"/>
      <c r="AA23" s="179"/>
      <c r="AB23" s="179"/>
      <c r="AC23" s="142"/>
      <c r="AD23" s="52"/>
      <c r="AE23" s="14"/>
      <c r="AZ23" s="129"/>
      <c r="BA23" s="129"/>
      <c r="BB23" s="129"/>
      <c r="BC23" s="129"/>
      <c r="BD23" s="129"/>
      <c r="BE23" s="129"/>
      <c r="BF23" s="129"/>
    </row>
    <row r="24" spans="1:195" s="5" customFormat="1" ht="15" customHeight="1">
      <c r="A24" s="1"/>
      <c r="B24" s="640" t="str">
        <f>VLOOKUP(1430,Sprachindex!$A:$Z,Info!$O$7,FALSE)</f>
        <v>Beschreibung</v>
      </c>
      <c r="C24" s="615"/>
      <c r="D24" s="616"/>
      <c r="E24" s="617"/>
      <c r="F24" s="67"/>
      <c r="G24" s="83"/>
      <c r="H24" s="71" t="str">
        <f>VLOOKUP(1429,Sprachindex!$A:$Z,Info!$O$7,FALSE)</f>
        <v>Bearbeiter:</v>
      </c>
      <c r="I24" s="415"/>
      <c r="J24" s="67"/>
      <c r="K24" s="67"/>
      <c r="L24" s="67"/>
      <c r="M24" s="67"/>
      <c r="N24" s="67"/>
      <c r="O24" s="67"/>
      <c r="P24" s="499"/>
      <c r="Q24" s="68"/>
      <c r="R24" s="179"/>
      <c r="S24" s="179"/>
      <c r="T24" s="179"/>
      <c r="U24" s="179"/>
      <c r="V24" s="179"/>
      <c r="W24" s="179"/>
      <c r="X24" s="179"/>
      <c r="Y24" s="179"/>
      <c r="Z24" s="179"/>
      <c r="AA24" s="179"/>
      <c r="AB24" s="179"/>
      <c r="AC24" s="142"/>
      <c r="AD24" s="52"/>
      <c r="AE24" s="14"/>
      <c r="AZ24" s="129"/>
      <c r="BA24" s="129"/>
      <c r="BB24" s="129"/>
      <c r="BC24" s="129"/>
      <c r="BD24" s="129"/>
      <c r="BE24" s="129"/>
      <c r="BF24" s="129"/>
    </row>
    <row r="25" spans="1:195" s="5" customFormat="1" ht="15" customHeight="1">
      <c r="A25" s="1"/>
      <c r="B25" s="640"/>
      <c r="C25" s="615"/>
      <c r="D25" s="616"/>
      <c r="E25" s="617"/>
      <c r="F25" s="67"/>
      <c r="G25" s="83"/>
      <c r="H25" s="71" t="str">
        <f>VLOOKUP(2243,Sprachindex!$A:$Z,Info!$O$7,FALSE)</f>
        <v>Projekt-ID:</v>
      </c>
      <c r="I25" s="415"/>
      <c r="J25" s="67"/>
      <c r="K25" s="67"/>
      <c r="L25" s="67"/>
      <c r="M25" s="67"/>
      <c r="N25" s="67"/>
      <c r="O25" s="67"/>
      <c r="P25" s="499"/>
      <c r="Q25" s="68"/>
      <c r="R25" s="179"/>
      <c r="S25" s="179"/>
      <c r="T25" s="179"/>
      <c r="U25" s="179"/>
      <c r="V25" s="179"/>
      <c r="W25" s="179"/>
      <c r="X25" s="179"/>
      <c r="Y25" s="179"/>
      <c r="Z25" s="179"/>
      <c r="AA25" s="179"/>
      <c r="AB25" s="179"/>
      <c r="AC25" s="142"/>
      <c r="AD25" s="52"/>
      <c r="AE25" s="14"/>
      <c r="AZ25" s="129"/>
      <c r="BA25" s="129"/>
      <c r="BB25" s="129"/>
      <c r="BC25" s="129"/>
      <c r="BD25" s="129"/>
      <c r="BE25" s="129"/>
      <c r="BF25" s="129"/>
    </row>
    <row r="26" spans="1:195" s="5" customFormat="1" ht="15" customHeight="1">
      <c r="A26" s="1"/>
      <c r="B26" s="640"/>
      <c r="C26" s="615"/>
      <c r="D26" s="616"/>
      <c r="E26" s="617"/>
      <c r="F26" s="67"/>
      <c r="G26" s="83"/>
      <c r="H26" s="71" t="str">
        <f>VLOOKUP(286,Sprachindex!$A:$Z,Info!$O$7,FALSE)</f>
        <v>Datum:</v>
      </c>
      <c r="I26" s="483">
        <f ca="1">TODAY()</f>
        <v>45770</v>
      </c>
      <c r="J26" s="67"/>
      <c r="K26" s="67"/>
      <c r="L26" s="67"/>
      <c r="M26" s="67"/>
      <c r="N26" s="67"/>
      <c r="O26" s="67"/>
      <c r="P26" s="499"/>
      <c r="Q26" s="68"/>
      <c r="R26" s="179"/>
      <c r="S26" s="179"/>
      <c r="T26" s="179"/>
      <c r="U26" s="179"/>
      <c r="V26" s="179"/>
      <c r="W26" s="179"/>
      <c r="X26" s="179"/>
      <c r="Y26" s="179"/>
      <c r="Z26" s="179"/>
      <c r="AA26" s="179"/>
      <c r="AB26" s="179"/>
      <c r="AC26" s="142"/>
      <c r="AD26" s="52"/>
      <c r="AE26" s="14"/>
      <c r="AH26" s="129"/>
      <c r="AZ26" s="129"/>
      <c r="BA26" s="129"/>
      <c r="BB26" s="129"/>
      <c r="BC26" s="129"/>
      <c r="BD26" s="129"/>
      <c r="BE26" s="129"/>
      <c r="BF26" s="129"/>
    </row>
    <row r="27" spans="1:195" s="5" customFormat="1" ht="15" customHeight="1">
      <c r="A27" s="1"/>
      <c r="B27" s="640"/>
      <c r="C27" s="615"/>
      <c r="D27" s="616"/>
      <c r="E27" s="617"/>
      <c r="F27" s="67"/>
      <c r="L27" s="67"/>
      <c r="M27" s="67"/>
      <c r="N27" s="67"/>
      <c r="O27" s="67"/>
      <c r="P27" s="499"/>
      <c r="Q27" s="68"/>
      <c r="R27" s="179"/>
      <c r="S27" s="179"/>
      <c r="T27" s="179"/>
      <c r="U27" s="179"/>
      <c r="V27" s="179"/>
      <c r="W27" s="179"/>
      <c r="X27" s="179"/>
      <c r="Y27" s="179"/>
      <c r="Z27" s="179"/>
      <c r="AA27" s="179"/>
      <c r="AB27" s="179"/>
      <c r="AC27" s="142"/>
      <c r="AD27" s="52"/>
      <c r="AE27" s="14"/>
      <c r="AH27" s="129"/>
      <c r="AZ27" s="129"/>
      <c r="BA27" s="129"/>
      <c r="BB27" s="129"/>
      <c r="BC27" s="129"/>
      <c r="BD27" s="129"/>
      <c r="BE27" s="129"/>
      <c r="BF27" s="129"/>
    </row>
    <row r="28" spans="1:195" s="5" customFormat="1" ht="15" customHeight="1">
      <c r="A28" s="1"/>
      <c r="B28" s="71"/>
      <c r="C28" s="67"/>
      <c r="D28" s="67"/>
      <c r="E28" s="67"/>
      <c r="F28" s="67"/>
      <c r="G28" s="67"/>
      <c r="H28" s="67"/>
      <c r="I28" s="90"/>
      <c r="J28" s="67"/>
      <c r="K28" s="67"/>
      <c r="L28" s="67"/>
      <c r="M28" s="67"/>
      <c r="N28" s="67"/>
      <c r="O28" s="67"/>
      <c r="P28" s="499"/>
      <c r="Q28" s="68"/>
      <c r="R28" s="179"/>
      <c r="S28" s="179"/>
      <c r="T28" s="179"/>
      <c r="U28" s="179"/>
      <c r="V28" s="179"/>
      <c r="W28" s="179"/>
      <c r="X28" s="179"/>
      <c r="Y28" s="179"/>
      <c r="Z28" s="179"/>
      <c r="AA28" s="179"/>
      <c r="AB28" s="179"/>
      <c r="AC28" s="142"/>
      <c r="AD28" s="52"/>
      <c r="AE28" s="14"/>
      <c r="AZ28" s="129"/>
      <c r="BA28" s="129"/>
      <c r="BB28" s="129"/>
      <c r="BC28" s="129"/>
      <c r="BF28" s="129"/>
    </row>
    <row r="29" spans="1:195" ht="15" customHeight="1" thickBot="1">
      <c r="A29" s="95" t="str">
        <f>VLOOKUP(392,Sprachindex!$A:$Z,Info!$O$7,FALSE)</f>
        <v>Filter:</v>
      </c>
      <c r="B29" s="633"/>
      <c r="C29" s="633"/>
      <c r="D29" s="633"/>
      <c r="E29" s="633"/>
      <c r="F29" s="67"/>
      <c r="G29" s="67"/>
      <c r="H29" s="67"/>
      <c r="I29" s="67"/>
      <c r="J29" s="67"/>
      <c r="K29" s="67"/>
      <c r="L29" s="67"/>
      <c r="M29" s="67"/>
      <c r="N29" s="67"/>
      <c r="O29" s="67"/>
      <c r="P29" s="499"/>
      <c r="Q29" s="68"/>
      <c r="AD29" s="627" t="s">
        <v>25</v>
      </c>
      <c r="AE29" s="627"/>
      <c r="AH29" s="45" t="s">
        <v>26</v>
      </c>
      <c r="AI29" s="13"/>
      <c r="AJ29" s="13"/>
      <c r="AK29" s="13"/>
      <c r="AL29" s="13"/>
      <c r="AM29" s="13"/>
      <c r="AO29" s="13"/>
      <c r="AP29" s="13"/>
      <c r="AQ29" s="13"/>
      <c r="AR29" s="13"/>
      <c r="AS29" s="13"/>
      <c r="AT29" s="45" t="s">
        <v>27</v>
      </c>
      <c r="AU29" s="13"/>
      <c r="AV29" s="13"/>
      <c r="AW29" s="13"/>
      <c r="AX29" s="13"/>
      <c r="AY29" s="13"/>
      <c r="AZ29" s="13"/>
      <c r="BA29" s="13"/>
      <c r="BB29" s="13"/>
      <c r="BC29" s="46"/>
      <c r="BD29" s="46"/>
      <c r="BE29" s="294"/>
      <c r="BF29" s="132"/>
    </row>
    <row r="30" spans="1:195"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R30" s="75" t="s">
        <v>29</v>
      </c>
      <c r="S30" s="75" t="s">
        <v>29</v>
      </c>
      <c r="AC30" s="129"/>
      <c r="AD30" s="153" t="s">
        <v>30</v>
      </c>
      <c r="AE30" s="153" t="s">
        <v>31</v>
      </c>
      <c r="AF30" s="135"/>
      <c r="AH30" s="47" t="s">
        <v>35</v>
      </c>
      <c r="AI30" s="47" t="s">
        <v>32</v>
      </c>
      <c r="AJ30" s="47" t="s">
        <v>40</v>
      </c>
      <c r="AK30" s="47" t="s">
        <v>37</v>
      </c>
      <c r="AL30" s="47" t="s">
        <v>33</v>
      </c>
      <c r="AM30" s="47" t="s">
        <v>39</v>
      </c>
      <c r="AN30" s="47"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20" t="s">
        <v>38962</v>
      </c>
      <c r="BE30" s="503" t="s">
        <v>39049</v>
      </c>
      <c r="BO30" s="47" t="s">
        <v>42</v>
      </c>
      <c r="BP30" s="47" t="s">
        <v>43</v>
      </c>
      <c r="BQ30" s="47" t="s">
        <v>44</v>
      </c>
      <c r="BR30" s="47" t="s">
        <v>45</v>
      </c>
      <c r="BS30" s="47" t="s">
        <v>46</v>
      </c>
      <c r="BT30" s="47" t="s">
        <v>47</v>
      </c>
      <c r="BU30" s="47" t="s">
        <v>48</v>
      </c>
      <c r="BV30" s="47" t="s">
        <v>49</v>
      </c>
      <c r="BW30" s="47" t="s">
        <v>50</v>
      </c>
      <c r="CI30" s="47" t="s">
        <v>42</v>
      </c>
      <c r="CJ30" s="47" t="s">
        <v>43</v>
      </c>
      <c r="CK30" s="47" t="s">
        <v>44</v>
      </c>
      <c r="CL30" s="47" t="s">
        <v>45</v>
      </c>
      <c r="CM30" s="47" t="s">
        <v>46</v>
      </c>
      <c r="CN30" s="47" t="s">
        <v>47</v>
      </c>
      <c r="CO30" s="47" t="s">
        <v>48</v>
      </c>
      <c r="CP30" s="47" t="s">
        <v>49</v>
      </c>
      <c r="CQ30" s="47" t="s">
        <v>50</v>
      </c>
      <c r="DC30" s="47" t="s">
        <v>42</v>
      </c>
      <c r="DD30" s="47" t="s">
        <v>43</v>
      </c>
      <c r="DE30" s="47" t="s">
        <v>44</v>
      </c>
      <c r="DF30" s="47" t="s">
        <v>45</v>
      </c>
      <c r="DG30" s="47" t="s">
        <v>46</v>
      </c>
      <c r="DH30" s="47" t="s">
        <v>47</v>
      </c>
      <c r="DI30" s="47" t="s">
        <v>48</v>
      </c>
      <c r="DJ30" s="47" t="s">
        <v>49</v>
      </c>
      <c r="DK30" s="47" t="s">
        <v>50</v>
      </c>
      <c r="DW30" s="47" t="s">
        <v>42</v>
      </c>
      <c r="DX30" s="47" t="s">
        <v>43</v>
      </c>
      <c r="DY30" s="47" t="s">
        <v>44</v>
      </c>
      <c r="DZ30" s="47" t="s">
        <v>45</v>
      </c>
      <c r="EA30" s="47" t="s">
        <v>46</v>
      </c>
      <c r="EB30" s="47" t="s">
        <v>47</v>
      </c>
      <c r="EC30" s="47" t="s">
        <v>48</v>
      </c>
      <c r="ED30" s="47" t="s">
        <v>49</v>
      </c>
      <c r="EE30" s="47" t="s">
        <v>50</v>
      </c>
      <c r="EQ30" s="47" t="s">
        <v>42</v>
      </c>
      <c r="ER30" s="47" t="s">
        <v>43</v>
      </c>
      <c r="ES30" s="47" t="s">
        <v>44</v>
      </c>
      <c r="ET30" s="47" t="s">
        <v>45</v>
      </c>
      <c r="EU30" s="47" t="s">
        <v>46</v>
      </c>
      <c r="EV30" s="47" t="s">
        <v>47</v>
      </c>
      <c r="EW30" s="47" t="s">
        <v>48</v>
      </c>
      <c r="EX30" s="47" t="s">
        <v>49</v>
      </c>
      <c r="EY30" s="47" t="s">
        <v>50</v>
      </c>
      <c r="FK30" s="47" t="s">
        <v>42</v>
      </c>
      <c r="FL30" s="47" t="s">
        <v>43</v>
      </c>
      <c r="FM30" s="47" t="s">
        <v>44</v>
      </c>
      <c r="FN30" s="47" t="s">
        <v>45</v>
      </c>
      <c r="FO30" s="47" t="s">
        <v>46</v>
      </c>
      <c r="FP30" s="47" t="s">
        <v>47</v>
      </c>
      <c r="FQ30" s="47" t="s">
        <v>48</v>
      </c>
      <c r="FR30" s="47" t="s">
        <v>49</v>
      </c>
      <c r="FS30" s="47" t="s">
        <v>50</v>
      </c>
      <c r="GE30" s="47" t="s">
        <v>42</v>
      </c>
      <c r="GF30" s="47" t="s">
        <v>43</v>
      </c>
      <c r="GG30" s="47" t="s">
        <v>44</v>
      </c>
      <c r="GH30" s="47" t="s">
        <v>45</v>
      </c>
      <c r="GI30" s="47" t="s">
        <v>46</v>
      </c>
      <c r="GJ30" s="47" t="s">
        <v>47</v>
      </c>
      <c r="GK30" s="47" t="s">
        <v>48</v>
      </c>
      <c r="GL30" s="47" t="s">
        <v>49</v>
      </c>
      <c r="GM30" s="47" t="s">
        <v>50</v>
      </c>
    </row>
    <row r="31" spans="1:195" ht="32.1" customHeight="1">
      <c r="A31" s="96"/>
      <c r="B31" s="113" t="str">
        <f>VLOOKUP(588,Sprachindex!$A:$Z,Info!$O$7,FALSE)</f>
        <v>m²</v>
      </c>
      <c r="C31" s="73" t="e" vm="1">
        <v>#VALUE!</v>
      </c>
      <c r="D31" s="75" t="str">
        <f>IF($P$9=1,BE31,IF($P$9=2,AS31,""))</f>
        <v/>
      </c>
      <c r="E31" s="637" t="str">
        <f>VLOOKUP(262,Sprachindex!$A:$Z,Info!$O$7,FALSE)</f>
        <v>Dachplatte (600 × 420 mm; 40 Stk./Karton); inkl. Rillennägel (28/30) und Patenthafte</v>
      </c>
      <c r="F31" s="638"/>
      <c r="G31" s="638"/>
      <c r="H31" s="638"/>
      <c r="I31" s="638"/>
      <c r="J31" s="638"/>
      <c r="K31" s="639"/>
      <c r="L31" s="74" t="str">
        <f>IF(A31=0,"",IF(P11=1,AD31,AE31))</f>
        <v/>
      </c>
      <c r="M31" s="414" t="str">
        <f>VLOOKUP(588,Sprachindex!$A:$Z,Info!$O$7,FALSE)</f>
        <v>m²</v>
      </c>
      <c r="N31" s="403"/>
      <c r="O31" s="184" t="str">
        <f>IF(ISNUMBER(A31), IF(P21=7, $L31*S31, $L31*R31), "")</f>
        <v/>
      </c>
      <c r="R31" s="182">
        <v>40.19</v>
      </c>
      <c r="S31" s="182">
        <v>41.23</v>
      </c>
      <c r="AC31" s="129"/>
      <c r="AD31" s="137">
        <f>ROUNDUP($A31/10,0)*10</f>
        <v>0</v>
      </c>
      <c r="AE31" s="136">
        <f>ROUNDUP($A31,0)</f>
        <v>0</v>
      </c>
      <c r="AF31" s="135"/>
      <c r="AH31" s="433">
        <v>110703</v>
      </c>
      <c r="AI31" s="433">
        <v>110700</v>
      </c>
      <c r="AJ31" s="433">
        <v>110708</v>
      </c>
      <c r="AK31" s="433">
        <v>110705</v>
      </c>
      <c r="AL31" s="433">
        <v>110701</v>
      </c>
      <c r="AM31" s="433">
        <v>110707</v>
      </c>
      <c r="AN31" s="433">
        <v>110702</v>
      </c>
      <c r="AO31" s="433">
        <v>110706</v>
      </c>
      <c r="AP31" s="433">
        <v>110709</v>
      </c>
      <c r="AQ31" s="433">
        <v>110704</v>
      </c>
      <c r="AR31" s="433">
        <v>10111028</v>
      </c>
      <c r="AS31" s="504" t="e" vm="2">
        <f>VLOOKUP(AH31,AH31:AR31,$P$21,FALSE)</f>
        <v>#VALUE!</v>
      </c>
      <c r="AT31" s="432">
        <v>110713</v>
      </c>
      <c r="AU31" s="432">
        <v>110710</v>
      </c>
      <c r="AV31" s="432">
        <v>110718</v>
      </c>
      <c r="AW31" s="432">
        <v>110715</v>
      </c>
      <c r="AX31" s="432">
        <v>110711</v>
      </c>
      <c r="AY31" s="432">
        <v>110717</v>
      </c>
      <c r="AZ31" s="432">
        <v>110712</v>
      </c>
      <c r="BA31" s="432">
        <v>110716</v>
      </c>
      <c r="BB31" s="432">
        <v>110719</v>
      </c>
      <c r="BC31" s="432">
        <v>110714</v>
      </c>
      <c r="BD31" s="432">
        <v>10121028</v>
      </c>
      <c r="BE31" s="504" t="e" vm="2">
        <f>VLOOKUP(AT31,AT31:BD31,$P$21,FALSE)</f>
        <v>#VALUE!</v>
      </c>
      <c r="BF31" s="132"/>
    </row>
    <row r="32" spans="1:195" ht="32.1" customHeight="1">
      <c r="A32" s="93"/>
      <c r="B32" s="76" t="str">
        <f>VLOOKUP(1512,Sprachindex!$A:$Z,Info!$O$7,FALSE)</f>
        <v>lfm</v>
      </c>
      <c r="C32" s="75" t="e" vm="3">
        <v>#VALUE!</v>
      </c>
      <c r="D32" s="75">
        <v>561002</v>
      </c>
      <c r="E32" s="618" t="str">
        <f>VLOOKUP(772,Sprachindex!$A:$Z,Info!$O$7,FALSE)</f>
        <v>Saumstreifen für Dachplatte</v>
      </c>
      <c r="F32" s="619"/>
      <c r="G32" s="619"/>
      <c r="H32" s="619"/>
      <c r="I32" s="619"/>
      <c r="J32" s="619"/>
      <c r="K32" s="620"/>
      <c r="L32" s="76" t="str">
        <f>IF(A32=0,"",IF($P$11=1,AD32,AE32))</f>
        <v/>
      </c>
      <c r="M32" s="161" t="str">
        <f>VLOOKUP(1512,Sprachindex!$A:$Z,Info!$O$7,FALSE)</f>
        <v>lfm</v>
      </c>
      <c r="N32" s="77"/>
      <c r="O32" s="184" t="str">
        <f>IF(ISNUMBER(A32),$L32*R32, "")</f>
        <v/>
      </c>
      <c r="R32" s="182">
        <v>6.74</v>
      </c>
      <c r="AC32" s="129"/>
      <c r="AD32" s="137">
        <f>ROUNDUP($A32/1.806,0)*1.806</f>
        <v>0</v>
      </c>
      <c r="AE32" s="137">
        <f>ROUNDUP($A32/1.806,0)*1.806</f>
        <v>0</v>
      </c>
      <c r="AF32" s="135"/>
    </row>
    <row r="33" spans="1:58" ht="32.1" customHeight="1">
      <c r="A33" s="93"/>
      <c r="B33" s="76" t="str">
        <f>VLOOKUP(1512,Sprachindex!$A:$Z,Info!$O$7,FALSE)</f>
        <v>lfm</v>
      </c>
      <c r="C33" s="75" t="e" vm="4">
        <v>#VALUE!</v>
      </c>
      <c r="D33" s="75">
        <v>561003</v>
      </c>
      <c r="E33" s="618" t="str">
        <f>VLOOKUP(779,Sprachindex!$A:$Z,Info!$O$7,FALSE)</f>
        <v>Saumstreifen gerillt (für Abtreppung; 600 × 150 mm)</v>
      </c>
      <c r="F33" s="619"/>
      <c r="G33" s="619"/>
      <c r="H33" s="619"/>
      <c r="I33" s="619"/>
      <c r="J33" s="619"/>
      <c r="K33" s="620"/>
      <c r="L33" s="76" t="str">
        <f>IF(A33=0,"",IF($P$11=1,AD33,AE33))</f>
        <v/>
      </c>
      <c r="M33" s="161" t="str">
        <f>VLOOKUP(1512,Sprachindex!$A:$Z,Info!$O$7,FALSE)</f>
        <v>lfm</v>
      </c>
      <c r="N33" s="77"/>
      <c r="O33" s="184" t="str">
        <f>IF(ISNUMBER(A33),$L33*R33, "")</f>
        <v/>
      </c>
      <c r="R33" s="182">
        <v>6.74</v>
      </c>
      <c r="AC33" s="129"/>
      <c r="AD33" s="137">
        <f>ROUNDUP($A33/0.6,0)*0.6</f>
        <v>0</v>
      </c>
      <c r="AE33" s="138">
        <f>ROUNDUP($A33/0.6,0)*0.6</f>
        <v>0</v>
      </c>
      <c r="AF33" s="135"/>
    </row>
    <row r="34" spans="1:58" ht="32.1" customHeight="1">
      <c r="A34" s="93"/>
      <c r="B34" s="76" t="str">
        <f>VLOOKUP(878,Sprachindex!$A:$Z,Info!$O$7,FALSE)</f>
        <v>Stk.</v>
      </c>
      <c r="C34" s="75" t="e" vm="5">
        <v>#VALUE!</v>
      </c>
      <c r="D34" s="75">
        <v>505001</v>
      </c>
      <c r="E34" s="618" t="str">
        <f>VLOOKUP(652,Sprachindex!$A:$Z,Info!$O$7,FALSE)</f>
        <v>Patenthaft für Dachplatte und Dachschindel</v>
      </c>
      <c r="F34" s="619"/>
      <c r="G34" s="619"/>
      <c r="H34" s="619"/>
      <c r="I34" s="619"/>
      <c r="J34" s="619"/>
      <c r="K34" s="620"/>
      <c r="L34" s="76" t="str">
        <f>IF(A34=0,"",IF($P$11=1,AD34,AE34))</f>
        <v/>
      </c>
      <c r="M34" s="161" t="str">
        <f>VLOOKUP(878,Sprachindex!$A:$Z,Info!$O$7,FALSE)</f>
        <v>Stk.</v>
      </c>
      <c r="N34" s="77"/>
      <c r="O34" s="184" t="str">
        <f>IF(ISNUMBER(A34),$L34*R34, "")</f>
        <v/>
      </c>
      <c r="R34" s="182">
        <v>0.03</v>
      </c>
      <c r="AC34" s="129"/>
      <c r="AD34" s="139">
        <f>ROUNDUP($A34/840,0)*840</f>
        <v>0</v>
      </c>
      <c r="AE34" s="139">
        <f>ROUNDUP($A34,0)</f>
        <v>0</v>
      </c>
      <c r="AF34" s="135"/>
    </row>
    <row r="35" spans="1:58" ht="32.1" customHeight="1">
      <c r="A35" s="93"/>
      <c r="B35" s="76" t="str">
        <f>VLOOKUP(1433,Sprachindex!$A:$Z,Info!$O$7,FALSE)</f>
        <v>Magazin</v>
      </c>
      <c r="C35" s="75" t="e" vm="6">
        <v>#VALUE!</v>
      </c>
      <c r="D35" s="75">
        <v>505004</v>
      </c>
      <c r="E35" s="618" t="str">
        <f>VLOOKUP(449,Sprachindex!$A:$Z,Info!$O$7,FALSE)</f>
        <v>Haftemagazin zum Nachladen für Bull-Tack-Nagler 80 Stk./Haftemagazin; 30 Mag./Karton</v>
      </c>
      <c r="F35" s="619"/>
      <c r="G35" s="619"/>
      <c r="H35" s="619"/>
      <c r="I35" s="619"/>
      <c r="J35" s="619"/>
      <c r="K35" s="620"/>
      <c r="L35" s="76" t="str">
        <f>IF(A35=0,"",IF($P$11=1,AD35, AE35))</f>
        <v/>
      </c>
      <c r="M35" s="161" t="str">
        <f>VLOOKUP(1433,Sprachindex!$A:$Z,Info!$O$7,FALSE)</f>
        <v>Magazin</v>
      </c>
      <c r="N35" s="77"/>
      <c r="O35" s="184" t="str">
        <f>IF(ISNUMBER(A35),$L35*R35, "")</f>
        <v/>
      </c>
      <c r="R35" s="182">
        <v>5.54</v>
      </c>
      <c r="AC35" s="129"/>
      <c r="AD35" s="138">
        <f>ROUNDUP($A35/30,0)*30</f>
        <v>0</v>
      </c>
      <c r="AE35" s="138">
        <f>ROUNDUP($A35,0)</f>
        <v>0</v>
      </c>
      <c r="AF35" s="135" t="str">
        <f>IF(A35&gt;1,Formeln!A120,IF(A35=1,Formeln!A121,""))</f>
        <v/>
      </c>
    </row>
    <row r="36" spans="1:58" ht="32.1" customHeight="1">
      <c r="A36" s="93"/>
      <c r="B36" s="76" t="str">
        <f>VLOOKUP(531,Sprachindex!$A:$Z,Info!$O$7,FALSE)</f>
        <v>kg</v>
      </c>
      <c r="C36" s="75" t="e" vm="7">
        <v>#VALUE!</v>
      </c>
      <c r="D36" s="75" t="str">
        <f>IF(H36=Formeln!A2,340392,IF(H36=Formeln!A3,340394,IF(H36=Formeln!A4,341392,"")))</f>
        <v/>
      </c>
      <c r="E36" s="618" t="str">
        <f>VLOOKUP(707,Sprachindex!$A:$Z,Info!$O$7,FALSE)</f>
        <v>Rillennagel (verzinkt)</v>
      </c>
      <c r="F36" s="619"/>
      <c r="G36" s="619"/>
      <c r="H36" s="624"/>
      <c r="I36" s="625"/>
      <c r="J36" s="625"/>
      <c r="K36" s="626"/>
      <c r="L36" s="76" t="str">
        <f>IF(A36=0,"",IF(H36=Formeln!$A$1,"",IF($P$11=1,AD36,AE36)))</f>
        <v/>
      </c>
      <c r="M36" s="161" t="str">
        <f>VLOOKUP(531,Sprachindex!$A:$Z,Info!$O$7,FALSE)</f>
        <v>kg</v>
      </c>
      <c r="N36" s="77"/>
      <c r="O36" s="184" t="str">
        <f>IF(ISNUMBER(L36),$L36*R36, "")</f>
        <v/>
      </c>
      <c r="R36" s="182">
        <v>9.6300000000000008</v>
      </c>
      <c r="AC36" s="129"/>
      <c r="AD36" s="138">
        <f>IF(OR($H36=Formeln!$A$2,$H36=Formeln!$A$3),ROUNDUP($A36/2.5,0)*2.5,ROUNDUP($A36/2,0)*2)</f>
        <v>0</v>
      </c>
      <c r="AE36" s="138">
        <f>ROUNDUP($A36,2)</f>
        <v>0</v>
      </c>
      <c r="AF36" s="140">
        <f>IF(H36=Formeln!A2,570,IF(H36=Formeln!A3,480,IF(H36=Formeln!A4,380,0)))</f>
        <v>0</v>
      </c>
    </row>
    <row r="37" spans="1:58" ht="32.1" customHeight="1">
      <c r="A37" s="93"/>
      <c r="B37" s="76" t="str">
        <f>IF(A37&lt;2,VLOOKUP(748,Sprachindex!$A:$Z,Info!$O$7,FALSE),VLOOKUP(749,Sprachindex!$A:$Z,Info!$O$7,FALSE))</f>
        <v>Rolle</v>
      </c>
      <c r="C37" s="75" t="e" vm="8">
        <v>#VALUE!</v>
      </c>
      <c r="D37" s="78" t="str">
        <f>IF(H37=Formeln!$A$6,341395,IF(H37=Formeln!$A$7,341396,IF(H37=Formeln!$A$8,341398,"")))</f>
        <v/>
      </c>
      <c r="E37" s="618" t="str">
        <f>VLOOKUP(2186,Sprachindex!$A:$Z,Info!$O$7,FALSE)</f>
        <v>Rillennägel gebunden</v>
      </c>
      <c r="F37" s="619"/>
      <c r="G37" s="619"/>
      <c r="H37" s="624"/>
      <c r="I37" s="625"/>
      <c r="J37" s="625"/>
      <c r="K37" s="626"/>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R37" s="182">
        <v>31.5</v>
      </c>
      <c r="S37" s="182">
        <v>47.3</v>
      </c>
      <c r="T37" s="582">
        <v>66.3</v>
      </c>
      <c r="AC37" s="179" t="b">
        <f>IF(OR(H37=Formeln!$A$6,H37=Formeln!$A$8),A37*3200,IF(H37=Formeln!$A$7,A37*2400))</f>
        <v>0</v>
      </c>
      <c r="AD37" s="138">
        <f>IF(OR($H37=Formeln!$A$6,$H37=Formeln!$A$8),ROUNDUP($A37/3200,0)*3200,ROUNDUP($A37/2400,0)*2400)</f>
        <v>0</v>
      </c>
      <c r="AE37" s="139">
        <f>ROUNDUP($A37/1000,0)*1000</f>
        <v>0</v>
      </c>
      <c r="AF37" s="140">
        <f>IF($H37=Formeln!$A$7,2400,3200)</f>
        <v>3200</v>
      </c>
      <c r="AH37" s="47" t="s">
        <v>35</v>
      </c>
      <c r="AI37" s="47" t="s">
        <v>32</v>
      </c>
      <c r="AJ37" s="47" t="s">
        <v>40</v>
      </c>
      <c r="AK37" s="47" t="s">
        <v>37</v>
      </c>
      <c r="AL37" s="47" t="s">
        <v>33</v>
      </c>
      <c r="AM37" s="47" t="s">
        <v>39</v>
      </c>
      <c r="AN37" s="47" t="s">
        <v>34</v>
      </c>
      <c r="AO37" s="47" t="s">
        <v>38</v>
      </c>
      <c r="AP37" s="47" t="s">
        <v>41</v>
      </c>
      <c r="AQ37" s="47" t="s">
        <v>36</v>
      </c>
      <c r="AR37" s="47" t="s">
        <v>38962</v>
      </c>
      <c r="AS37" s="503" t="s">
        <v>39049</v>
      </c>
    </row>
    <row r="38" spans="1:58" ht="32.1" customHeight="1">
      <c r="A38" s="93"/>
      <c r="B38" s="76" t="str">
        <f>VLOOKUP(1512,Sprachindex!$A:$Z,Info!$O$7,FALSE)</f>
        <v>lfm</v>
      </c>
      <c r="C38" s="75" t="e" vm="9">
        <v>#VALUE!</v>
      </c>
      <c r="D38" s="75" t="str">
        <f t="shared" ref="D38" si="0">IF(ISNUMBER(A38),AS38,"")</f>
        <v/>
      </c>
      <c r="E38" s="618" t="str">
        <f>VLOOKUP(333,Sprachindex!$A:$Z,Info!$O$7,FALSE)</f>
        <v>Einlaufblech</v>
      </c>
      <c r="F38" s="619"/>
      <c r="G38" s="619"/>
      <c r="H38" s="619"/>
      <c r="I38" s="619"/>
      <c r="J38" s="619"/>
      <c r="K38" s="620"/>
      <c r="L38" s="76" t="str">
        <f>IF(A38=0,"",IF($P$11=1,AD38,AE38))</f>
        <v/>
      </c>
      <c r="M38" s="161" t="str">
        <f>VLOOKUP(1512,Sprachindex!$A:$Z,Info!$O$7,FALSE)</f>
        <v>lfm</v>
      </c>
      <c r="N38" s="77"/>
      <c r="O38" s="184" t="str">
        <f>IF(ISNUMBER(A38),$L38*R38, "")</f>
        <v/>
      </c>
      <c r="R38" s="182">
        <v>8.91</v>
      </c>
      <c r="AC38" s="129"/>
      <c r="AD38" s="139">
        <f>ROUNDUP($A38/2,0)*2</f>
        <v>0</v>
      </c>
      <c r="AE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VLOOKUP(AH38,AH38:AR38,$P$21,FALSE)</f>
        <v>#VALUE!</v>
      </c>
    </row>
    <row r="39" spans="1:58" ht="32.1" customHeight="1">
      <c r="A39" s="93"/>
      <c r="B39" s="76" t="str">
        <f>VLOOKUP(1512,Sprachindex!$A:$Z,Info!$O$7,FALSE)</f>
        <v>lfm</v>
      </c>
      <c r="C39" s="79" t="e" vm="10">
        <v>#VALUE!</v>
      </c>
      <c r="D39" s="79" t="str">
        <f>IF(H39=Formeln!A10,507403,IF(H39=Formeln!A11,507404,IF(H39=Formeln!A12,507402,IF(H39=Formeln!A13,507405,IF(H39=Formeln!A14,507412,IF(H39=Formeln!A15,507413,""))))))</f>
        <v/>
      </c>
      <c r="E39" s="618" t="str">
        <f>VLOOKUP(586,Sprachindex!$A:$Z,Info!$O$7,FALSE)</f>
        <v>Lüftungsband</v>
      </c>
      <c r="F39" s="619"/>
      <c r="G39" s="619"/>
      <c r="H39" s="624"/>
      <c r="I39" s="625"/>
      <c r="J39" s="625"/>
      <c r="K39" s="626"/>
      <c r="L39" s="76" t="str">
        <f>IF($H39=Formeln!$A$9," ",IF(A39=0,"",IF($P$11=1,AD39,AE39)))</f>
        <v xml:space="preserve"> </v>
      </c>
      <c r="M39" s="161" t="str">
        <f>VLOOKUP(1512,Sprachindex!$A:$Z,Info!$O$7,FALSE)</f>
        <v>lfm</v>
      </c>
      <c r="N39" s="77"/>
      <c r="O39" s="184" t="str">
        <f>IF(ISNUMBER(A39), IF(OR(H39=Formeln!$A$10,H39=Formeln!$A$11), $L39*R39, $L39*S39), "")</f>
        <v/>
      </c>
      <c r="R39" s="182">
        <v>13.63</v>
      </c>
      <c r="S39" s="182">
        <v>21.91</v>
      </c>
      <c r="W39" s="209"/>
      <c r="X39" s="209"/>
      <c r="Y39" s="209"/>
      <c r="Z39" s="209"/>
      <c r="AA39" s="209"/>
      <c r="AB39" s="209"/>
      <c r="AC39" s="129"/>
      <c r="AD39" s="139">
        <f>ROUNDUP($A39/40,0)*40</f>
        <v>0</v>
      </c>
      <c r="AE39" s="139">
        <f>$A39</f>
        <v>0</v>
      </c>
      <c r="AF39" s="135"/>
      <c r="AH39" s="45" t="s">
        <v>26</v>
      </c>
      <c r="AI39" s="13"/>
      <c r="AJ39" s="13"/>
      <c r="AK39" s="13"/>
      <c r="AL39" s="13"/>
      <c r="AM39" s="13"/>
      <c r="AN39" s="13"/>
      <c r="AO39" s="13"/>
      <c r="AP39" s="13"/>
      <c r="AQ39" s="13"/>
      <c r="AR39" s="13"/>
      <c r="AS39" s="13"/>
      <c r="AT39" s="45" t="s">
        <v>27</v>
      </c>
      <c r="AU39" s="13"/>
      <c r="AV39" s="13"/>
      <c r="AW39" s="13"/>
      <c r="AX39" s="13"/>
      <c r="AY39" s="13"/>
      <c r="AZ39" s="13"/>
      <c r="BA39" s="13"/>
      <c r="BB39" s="13"/>
      <c r="BC39" s="46"/>
      <c r="BD39" s="46"/>
      <c r="BE39" s="254"/>
      <c r="BF39" s="254"/>
    </row>
    <row r="40" spans="1:58" ht="32.1" customHeight="1">
      <c r="A40" s="93"/>
      <c r="B40" s="76" t="str">
        <f>VLOOKUP(1512,Sprachindex!$A:$Z,Info!$O$7,FALSE)</f>
        <v>lfm</v>
      </c>
      <c r="C40" s="75" t="e" vm="11">
        <v>#VALUE!</v>
      </c>
      <c r="D40" s="75">
        <v>507300</v>
      </c>
      <c r="E40" s="618" t="str">
        <f>VLOOKUP(986,Sprachindex!$A:$Z,Info!$O$7,FALSE)</f>
        <v>Vogelschutzgitter (Braun/Anthrazit; 125 × 2.000 × 0,7 mm)</v>
      </c>
      <c r="F40" s="619"/>
      <c r="G40" s="619"/>
      <c r="H40" s="619"/>
      <c r="I40" s="619"/>
      <c r="J40" s="619"/>
      <c r="K40" s="620"/>
      <c r="L40" s="76" t="str">
        <f t="shared" ref="L40:L48" si="1">IF(A40=0,"",IF($P$11=1,AD40,AE40))</f>
        <v/>
      </c>
      <c r="M40" s="161" t="str">
        <f>VLOOKUP(1512,Sprachindex!$A:$Z,Info!$O$7,FALSE)</f>
        <v>lfm</v>
      </c>
      <c r="N40" s="77"/>
      <c r="O40" s="184" t="str">
        <f t="shared" ref="O40:O47" si="2">IF(ISNUMBER(A40),$L40*R40, "")</f>
        <v/>
      </c>
      <c r="R40" s="182">
        <v>4.13</v>
      </c>
      <c r="W40" s="209"/>
      <c r="X40" s="209"/>
      <c r="Y40" s="209"/>
      <c r="AA40" s="209"/>
      <c r="AB40" s="209"/>
      <c r="AC40" s="129"/>
      <c r="AD40" s="139">
        <f>ROUNDUP($A40/2,0)*2</f>
        <v>0</v>
      </c>
      <c r="AE40" s="139">
        <f>ROUNDUP($A40/2,0)*2</f>
        <v>0</v>
      </c>
      <c r="AH40" s="47" t="s">
        <v>35</v>
      </c>
      <c r="AI40" s="47" t="s">
        <v>32</v>
      </c>
      <c r="AJ40" s="47" t="s">
        <v>40</v>
      </c>
      <c r="AK40" s="47" t="s">
        <v>37</v>
      </c>
      <c r="AL40" s="47" t="s">
        <v>33</v>
      </c>
      <c r="AM40" s="47" t="s">
        <v>39</v>
      </c>
      <c r="AN40" s="47" t="s">
        <v>34</v>
      </c>
      <c r="AO40" s="47" t="s">
        <v>38</v>
      </c>
      <c r="AP40" s="47" t="s">
        <v>41</v>
      </c>
      <c r="AQ40" s="47" t="s">
        <v>36</v>
      </c>
      <c r="AR40" s="47" t="s">
        <v>38962</v>
      </c>
      <c r="AS40" s="503" t="s">
        <v>39049</v>
      </c>
      <c r="AT40" s="47" t="s">
        <v>35</v>
      </c>
      <c r="AU40" s="47" t="s">
        <v>32</v>
      </c>
      <c r="AV40" s="47" t="s">
        <v>40</v>
      </c>
      <c r="AW40" s="47" t="s">
        <v>37</v>
      </c>
      <c r="AX40" s="47" t="s">
        <v>33</v>
      </c>
      <c r="AY40" s="47" t="s">
        <v>39</v>
      </c>
      <c r="AZ40" s="47" t="s">
        <v>34</v>
      </c>
      <c r="BA40" s="47" t="s">
        <v>38</v>
      </c>
      <c r="BB40" s="47" t="s">
        <v>41</v>
      </c>
      <c r="BC40" s="47" t="s">
        <v>36</v>
      </c>
      <c r="BD40" s="47" t="s">
        <v>38962</v>
      </c>
      <c r="BE40" s="503" t="s">
        <v>39049</v>
      </c>
    </row>
    <row r="41" spans="1:58" ht="32.1" customHeight="1">
      <c r="A41" s="93"/>
      <c r="B41" s="76" t="str">
        <f>VLOOKUP(1512,Sprachindex!$A:$Z,Info!$O$7,FALSE)</f>
        <v>lfm</v>
      </c>
      <c r="C41" s="75" t="e" vm="12">
        <v>#VALUE!</v>
      </c>
      <c r="D41" s="75" t="str">
        <f>IF($P$9=1,BE41,IF($P$9=2,AS41,""))</f>
        <v/>
      </c>
      <c r="E41" s="618" t="str">
        <f>VLOOKUP(647,Sprachindex!$A:$Z,Info!$O$7,FALSE)</f>
        <v>Ortgangstreifen (95 × 2.000 × 0,70 mm)</v>
      </c>
      <c r="F41" s="619"/>
      <c r="G41" s="619"/>
      <c r="H41" s="619"/>
      <c r="I41" s="619"/>
      <c r="J41" s="619"/>
      <c r="K41" s="620"/>
      <c r="L41" s="76" t="str">
        <f t="shared" si="1"/>
        <v/>
      </c>
      <c r="M41" s="161" t="str">
        <f>VLOOKUP(1512,Sprachindex!$A:$Z,Info!$O$7,FALSE)</f>
        <v>lfm</v>
      </c>
      <c r="N41" s="77"/>
      <c r="O41" s="184" t="str">
        <f t="shared" si="2"/>
        <v/>
      </c>
      <c r="R41" s="182">
        <v>9.86</v>
      </c>
      <c r="W41" s="209"/>
      <c r="X41" s="209"/>
      <c r="Y41" s="209"/>
      <c r="AA41" s="209"/>
      <c r="AB41" s="209"/>
      <c r="AC41" s="129"/>
      <c r="AD41" s="139">
        <f>ROUNDUP($A41/2,0)*2</f>
        <v>0</v>
      </c>
      <c r="AE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VLOOKUP(AH41,AH41:AR41,$P$21,FALSE)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VLOOKUP(AT41,AT41:BD41,$P$21,FALSE)</f>
        <v>#VALUE!</v>
      </c>
      <c r="BF41" s="132"/>
    </row>
    <row r="42" spans="1:58" ht="32.1" customHeight="1">
      <c r="A42" s="93"/>
      <c r="B42" s="76" t="str">
        <f>VLOOKUP(1512,Sprachindex!$A:$Z,Info!$O$7,FALSE)</f>
        <v>lfm</v>
      </c>
      <c r="C42" s="75" t="e" vm="13">
        <v>#VALUE!</v>
      </c>
      <c r="D42" s="75" t="str">
        <f t="shared" ref="D42:D47" si="3">IF($P$9=1,BE42,IF($P$9=2,AS42,""))</f>
        <v/>
      </c>
      <c r="E42" s="618" t="str">
        <f>VLOOKUP(825,Sprachindex!$A:$Z,Info!$O$7,FALSE)</f>
        <v>Sicherheitskehle (stucco; Länge: 3.000 mm)</v>
      </c>
      <c r="F42" s="619"/>
      <c r="G42" s="619"/>
      <c r="H42" s="619"/>
      <c r="I42" s="619"/>
      <c r="J42" s="619"/>
      <c r="K42" s="620"/>
      <c r="L42" s="76" t="str">
        <f t="shared" si="1"/>
        <v/>
      </c>
      <c r="M42" s="161" t="str">
        <f>VLOOKUP(1512,Sprachindex!$A:$Z,Info!$O$7,FALSE)</f>
        <v>lfm</v>
      </c>
      <c r="N42" s="77"/>
      <c r="O42" s="184" t="str">
        <f t="shared" si="2"/>
        <v/>
      </c>
      <c r="R42" s="182">
        <v>33.1</v>
      </c>
      <c r="W42" s="209"/>
      <c r="X42" s="209"/>
      <c r="Y42" s="209"/>
      <c r="AA42" s="209"/>
      <c r="AB42" s="209"/>
      <c r="AC42" s="129"/>
      <c r="AD42" s="139">
        <f>ROUNDUP($A42/3,0)*3</f>
        <v>0</v>
      </c>
      <c r="AE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ref="AS42:AS48" si="4">VLOOKUP(AH42,AH42:AR42,$P$21,FALSE)</f>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ref="BE42:BE47" si="5">VLOOKUP(AT42,AT42:BD42,$P$21,FALSE)</f>
        <v>#VALUE!</v>
      </c>
      <c r="BF42" s="132"/>
    </row>
    <row r="43" spans="1:58" ht="32.1" customHeight="1">
      <c r="A43" s="93"/>
      <c r="B43" s="76" t="str">
        <f>VLOOKUP(1512,Sprachindex!$A:$Z,Info!$O$7,FALSE)</f>
        <v>lfm</v>
      </c>
      <c r="C43" s="75" t="e" vm="14">
        <v>#VALUE!</v>
      </c>
      <c r="D43" s="75" t="str">
        <f t="shared" si="3"/>
        <v/>
      </c>
      <c r="E43" s="618" t="str">
        <f>VLOOKUP(440,Sprachindex!$A:$Z,Info!$O$7,FALSE)</f>
        <v>Grat- und Firstreiter (500 × 1,00 mm; stucco) inkl. Niro-Schraube 4,5 × 45 mm und Dichtscheibe</v>
      </c>
      <c r="F43" s="619"/>
      <c r="G43" s="619"/>
      <c r="H43" s="619"/>
      <c r="I43" s="619"/>
      <c r="J43" s="619"/>
      <c r="K43" s="620"/>
      <c r="L43" s="76" t="str">
        <f t="shared" si="1"/>
        <v/>
      </c>
      <c r="M43" s="161" t="str">
        <f>VLOOKUP(1512,Sprachindex!$A:$Z,Info!$O$7,FALSE)</f>
        <v>lfm</v>
      </c>
      <c r="N43" s="77"/>
      <c r="O43" s="184" t="str">
        <f t="shared" si="2"/>
        <v/>
      </c>
      <c r="R43" s="182">
        <v>15.21</v>
      </c>
      <c r="W43" s="209"/>
      <c r="X43" s="209"/>
      <c r="Y43" s="209"/>
      <c r="AA43" s="209"/>
      <c r="AB43" s="209"/>
      <c r="AC43" s="129"/>
      <c r="AD43" s="139">
        <f>ROUNDUP($A43/10,0)*10</f>
        <v>0</v>
      </c>
      <c r="AE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4"/>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5"/>
        <v>#VALUE!</v>
      </c>
      <c r="BF43" s="132"/>
    </row>
    <row r="44" spans="1:58" ht="32.1" customHeight="1">
      <c r="A44" s="93"/>
      <c r="B44" s="76" t="str">
        <f>VLOOKUP(878,Sprachindex!$A:$Z,Info!$O$7,FALSE)</f>
        <v>Stk.</v>
      </c>
      <c r="C44" s="75" t="e" vm="15">
        <v>#VALUE!</v>
      </c>
      <c r="D44" s="75" t="str">
        <f t="shared" si="3"/>
        <v/>
      </c>
      <c r="E44" s="618" t="str">
        <f>VLOOKUP(441,Sprachindex!$A:$Z,Info!$O$7,FALSE)</f>
        <v>Gratreitervorkopf (stucco)</v>
      </c>
      <c r="F44" s="619"/>
      <c r="G44" s="619"/>
      <c r="H44" s="619"/>
      <c r="I44" s="619"/>
      <c r="J44" s="619"/>
      <c r="K44" s="620"/>
      <c r="L44" s="76" t="str">
        <f t="shared" si="1"/>
        <v/>
      </c>
      <c r="M44" s="161" t="str">
        <f>VLOOKUP(878,Sprachindex!$A:$Z,Info!$O$7,FALSE)</f>
        <v>Stk.</v>
      </c>
      <c r="N44" s="77"/>
      <c r="O44" s="184" t="str">
        <f t="shared" si="2"/>
        <v/>
      </c>
      <c r="R44" s="182">
        <v>8.26</v>
      </c>
      <c r="W44" s="209"/>
      <c r="X44" s="209"/>
      <c r="Y44" s="209"/>
      <c r="AA44" s="209"/>
      <c r="AB44" s="209"/>
      <c r="AC44" s="129"/>
      <c r="AD44" s="139">
        <f>ROUNDUP($A44/10,0)*10</f>
        <v>0</v>
      </c>
      <c r="AE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4"/>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5"/>
        <v>#VALUE!</v>
      </c>
      <c r="BF44" s="132"/>
    </row>
    <row r="45" spans="1:58" ht="32.1" customHeight="1">
      <c r="A45" s="93"/>
      <c r="B45" s="76" t="str">
        <f>VLOOKUP(1512,Sprachindex!$A:$Z,Info!$O$7,FALSE)</f>
        <v>lfm</v>
      </c>
      <c r="C45" s="75" t="e" vm="16">
        <v>#VALUE!</v>
      </c>
      <c r="D45" s="75" t="str">
        <f t="shared" si="3"/>
        <v/>
      </c>
      <c r="E45" s="618" t="str">
        <f>VLOOKUP(501,Sprachindex!$A:$Z,Info!$O$7,FALSE)</f>
        <v>Jet-Lüfter (stucco; 1.200 mm); inkl. Niro-Schraube und Dichtscheibe</v>
      </c>
      <c r="F45" s="619"/>
      <c r="G45" s="619"/>
      <c r="H45" s="619"/>
      <c r="I45" s="619"/>
      <c r="J45" s="619"/>
      <c r="K45" s="620"/>
      <c r="L45" s="76" t="str">
        <f t="shared" si="1"/>
        <v/>
      </c>
      <c r="M45" s="161" t="str">
        <f>VLOOKUP(1512,Sprachindex!$A:$Z,Info!$O$7,FALSE)</f>
        <v>lfm</v>
      </c>
      <c r="N45" s="77"/>
      <c r="O45" s="184" t="str">
        <f t="shared" si="2"/>
        <v/>
      </c>
      <c r="R45" s="182">
        <v>69.22</v>
      </c>
      <c r="W45" s="209"/>
      <c r="X45" s="209"/>
      <c r="Y45" s="209"/>
      <c r="AA45" s="209"/>
      <c r="AB45" s="209"/>
      <c r="AC45" s="129"/>
      <c r="AD45" s="139">
        <f>ROUNDUP($A45/1.2,0)*1.2</f>
        <v>0</v>
      </c>
      <c r="AE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4"/>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5"/>
        <v>#VALUE!</v>
      </c>
      <c r="BF45" s="132"/>
    </row>
    <row r="46" spans="1:58" ht="32.1" customHeight="1">
      <c r="A46" s="93"/>
      <c r="B46" s="76" t="str">
        <f>VLOOKUP(1512,Sprachindex!$A:$Z,Info!$O$7,FALSE)</f>
        <v>lfm</v>
      </c>
      <c r="C46" s="75" t="e" vm="17">
        <v>#VALUE!</v>
      </c>
      <c r="D46" s="75" t="str">
        <f t="shared" si="3"/>
        <v/>
      </c>
      <c r="E46" s="618" t="str">
        <f>VLOOKUP(502,Sprachindex!$A:$Z,Info!$O$7,FALSE)</f>
        <v>Jet-Lüfter (stucco; 3.000 mm); inkl. Niro-Schraube und Dichtscheibe</v>
      </c>
      <c r="F46" s="619"/>
      <c r="G46" s="619"/>
      <c r="H46" s="619"/>
      <c r="I46" s="619"/>
      <c r="J46" s="619"/>
      <c r="K46" s="620"/>
      <c r="L46" s="76" t="str">
        <f t="shared" si="1"/>
        <v/>
      </c>
      <c r="M46" s="161" t="str">
        <f>VLOOKUP(1512,Sprachindex!$A:$Z,Info!$O$7,FALSE)</f>
        <v>lfm</v>
      </c>
      <c r="N46" s="77"/>
      <c r="O46" s="184" t="str">
        <f t="shared" si="2"/>
        <v/>
      </c>
      <c r="R46" s="182">
        <v>62.51</v>
      </c>
      <c r="W46" s="209"/>
      <c r="X46" s="209"/>
      <c r="Y46" s="209"/>
      <c r="AA46" s="209"/>
      <c r="AB46" s="209"/>
      <c r="AC46" s="129"/>
      <c r="AD46" s="139">
        <f>ROUNDUP($A46/9,0)*9</f>
        <v>0</v>
      </c>
      <c r="AE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4"/>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5"/>
        <v>#VALUE!</v>
      </c>
      <c r="BF46" s="132"/>
    </row>
    <row r="47" spans="1:58" ht="32.1" customHeight="1">
      <c r="A47" s="93"/>
      <c r="B47" s="76" t="str">
        <f>VLOOKUP(878,Sprachindex!$A:$Z,Info!$O$7,FALSE)</f>
        <v>Stk.</v>
      </c>
      <c r="C47" s="75" t="e" vm="18">
        <v>#VALUE!</v>
      </c>
      <c r="D47" s="75" t="str">
        <f t="shared" si="3"/>
        <v/>
      </c>
      <c r="E47" s="618" t="str">
        <f>VLOOKUP(503,Sprachindex!$A:$Z,Info!$O$7,FALSE)</f>
        <v>Jet-Lüfter-Vorkopf (stucco)</v>
      </c>
      <c r="F47" s="619"/>
      <c r="G47" s="619"/>
      <c r="H47" s="619"/>
      <c r="I47" s="619"/>
      <c r="J47" s="619"/>
      <c r="K47" s="620"/>
      <c r="L47" s="76" t="str">
        <f t="shared" si="1"/>
        <v/>
      </c>
      <c r="M47" s="161" t="str">
        <f>VLOOKUP(878,Sprachindex!$A:$Z,Info!$O$7,FALSE)</f>
        <v>Stk.</v>
      </c>
      <c r="N47" s="77"/>
      <c r="O47" s="184" t="str">
        <f t="shared" si="2"/>
        <v/>
      </c>
      <c r="R47" s="182">
        <v>8.9700000000000006</v>
      </c>
      <c r="W47" s="209"/>
      <c r="X47" s="209"/>
      <c r="Y47" s="209"/>
      <c r="AA47" s="209"/>
      <c r="AB47" s="209"/>
      <c r="AC47" s="129"/>
      <c r="AD47" s="139">
        <f>ROUNDUP($A47/2,0)*2</f>
        <v>0</v>
      </c>
      <c r="AE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4"/>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5"/>
        <v>#VALUE!</v>
      </c>
      <c r="BF47" s="132"/>
    </row>
    <row r="48" spans="1:58" ht="32.1" customHeight="1">
      <c r="A48" s="93"/>
      <c r="B48" s="76" t="str">
        <f>VLOOKUP(878,Sprachindex!$A:$Z,Info!$O$7,FALSE)</f>
        <v>Stk.</v>
      </c>
      <c r="C48" s="75" t="e" vm="19">
        <v>#VALUE!</v>
      </c>
      <c r="D48" s="75" t="str">
        <f>IF(H48=Formeln!B18,AS48,IF(H48=Formeln!B19,AT48,""))</f>
        <v/>
      </c>
      <c r="E48" s="618" t="str">
        <f>VLOOKUP(2187,Sprachindex!$A:$Z,Info!$O$7,FALSE)</f>
        <v>Dichtschraube NIRO, 4,5x25</v>
      </c>
      <c r="F48" s="619"/>
      <c r="G48" s="619"/>
      <c r="H48" s="624"/>
      <c r="I48" s="625"/>
      <c r="J48" s="625"/>
      <c r="K48" s="626"/>
      <c r="L48" s="76" t="str">
        <f t="shared" si="1"/>
        <v/>
      </c>
      <c r="M48" s="161" t="str">
        <f>VLOOKUP(878,Sprachindex!$A:$Z,Info!$O$7,FALSE)</f>
        <v>Stk.</v>
      </c>
      <c r="N48" s="77"/>
      <c r="O48" s="204" t="str">
        <f>IF(ISNUMBER(L48),IF(H48=Formeln!$B$19,L48*S48,$L48*R48), "")</f>
        <v/>
      </c>
      <c r="R48" s="182">
        <v>0.47</v>
      </c>
      <c r="S48" s="179">
        <v>0.36</v>
      </c>
      <c r="W48" s="209"/>
      <c r="X48" s="209"/>
      <c r="Y48" s="209"/>
      <c r="Z48" s="209"/>
      <c r="AA48" s="209"/>
      <c r="AB48" s="209"/>
      <c r="AC48" s="129"/>
      <c r="AD48" s="139">
        <f>ROUNDUP($A48/200,0)*200</f>
        <v>0</v>
      </c>
      <c r="AE48" s="139">
        <f t="shared" ref="AE48:AE82" si="6">ROUNDUP($A48,0)</f>
        <v>0</v>
      </c>
      <c r="AH48" s="433">
        <v>340044</v>
      </c>
      <c r="AI48" s="433">
        <v>340041</v>
      </c>
      <c r="AJ48" s="433">
        <v>340048</v>
      </c>
      <c r="AK48" s="433">
        <v>340045</v>
      </c>
      <c r="AL48" s="433">
        <v>340042</v>
      </c>
      <c r="AM48" s="433">
        <v>340047</v>
      </c>
      <c r="AN48" s="433">
        <v>340043</v>
      </c>
      <c r="AO48" s="433">
        <v>340046</v>
      </c>
      <c r="AP48" s="433">
        <v>340049</v>
      </c>
      <c r="AQ48" s="433" t="s">
        <v>2349</v>
      </c>
      <c r="AR48" s="498" t="s">
        <v>2349</v>
      </c>
      <c r="AS48" s="507" t="e" vm="2">
        <f t="shared" si="4"/>
        <v>#VALUE!</v>
      </c>
      <c r="AT48" s="505">
        <v>340040</v>
      </c>
      <c r="AU48" s="505"/>
      <c r="AV48" s="505"/>
    </row>
    <row r="49" spans="1:426" ht="32.1" customHeight="1">
      <c r="A49" s="93"/>
      <c r="B49" s="76" t="str">
        <f>VLOOKUP(878,Sprachindex!$A:$Z,Info!$O$7,FALSE)</f>
        <v>Stk.</v>
      </c>
      <c r="C49" s="75" t="e" vm="20">
        <v>#VALUE!</v>
      </c>
      <c r="D49" s="75" t="str">
        <f>IF(H49=Formeln!A18,AS49,IF(H49=Formeln!A19,AT49,""))</f>
        <v/>
      </c>
      <c r="E49" s="618" t="str">
        <f>VLOOKUP(2188,Sprachindex!$A:$Z,Info!$O$7,FALSE)</f>
        <v>Dichtschraube NIRO 4,5 x 45 mm, für Grat- und Firstreiter</v>
      </c>
      <c r="F49" s="619"/>
      <c r="G49" s="619"/>
      <c r="H49" s="624"/>
      <c r="I49" s="625"/>
      <c r="J49" s="625"/>
      <c r="K49" s="626"/>
      <c r="L49" s="76" t="str">
        <f>IF(A49=0,"",IF(H49=Formeln!$A$17," ",IF($P$11=1,AD49,AE49)))</f>
        <v/>
      </c>
      <c r="M49" s="161" t="str">
        <f>VLOOKUP(878,Sprachindex!$A:$Z,Info!$O$7,FALSE)</f>
        <v>Stk.</v>
      </c>
      <c r="N49" s="77"/>
      <c r="O49" s="204" t="str">
        <f>IF(ISNUMBER(L49),IF(H49=Formeln!$A$19,L49*S49,$L49*R49), "")</f>
        <v/>
      </c>
      <c r="R49" s="182">
        <v>0.7</v>
      </c>
      <c r="S49" s="179">
        <v>0.62</v>
      </c>
      <c r="W49" s="209"/>
      <c r="X49" s="209"/>
      <c r="Y49" s="209"/>
      <c r="Z49" s="209"/>
      <c r="AA49" s="209"/>
      <c r="AB49" s="209"/>
      <c r="AC49" s="129"/>
      <c r="AD49" s="139">
        <f>ROUNDUP($A49/250,0)*250</f>
        <v>0</v>
      </c>
      <c r="AE49" s="139">
        <f t="shared" si="6"/>
        <v>0</v>
      </c>
      <c r="AH49" s="433">
        <v>340104</v>
      </c>
      <c r="AI49" s="433">
        <v>340001</v>
      </c>
      <c r="AJ49" s="433">
        <v>340014</v>
      </c>
      <c r="AK49" s="433">
        <v>340002</v>
      </c>
      <c r="AL49" s="433">
        <v>340004</v>
      </c>
      <c r="AM49" s="433">
        <v>340011</v>
      </c>
      <c r="AN49" s="433">
        <v>340003</v>
      </c>
      <c r="AO49" s="433">
        <v>340016</v>
      </c>
      <c r="AP49" s="433">
        <v>340013</v>
      </c>
      <c r="AQ49" s="433" t="s">
        <v>2349</v>
      </c>
      <c r="AR49" s="433">
        <v>340012</v>
      </c>
      <c r="AS49" s="507" t="e" vm="2">
        <f>VLOOKUP(AH49,AH49:AR49,$P$21,FALSE)</f>
        <v>#VALUE!</v>
      </c>
      <c r="AT49" s="505">
        <v>340103</v>
      </c>
      <c r="AU49" s="505">
        <v>340017</v>
      </c>
      <c r="AV49" s="505">
        <v>340010</v>
      </c>
    </row>
    <row r="50" spans="1:426" ht="32.1" customHeight="1">
      <c r="A50" s="93"/>
      <c r="B50" s="76" t="str">
        <f>VLOOKUP(878,Sprachindex!$A:$Z,Info!$O$7,FALSE)</f>
        <v>Stk.</v>
      </c>
      <c r="C50" s="75" t="e" vm="21">
        <v>#VALUE!</v>
      </c>
      <c r="D50" s="75" t="str">
        <f>IF(H50=Formeln!A21,AS50,IF(H50=Formeln!A22,AT50,""))</f>
        <v/>
      </c>
      <c r="E50" s="618" t="str">
        <f>VLOOKUP(2189,Sprachindex!$A:$Z,Info!$O$7,FALSE)</f>
        <v>Dichtschraube NIRO 4,5 x 60 mm, für Jet-Lüfter</v>
      </c>
      <c r="F50" s="619"/>
      <c r="G50" s="619"/>
      <c r="H50" s="624"/>
      <c r="I50" s="625"/>
      <c r="J50" s="625"/>
      <c r="K50" s="626"/>
      <c r="L50" s="76" t="str">
        <f>IF(A50=0,"",IF(H50=Formeln!$A$17," ",IF($P$11=1,AD50,AE50)))</f>
        <v/>
      </c>
      <c r="M50" s="161" t="str">
        <f>VLOOKUP(878,Sprachindex!$A:$Z,Info!$O$7,FALSE)</f>
        <v>Stk.</v>
      </c>
      <c r="N50" s="77"/>
      <c r="O50" s="204" t="str">
        <f>IF(ISNUMBER(L50),IF(H50=Formeln!$A$22,L50*S50,$L50*R50), "")</f>
        <v/>
      </c>
      <c r="R50" s="182">
        <v>0.89</v>
      </c>
      <c r="S50" s="179">
        <v>0.7</v>
      </c>
      <c r="W50" s="209"/>
      <c r="X50" s="209"/>
      <c r="Y50" s="209"/>
      <c r="Z50" s="209"/>
      <c r="AA50" s="209"/>
      <c r="AB50" s="209"/>
      <c r="AC50" s="129"/>
      <c r="AD50" s="139">
        <f>ROUNDUP($A50/100,0)*100</f>
        <v>0</v>
      </c>
      <c r="AE50" s="139">
        <f t="shared" si="6"/>
        <v>0</v>
      </c>
      <c r="AH50" s="433">
        <v>340021</v>
      </c>
      <c r="AI50" s="433">
        <v>340020</v>
      </c>
      <c r="AJ50" s="433">
        <v>340030</v>
      </c>
      <c r="AK50" s="433">
        <v>340025</v>
      </c>
      <c r="AL50" s="433">
        <v>340024</v>
      </c>
      <c r="AM50" s="433">
        <v>340027</v>
      </c>
      <c r="AN50" s="433">
        <v>340022</v>
      </c>
      <c r="AO50" s="433">
        <v>340032</v>
      </c>
      <c r="AP50" s="433">
        <v>340036</v>
      </c>
      <c r="AQ50" s="433" t="s">
        <v>2349</v>
      </c>
      <c r="AR50" s="433">
        <v>340035</v>
      </c>
      <c r="AS50" s="507" t="e" vm="2">
        <f>VLOOKUP(AH50,AH50:AR50,$P$21,FALSE)</f>
        <v>#VALUE!</v>
      </c>
      <c r="AT50" s="505">
        <v>340106</v>
      </c>
      <c r="AU50" s="505">
        <v>340037</v>
      </c>
      <c r="AV50" s="505">
        <v>340034</v>
      </c>
    </row>
    <row r="51" spans="1:426" ht="32.1" customHeight="1">
      <c r="A51" s="93"/>
      <c r="B51" s="76" t="str">
        <f>VLOOKUP(878,Sprachindex!$A:$Z,Info!$O$7,FALSE)</f>
        <v>Stk.</v>
      </c>
      <c r="C51" s="75" t="e" vm="22">
        <v>#VALUE!</v>
      </c>
      <c r="D51" s="75" t="str">
        <f t="shared" ref="D51" si="7">IF(ISNUMBER(A51),AS51,"")</f>
        <v/>
      </c>
      <c r="E51" s="618" t="str">
        <f>VLOOKUP(409,Sprachindex!$A:$Z,Info!$O$7,FALSE)</f>
        <v>Froschmaullukenhaube</v>
      </c>
      <c r="F51" s="619"/>
      <c r="G51" s="619"/>
      <c r="H51" s="619"/>
      <c r="I51" s="619"/>
      <c r="J51" s="619"/>
      <c r="K51" s="620"/>
      <c r="L51" s="76" t="str">
        <f>IF(A51=0,"",IF($P$11=1,AD51,AE51))</f>
        <v/>
      </c>
      <c r="M51" s="161" t="str">
        <f>VLOOKUP(878,Sprachindex!$A:$Z,Info!$O$7,FALSE)</f>
        <v>Stk.</v>
      </c>
      <c r="N51" s="77"/>
      <c r="O51" s="184" t="str">
        <f>IF(ISNUMBER(A51),$L51*R51, "")</f>
        <v/>
      </c>
      <c r="R51" s="182">
        <v>25.39</v>
      </c>
      <c r="AC51" s="129"/>
      <c r="AD51" s="139">
        <f>ROUNDUP($A51/20,0)*20</f>
        <v>0</v>
      </c>
      <c r="AE51" s="139">
        <f t="shared" si="6"/>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VLOOKUP(AH51,AH51:AR51,$P$21,FALSE)</f>
        <v>#VALUE!</v>
      </c>
      <c r="AT51" s="506" t="s">
        <v>28580</v>
      </c>
      <c r="AU51" s="506" t="s">
        <v>39050</v>
      </c>
      <c r="AV51" s="506" t="s">
        <v>39051</v>
      </c>
      <c r="BE51" s="510"/>
    </row>
    <row r="52" spans="1:426" ht="32.1" customHeight="1">
      <c r="A52" s="93"/>
      <c r="B52" s="76" t="str">
        <f>VLOOKUP(878,Sprachindex!$A:$Z,Info!$O$7,FALSE)</f>
        <v>Stk.</v>
      </c>
      <c r="C52" s="75" t="e" vm="23">
        <v>#VALUE!</v>
      </c>
      <c r="D52" s="75" t="str">
        <f>IF($P$9=1,BE52,IF($P$9=2,AS52,""))</f>
        <v/>
      </c>
      <c r="E52" s="618" t="str">
        <f>VLOOKUP(407,Sprachindex!$A:$Z,Info!$O$7,FALSE)</f>
        <v>Froschmaulluke für Dachplatte 300 × 420 mm Lüftungsquerschnitt: ca. 30 cm²</v>
      </c>
      <c r="F52" s="619"/>
      <c r="G52" s="619"/>
      <c r="H52" s="619"/>
      <c r="I52" s="619"/>
      <c r="J52" s="619"/>
      <c r="K52" s="620"/>
      <c r="L52" s="76" t="str">
        <f>IF(A52=0,"",IF($P$11=1,AD52,AE52))</f>
        <v/>
      </c>
      <c r="M52" s="161" t="str">
        <f>VLOOKUP(878,Sprachindex!$A:$Z,Info!$O$7,FALSE)</f>
        <v>Stk.</v>
      </c>
      <c r="N52" s="77"/>
      <c r="O52" s="184" t="str">
        <f>IF(ISNUMBER(A52),$L52*R52, "")</f>
        <v/>
      </c>
      <c r="R52" s="182">
        <v>45.02</v>
      </c>
      <c r="AC52" s="129"/>
      <c r="AD52" s="139">
        <f>ROUNDUP($A52/15,0)*15</f>
        <v>0</v>
      </c>
      <c r="AE52" s="139">
        <f t="shared" si="6"/>
        <v>0</v>
      </c>
      <c r="AH52" s="498">
        <v>110113</v>
      </c>
      <c r="AI52" s="498">
        <v>110110</v>
      </c>
      <c r="AJ52" s="498">
        <v>110118</v>
      </c>
      <c r="AK52" s="498">
        <v>110115</v>
      </c>
      <c r="AL52" s="498">
        <v>110111</v>
      </c>
      <c r="AM52" s="498">
        <v>110117</v>
      </c>
      <c r="AN52" s="498">
        <v>110112</v>
      </c>
      <c r="AO52" s="498">
        <v>110116</v>
      </c>
      <c r="AP52" s="498"/>
      <c r="AQ52" s="498">
        <v>110114</v>
      </c>
      <c r="AR52" s="433">
        <v>10171028</v>
      </c>
      <c r="AS52" s="507" t="e" vm="2">
        <f>VLOOKUP(AH52,AH52:AR52,$P$21,FALSE)</f>
        <v>#VALUE!</v>
      </c>
      <c r="AT52" s="432">
        <v>110123</v>
      </c>
      <c r="AU52" s="432">
        <v>110120</v>
      </c>
      <c r="AV52" s="432">
        <v>110128</v>
      </c>
      <c r="AW52" s="432">
        <v>110125</v>
      </c>
      <c r="AX52" s="432">
        <v>110121</v>
      </c>
      <c r="AY52" s="432">
        <v>110127</v>
      </c>
      <c r="AZ52" s="432">
        <v>110122</v>
      </c>
      <c r="BA52" s="432">
        <v>110126</v>
      </c>
      <c r="BB52" s="432">
        <v>110129</v>
      </c>
      <c r="BC52" s="432">
        <v>110124</v>
      </c>
      <c r="BD52" s="432">
        <v>10181028</v>
      </c>
      <c r="BE52" s="509" t="e" vm="2">
        <f t="shared" ref="BE52" si="8">VLOOKUP(AT52,AT52:BD52,$P$21,FALSE)</f>
        <v>#VALUE!</v>
      </c>
      <c r="BF52" s="132"/>
    </row>
    <row r="53" spans="1:426" ht="32.1" customHeight="1">
      <c r="A53" s="93"/>
      <c r="B53" s="76" t="str">
        <f>VLOOKUP(878,Sprachindex!$A:$Z,Info!$O$7,FALSE)</f>
        <v>Stk.</v>
      </c>
      <c r="C53" s="75" t="e" vm="24">
        <v>#VALUE!</v>
      </c>
      <c r="D53" s="75">
        <v>545106</v>
      </c>
      <c r="E53" s="628" t="str">
        <f>VLOOKUP(1874,Sprachindex!$A:$Z,Info!$O$7,FALSE)</f>
        <v>Einfassung Vario, 120-600 mm, stucco</v>
      </c>
      <c r="F53" s="629"/>
      <c r="G53" s="629"/>
      <c r="H53" s="629"/>
      <c r="I53" s="629"/>
      <c r="J53" s="629"/>
      <c r="K53" s="630"/>
      <c r="L53" s="76" t="str">
        <f>IF(A53=0,"",IF($P$11=1,AD53,AE53))</f>
        <v/>
      </c>
      <c r="M53" s="161" t="str">
        <f>VLOOKUP(878,Sprachindex!$A:$Z,Info!$O$7,FALSE)</f>
        <v>Stk.</v>
      </c>
      <c r="N53" s="77"/>
      <c r="O53" s="184" t="str">
        <f>IF(ISNUMBER(A53),$L53*R53, "")</f>
        <v/>
      </c>
      <c r="R53" s="182">
        <v>0</v>
      </c>
      <c r="AC53" s="129"/>
      <c r="AD53" s="139">
        <f t="shared" ref="AD53:AD64" si="9">ROUNDUP($A53,0)</f>
        <v>0</v>
      </c>
      <c r="AE53" s="139">
        <f t="shared" si="6"/>
        <v>0</v>
      </c>
      <c r="AH53" s="657" t="s">
        <v>35</v>
      </c>
      <c r="AI53" s="657" t="s">
        <v>32</v>
      </c>
      <c r="AJ53" s="657" t="s">
        <v>40</v>
      </c>
      <c r="AK53" s="657" t="s">
        <v>37</v>
      </c>
      <c r="AL53" s="657" t="s">
        <v>33</v>
      </c>
      <c r="AM53" s="657" t="s">
        <v>39</v>
      </c>
      <c r="AN53" s="657" t="s">
        <v>34</v>
      </c>
      <c r="AO53" s="657" t="s">
        <v>38</v>
      </c>
      <c r="AP53" s="657" t="s">
        <v>41</v>
      </c>
      <c r="AQ53" s="657" t="s">
        <v>36</v>
      </c>
      <c r="AR53" s="657" t="s">
        <v>38962</v>
      </c>
      <c r="AS53" s="660" t="s">
        <v>39049</v>
      </c>
      <c r="AT53" s="657" t="s">
        <v>35</v>
      </c>
      <c r="AU53" s="657" t="s">
        <v>32</v>
      </c>
      <c r="AV53" s="657" t="s">
        <v>40</v>
      </c>
      <c r="AW53" s="657" t="s">
        <v>37</v>
      </c>
      <c r="AX53" s="657" t="s">
        <v>33</v>
      </c>
      <c r="AY53" s="657" t="s">
        <v>39</v>
      </c>
      <c r="AZ53" s="657" t="s">
        <v>34</v>
      </c>
      <c r="BA53" s="657" t="s">
        <v>38</v>
      </c>
      <c r="BB53" s="657" t="s">
        <v>41</v>
      </c>
      <c r="BC53" s="657" t="s">
        <v>36</v>
      </c>
      <c r="BD53" s="657" t="s">
        <v>38962</v>
      </c>
      <c r="BE53" s="658" t="s">
        <v>39049</v>
      </c>
    </row>
    <row r="54" spans="1:426" ht="32.1" customHeight="1" thickBot="1">
      <c r="A54" s="93"/>
      <c r="B54" s="76" t="str">
        <f>VLOOKUP(878,Sprachindex!$A:$Z,Info!$O$7,FALSE)</f>
        <v>Stk.</v>
      </c>
      <c r="C54" s="75" t="e" vm="25">
        <v>#VALUE!</v>
      </c>
      <c r="D54" s="75">
        <v>545106</v>
      </c>
      <c r="E54" s="628" t="str">
        <f>VLOOKUP(1875,Sprachindex!$A:$Z,Info!$O$7,FALSE)</f>
        <v>Einfassung Vario, 600-1.020 mm, stucco</v>
      </c>
      <c r="F54" s="629"/>
      <c r="G54" s="629"/>
      <c r="H54" s="629"/>
      <c r="I54" s="629"/>
      <c r="J54" s="629"/>
      <c r="K54" s="630"/>
      <c r="L54" s="76" t="str">
        <f>IF(A54=0,"",IF($P$11=1,AD54,AE54))</f>
        <v/>
      </c>
      <c r="M54" s="161" t="str">
        <f>VLOOKUP(878,Sprachindex!$A:$Z,Info!$O$7,FALSE)</f>
        <v>Stk.</v>
      </c>
      <c r="N54" s="77"/>
      <c r="O54" s="184" t="str">
        <f>IF(ISNUMBER(A54),$L54*R54, "")</f>
        <v/>
      </c>
      <c r="R54" s="182">
        <v>0</v>
      </c>
      <c r="AC54" s="129"/>
      <c r="AD54" s="139">
        <f t="shared" si="9"/>
        <v>0</v>
      </c>
      <c r="AE54" s="139">
        <f t="shared" si="6"/>
        <v>0</v>
      </c>
      <c r="AH54" s="657"/>
      <c r="AI54" s="657"/>
      <c r="AJ54" s="657"/>
      <c r="AK54" s="657"/>
      <c r="AL54" s="657"/>
      <c r="AM54" s="657"/>
      <c r="AN54" s="657"/>
      <c r="AO54" s="657"/>
      <c r="AP54" s="657"/>
      <c r="AQ54" s="657"/>
      <c r="AR54" s="657"/>
      <c r="AS54" s="660"/>
      <c r="AT54" s="657"/>
      <c r="AU54" s="657"/>
      <c r="AV54" s="657"/>
      <c r="AW54" s="657"/>
      <c r="AX54" s="657"/>
      <c r="AY54" s="657"/>
      <c r="AZ54" s="657"/>
      <c r="BA54" s="657"/>
      <c r="BB54" s="657"/>
      <c r="BC54" s="657"/>
      <c r="BD54" s="657"/>
      <c r="BE54" s="659"/>
      <c r="BH54" s="510"/>
      <c r="BI54" s="510"/>
      <c r="BJ54" s="510"/>
      <c r="BK54" s="510"/>
      <c r="BL54" s="510"/>
      <c r="BM54" s="510"/>
      <c r="BN54" s="510"/>
      <c r="BO54" s="510"/>
      <c r="BP54" s="510"/>
      <c r="BQ54" s="510"/>
      <c r="BR54" s="510"/>
      <c r="BS54" s="510"/>
    </row>
    <row r="55" spans="1:426" ht="32.1" customHeight="1" thickBot="1">
      <c r="A55" s="93"/>
      <c r="B55" s="76" t="str">
        <f>VLOOKUP(878,Sprachindex!$A:$Z,Info!$O$7,FALSE)</f>
        <v>Stk.</v>
      </c>
      <c r="C55" s="75" t="e" vm="26">
        <v>#VALUE!</v>
      </c>
      <c r="D55" s="75" t="str">
        <f>IF($P$9=1,BE55,IF($P$9=2,AS55,""))</f>
        <v/>
      </c>
      <c r="E55" s="628" t="str">
        <f>VLOOKUP(254,Sprachindex!$A:$Z,Info!$O$7,FALSE)</f>
        <v>Dachluke (600 × 600 mm); komplett mit Holzrahmen</v>
      </c>
      <c r="F55" s="629"/>
      <c r="G55" s="629"/>
      <c r="H55" s="629"/>
      <c r="I55" s="629"/>
      <c r="J55" s="629"/>
      <c r="K55" s="630"/>
      <c r="L55" s="76" t="str">
        <f>IF(A55=0,"",IF($P$11=1,AD55,AE55))</f>
        <v/>
      </c>
      <c r="M55" s="161" t="str">
        <f>VLOOKUP(878,Sprachindex!$A:$Z,Info!$O$7,FALSE)</f>
        <v>Stk.</v>
      </c>
      <c r="N55" s="77"/>
      <c r="O55" s="204" t="str">
        <f>IF(ISNUMBER(A55),$L55*R55, "")</f>
        <v/>
      </c>
      <c r="R55" s="182">
        <v>254.93</v>
      </c>
      <c r="AC55" s="129"/>
      <c r="AD55" s="139">
        <f t="shared" si="9"/>
        <v>0</v>
      </c>
      <c r="AE55" s="139">
        <f t="shared" si="6"/>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VLOOKUP(AH55,AH55:AR55,$P$21,FALSE)</f>
        <v>#VALUE!</v>
      </c>
      <c r="AT55" s="438">
        <v>110033</v>
      </c>
      <c r="AU55" s="438">
        <v>110030</v>
      </c>
      <c r="AV55" s="438">
        <v>110038</v>
      </c>
      <c r="AW55" s="438">
        <v>110035</v>
      </c>
      <c r="AX55" s="438">
        <v>110031</v>
      </c>
      <c r="AY55" s="438">
        <v>110037</v>
      </c>
      <c r="AZ55" s="438">
        <v>110032</v>
      </c>
      <c r="BA55" s="438">
        <v>110036</v>
      </c>
      <c r="BB55" s="508">
        <v>110039</v>
      </c>
      <c r="BC55" s="438">
        <v>110034</v>
      </c>
      <c r="BD55" s="438">
        <v>16761028</v>
      </c>
      <c r="BE55" s="524" t="e" vm="2">
        <f>VLOOKUP(AT55,AT55:BD55,$P$21,FALSE)</f>
        <v>#VALUE!</v>
      </c>
      <c r="BF55" s="525" t="s">
        <v>39079</v>
      </c>
      <c r="BG55" s="523" t="s">
        <v>39080</v>
      </c>
      <c r="BH55" s="519" t="s">
        <v>35</v>
      </c>
      <c r="BI55" s="519" t="s">
        <v>32</v>
      </c>
      <c r="BJ55" s="519" t="s">
        <v>40</v>
      </c>
      <c r="BK55" s="519" t="s">
        <v>37</v>
      </c>
      <c r="BL55" s="519" t="s">
        <v>33</v>
      </c>
      <c r="BM55" s="519" t="s">
        <v>39</v>
      </c>
      <c r="BN55" s="519" t="s">
        <v>34</v>
      </c>
      <c r="BO55" s="519" t="s">
        <v>38</v>
      </c>
      <c r="BP55" s="519" t="s">
        <v>41</v>
      </c>
      <c r="BQ55" s="519" t="s">
        <v>36</v>
      </c>
      <c r="BR55" s="519" t="s">
        <v>38962</v>
      </c>
      <c r="BS55" s="520" t="s">
        <v>39049</v>
      </c>
      <c r="BT55" s="519" t="s">
        <v>35</v>
      </c>
      <c r="BU55" s="519" t="s">
        <v>32</v>
      </c>
      <c r="BV55" s="519" t="s">
        <v>40</v>
      </c>
      <c r="BW55" s="519" t="s">
        <v>37</v>
      </c>
      <c r="BX55" s="519" t="s">
        <v>33</v>
      </c>
      <c r="BY55" s="519" t="s">
        <v>39</v>
      </c>
      <c r="BZ55" s="519" t="s">
        <v>34</v>
      </c>
      <c r="CA55" s="519" t="s">
        <v>38</v>
      </c>
      <c r="CB55" s="519" t="s">
        <v>41</v>
      </c>
      <c r="CC55" s="519" t="s">
        <v>36</v>
      </c>
      <c r="CD55" s="519" t="s">
        <v>38962</v>
      </c>
      <c r="CE55" s="516" t="s">
        <v>39049</v>
      </c>
      <c r="CF55" s="535" t="s">
        <v>39079</v>
      </c>
      <c r="CG55" s="523" t="s">
        <v>39080</v>
      </c>
      <c r="CH55" s="519" t="s">
        <v>35</v>
      </c>
      <c r="CI55" s="519" t="s">
        <v>32</v>
      </c>
      <c r="CJ55" s="519" t="s">
        <v>40</v>
      </c>
      <c r="CK55" s="519" t="s">
        <v>37</v>
      </c>
      <c r="CL55" s="519" t="s">
        <v>33</v>
      </c>
      <c r="CM55" s="519" t="s">
        <v>39</v>
      </c>
      <c r="CN55" s="519" t="s">
        <v>34</v>
      </c>
      <c r="CO55" s="519" t="s">
        <v>38</v>
      </c>
      <c r="CP55" s="519" t="s">
        <v>41</v>
      </c>
      <c r="CQ55" s="519" t="s">
        <v>36</v>
      </c>
      <c r="CR55" s="519" t="s">
        <v>38962</v>
      </c>
      <c r="CS55" s="520" t="s">
        <v>39049</v>
      </c>
      <c r="CT55" s="519" t="s">
        <v>35</v>
      </c>
      <c r="CU55" s="519" t="s">
        <v>32</v>
      </c>
      <c r="CV55" s="519" t="s">
        <v>40</v>
      </c>
      <c r="CW55" s="519" t="s">
        <v>37</v>
      </c>
      <c r="CX55" s="519" t="s">
        <v>33</v>
      </c>
      <c r="CY55" s="519" t="s">
        <v>39</v>
      </c>
      <c r="CZ55" s="519" t="s">
        <v>34</v>
      </c>
      <c r="DA55" s="519" t="s">
        <v>38</v>
      </c>
      <c r="DB55" s="519" t="s">
        <v>41</v>
      </c>
      <c r="DC55" s="519" t="s">
        <v>36</v>
      </c>
      <c r="DD55" s="519" t="s">
        <v>38962</v>
      </c>
      <c r="DE55" s="520" t="s">
        <v>39049</v>
      </c>
      <c r="DF55" s="521" t="s">
        <v>39079</v>
      </c>
      <c r="DG55" s="523" t="s">
        <v>39080</v>
      </c>
      <c r="DH55" s="519" t="s">
        <v>35</v>
      </c>
      <c r="DI55" s="519" t="s">
        <v>32</v>
      </c>
      <c r="DJ55" s="519" t="s">
        <v>40</v>
      </c>
      <c r="DK55" s="519" t="s">
        <v>37</v>
      </c>
      <c r="DL55" s="519" t="s">
        <v>33</v>
      </c>
      <c r="DM55" s="519" t="s">
        <v>39</v>
      </c>
      <c r="DN55" s="519" t="s">
        <v>34</v>
      </c>
      <c r="DO55" s="519" t="s">
        <v>38</v>
      </c>
      <c r="DP55" s="519" t="s">
        <v>41</v>
      </c>
      <c r="DQ55" s="519" t="s">
        <v>36</v>
      </c>
      <c r="DR55" s="519" t="s">
        <v>38962</v>
      </c>
      <c r="DS55" s="520" t="s">
        <v>39049</v>
      </c>
      <c r="DT55" s="519" t="s">
        <v>35</v>
      </c>
      <c r="DU55" s="519" t="s">
        <v>32</v>
      </c>
      <c r="DV55" s="519" t="s">
        <v>40</v>
      </c>
      <c r="DW55" s="519" t="s">
        <v>37</v>
      </c>
      <c r="DX55" s="519" t="s">
        <v>33</v>
      </c>
      <c r="DY55" s="519" t="s">
        <v>39</v>
      </c>
      <c r="DZ55" s="519" t="s">
        <v>34</v>
      </c>
      <c r="EA55" s="519" t="s">
        <v>38</v>
      </c>
      <c r="EB55" s="519" t="s">
        <v>41</v>
      </c>
      <c r="EC55" s="519" t="s">
        <v>36</v>
      </c>
      <c r="ED55" s="519" t="s">
        <v>38962</v>
      </c>
      <c r="EE55" s="520" t="s">
        <v>39049</v>
      </c>
      <c r="EF55" s="521" t="s">
        <v>39079</v>
      </c>
      <c r="EG55" s="523" t="s">
        <v>39080</v>
      </c>
      <c r="EH55" s="519" t="s">
        <v>35</v>
      </c>
      <c r="EI55" s="519" t="s">
        <v>32</v>
      </c>
      <c r="EJ55" s="519" t="s">
        <v>40</v>
      </c>
      <c r="EK55" s="519" t="s">
        <v>37</v>
      </c>
      <c r="EL55" s="519" t="s">
        <v>33</v>
      </c>
      <c r="EM55" s="519" t="s">
        <v>39</v>
      </c>
      <c r="EN55" s="519" t="s">
        <v>34</v>
      </c>
      <c r="EO55" s="519" t="s">
        <v>38</v>
      </c>
      <c r="EP55" s="519" t="s">
        <v>41</v>
      </c>
      <c r="EQ55" s="519" t="s">
        <v>36</v>
      </c>
      <c r="ER55" s="519" t="s">
        <v>38962</v>
      </c>
      <c r="ES55" s="520" t="s">
        <v>39049</v>
      </c>
      <c r="ET55" s="519" t="s">
        <v>35</v>
      </c>
      <c r="EU55" s="519" t="s">
        <v>32</v>
      </c>
      <c r="EV55" s="519" t="s">
        <v>40</v>
      </c>
      <c r="EW55" s="519" t="s">
        <v>37</v>
      </c>
      <c r="EX55" s="519" t="s">
        <v>33</v>
      </c>
      <c r="EY55" s="519" t="s">
        <v>39</v>
      </c>
      <c r="EZ55" s="519" t="s">
        <v>34</v>
      </c>
      <c r="FA55" s="519" t="s">
        <v>38</v>
      </c>
      <c r="FB55" s="519" t="s">
        <v>41</v>
      </c>
      <c r="FC55" s="519" t="s">
        <v>36</v>
      </c>
      <c r="FD55" s="519" t="s">
        <v>38962</v>
      </c>
      <c r="FE55" s="520" t="s">
        <v>39049</v>
      </c>
      <c r="FF55" s="521" t="s">
        <v>39079</v>
      </c>
      <c r="FG55" s="523" t="s">
        <v>39080</v>
      </c>
      <c r="FH55" s="519" t="s">
        <v>35</v>
      </c>
      <c r="FI55" s="519" t="s">
        <v>32</v>
      </c>
      <c r="FJ55" s="519" t="s">
        <v>40</v>
      </c>
      <c r="FK55" s="519" t="s">
        <v>37</v>
      </c>
      <c r="FL55" s="519" t="s">
        <v>33</v>
      </c>
      <c r="FM55" s="519" t="s">
        <v>39</v>
      </c>
      <c r="FN55" s="519" t="s">
        <v>34</v>
      </c>
      <c r="FO55" s="519" t="s">
        <v>38</v>
      </c>
      <c r="FP55" s="519" t="s">
        <v>41</v>
      </c>
      <c r="FQ55" s="519" t="s">
        <v>36</v>
      </c>
      <c r="FR55" s="519" t="s">
        <v>38962</v>
      </c>
      <c r="FS55" s="520" t="s">
        <v>39049</v>
      </c>
      <c r="FT55" s="519" t="s">
        <v>35</v>
      </c>
      <c r="FU55" s="519" t="s">
        <v>32</v>
      </c>
      <c r="FV55" s="519" t="s">
        <v>40</v>
      </c>
      <c r="FW55" s="519" t="s">
        <v>37</v>
      </c>
      <c r="FX55" s="519" t="s">
        <v>33</v>
      </c>
      <c r="FY55" s="519" t="s">
        <v>39</v>
      </c>
      <c r="FZ55" s="519" t="s">
        <v>34</v>
      </c>
      <c r="GA55" s="519" t="s">
        <v>38</v>
      </c>
      <c r="GB55" s="519" t="s">
        <v>41</v>
      </c>
      <c r="GC55" s="519" t="s">
        <v>36</v>
      </c>
      <c r="GD55" s="519" t="s">
        <v>38962</v>
      </c>
      <c r="GE55" s="520" t="s">
        <v>39049</v>
      </c>
      <c r="GF55" s="521" t="s">
        <v>39079</v>
      </c>
      <c r="GG55" s="523" t="s">
        <v>39080</v>
      </c>
      <c r="GH55" s="519" t="s">
        <v>35</v>
      </c>
      <c r="GI55" s="519" t="s">
        <v>32</v>
      </c>
      <c r="GJ55" s="519" t="s">
        <v>40</v>
      </c>
      <c r="GK55" s="519" t="s">
        <v>37</v>
      </c>
      <c r="GL55" s="519" t="s">
        <v>33</v>
      </c>
      <c r="GM55" s="519" t="s">
        <v>39</v>
      </c>
      <c r="GN55" s="519" t="s">
        <v>34</v>
      </c>
      <c r="GO55" s="519" t="s">
        <v>38</v>
      </c>
      <c r="GP55" s="519" t="s">
        <v>41</v>
      </c>
      <c r="GQ55" s="519" t="s">
        <v>36</v>
      </c>
      <c r="GR55" s="519" t="s">
        <v>38962</v>
      </c>
      <c r="GS55" s="520" t="s">
        <v>39049</v>
      </c>
      <c r="GT55" s="519" t="s">
        <v>35</v>
      </c>
      <c r="GU55" s="519" t="s">
        <v>32</v>
      </c>
      <c r="GV55" s="519" t="s">
        <v>40</v>
      </c>
      <c r="GW55" s="519" t="s">
        <v>37</v>
      </c>
      <c r="GX55" s="519" t="s">
        <v>33</v>
      </c>
      <c r="GY55" s="519" t="s">
        <v>39</v>
      </c>
      <c r="GZ55" s="519" t="s">
        <v>34</v>
      </c>
      <c r="HA55" s="519" t="s">
        <v>38</v>
      </c>
      <c r="HB55" s="519" t="s">
        <v>41</v>
      </c>
      <c r="HC55" s="519" t="s">
        <v>36</v>
      </c>
      <c r="HD55" s="519" t="s">
        <v>38962</v>
      </c>
      <c r="HE55" s="520" t="s">
        <v>39049</v>
      </c>
      <c r="HF55" s="521" t="s">
        <v>39079</v>
      </c>
      <c r="HG55" s="523" t="s">
        <v>39080</v>
      </c>
      <c r="HH55" s="519" t="s">
        <v>35</v>
      </c>
      <c r="HI55" s="519" t="s">
        <v>32</v>
      </c>
      <c r="HJ55" s="519" t="s">
        <v>40</v>
      </c>
      <c r="HK55" s="519" t="s">
        <v>37</v>
      </c>
      <c r="HL55" s="519" t="s">
        <v>33</v>
      </c>
      <c r="HM55" s="519" t="s">
        <v>39</v>
      </c>
      <c r="HN55" s="519" t="s">
        <v>34</v>
      </c>
      <c r="HO55" s="519" t="s">
        <v>38</v>
      </c>
      <c r="HP55" s="519" t="s">
        <v>41</v>
      </c>
      <c r="HQ55" s="519" t="s">
        <v>36</v>
      </c>
      <c r="HR55" s="519" t="s">
        <v>38962</v>
      </c>
      <c r="HS55" s="520" t="s">
        <v>39049</v>
      </c>
      <c r="HT55" s="519" t="s">
        <v>35</v>
      </c>
      <c r="HU55" s="519" t="s">
        <v>32</v>
      </c>
      <c r="HV55" s="519" t="s">
        <v>40</v>
      </c>
      <c r="HW55" s="519" t="s">
        <v>37</v>
      </c>
      <c r="HX55" s="519" t="s">
        <v>33</v>
      </c>
      <c r="HY55" s="519" t="s">
        <v>39</v>
      </c>
      <c r="HZ55" s="519" t="s">
        <v>34</v>
      </c>
      <c r="IA55" s="519" t="s">
        <v>38</v>
      </c>
      <c r="IB55" s="519" t="s">
        <v>41</v>
      </c>
      <c r="IC55" s="519" t="s">
        <v>36</v>
      </c>
      <c r="ID55" s="519" t="s">
        <v>38962</v>
      </c>
      <c r="IE55" s="520" t="s">
        <v>39049</v>
      </c>
      <c r="IF55" s="535" t="s">
        <v>39079</v>
      </c>
      <c r="IG55" s="523" t="s">
        <v>39080</v>
      </c>
      <c r="IH55" s="519" t="s">
        <v>35</v>
      </c>
      <c r="II55" s="519" t="s">
        <v>32</v>
      </c>
      <c r="IJ55" s="519" t="s">
        <v>40</v>
      </c>
      <c r="IK55" s="519" t="s">
        <v>37</v>
      </c>
      <c r="IL55" s="519" t="s">
        <v>33</v>
      </c>
      <c r="IM55" s="519" t="s">
        <v>39</v>
      </c>
      <c r="IN55" s="519" t="s">
        <v>34</v>
      </c>
      <c r="IO55" s="519" t="s">
        <v>38</v>
      </c>
      <c r="IP55" s="519" t="s">
        <v>41</v>
      </c>
      <c r="IQ55" s="519" t="s">
        <v>36</v>
      </c>
      <c r="IR55" s="519" t="s">
        <v>38962</v>
      </c>
      <c r="IS55" s="520" t="s">
        <v>39049</v>
      </c>
      <c r="IT55" s="519" t="s">
        <v>35</v>
      </c>
      <c r="IU55" s="519" t="s">
        <v>32</v>
      </c>
      <c r="IV55" s="519" t="s">
        <v>40</v>
      </c>
      <c r="IW55" s="519" t="s">
        <v>37</v>
      </c>
      <c r="IX55" s="519" t="s">
        <v>33</v>
      </c>
      <c r="IY55" s="519" t="s">
        <v>39</v>
      </c>
      <c r="IZ55" s="519" t="s">
        <v>34</v>
      </c>
      <c r="JA55" s="519" t="s">
        <v>38</v>
      </c>
      <c r="JB55" s="519" t="s">
        <v>41</v>
      </c>
      <c r="JC55" s="519" t="s">
        <v>36</v>
      </c>
      <c r="JD55" s="519" t="s">
        <v>38962</v>
      </c>
      <c r="JE55" s="520" t="s">
        <v>39049</v>
      </c>
      <c r="JF55" s="521" t="s">
        <v>39079</v>
      </c>
      <c r="JG55" s="523" t="s">
        <v>39080</v>
      </c>
      <c r="JH55" s="519" t="s">
        <v>35</v>
      </c>
      <c r="JI55" s="519" t="s">
        <v>32</v>
      </c>
      <c r="JJ55" s="519" t="s">
        <v>40</v>
      </c>
      <c r="JK55" s="519" t="s">
        <v>37</v>
      </c>
      <c r="JL55" s="519" t="s">
        <v>33</v>
      </c>
      <c r="JM55" s="519" t="s">
        <v>39</v>
      </c>
      <c r="JN55" s="519" t="s">
        <v>34</v>
      </c>
      <c r="JO55" s="519" t="s">
        <v>38</v>
      </c>
      <c r="JP55" s="519" t="s">
        <v>41</v>
      </c>
      <c r="JQ55" s="519" t="s">
        <v>36</v>
      </c>
      <c r="JR55" s="519" t="s">
        <v>38962</v>
      </c>
      <c r="JS55" s="520" t="s">
        <v>39049</v>
      </c>
      <c r="JT55" s="519" t="s">
        <v>35</v>
      </c>
      <c r="JU55" s="519" t="s">
        <v>32</v>
      </c>
      <c r="JV55" s="519" t="s">
        <v>40</v>
      </c>
      <c r="JW55" s="519" t="s">
        <v>37</v>
      </c>
      <c r="JX55" s="519" t="s">
        <v>33</v>
      </c>
      <c r="JY55" s="519" t="s">
        <v>39</v>
      </c>
      <c r="JZ55" s="519" t="s">
        <v>34</v>
      </c>
      <c r="KA55" s="519" t="s">
        <v>38</v>
      </c>
      <c r="KB55" s="519" t="s">
        <v>41</v>
      </c>
      <c r="KC55" s="519" t="s">
        <v>36</v>
      </c>
      <c r="KD55" s="519" t="s">
        <v>38962</v>
      </c>
      <c r="KE55" s="520" t="s">
        <v>39049</v>
      </c>
    </row>
    <row r="56" spans="1:426" ht="32.1" customHeight="1" thickBot="1">
      <c r="A56" s="93"/>
      <c r="B56" s="76" t="str">
        <f>VLOOKUP(878,Sprachindex!$A:$Z,Info!$O$7,FALSE)</f>
        <v>Stk.</v>
      </c>
      <c r="C56" s="75" t="e" vm="27">
        <v>#VALUE!</v>
      </c>
      <c r="D56" s="75" t="str">
        <f>IF(ISNUMBER(A56),IF(Info!V7=2,'Velux DE Artikelnummern'!C28,Q56),"")</f>
        <v/>
      </c>
      <c r="E56" s="618" t="str">
        <f>VLOOKUP(324,Sprachindex!$A:$Z,Info!$O$7,FALSE)</f>
        <v>Einfassung für Velux-Dachflächenfenster (stucco)</v>
      </c>
      <c r="F56" s="619"/>
      <c r="G56" s="619"/>
      <c r="H56" s="619"/>
      <c r="I56" s="81" t="str">
        <f>VLOOKUP(591,Sprachindex!$A:$Z,Info!$O$7,FALSE)</f>
        <v>Maße:</v>
      </c>
      <c r="J56" s="624"/>
      <c r="K56" s="626"/>
      <c r="L56" s="76" t="str">
        <f>IF($A56=0,"",IF($J56=Formeln!$A$30," ",IF($P$11=1,AD56,AE56)))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C56" s="129"/>
      <c r="AD56" s="139">
        <f t="shared" si="9"/>
        <v>0</v>
      </c>
      <c r="AE56" s="141">
        <f t="shared" si="6"/>
        <v>0</v>
      </c>
      <c r="AF56" s="513" t="s">
        <v>51</v>
      </c>
      <c r="AG56" s="517" t="str">
        <f>IF($P$9=1,BE56,IF($P$9=2,AS56,""))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VLOOKUP(AH56,AH56:AR56,$P$21,FALSE)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VLOOKUP(AT56,AT56:BD56,$P$21,FALSE)</f>
        <v>#VALUE!</v>
      </c>
      <c r="BF56" s="521" t="s">
        <v>52</v>
      </c>
      <c r="BG56" s="522" t="str">
        <f>IF($P$9=1,CE56,IF($P$9=2,BS56,""))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VLOOKUP(BH56,BH56:BR56,$P$21,FALSE)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VLOOKUP(BT56,BT56:CD56,$P$21,FALSE)</f>
        <v>#VALUE!</v>
      </c>
      <c r="CF56" s="521" t="s">
        <v>53</v>
      </c>
      <c r="CG56" s="522" t="str">
        <f>IF($P$9=1,DE56,IF($P$9=2,CS56,""))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VLOOKUP(CH56,CH56:CR56,$P$21,FALSE)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VLOOKUP(CT56,CT56:DD56,$P$21,FALSE)</f>
        <v>#VALUE!</v>
      </c>
      <c r="DF56" s="521" t="s">
        <v>54</v>
      </c>
      <c r="DG56" s="522" t="str">
        <f>IF($P$9=1,EE56,IF($P$9=2,DS56,""))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VLOOKUP(DH56,DH56:DR56,$P$21,FALSE)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VLOOKUP(DT56,DT56:ED56,$P$21,FALSE)</f>
        <v>#VALUE!</v>
      </c>
      <c r="EF56" s="521" t="s">
        <v>55</v>
      </c>
      <c r="EG56" s="522" t="str">
        <f>IF($P$9=1,FE56,IF($P$9=2,ES56,""))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VLOOKUP(EH56,EH56:ER56,$P$21,FALSE)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VLOOKUP(ET56,ET56:FD56,$P$21,FALSE)</f>
        <v>#VALUE!</v>
      </c>
      <c r="FF56" s="521" t="s">
        <v>56</v>
      </c>
      <c r="FG56" s="522" t="str">
        <f>IF($P$9=1,GE56,IF($P$9=2,FS56,""))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VLOOKUP(FH56,FH56:FR56,$P$21,FALSE)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VLOOKUP(FT56,FT56:GD56,$P$21,FALSE)</f>
        <v>#VALUE!</v>
      </c>
      <c r="GF56" s="521" t="s">
        <v>57</v>
      </c>
      <c r="GG56" s="522" t="str">
        <f>IF($P$9=1,HE56,IF($P$9=2,GS56,""))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VLOOKUP(GH56,GH56:GR56,$P$21,FALSE)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VLOOKUP(GT56,GT56:HD56,$P$21,FALSE)</f>
        <v>#VALUE!</v>
      </c>
      <c r="HF56" s="521" t="s">
        <v>58</v>
      </c>
      <c r="HG56" s="522" t="str">
        <f>IF($P$9=1,IE56,IF($P$9=2,HS56,""))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VLOOKUP(HH56,HH56:HR56,$P$21,FALSE)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VLOOKUP(HT56,HT56:ID56,$P$21,FALSE)</f>
        <v>#VALUE!</v>
      </c>
      <c r="IF56" s="528" t="s">
        <v>59</v>
      </c>
      <c r="IG56" s="529" t="str">
        <f>IF($P$9=1,JE56,IF($P$9=2,IS56,""))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VLOOKUP(IH56,IH56:IR56,$P$21,FALSE)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VLOOKUP(IT56,IT56:JD56,$P$21,FALSE)</f>
        <v>#VALUE!</v>
      </c>
      <c r="JF56" s="528" t="s">
        <v>60</v>
      </c>
      <c r="JG56" s="529" t="str">
        <f>IF($P$9=1,KE56,IF($P$9=2,JS56,""))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VLOOKUP(JH56,JH56:JR56,$P$21,FALSE)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VLOOKUP(JT56,JT56:KD56,$P$21,FALSE)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18" t="str">
        <f>VLOOKUP(321,Sprachindex!$A:$Z,Info!$O$7,FALSE)</f>
        <v>Einfassung für Roto-Dachflächenfenster (stucco)</v>
      </c>
      <c r="F57" s="619"/>
      <c r="G57" s="619"/>
      <c r="H57" s="594" t="s">
        <v>39284</v>
      </c>
      <c r="I57" s="81" t="str">
        <f>VLOOKUP(591,Sprachindex!$A:$Z,Info!$O$7,FALSE)</f>
        <v>Maße:</v>
      </c>
      <c r="J57" s="631"/>
      <c r="K57" s="632"/>
      <c r="L57" s="76" t="str">
        <f>IF($A57=0,"",IF($J57=Formeln!$A$52," ",IF($P$11=1,AD57,AE57)))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AC57" s="129"/>
      <c r="AD57" s="139">
        <f t="shared" si="9"/>
        <v>0</v>
      </c>
      <c r="AE57" s="139">
        <f t="shared" si="6"/>
        <v>0</v>
      </c>
      <c r="AF57" s="513" t="s">
        <v>61</v>
      </c>
      <c r="AG57" s="517" t="str">
        <f>IF($P$9=1,BE57,IF($P$9=2,AS57,""))</f>
        <v/>
      </c>
      <c r="AH57" s="514">
        <v>111313</v>
      </c>
      <c r="AI57" s="514">
        <v>111310</v>
      </c>
      <c r="AJ57" s="514">
        <v>111318</v>
      </c>
      <c r="AK57" s="514">
        <v>111315</v>
      </c>
      <c r="AL57" s="514">
        <v>111311</v>
      </c>
      <c r="AM57" s="514">
        <v>111317</v>
      </c>
      <c r="AN57" s="514">
        <v>111312</v>
      </c>
      <c r="AO57" s="514">
        <v>111316</v>
      </c>
      <c r="AP57" s="514">
        <v>111319</v>
      </c>
      <c r="AQ57" s="514">
        <v>111314</v>
      </c>
      <c r="AR57" s="514">
        <v>16011028</v>
      </c>
      <c r="AS57" s="515" t="e" vm="2">
        <f>VLOOKUP(AH57,AH57:AR57,$P$21,FALSE)</f>
        <v>#VALUE!</v>
      </c>
      <c r="AT57" s="518">
        <v>111303</v>
      </c>
      <c r="AU57" s="518">
        <v>111300</v>
      </c>
      <c r="AV57" s="518">
        <v>111308</v>
      </c>
      <c r="AW57" s="518">
        <v>111305</v>
      </c>
      <c r="AX57" s="518">
        <v>111301</v>
      </c>
      <c r="AY57" s="518">
        <v>111307</v>
      </c>
      <c r="AZ57" s="518">
        <v>111302</v>
      </c>
      <c r="BA57" s="518">
        <v>111306</v>
      </c>
      <c r="BB57" s="518">
        <v>111309</v>
      </c>
      <c r="BC57" s="518">
        <v>111304</v>
      </c>
      <c r="BD57" s="518">
        <v>16021028</v>
      </c>
      <c r="BE57" s="516" t="e" vm="2">
        <f>VLOOKUP(AT57,AT57:BD57,$P$21,FALSE)</f>
        <v>#VALUE!</v>
      </c>
      <c r="BF57" s="521" t="s">
        <v>62</v>
      </c>
      <c r="BG57" s="522" t="str">
        <f>IF($P$9=1,CE57,IF($P$9=2,BS57,""))</f>
        <v/>
      </c>
      <c r="BH57" s="514">
        <v>111333</v>
      </c>
      <c r="BI57" s="514">
        <v>111330</v>
      </c>
      <c r="BJ57" s="514">
        <v>111338</v>
      </c>
      <c r="BK57" s="514">
        <v>111335</v>
      </c>
      <c r="BL57" s="514">
        <v>111331</v>
      </c>
      <c r="BM57" s="514">
        <v>111337</v>
      </c>
      <c r="BN57" s="514">
        <v>111332</v>
      </c>
      <c r="BO57" s="514">
        <v>111336</v>
      </c>
      <c r="BP57" s="514">
        <v>111339</v>
      </c>
      <c r="BQ57" s="514">
        <v>111334</v>
      </c>
      <c r="BR57" s="514">
        <v>16041028</v>
      </c>
      <c r="BS57" s="515" t="e" vm="2">
        <f>VLOOKUP(BH57,BH57:BR57,$P$21,FALSE)</f>
        <v>#VALUE!</v>
      </c>
      <c r="BT57" s="518">
        <v>111323</v>
      </c>
      <c r="BU57" s="518">
        <v>111320</v>
      </c>
      <c r="BV57" s="518">
        <v>111328</v>
      </c>
      <c r="BW57" s="518">
        <v>111325</v>
      </c>
      <c r="BX57" s="518">
        <v>111321</v>
      </c>
      <c r="BY57" s="518">
        <v>111327</v>
      </c>
      <c r="BZ57" s="518">
        <v>111322</v>
      </c>
      <c r="CA57" s="518">
        <v>111326</v>
      </c>
      <c r="CB57" s="518">
        <v>111329</v>
      </c>
      <c r="CC57" s="518">
        <v>111324</v>
      </c>
      <c r="CD57" s="518">
        <v>16031028</v>
      </c>
      <c r="CE57" s="516" t="e" vm="2">
        <f>VLOOKUP(BT57,BT57:CD57,$P$21,FALSE)</f>
        <v>#VALUE!</v>
      </c>
      <c r="CF57" s="521" t="s">
        <v>39081</v>
      </c>
      <c r="CG57" s="522" t="str">
        <f>IF($P$9=1,DE57,IF($P$9=2,CS57,""))</f>
        <v/>
      </c>
      <c r="CH57" s="514">
        <v>111353</v>
      </c>
      <c r="CI57" s="514">
        <v>111350</v>
      </c>
      <c r="CJ57" s="514">
        <v>111358</v>
      </c>
      <c r="CK57" s="514">
        <v>111355</v>
      </c>
      <c r="CL57" s="514">
        <v>111351</v>
      </c>
      <c r="CM57" s="514">
        <v>111357</v>
      </c>
      <c r="CN57" s="514">
        <v>111352</v>
      </c>
      <c r="CO57" s="514">
        <v>111356</v>
      </c>
      <c r="CP57" s="514">
        <v>111359</v>
      </c>
      <c r="CQ57" s="514">
        <v>111354</v>
      </c>
      <c r="CR57" s="514">
        <v>16061028</v>
      </c>
      <c r="CS57" s="515" t="e" vm="2">
        <f>VLOOKUP(CH57,CH57:CR57,$P$21,FALSE)</f>
        <v>#VALUE!</v>
      </c>
      <c r="CT57" s="526">
        <v>111343</v>
      </c>
      <c r="CU57" s="518">
        <v>111340</v>
      </c>
      <c r="CV57" s="518">
        <v>111348</v>
      </c>
      <c r="CW57" s="518">
        <v>111345</v>
      </c>
      <c r="CX57" s="518">
        <v>111341</v>
      </c>
      <c r="CY57" s="518">
        <v>111347</v>
      </c>
      <c r="CZ57" s="518">
        <v>111342</v>
      </c>
      <c r="DA57" s="518">
        <v>111346</v>
      </c>
      <c r="DB57" s="518">
        <v>111349</v>
      </c>
      <c r="DC57" s="518">
        <v>111344</v>
      </c>
      <c r="DD57" s="518">
        <v>16051028</v>
      </c>
      <c r="DE57" s="516" t="e" vm="2">
        <f>VLOOKUP(CT57,CT57:DD57,$P$21,FALSE)</f>
        <v>#VALUE!</v>
      </c>
      <c r="DF57" s="521" t="s">
        <v>39082</v>
      </c>
      <c r="DG57" s="522" t="str">
        <f>IF($P$9=1,EE57,IF($P$9=2,DS57,""))</f>
        <v/>
      </c>
      <c r="DH57" s="514">
        <v>111373</v>
      </c>
      <c r="DI57" s="514">
        <v>111370</v>
      </c>
      <c r="DJ57" s="514">
        <v>111378</v>
      </c>
      <c r="DK57" s="514">
        <v>111375</v>
      </c>
      <c r="DL57" s="514">
        <v>111371</v>
      </c>
      <c r="DM57" s="514">
        <v>111377</v>
      </c>
      <c r="DN57" s="514">
        <v>111372</v>
      </c>
      <c r="DO57" s="514">
        <v>111376</v>
      </c>
      <c r="DP57" s="514">
        <v>111379</v>
      </c>
      <c r="DQ57" s="514">
        <v>111374</v>
      </c>
      <c r="DR57" s="514">
        <v>16081028</v>
      </c>
      <c r="DS57" s="515" t="e" vm="2">
        <f>VLOOKUP(DH57,DH57:DR57,$P$21,FALSE)</f>
        <v>#VALUE!</v>
      </c>
      <c r="DT57" s="526">
        <v>111363</v>
      </c>
      <c r="DU57" s="518">
        <v>111360</v>
      </c>
      <c r="DV57" s="518">
        <v>111368</v>
      </c>
      <c r="DW57" s="518">
        <v>111365</v>
      </c>
      <c r="DX57" s="518">
        <v>111361</v>
      </c>
      <c r="DY57" s="518">
        <v>111367</v>
      </c>
      <c r="DZ57" s="518">
        <v>111362</v>
      </c>
      <c r="EA57" s="518">
        <v>111366</v>
      </c>
      <c r="EB57" s="518">
        <v>111369</v>
      </c>
      <c r="EC57" s="518">
        <v>111364</v>
      </c>
      <c r="ED57" s="518">
        <v>16071028</v>
      </c>
      <c r="EE57" s="516" t="e" vm="2">
        <f>VLOOKUP(DT57,DT57:ED57,$P$21,FALSE)</f>
        <v>#VALUE!</v>
      </c>
      <c r="EF57" s="521" t="s">
        <v>39083</v>
      </c>
      <c r="EG57" s="522" t="str">
        <f>IF($P$9=1,FE57,IF($P$9=2,ES57,""))</f>
        <v/>
      </c>
      <c r="EH57" s="514">
        <v>111393</v>
      </c>
      <c r="EI57" s="514">
        <v>111390</v>
      </c>
      <c r="EJ57" s="514">
        <v>111398</v>
      </c>
      <c r="EK57" s="514">
        <v>111395</v>
      </c>
      <c r="EL57" s="514">
        <v>111391</v>
      </c>
      <c r="EM57" s="514">
        <v>111397</v>
      </c>
      <c r="EN57" s="514">
        <v>111392</v>
      </c>
      <c r="EO57" s="514">
        <v>111396</v>
      </c>
      <c r="EP57" s="514">
        <v>111399</v>
      </c>
      <c r="EQ57" s="514">
        <v>111394</v>
      </c>
      <c r="ER57" s="514">
        <v>16101028</v>
      </c>
      <c r="ES57" s="515" t="e" vm="2">
        <f>VLOOKUP(EH57,EH57:ER57,$P$21,FALSE)</f>
        <v>#VALUE!</v>
      </c>
      <c r="ET57" s="526">
        <v>111383</v>
      </c>
      <c r="EU57" s="518">
        <v>111380</v>
      </c>
      <c r="EV57" s="518">
        <v>111388</v>
      </c>
      <c r="EW57" s="518">
        <v>111385</v>
      </c>
      <c r="EX57" s="518">
        <v>111381</v>
      </c>
      <c r="EY57" s="518">
        <v>111387</v>
      </c>
      <c r="EZ57" s="518">
        <v>111382</v>
      </c>
      <c r="FA57" s="518">
        <v>111386</v>
      </c>
      <c r="FB57" s="518">
        <v>111389</v>
      </c>
      <c r="FC57" s="518">
        <v>111384</v>
      </c>
      <c r="FD57" s="518">
        <v>16091028</v>
      </c>
      <c r="FE57" s="516" t="e" vm="2">
        <f>VLOOKUP(ET57,ET57:FD57,$P$21,FALSE)</f>
        <v>#VALUE!</v>
      </c>
      <c r="FF57" s="521" t="s">
        <v>39084</v>
      </c>
      <c r="FG57" s="522" t="str">
        <f>IF($P$9=1,GE57,IF($P$9=2,FS57,""))</f>
        <v/>
      </c>
      <c r="FH57" s="514">
        <v>111413</v>
      </c>
      <c r="FI57" s="514">
        <v>111410</v>
      </c>
      <c r="FJ57" s="514">
        <v>111418</v>
      </c>
      <c r="FK57" s="514">
        <v>111415</v>
      </c>
      <c r="FL57" s="514">
        <v>111411</v>
      </c>
      <c r="FM57" s="514">
        <v>111417</v>
      </c>
      <c r="FN57" s="514">
        <v>111412</v>
      </c>
      <c r="FO57" s="514">
        <v>111416</v>
      </c>
      <c r="FP57" s="514">
        <v>111419</v>
      </c>
      <c r="FQ57" s="514">
        <v>111414</v>
      </c>
      <c r="FR57" s="514">
        <v>16121028</v>
      </c>
      <c r="FS57" s="515" t="e" vm="2">
        <f>VLOOKUP(FH57,FH57:FR57,$P$21,FALSE)</f>
        <v>#VALUE!</v>
      </c>
      <c r="FT57" s="526">
        <v>111403</v>
      </c>
      <c r="FU57" s="518">
        <v>111400</v>
      </c>
      <c r="FV57" s="518">
        <v>111408</v>
      </c>
      <c r="FW57" s="518">
        <v>111405</v>
      </c>
      <c r="FX57" s="518">
        <v>111401</v>
      </c>
      <c r="FY57" s="518">
        <v>111407</v>
      </c>
      <c r="FZ57" s="518">
        <v>111402</v>
      </c>
      <c r="GA57" s="518">
        <v>111406</v>
      </c>
      <c r="GB57" s="518">
        <v>111409</v>
      </c>
      <c r="GC57" s="518">
        <v>111404</v>
      </c>
      <c r="GD57" s="518">
        <v>16111028</v>
      </c>
      <c r="GE57" s="516" t="e" vm="2">
        <f>VLOOKUP(FT57,FT57:GD57,$P$21,FALSE)</f>
        <v>#VALUE!</v>
      </c>
      <c r="GF57" s="521" t="s">
        <v>39085</v>
      </c>
      <c r="GG57" s="522" t="str">
        <f>IF($P$9=1,HE57,IF($P$9=2,GS57,""))</f>
        <v/>
      </c>
      <c r="GH57" s="514">
        <v>111433</v>
      </c>
      <c r="GI57" s="514">
        <v>111430</v>
      </c>
      <c r="GJ57" s="514">
        <v>111438</v>
      </c>
      <c r="GK57" s="514">
        <v>111435</v>
      </c>
      <c r="GL57" s="514">
        <v>111431</v>
      </c>
      <c r="GM57" s="514">
        <v>111437</v>
      </c>
      <c r="GN57" s="514">
        <v>111432</v>
      </c>
      <c r="GO57" s="514">
        <v>111436</v>
      </c>
      <c r="GP57" s="514">
        <v>111439</v>
      </c>
      <c r="GQ57" s="514">
        <v>111434</v>
      </c>
      <c r="GR57" s="514">
        <v>16141028</v>
      </c>
      <c r="GS57" s="515" t="e" vm="2">
        <f>VLOOKUP(GH57,GH57:GR57,$P$21,FALSE)</f>
        <v>#VALUE!</v>
      </c>
      <c r="GT57" s="526">
        <v>111423</v>
      </c>
      <c r="GU57" s="518">
        <v>111420</v>
      </c>
      <c r="GV57" s="518">
        <v>111428</v>
      </c>
      <c r="GW57" s="518">
        <v>111425</v>
      </c>
      <c r="GX57" s="518">
        <v>111421</v>
      </c>
      <c r="GY57" s="518">
        <v>111427</v>
      </c>
      <c r="GZ57" s="518">
        <v>111422</v>
      </c>
      <c r="HA57" s="518">
        <v>111426</v>
      </c>
      <c r="HB57" s="518">
        <v>111429</v>
      </c>
      <c r="HC57" s="518">
        <v>111424</v>
      </c>
      <c r="HD57" s="518">
        <v>16131028</v>
      </c>
      <c r="HE57" s="516" t="e" vm="2">
        <f>VLOOKUP(GT57,GT57:HD57,$P$21,FALSE)</f>
        <v>#VALUE!</v>
      </c>
      <c r="HF57" s="521" t="s">
        <v>39086</v>
      </c>
      <c r="HG57" s="522" t="str">
        <f>IF($P$9=1,IE57,IF($P$9=2,HS57,""))</f>
        <v/>
      </c>
      <c r="HH57" s="514">
        <v>111453</v>
      </c>
      <c r="HI57" s="514">
        <v>111450</v>
      </c>
      <c r="HJ57" s="514">
        <v>111458</v>
      </c>
      <c r="HK57" s="514">
        <v>111455</v>
      </c>
      <c r="HL57" s="514">
        <v>111451</v>
      </c>
      <c r="HM57" s="514">
        <v>111457</v>
      </c>
      <c r="HN57" s="514">
        <v>111452</v>
      </c>
      <c r="HO57" s="514">
        <v>111456</v>
      </c>
      <c r="HP57" s="514">
        <v>111459</v>
      </c>
      <c r="HQ57" s="514">
        <v>111454</v>
      </c>
      <c r="HR57" s="514">
        <v>16161028</v>
      </c>
      <c r="HS57" s="515" t="e" vm="2">
        <f>VLOOKUP(HH57,HH57:HR57,$P$21,FALSE)</f>
        <v>#VALUE!</v>
      </c>
      <c r="HT57" s="526">
        <v>111443</v>
      </c>
      <c r="HU57" s="518">
        <v>111440</v>
      </c>
      <c r="HV57" s="518">
        <v>111448</v>
      </c>
      <c r="HW57" s="518">
        <v>111445</v>
      </c>
      <c r="HX57" s="518">
        <v>111441</v>
      </c>
      <c r="HY57" s="518">
        <v>111447</v>
      </c>
      <c r="HZ57" s="518">
        <v>111442</v>
      </c>
      <c r="IA57" s="518">
        <v>111446</v>
      </c>
      <c r="IB57" s="518">
        <v>111449</v>
      </c>
      <c r="IC57" s="518">
        <v>111444</v>
      </c>
      <c r="ID57" s="518">
        <v>16151028</v>
      </c>
      <c r="IE57" s="516" t="e" vm="2">
        <f>VLOOKUP(HT57,HT57:ID57,$P$21,FALSE)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c r="A58" s="93"/>
      <c r="B58" s="76" t="str">
        <f>VLOOKUP(878,Sprachindex!$A:$Z,Info!$O$7,FALSE)</f>
        <v>Stk.</v>
      </c>
      <c r="C58" s="75" t="e" vm="29">
        <v>#VALUE!</v>
      </c>
      <c r="D58" s="75">
        <v>111700</v>
      </c>
      <c r="E58" s="618" t="str">
        <f>VLOOKUP(322,Sprachindex!$A:$Z,Info!$O$7,FALSE)</f>
        <v>Einfassung für Roto-Q-Serie (stucco)</v>
      </c>
      <c r="F58" s="619"/>
      <c r="G58" s="619"/>
      <c r="H58" s="594" t="s">
        <v>39284</v>
      </c>
      <c r="I58" s="81" t="str">
        <f>VLOOKUP(591,Sprachindex!$A:$Z,Info!$O$7,FALSE)</f>
        <v>Maße:</v>
      </c>
      <c r="J58" s="624"/>
      <c r="K58" s="626"/>
      <c r="L58" s="76" t="str">
        <f>IF($A58=0,"",IF($J58=Formeln!$A$52," ",IF($P$11=1,AD58,AE58)))</f>
        <v/>
      </c>
      <c r="M58" s="161" t="str">
        <f>VLOOKUP(878,Sprachindex!$A:$Z,Info!$O$7,FALSE)</f>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R58" s="182">
        <v>299.99</v>
      </c>
      <c r="S58" s="182">
        <v>307.95</v>
      </c>
      <c r="T58" s="182">
        <v>307.95</v>
      </c>
      <c r="U58" s="182">
        <v>371.6</v>
      </c>
      <c r="V58" s="182">
        <v>379.7</v>
      </c>
      <c r="W58" s="182">
        <v>382.31</v>
      </c>
      <c r="AC58" s="129"/>
      <c r="AD58" s="139">
        <f t="shared" si="9"/>
        <v>0</v>
      </c>
      <c r="AE58" s="139">
        <f t="shared" si="6"/>
        <v>0</v>
      </c>
      <c r="AF58" s="135"/>
      <c r="AH58" s="47"/>
      <c r="AI58" s="47"/>
      <c r="AJ58" s="47"/>
      <c r="AK58" s="47"/>
      <c r="AL58" s="47"/>
      <c r="AM58" s="47"/>
      <c r="AN58" s="47"/>
      <c r="AO58" s="47"/>
      <c r="AP58" s="47"/>
      <c r="AQ58" s="47"/>
      <c r="AT58" s="536"/>
      <c r="AU58" s="536"/>
      <c r="AV58" s="536"/>
      <c r="AW58" s="536"/>
      <c r="AX58" s="536"/>
      <c r="AY58" s="536"/>
      <c r="AZ58" s="536"/>
      <c r="BA58" s="536"/>
      <c r="BB58" s="536"/>
      <c r="BC58" s="536"/>
      <c r="BE58" s="119"/>
      <c r="BF58" s="119"/>
      <c r="BG58" s="119"/>
      <c r="BH58" s="119"/>
      <c r="BI58" s="119"/>
      <c r="BJ58" s="119"/>
      <c r="BK58" s="119"/>
      <c r="BL58" s="511"/>
      <c r="BM58" s="121"/>
      <c r="BN58" s="121"/>
      <c r="BO58" s="121"/>
      <c r="BP58" s="121"/>
      <c r="BQ58" s="121"/>
      <c r="BR58" s="121"/>
      <c r="BS58" s="121"/>
      <c r="BT58" s="121"/>
      <c r="BU58" s="121"/>
      <c r="BV58" s="164"/>
      <c r="BW58" s="48">
        <f>IF(AND($P$9=2,$P$21=1),#REF!,IF(AND($P$9=2,$P$21=4),#REF!,IF(AND($P$9=2,$P$21=5),BE58,IF(AND($P$9=2,$P$21=11),BF58,IF(AND($P$9=2,$P$21=7),BG58,IF(AND($P$9=2,$P$21=3),BH58,IF(AND($P$9=2,$P$21=6),BI58,IF(AND($P$9=2,$P$21=9),BJ58,IF(AND($P$9=2,$P$21=2),BK58,IF(AND($P$9=2,$P$21=8),BL58,IF(AND($P$9=1,$P$21=1),BM58,IF(AND($P$9=1,$P$21=1),BM58,IF(AND($P$9=1,$P$21=4),BN58,IF(AND($P$9=1,$P$21=5),BO58,IF(AND($P$9=1,$P$21=11),BP58,IF(AND($P$9=1,$P$21=7),BQ58,IF(AND($P$9=1,$P$21=3),BR58,IF(AND($P$9=1,$P$21=6),BS58,IF(AND($P$9=1,$P$21=9),BT58,IF(AND($P$9=1,$P$21=2),BU58,0))))))))))))))))))))</f>
        <v>0</v>
      </c>
      <c r="BX58" s="44"/>
      <c r="BY58" s="44"/>
      <c r="BZ58" s="44"/>
      <c r="CA58" s="44"/>
      <c r="CB58" s="44"/>
      <c r="CC58" s="44"/>
      <c r="CD58" s="44"/>
      <c r="CE58" s="44"/>
      <c r="CF58" s="44"/>
      <c r="CH58" s="121"/>
      <c r="CI58" s="121"/>
      <c r="CJ58" s="121"/>
      <c r="CK58" s="121"/>
      <c r="CL58" s="121"/>
      <c r="CM58" s="121"/>
      <c r="CN58" s="121"/>
      <c r="CO58" s="121"/>
      <c r="CP58" s="121"/>
      <c r="CQ58" s="164"/>
      <c r="CR58" s="48">
        <f>IF(AND($P$9=2,$P$21=1),BX58,IF(AND($P$9=2,$P$21=4),BY58,IF(AND($P$9=2,$P$21=5),BZ58,IF(AND($P$9=2,$P$21=11),CA58,IF(AND($P$9=2,$P$21=7),CB58,IF(AND($P$9=2,$P$21=3),CC58,IF(AND($P$9=2,$P$21=6),CD58,IF(AND($P$9=2,$P$21=9),CE58,IF(AND($P$9=2,$P$21=2),CF58,IF(AND($P$9=2,$P$21=8),CG58,IF(AND($P$9=1,$P$21=1),CH58,IF(AND($P$9=1,$P$21=1),CH58,IF(AND($P$9=1,$P$21=4),CI58,IF(AND($P$9=1,$P$21=5),CJ58,IF(AND($P$9=1,$P$21=11),CK58,IF(AND($P$9=1,$P$21=7),CL58,IF(AND($P$9=1,$P$21=3),CM58,IF(AND($P$9=1,$P$21=6),CN58,IF(AND($P$9=1,$P$21=9),CO58,IF(AND($P$9=1,$P$21=2),CP58,0))))))))))))))))))))</f>
        <v>0</v>
      </c>
      <c r="CS58" s="44"/>
      <c r="CT58" s="44"/>
      <c r="CU58" s="44"/>
      <c r="CV58" s="44"/>
      <c r="CW58" s="44"/>
      <c r="CX58" s="44"/>
      <c r="CY58" s="44"/>
      <c r="CZ58" s="44"/>
      <c r="DA58" s="44"/>
      <c r="DC58" s="121"/>
      <c r="DD58" s="121"/>
      <c r="DE58" s="121"/>
      <c r="DF58" s="121"/>
      <c r="DG58" s="121"/>
      <c r="DH58" s="121"/>
      <c r="DI58" s="121"/>
      <c r="DJ58" s="121"/>
      <c r="DK58" s="121"/>
      <c r="DL58" s="164"/>
      <c r="DM58" s="48">
        <f>IF(AND($P$9=2,$P$21=1),BX58,IF(AND($P$9=2,$P$21=4),BY58,IF(AND($P$9=2,$P$21=5),BZ58,IF(AND($P$9=2,$P$21=11),CA58,IF(AND($P$9=2,$P$21=7),CB58,IF(AND($P$9=2,$P$21=3),CC58,IF(AND($P$9=2,$P$21=6),CD58,IF(AND($P$9=2,$P$21=9),CE58,IF(AND($P$9=2,$P$21=2),CF58,IF(AND($P$9=2,$P$21=8),CG58,IF(AND($P$9=1,$P$21=1),DC58,IF(AND($P$9=1,$P$21=1),DC58,IF(AND($P$9=1,$P$21=4),DD58,IF(AND($P$9=1,$P$21=5),DE58,IF(AND($P$9=1,$P$21=11),DF58,IF(AND($P$9=1,$P$21=7),DG58,IF(AND($P$9=1,$P$21=3),DH58,IF(AND($P$9=1,$P$21=6),DI58,IF(AND($P$9=1,$P$21=9),DJ58,IF(AND($P$9=1,$P$21=2),DK58,0))))))))))))))))))))</f>
        <v>0</v>
      </c>
      <c r="DX58" s="121"/>
      <c r="DY58" s="121"/>
      <c r="DZ58" s="121"/>
      <c r="EA58" s="121"/>
      <c r="EB58" s="121"/>
      <c r="EC58" s="121"/>
      <c r="ED58" s="121"/>
      <c r="EE58" s="121"/>
      <c r="EF58" s="121"/>
      <c r="EG58" s="164"/>
      <c r="EH58" s="48">
        <f>IF(AND($P$9=2,$P$21=1),CS58,IF(AND($P$9=2,$P$21=4),CT58,IF(AND($P$9=2,$P$21=5),CU58,IF(AND($P$9=2,$P$21=11),CV58,IF(AND($P$9=2,$P$21=7),CW58,IF(AND($P$9=2,$P$21=3),CX58,IF(AND($P$9=2,$P$21=6),CY58,IF(AND($P$9=2,$P$21=9),CZ58,IF(AND($P$9=2,$P$21=2),DA58,IF(AND($P$9=2,$P$21=8),DB58,IF(AND($P$9=1,$P$21=1),DX58,IF(AND($P$9=1,$P$21=1),DX58,IF(AND($P$9=1,$P$21=4),DY58,IF(AND($P$9=1,$P$21=5),DZ58,IF(AND($P$9=1,$P$21=11),EA58,IF(AND($P$9=1,$P$21=7),EB58,IF(AND($P$9=1,$P$21=3),EC58,IF(AND($P$9=1,$P$21=6),ED58,IF(AND($P$9=1,$P$21=9),EE58,IF(AND($P$9=1,$P$21=2),EF58,0))))))))))))))))))))</f>
        <v>0</v>
      </c>
      <c r="EI58" s="44"/>
      <c r="EJ58" s="44"/>
      <c r="EK58" s="44"/>
      <c r="EL58" s="44"/>
      <c r="EM58" s="44"/>
      <c r="EN58" s="44"/>
      <c r="EO58" s="44"/>
      <c r="EP58" s="44"/>
      <c r="EQ58" s="44"/>
      <c r="ES58" s="121"/>
      <c r="ET58" s="121"/>
      <c r="EU58" s="121"/>
      <c r="EV58" s="121"/>
      <c r="EW58" s="121"/>
      <c r="EX58" s="121"/>
      <c r="EY58" s="121"/>
      <c r="EZ58" s="121"/>
      <c r="FA58" s="121"/>
      <c r="FB58" s="164"/>
      <c r="FC58" s="48">
        <f>IF(AND($P$9=2,$P$21=1),EI58,IF(AND($P$9=2,$P$21=4),EJ58,IF(AND($P$9=2,$P$21=5),EK58,IF(AND($P$9=2,$P$21=11),EL58,IF(AND($P$9=2,$P$21=7),EM58,IF(AND($P$9=2,$P$21=3),EN58,IF(AND($P$9=2,$P$21=6),EO58,IF(AND($P$9=2,$P$21=9),EP58,IF(AND($P$9=2,$P$21=2),EQ58,IF(AND($P$9=2,$P$21=8),ER58,IF(AND($P$9=1,$P$21=1),ES58,IF(AND($P$9=1,$P$21=1),ES58,IF(AND($P$9=1,$P$21=4),ET58,IF(AND($P$9=1,$P$21=5),EU58,IF(AND($P$9=1,$P$21=11),EV58,IF(AND($P$9=1,$P$21=7),EW58,IF(AND($P$9=1,$P$21=3),EX58,IF(AND($P$9=1,$P$21=6),EY58,IF(AND($P$9=1,$P$21=9),EZ58,IF(AND($P$9=1,$P$21=2),FA58,0))))))))))))))))))))</f>
        <v>0</v>
      </c>
    </row>
    <row r="59" spans="1:426" ht="32.1" customHeight="1">
      <c r="A59" s="93"/>
      <c r="B59" s="76" t="str">
        <f>VLOOKUP(878,Sprachindex!$A:$Z,Info!$O$7,FALSE)</f>
        <v>Stk.</v>
      </c>
      <c r="C59" s="75" t="e" vm="30">
        <v>#VALUE!</v>
      </c>
      <c r="D59" s="75" t="str">
        <f>IF(ISNUMBER(A59),AS59,"")</f>
        <v/>
      </c>
      <c r="E59" s="618" t="str">
        <f>VLOOKUP(345,Sprachindex!$A:$Z,Info!$O$7,FALSE)</f>
        <v>Einzeltritt (inkl. zwei Fußteile)</v>
      </c>
      <c r="F59" s="619"/>
      <c r="G59" s="619"/>
      <c r="H59" s="619"/>
      <c r="I59" s="619"/>
      <c r="J59" s="619"/>
      <c r="K59" s="620"/>
      <c r="L59" s="76" t="str">
        <f t="shared" ref="L59:L100" si="10">IF(A59=0,"",IF($P$11=1,AD59,AE59))</f>
        <v/>
      </c>
      <c r="M59" s="161" t="str">
        <f>VLOOKUP(878,Sprachindex!$A:$Z,Info!$O$7,FALSE)</f>
        <v>Stk.</v>
      </c>
      <c r="N59" s="77"/>
      <c r="O59" s="204" t="str">
        <f t="shared" ref="O59:O102" si="11">IF(ISNUMBER(A59),$L59*R59, "")</f>
        <v/>
      </c>
      <c r="R59" s="182">
        <v>72.87</v>
      </c>
      <c r="AC59" s="129"/>
      <c r="AD59" s="139">
        <f t="shared" si="9"/>
        <v>0</v>
      </c>
      <c r="AE59" s="139">
        <f t="shared" si="6"/>
        <v>0</v>
      </c>
      <c r="AF59" s="135"/>
      <c r="AH59" s="498">
        <v>120073</v>
      </c>
      <c r="AI59" s="498">
        <v>120070</v>
      </c>
      <c r="AJ59" s="498">
        <v>120078</v>
      </c>
      <c r="AK59" s="498">
        <v>120075</v>
      </c>
      <c r="AL59" s="498">
        <v>120071</v>
      </c>
      <c r="AM59" s="498">
        <v>120077</v>
      </c>
      <c r="AN59" s="498">
        <v>120072</v>
      </c>
      <c r="AO59" s="498">
        <v>120076</v>
      </c>
      <c r="AP59" s="498">
        <v>120079</v>
      </c>
      <c r="AQ59" s="498">
        <v>120074</v>
      </c>
      <c r="AR59" s="498">
        <v>15061028</v>
      </c>
      <c r="AS59" s="507"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18" t="str">
        <f>VLOOKUP(567,Sprachindex!$A:$Z,Info!$O$7,FALSE)</f>
        <v>Laufstegstütze auf einem Fußteil</v>
      </c>
      <c r="F60" s="619"/>
      <c r="G60" s="619"/>
      <c r="H60" s="619"/>
      <c r="I60" s="619"/>
      <c r="J60" s="619"/>
      <c r="K60" s="620"/>
      <c r="L60" s="76" t="str">
        <f t="shared" si="10"/>
        <v/>
      </c>
      <c r="M60" s="161" t="str">
        <f>VLOOKUP(878,Sprachindex!$A:$Z,Info!$O$7,FALSE)</f>
        <v>Stk.</v>
      </c>
      <c r="N60" s="77"/>
      <c r="O60" s="204" t="str">
        <f t="shared" si="11"/>
        <v/>
      </c>
      <c r="R60" s="182">
        <v>53.89</v>
      </c>
      <c r="AC60" s="129"/>
      <c r="AD60" s="139">
        <f t="shared" si="9"/>
        <v>0</v>
      </c>
      <c r="AE60" s="139">
        <f t="shared" si="6"/>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VLOOKUP(AH60,AH60:AR60,$P$21,FALSE)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18" t="str">
        <f>VLOOKUP(568,Sprachindex!$A:$Z,Info!$O$7,FALSE)</f>
        <v>Laufstegstütze auf zwei Fußteilen</v>
      </c>
      <c r="F61" s="619"/>
      <c r="G61" s="619"/>
      <c r="H61" s="619"/>
      <c r="I61" s="619"/>
      <c r="J61" s="619"/>
      <c r="K61" s="620"/>
      <c r="L61" s="76" t="str">
        <f t="shared" si="10"/>
        <v/>
      </c>
      <c r="M61" s="161" t="str">
        <f>VLOOKUP(878,Sprachindex!$A:$Z,Info!$O$7,FALSE)</f>
        <v>Stk.</v>
      </c>
      <c r="N61" s="77"/>
      <c r="O61" s="184" t="str">
        <f t="shared" si="11"/>
        <v/>
      </c>
      <c r="R61" s="182">
        <v>76.349999999999994</v>
      </c>
      <c r="AC61" s="129"/>
      <c r="AD61" s="139">
        <f t="shared" si="9"/>
        <v>0</v>
      </c>
      <c r="AE61" s="139">
        <f t="shared" si="6"/>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18" t="str">
        <f>VLOOKUP(560,Sprachindex!$A:$Z,Info!$O$7,FALSE)</f>
        <v>Laufsteg (250 × 1.200 mm)</v>
      </c>
      <c r="F62" s="619"/>
      <c r="G62" s="619"/>
      <c r="H62" s="619"/>
      <c r="I62" s="619"/>
      <c r="J62" s="619"/>
      <c r="K62" s="620"/>
      <c r="L62" s="76" t="str">
        <f t="shared" si="10"/>
        <v/>
      </c>
      <c r="M62" s="161" t="str">
        <f>VLOOKUP(878,Sprachindex!$A:$Z,Info!$O$7,FALSE)</f>
        <v>Stk.</v>
      </c>
      <c r="N62" s="77"/>
      <c r="O62" s="184" t="str">
        <f t="shared" si="11"/>
        <v/>
      </c>
      <c r="R62" s="182">
        <v>76.66</v>
      </c>
      <c r="AC62" s="129"/>
      <c r="AD62" s="139">
        <f t="shared" si="9"/>
        <v>0</v>
      </c>
      <c r="AE62" s="139">
        <f t="shared" si="6"/>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VLOOKUP(AH62,AH62:AR62,$P$21,FALSE)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2">IF(ISNUMBER(A63),AS63,"")</f>
        <v/>
      </c>
      <c r="E63" s="618" t="str">
        <f>VLOOKUP(563,Sprachindex!$A:$Z,Info!$O$7,FALSE)</f>
        <v>Laufsteg (250 × 800 mm)</v>
      </c>
      <c r="F63" s="619"/>
      <c r="G63" s="619"/>
      <c r="H63" s="619"/>
      <c r="I63" s="619"/>
      <c r="J63" s="619"/>
      <c r="K63" s="620"/>
      <c r="L63" s="76" t="str">
        <f t="shared" si="10"/>
        <v/>
      </c>
      <c r="M63" s="161" t="str">
        <f>VLOOKUP(878,Sprachindex!$A:$Z,Info!$O$7,FALSE)</f>
        <v>Stk.</v>
      </c>
      <c r="N63" s="77"/>
      <c r="O63" s="184" t="str">
        <f t="shared" si="11"/>
        <v/>
      </c>
      <c r="R63" s="182">
        <v>56.6</v>
      </c>
      <c r="AC63" s="129"/>
      <c r="AD63" s="139">
        <f t="shared" si="9"/>
        <v>0</v>
      </c>
      <c r="AE63" s="139">
        <f t="shared" si="6"/>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2"/>
        <v/>
      </c>
      <c r="E64" s="618" t="str">
        <f>VLOOKUP(562,Sprachindex!$A:$Z,Info!$O$7,FALSE)</f>
        <v>Laufsteg (250 × 600 mm)</v>
      </c>
      <c r="F64" s="619"/>
      <c r="G64" s="619"/>
      <c r="H64" s="619"/>
      <c r="I64" s="619"/>
      <c r="J64" s="619"/>
      <c r="K64" s="620"/>
      <c r="L64" s="76" t="str">
        <f t="shared" si="10"/>
        <v/>
      </c>
      <c r="M64" s="161" t="str">
        <f>VLOOKUP(878,Sprachindex!$A:$Z,Info!$O$7,FALSE)</f>
        <v>Stk.</v>
      </c>
      <c r="N64" s="77"/>
      <c r="O64" s="184" t="str">
        <f t="shared" si="11"/>
        <v/>
      </c>
      <c r="R64" s="182">
        <v>54.1</v>
      </c>
      <c r="AC64" s="129"/>
      <c r="AD64" s="139">
        <f t="shared" si="9"/>
        <v>0</v>
      </c>
      <c r="AE64" s="139">
        <f t="shared" si="6"/>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2"/>
        <v/>
      </c>
      <c r="E65" s="618" t="str">
        <f>VLOOKUP(561,Sprachindex!$A:$Z,Info!$O$7,FALSE)</f>
        <v>Laufsteg (250 × 420 mm)</v>
      </c>
      <c r="F65" s="619"/>
      <c r="G65" s="619"/>
      <c r="H65" s="619"/>
      <c r="I65" s="619"/>
      <c r="J65" s="619"/>
      <c r="K65" s="620"/>
      <c r="L65" s="76" t="str">
        <f t="shared" si="10"/>
        <v/>
      </c>
      <c r="M65" s="161" t="str">
        <f>VLOOKUP(878,Sprachindex!$A:$Z,Info!$O$7,FALSE)</f>
        <v>Stk.</v>
      </c>
      <c r="N65" s="77"/>
      <c r="O65" s="184" t="str">
        <f t="shared" si="11"/>
        <v/>
      </c>
      <c r="R65" s="182">
        <v>40.14</v>
      </c>
      <c r="AC65" s="129"/>
      <c r="AD65" s="139">
        <f>ROUNDUP($A65/4,0)*4</f>
        <v>0</v>
      </c>
      <c r="AE65" s="139">
        <f t="shared" si="6"/>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VLOOKUP(AH65,AH65:AR65,$P$21,FALSE)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18" t="str">
        <f>VLOOKUP(565,Sprachindex!$A:$Z,Info!$O$7,FALSE)</f>
        <v>Laufsteg (360 × 800 mm)</v>
      </c>
      <c r="F66" s="619"/>
      <c r="G66" s="619"/>
      <c r="H66" s="619"/>
      <c r="I66" s="619"/>
      <c r="J66" s="619"/>
      <c r="K66" s="620"/>
      <c r="L66" s="76" t="str">
        <f t="shared" si="10"/>
        <v/>
      </c>
      <c r="M66" s="161" t="str">
        <f>VLOOKUP(878,Sprachindex!$A:$Z,Info!$O$7,FALSE)</f>
        <v>Stk.</v>
      </c>
      <c r="N66" s="77"/>
      <c r="O66" s="184" t="str">
        <f t="shared" si="11"/>
        <v/>
      </c>
      <c r="R66" s="182">
        <v>83.23</v>
      </c>
      <c r="AC66" s="129"/>
      <c r="AD66" s="139">
        <f>ROUNDUP($A66,0)</f>
        <v>0</v>
      </c>
      <c r="AE66" s="139">
        <f t="shared" si="6"/>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18" t="str">
        <f>VLOOKUP(564,Sprachindex!$A:$Z,Info!$O$7,FALSE)</f>
        <v>Laufsteg (360 × 1.200 mm)</v>
      </c>
      <c r="F67" s="619"/>
      <c r="G67" s="619"/>
      <c r="H67" s="619"/>
      <c r="I67" s="619"/>
      <c r="J67" s="619"/>
      <c r="K67" s="620"/>
      <c r="L67" s="76" t="str">
        <f t="shared" si="10"/>
        <v/>
      </c>
      <c r="M67" s="161" t="str">
        <f>VLOOKUP(878,Sprachindex!$A:$Z,Info!$O$7,FALSE)</f>
        <v>Stk.</v>
      </c>
      <c r="N67" s="77"/>
      <c r="O67" s="184" t="str">
        <f t="shared" si="11"/>
        <v/>
      </c>
      <c r="R67" s="182">
        <v>123.29</v>
      </c>
      <c r="AC67" s="129"/>
      <c r="AD67" s="139">
        <f>ROUNDUP($A67,0)</f>
        <v>0</v>
      </c>
      <c r="AE67" s="139">
        <f t="shared" si="6"/>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18" t="str">
        <f>VLOOKUP(955,Sprachindex!$A:$Z,Info!$O$7,FALSE)</f>
        <v>Verbinder (verzinkt; für Laufsteg; Breite: 250 mm)</v>
      </c>
      <c r="F68" s="619"/>
      <c r="G68" s="619"/>
      <c r="H68" s="619"/>
      <c r="I68" s="619"/>
      <c r="J68" s="619"/>
      <c r="K68" s="620"/>
      <c r="L68" s="76" t="str">
        <f t="shared" si="10"/>
        <v/>
      </c>
      <c r="M68" s="161" t="str">
        <f>VLOOKUP(878,Sprachindex!$A:$Z,Info!$O$7,FALSE)</f>
        <v>Stk.</v>
      </c>
      <c r="N68" s="77"/>
      <c r="O68" s="184" t="str">
        <f t="shared" si="11"/>
        <v/>
      </c>
      <c r="R68" s="182">
        <v>24.74</v>
      </c>
      <c r="AC68" s="129"/>
      <c r="AD68" s="139">
        <f>ROUNDUP($A68,0)</f>
        <v>0</v>
      </c>
      <c r="AE68" s="139">
        <f t="shared" si="6"/>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18" t="str">
        <f>VLOOKUP(956,Sprachindex!$A:$Z,Info!$O$7,FALSE)</f>
        <v>Verbinder (verzinkt; für Laufsteg; Breite: 360 mm)</v>
      </c>
      <c r="F69" s="619"/>
      <c r="G69" s="619"/>
      <c r="H69" s="619"/>
      <c r="I69" s="619"/>
      <c r="J69" s="619"/>
      <c r="K69" s="620"/>
      <c r="L69" s="76" t="str">
        <f t="shared" si="10"/>
        <v/>
      </c>
      <c r="M69" s="161" t="str">
        <f>VLOOKUP(878,Sprachindex!$A:$Z,Info!$O$7,FALSE)</f>
        <v>Stk.</v>
      </c>
      <c r="N69" s="77"/>
      <c r="O69" s="184" t="str">
        <f t="shared" si="11"/>
        <v/>
      </c>
      <c r="R69" s="182">
        <v>54.66</v>
      </c>
      <c r="AC69" s="129"/>
      <c r="AD69" s="139">
        <f>ROUNDUP($A69,0)</f>
        <v>0</v>
      </c>
      <c r="AE69" s="139">
        <f t="shared" si="6"/>
        <v>0</v>
      </c>
      <c r="AF69" s="135"/>
      <c r="AH69" s="621" t="s">
        <v>26</v>
      </c>
      <c r="AI69" s="622"/>
      <c r="AJ69" s="622"/>
      <c r="AK69" s="622"/>
      <c r="AL69" s="622"/>
      <c r="AM69" s="622"/>
      <c r="AN69" s="622"/>
      <c r="AO69" s="622"/>
      <c r="AP69" s="622"/>
      <c r="AQ69" s="622"/>
      <c r="AR69" s="622"/>
      <c r="AS69" s="623"/>
      <c r="AT69" s="621" t="s">
        <v>27</v>
      </c>
      <c r="AU69" s="622"/>
      <c r="AV69" s="622"/>
      <c r="AW69" s="622"/>
      <c r="AX69" s="622"/>
      <c r="AY69" s="622"/>
      <c r="AZ69" s="622"/>
      <c r="BA69" s="622"/>
      <c r="BB69" s="622"/>
      <c r="BC69" s="622"/>
      <c r="BD69" s="623"/>
    </row>
    <row r="70" spans="1:58" ht="32.1" customHeight="1">
      <c r="A70" s="93"/>
      <c r="B70" s="76" t="str">
        <f>VLOOKUP(878,Sprachindex!$A:$Z,Info!$O$7,FALSE)</f>
        <v>Stk.</v>
      </c>
      <c r="C70" s="78" t="e" vm="40">
        <v>#VALUE!</v>
      </c>
      <c r="D70" s="80">
        <v>635661</v>
      </c>
      <c r="E70" s="618" t="str">
        <f>VLOOKUP(277,Sprachindex!$A:$Z,Info!$O$7,FALSE)</f>
        <v>Sicherheitsdachhaken auf Fußteilen</v>
      </c>
      <c r="F70" s="619"/>
      <c r="G70" s="619"/>
      <c r="H70" s="619"/>
      <c r="I70" s="619"/>
      <c r="J70" s="619"/>
      <c r="K70" s="620"/>
      <c r="L70" s="76" t="str">
        <f t="shared" si="10"/>
        <v/>
      </c>
      <c r="M70" s="161" t="str">
        <f>VLOOKUP(878,Sprachindex!$A:$Z,Info!$O$7,FALSE)</f>
        <v>Stk.</v>
      </c>
      <c r="N70" s="77"/>
      <c r="O70" s="184" t="str">
        <f t="shared" si="11"/>
        <v/>
      </c>
      <c r="R70" s="182">
        <v>123.39</v>
      </c>
      <c r="AC70" s="129"/>
      <c r="AD70" s="139">
        <f>ROUNDUP($A70,0)</f>
        <v>0</v>
      </c>
      <c r="AE70" s="139">
        <f t="shared" si="6"/>
        <v>0</v>
      </c>
      <c r="AF70" s="135"/>
      <c r="AH70" s="47" t="s">
        <v>35</v>
      </c>
      <c r="AI70" s="47" t="s">
        <v>32</v>
      </c>
      <c r="AJ70" s="47" t="s">
        <v>40</v>
      </c>
      <c r="AK70" s="47" t="s">
        <v>37</v>
      </c>
      <c r="AL70" s="47" t="s">
        <v>33</v>
      </c>
      <c r="AM70" s="47" t="s">
        <v>39</v>
      </c>
      <c r="AN70" s="47" t="s">
        <v>34</v>
      </c>
      <c r="AO70" s="47" t="s">
        <v>38</v>
      </c>
      <c r="AP70" s="47" t="s">
        <v>41</v>
      </c>
      <c r="AQ70" s="47" t="s">
        <v>36</v>
      </c>
      <c r="AR70" s="47" t="s">
        <v>38962</v>
      </c>
      <c r="AS70" s="503" t="s">
        <v>39049</v>
      </c>
      <c r="AT70" s="47" t="s">
        <v>35</v>
      </c>
      <c r="AU70" s="47" t="s">
        <v>32</v>
      </c>
      <c r="AV70" s="47" t="s">
        <v>40</v>
      </c>
      <c r="AW70" s="47" t="s">
        <v>37</v>
      </c>
      <c r="AX70" s="47" t="s">
        <v>33</v>
      </c>
      <c r="AY70" s="47" t="s">
        <v>39</v>
      </c>
      <c r="AZ70" s="47" t="s">
        <v>34</v>
      </c>
      <c r="BA70" s="47" t="s">
        <v>38</v>
      </c>
      <c r="BB70" s="47" t="s">
        <v>41</v>
      </c>
      <c r="BC70" s="47" t="s">
        <v>36</v>
      </c>
      <c r="BD70" s="47" t="s">
        <v>38962</v>
      </c>
      <c r="BE70" s="503" t="s">
        <v>39049</v>
      </c>
      <c r="BF70" s="543"/>
    </row>
    <row r="71" spans="1:58" ht="32.1" customHeight="1">
      <c r="A71" s="93"/>
      <c r="B71" s="76" t="str">
        <f>VLOOKUP(878,Sprachindex!$A:$Z,Info!$O$7,FALSE)</f>
        <v>Stk.</v>
      </c>
      <c r="C71" s="78" t="e" vm="41">
        <v>#VALUE!</v>
      </c>
      <c r="D71" s="105" t="str">
        <f>IF(ISNUMBER(A71),AS71,"")</f>
        <v/>
      </c>
      <c r="E71" s="618" t="str">
        <f>VLOOKUP(822,Sprachindex!$A:$Z,Info!$O$7,FALSE)</f>
        <v>Sicherheitsdachhaken</v>
      </c>
      <c r="F71" s="619"/>
      <c r="G71" s="619"/>
      <c r="H71" s="619"/>
      <c r="I71" s="619"/>
      <c r="J71" s="619"/>
      <c r="K71" s="620"/>
      <c r="L71" s="76" t="str">
        <f t="shared" si="10"/>
        <v/>
      </c>
      <c r="M71" s="161" t="str">
        <f>VLOOKUP(878,Sprachindex!$A:$Z,Info!$O$7,FALSE)</f>
        <v>Stk.</v>
      </c>
      <c r="N71" s="77"/>
      <c r="O71" s="184" t="str">
        <f t="shared" si="11"/>
        <v/>
      </c>
      <c r="R71" s="182">
        <v>32.479999999999997</v>
      </c>
      <c r="AC71" s="129"/>
      <c r="AD71" s="139">
        <f>ROUNDUP($A71/12,0)*12</f>
        <v>0</v>
      </c>
      <c r="AE71" s="139">
        <f t="shared" si="6"/>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VLOOKUP(AH71,AH71:AR71,$P$21,FALSE)</f>
        <v>#VALUE!</v>
      </c>
      <c r="BE71" s="132"/>
      <c r="BF71" s="132"/>
    </row>
    <row r="72" spans="1:58" ht="32.1" customHeight="1">
      <c r="A72" s="93"/>
      <c r="B72" s="76" t="str">
        <f>VLOOKUP(878,Sprachindex!$A:$Z,Info!$O$7,FALSE)</f>
        <v>Stk.</v>
      </c>
      <c r="C72" s="78" t="e" vm="42">
        <v>#VALUE!</v>
      </c>
      <c r="D72" s="75" t="str">
        <f>IF(ISNUMBER(A72),BE72,"")</f>
        <v/>
      </c>
      <c r="E72" s="618" t="str">
        <f>VLOOKUP(2941,Sprachindex!$A:$Z,Info!$O$7,FALSE)</f>
        <v>Einfassungsplatte für Dachplatte; Stucco; ⌀ 80–125 mm</v>
      </c>
      <c r="F72" s="619"/>
      <c r="G72" s="619"/>
      <c r="H72" s="619"/>
      <c r="I72" s="619"/>
      <c r="J72" s="619"/>
      <c r="K72" s="620"/>
      <c r="L72" s="76" t="str">
        <f t="shared" si="10"/>
        <v/>
      </c>
      <c r="M72" s="161" t="str">
        <f>VLOOKUP(878,Sprachindex!$A:$Z,Info!$O$7,FALSE)</f>
        <v>Stk.</v>
      </c>
      <c r="N72" s="77"/>
      <c r="O72" s="184" t="str">
        <f t="shared" si="11"/>
        <v/>
      </c>
      <c r="R72" s="182">
        <v>118.76</v>
      </c>
      <c r="AC72" s="129"/>
      <c r="AD72" s="139">
        <f>ROUNDUP($A72/20,0)*20</f>
        <v>0</v>
      </c>
      <c r="AE72" s="139">
        <f t="shared" si="6"/>
        <v>0</v>
      </c>
      <c r="AF72" s="135"/>
      <c r="AH72" s="542">
        <v>110223</v>
      </c>
      <c r="AI72" s="542">
        <v>110220</v>
      </c>
      <c r="AJ72" s="542">
        <v>110228</v>
      </c>
      <c r="AK72" s="542">
        <v>110225</v>
      </c>
      <c r="AL72" s="542">
        <v>110221</v>
      </c>
      <c r="AM72" s="542">
        <v>110227</v>
      </c>
      <c r="AN72" s="542">
        <v>110222</v>
      </c>
      <c r="AO72" s="542">
        <v>110226</v>
      </c>
      <c r="AP72" s="542">
        <v>110229</v>
      </c>
      <c r="AQ72" s="542">
        <v>110224</v>
      </c>
      <c r="AR72" s="111"/>
      <c r="AS72" s="512"/>
      <c r="AT72" s="432">
        <v>112803</v>
      </c>
      <c r="AU72" s="541">
        <v>112800</v>
      </c>
      <c r="AV72" s="432">
        <v>112808</v>
      </c>
      <c r="AW72" s="432">
        <v>112805</v>
      </c>
      <c r="AX72" s="432">
        <v>112801</v>
      </c>
      <c r="AY72" s="432">
        <v>112807</v>
      </c>
      <c r="AZ72" s="432">
        <v>112802</v>
      </c>
      <c r="BA72" s="432">
        <v>112806</v>
      </c>
      <c r="BB72" s="432">
        <v>112809</v>
      </c>
      <c r="BC72" s="432">
        <v>112804</v>
      </c>
      <c r="BD72" s="432">
        <v>10141028</v>
      </c>
      <c r="BE72" s="512" t="e" vm="2">
        <f>VLOOKUP(AT72,AT72:BD72,$P$21,FALSE)</f>
        <v>#VALUE!</v>
      </c>
      <c r="BF72" s="544"/>
    </row>
    <row r="73" spans="1:58" ht="32.1" customHeight="1">
      <c r="A73" s="93"/>
      <c r="B73" s="76" t="str">
        <f>VLOOKUP(878,Sprachindex!$A:$Z,Info!$O$7,FALSE)</f>
        <v>Stk.</v>
      </c>
      <c r="C73" s="78" t="e" vm="43">
        <v>#VALUE!</v>
      </c>
      <c r="D73" s="75" t="str">
        <f>IF(ISNUMBER(A73),BE73,"")</f>
        <v/>
      </c>
      <c r="E73" s="618" t="str">
        <f>VLOOKUP(2942,Sprachindex!$A:$Z,Info!$O$7,FALSE)</f>
        <v>Einfassungsplatte, zum Einfalzen; Stucco</v>
      </c>
      <c r="F73" s="619"/>
      <c r="G73" s="619"/>
      <c r="H73" s="619"/>
      <c r="I73" s="619"/>
      <c r="J73" s="619"/>
      <c r="K73" s="620"/>
      <c r="L73" s="76" t="str">
        <f t="shared" si="10"/>
        <v/>
      </c>
      <c r="M73" s="161" t="str">
        <f>VLOOKUP(878,Sprachindex!$A:$Z,Info!$O$7,FALSE)</f>
        <v>Stk.</v>
      </c>
      <c r="N73" s="77"/>
      <c r="O73" s="184" t="str">
        <f t="shared" si="11"/>
        <v/>
      </c>
      <c r="R73" s="182">
        <v>115.36</v>
      </c>
      <c r="AC73" s="129"/>
      <c r="AD73" s="139">
        <f>ROUNDUP($A73/5,0)*5</f>
        <v>0</v>
      </c>
      <c r="AE73" s="139">
        <f t="shared" si="6"/>
        <v>0</v>
      </c>
      <c r="AF73" s="135"/>
      <c r="AH73" s="542">
        <v>110233</v>
      </c>
      <c r="AI73" s="542">
        <v>110230</v>
      </c>
      <c r="AJ73" s="542">
        <v>110238</v>
      </c>
      <c r="AK73" s="542">
        <v>110235</v>
      </c>
      <c r="AL73" s="542">
        <v>110231</v>
      </c>
      <c r="AM73" s="542">
        <v>110237</v>
      </c>
      <c r="AN73" s="542">
        <v>110232</v>
      </c>
      <c r="AO73" s="542">
        <v>110236</v>
      </c>
      <c r="AP73" s="542">
        <v>110239</v>
      </c>
      <c r="AQ73" s="542">
        <v>110234</v>
      </c>
      <c r="AR73" s="542"/>
      <c r="AS73" s="512"/>
      <c r="AT73" s="432">
        <v>112883</v>
      </c>
      <c r="AU73" s="541">
        <v>112880</v>
      </c>
      <c r="AV73" s="432">
        <v>112888</v>
      </c>
      <c r="AW73" s="432">
        <v>112885</v>
      </c>
      <c r="AX73" s="432">
        <v>112881</v>
      </c>
      <c r="AY73" s="432">
        <v>112887</v>
      </c>
      <c r="AZ73" s="432">
        <v>112882</v>
      </c>
      <c r="BA73" s="432">
        <v>112886</v>
      </c>
      <c r="BB73" s="432">
        <v>112889</v>
      </c>
      <c r="BC73" s="432">
        <v>112884</v>
      </c>
      <c r="BD73" s="432">
        <v>15011028</v>
      </c>
      <c r="BE73" s="512" t="e" vm="2">
        <f t="shared" ref="BE73:BE74" si="13">VLOOKUP(AT73,AT73:BD73,$P$21,FALSE)</f>
        <v>#VALUE!</v>
      </c>
      <c r="BF73" s="544"/>
    </row>
    <row r="74" spans="1:58" ht="32.1" customHeight="1">
      <c r="A74" s="93"/>
      <c r="B74" s="76" t="str">
        <f>VLOOKUP(878,Sprachindex!$A:$Z,Info!$O$7,FALSE)</f>
        <v>Stk.</v>
      </c>
      <c r="C74" s="78" t="e" vm="44">
        <v>#VALUE!</v>
      </c>
      <c r="D74" s="75" t="str">
        <f>IF(ISNUMBER(A74),BE74,"")</f>
        <v/>
      </c>
      <c r="E74" s="618" t="str">
        <f>VLOOKUP(926,Sprachindex!$A:$Z,Info!$O$7,FALSE)</f>
        <v>Universaleinfassung (2-teilig); stucco; ⌀ 40–120 mm</v>
      </c>
      <c r="F74" s="619"/>
      <c r="G74" s="619"/>
      <c r="H74" s="619"/>
      <c r="I74" s="619"/>
      <c r="J74" s="619"/>
      <c r="K74" s="620"/>
      <c r="L74" s="76" t="str">
        <f t="shared" si="10"/>
        <v/>
      </c>
      <c r="M74" s="161" t="str">
        <f>VLOOKUP(878,Sprachindex!$A:$Z,Info!$O$7,FALSE)</f>
        <v>Stk.</v>
      </c>
      <c r="N74" s="77"/>
      <c r="O74" s="184" t="str">
        <f t="shared" si="11"/>
        <v/>
      </c>
      <c r="R74" s="182">
        <v>122.16</v>
      </c>
      <c r="AC74" s="129"/>
      <c r="AD74" s="139">
        <f>ROUNDUP($A74,0)</f>
        <v>0</v>
      </c>
      <c r="AE74" s="139">
        <f t="shared" si="6"/>
        <v>0</v>
      </c>
      <c r="AF74" s="135"/>
      <c r="AH74" s="542"/>
      <c r="AI74" s="542"/>
      <c r="AJ74" s="542"/>
      <c r="AK74" s="542"/>
      <c r="AL74" s="542"/>
      <c r="AM74" s="542"/>
      <c r="AN74" s="542"/>
      <c r="AO74" s="542"/>
      <c r="AP74" s="542"/>
      <c r="AQ74" s="542"/>
      <c r="AR74" s="542"/>
      <c r="AS74" s="512"/>
      <c r="AT74" s="432">
        <v>110243</v>
      </c>
      <c r="AU74" s="432">
        <v>110240</v>
      </c>
      <c r="AV74" s="432">
        <v>110248</v>
      </c>
      <c r="AW74" s="432">
        <v>110245</v>
      </c>
      <c r="AX74" s="432">
        <v>110241</v>
      </c>
      <c r="AY74" s="432">
        <v>110247</v>
      </c>
      <c r="AZ74" s="432">
        <v>110242</v>
      </c>
      <c r="BA74" s="432">
        <v>110246</v>
      </c>
      <c r="BB74" s="432">
        <v>110249</v>
      </c>
      <c r="BC74" s="432">
        <v>110244</v>
      </c>
      <c r="BD74" s="432">
        <v>15031028</v>
      </c>
      <c r="BE74" s="512" t="e" vm="2">
        <f t="shared" si="13"/>
        <v>#VALUE!</v>
      </c>
    </row>
    <row r="75" spans="1:58" ht="32.1" customHeight="1">
      <c r="A75" s="93"/>
      <c r="B75" s="76" t="str">
        <f>VLOOKUP(878,Sprachindex!$A:$Z,Info!$O$7,FALSE)</f>
        <v>Stk.</v>
      </c>
      <c r="C75" s="78" t="e" vm="45">
        <v>#VALUE!</v>
      </c>
      <c r="D75" s="75" t="str">
        <f t="shared" ref="D75:D77" si="14">IF(ISNUMBER(A75),AS75,"")</f>
        <v/>
      </c>
      <c r="E75" s="618" t="str">
        <f>VLOOKUP(364,Sprachindex!$A:$Z,Info!$O$7,FALSE)</f>
        <v>Entlüftungshaube (⌀ 100; glatt)</v>
      </c>
      <c r="F75" s="619"/>
      <c r="G75" s="619"/>
      <c r="H75" s="619"/>
      <c r="I75" s="619"/>
      <c r="J75" s="619"/>
      <c r="K75" s="620"/>
      <c r="L75" s="76" t="str">
        <f t="shared" si="10"/>
        <v/>
      </c>
      <c r="M75" s="161" t="str">
        <f>VLOOKUP(878,Sprachindex!$A:$Z,Info!$O$7,FALSE)</f>
        <v>Stk.</v>
      </c>
      <c r="N75" s="77"/>
      <c r="O75" s="184" t="str">
        <f t="shared" si="11"/>
        <v/>
      </c>
      <c r="R75" s="182">
        <v>192.1</v>
      </c>
      <c r="AC75" s="129"/>
      <c r="AD75" s="139">
        <f>ROUNDUP($A75,0)</f>
        <v>0</v>
      </c>
      <c r="AE75" s="139">
        <f t="shared" si="6"/>
        <v>0</v>
      </c>
      <c r="AF75" s="135"/>
      <c r="AH75" s="433">
        <v>110283</v>
      </c>
      <c r="AI75" s="433">
        <v>110280</v>
      </c>
      <c r="AJ75" s="433">
        <v>110288</v>
      </c>
      <c r="AK75" s="433">
        <v>110285</v>
      </c>
      <c r="AL75" s="433">
        <v>110281</v>
      </c>
      <c r="AM75" s="433">
        <v>110287</v>
      </c>
      <c r="AN75" s="433">
        <v>110282</v>
      </c>
      <c r="AO75" s="433">
        <v>110286</v>
      </c>
      <c r="AP75" s="433">
        <v>110289</v>
      </c>
      <c r="AQ75" s="433">
        <v>110284</v>
      </c>
      <c r="AR75" s="433">
        <v>15071028</v>
      </c>
      <c r="AS75" s="512" t="e" vm="2">
        <f>VLOOKUP(AH75,AH75:AR75,$P$21,FALSE)</f>
        <v>#VALUE!</v>
      </c>
    </row>
    <row r="76" spans="1:58" ht="32.1" customHeight="1">
      <c r="A76" s="93"/>
      <c r="B76" s="76" t="str">
        <f>VLOOKUP(878,Sprachindex!$A:$Z,Info!$O$7,FALSE)</f>
        <v>Stk.</v>
      </c>
      <c r="C76" s="78" t="e" vm="46">
        <v>#VALUE!</v>
      </c>
      <c r="D76" s="75" t="str">
        <f t="shared" si="14"/>
        <v/>
      </c>
      <c r="E76" s="618" t="str">
        <f>VLOOKUP(366,Sprachindex!$A:$Z,Info!$O$7,FALSE)</f>
        <v>Entlüftungsrohr (⌀ 100; passend für HT-Rohr [NW 110])</v>
      </c>
      <c r="F76" s="619"/>
      <c r="G76" s="619"/>
      <c r="H76" s="619"/>
      <c r="I76" s="619"/>
      <c r="J76" s="619"/>
      <c r="K76" s="620"/>
      <c r="L76" s="76" t="str">
        <f t="shared" si="10"/>
        <v/>
      </c>
      <c r="M76" s="161" t="str">
        <f>VLOOKUP(878,Sprachindex!$A:$Z,Info!$O$7,FALSE)</f>
        <v>Stk.</v>
      </c>
      <c r="N76" s="77"/>
      <c r="O76" s="184" t="str">
        <f t="shared" si="11"/>
        <v/>
      </c>
      <c r="R76" s="182">
        <v>79.069999999999993</v>
      </c>
      <c r="AC76" s="129"/>
      <c r="AD76" s="139">
        <f>ROUNDUP($A76,0)</f>
        <v>0</v>
      </c>
      <c r="AE76" s="139">
        <f t="shared" si="6"/>
        <v>0</v>
      </c>
      <c r="AF76" s="135"/>
      <c r="AH76" s="433">
        <v>110203</v>
      </c>
      <c r="AI76" s="433">
        <v>110200</v>
      </c>
      <c r="AJ76" s="433">
        <v>110208</v>
      </c>
      <c r="AK76" s="433">
        <v>110205</v>
      </c>
      <c r="AL76" s="433">
        <v>110201</v>
      </c>
      <c r="AM76" s="433">
        <v>110207</v>
      </c>
      <c r="AN76" s="433">
        <v>110202</v>
      </c>
      <c r="AO76" s="433">
        <v>110206</v>
      </c>
      <c r="AP76" s="433">
        <v>121015</v>
      </c>
      <c r="AQ76" s="433">
        <v>110204</v>
      </c>
      <c r="AR76" s="433">
        <v>15081028</v>
      </c>
      <c r="AS76" s="512" t="e" vm="2">
        <f t="shared" ref="AS76:AS87" si="15">VLOOKUP(AH76,AH76:AR76,$P$21,FALSE)</f>
        <v>#VALUE!</v>
      </c>
    </row>
    <row r="77" spans="1:58" ht="32.1" customHeight="1">
      <c r="A77" s="93"/>
      <c r="B77" s="76" t="str">
        <f>VLOOKUP(878,Sprachindex!$A:$Z,Info!$O$7,FALSE)</f>
        <v>Stk.</v>
      </c>
      <c r="C77" s="78" t="e" vm="47">
        <v>#VALUE!</v>
      </c>
      <c r="D77" s="75" t="str">
        <f t="shared" si="14"/>
        <v/>
      </c>
      <c r="E77" s="618" t="str">
        <f>VLOOKUP(368,Sprachindex!$A:$Z,Info!$O$7,FALSE)</f>
        <v>Entlüftungsrohr (⌀ 120; passend für HT-Rohr [NW 125])</v>
      </c>
      <c r="F77" s="619"/>
      <c r="G77" s="619"/>
      <c r="H77" s="619"/>
      <c r="I77" s="619"/>
      <c r="J77" s="619"/>
      <c r="K77" s="620"/>
      <c r="L77" s="76" t="str">
        <f t="shared" si="10"/>
        <v/>
      </c>
      <c r="M77" s="161" t="str">
        <f>VLOOKUP(878,Sprachindex!$A:$Z,Info!$O$7,FALSE)</f>
        <v>Stk.</v>
      </c>
      <c r="N77" s="77"/>
      <c r="O77" s="184" t="str">
        <f t="shared" si="11"/>
        <v/>
      </c>
      <c r="R77" s="182">
        <v>83.85</v>
      </c>
      <c r="AC77" s="129"/>
      <c r="AD77" s="139">
        <f>ROUNDUP($A77,0)</f>
        <v>0</v>
      </c>
      <c r="AE77" s="139">
        <f t="shared" si="6"/>
        <v>0</v>
      </c>
      <c r="AF77" s="135"/>
      <c r="AH77" s="433">
        <v>110213</v>
      </c>
      <c r="AI77" s="433">
        <v>110210</v>
      </c>
      <c r="AJ77" s="433">
        <v>110218</v>
      </c>
      <c r="AK77" s="433">
        <v>110215</v>
      </c>
      <c r="AL77" s="433">
        <v>110211</v>
      </c>
      <c r="AM77" s="433">
        <v>110217</v>
      </c>
      <c r="AN77" s="433">
        <v>110212</v>
      </c>
      <c r="AO77" s="433">
        <v>110216</v>
      </c>
      <c r="AP77" s="433">
        <v>121025</v>
      </c>
      <c r="AQ77" s="433">
        <v>110214</v>
      </c>
      <c r="AR77" s="433">
        <v>15091028</v>
      </c>
      <c r="AS77" s="512" t="e" vm="2">
        <f t="shared" si="15"/>
        <v>#VALUE!</v>
      </c>
    </row>
    <row r="78" spans="1:58" ht="32.1" customHeight="1">
      <c r="A78" s="93"/>
      <c r="B78" s="76" t="str">
        <f>VLOOKUP(878,Sprachindex!$A:$Z,Info!$O$7,FALSE)</f>
        <v>Stk.</v>
      </c>
      <c r="C78" s="78" t="e" vm="48">
        <v>#VALUE!</v>
      </c>
      <c r="D78" s="80">
        <v>340943</v>
      </c>
      <c r="E78" s="618" t="str">
        <f>VLOOKUP(379,Sprachindex!$A:$Z,Info!$O$7,FALSE)</f>
        <v>Faltmanschette (Ø 100–130)</v>
      </c>
      <c r="F78" s="619"/>
      <c r="G78" s="619"/>
      <c r="H78" s="619"/>
      <c r="I78" s="619"/>
      <c r="J78" s="619"/>
      <c r="K78" s="620"/>
      <c r="L78" s="76" t="str">
        <f t="shared" si="10"/>
        <v/>
      </c>
      <c r="M78" s="161" t="str">
        <f>VLOOKUP(878,Sprachindex!$A:$Z,Info!$O$7,FALSE)</f>
        <v>Stk.</v>
      </c>
      <c r="N78" s="77"/>
      <c r="O78" s="184" t="str">
        <f t="shared" si="11"/>
        <v/>
      </c>
      <c r="R78" s="182">
        <v>38.86</v>
      </c>
      <c r="AC78" s="129"/>
      <c r="AD78" s="139">
        <f>ROUNDUP($A78,0)</f>
        <v>0</v>
      </c>
      <c r="AE78" s="139">
        <f t="shared" si="6"/>
        <v>0</v>
      </c>
      <c r="AF78" s="135"/>
      <c r="AS78" s="512"/>
      <c r="AT78" s="47" t="s">
        <v>35</v>
      </c>
      <c r="AU78" s="47" t="s">
        <v>32</v>
      </c>
      <c r="AV78" s="47" t="s">
        <v>40</v>
      </c>
      <c r="AW78" s="47" t="s">
        <v>37</v>
      </c>
      <c r="AX78" s="47" t="s">
        <v>33</v>
      </c>
      <c r="AY78" s="47" t="s">
        <v>39</v>
      </c>
      <c r="AZ78" s="47" t="s">
        <v>34</v>
      </c>
      <c r="BA78" s="47" t="s">
        <v>38</v>
      </c>
      <c r="BB78" s="47" t="s">
        <v>41</v>
      </c>
      <c r="BC78" s="47" t="s">
        <v>36</v>
      </c>
      <c r="BD78" s="47" t="s">
        <v>38962</v>
      </c>
      <c r="BE78" s="132"/>
      <c r="BF78" s="132"/>
    </row>
    <row r="79" spans="1:58" ht="32.1" customHeight="1">
      <c r="A79" s="93"/>
      <c r="B79" s="76" t="str">
        <f>VLOOKUP(878,Sprachindex!$A:$Z,Info!$O$7,FALSE)</f>
        <v>Stk.</v>
      </c>
      <c r="C79" s="78" t="e" vm="49">
        <v>#VALUE!</v>
      </c>
      <c r="D79" s="75" t="str">
        <f>IF($P$9=1,BE79,IF($P$9=2,AS79,""))</f>
        <v/>
      </c>
      <c r="E79" s="618" t="str">
        <f>IF($P$9=1,VLOOKUP(936,Sprachindex!$A:$Z,Info!$O$7,FALSE),VLOOKUP(2943,Sprachindex!$A:$Z,Info!$O$7,FALSE))</f>
        <v>Unterlagsplatte (540 × 125 mm [Länge × Breite]; glatt)</v>
      </c>
      <c r="F79" s="619"/>
      <c r="G79" s="619"/>
      <c r="H79" s="619"/>
      <c r="I79" s="619"/>
      <c r="J79" s="619"/>
      <c r="K79" s="620"/>
      <c r="L79" s="76" t="str">
        <f t="shared" si="10"/>
        <v/>
      </c>
      <c r="M79" s="161" t="str">
        <f>VLOOKUP(878,Sprachindex!$A:$Z,Info!$O$7,FALSE)</f>
        <v>Stk.</v>
      </c>
      <c r="N79" s="77"/>
      <c r="O79" s="184" t="str">
        <f t="shared" si="11"/>
        <v/>
      </c>
      <c r="R79" s="182">
        <v>11.04</v>
      </c>
      <c r="AC79" s="129"/>
      <c r="AD79" s="139">
        <f>ROUNDUP($A79/15,0)*15</f>
        <v>0</v>
      </c>
      <c r="AE79" s="139">
        <f t="shared" si="6"/>
        <v>0</v>
      </c>
      <c r="AF79" s="135"/>
      <c r="AH79" s="433">
        <v>110363</v>
      </c>
      <c r="AI79" s="433">
        <v>110360</v>
      </c>
      <c r="AJ79" s="433">
        <v>110368</v>
      </c>
      <c r="AK79" s="433">
        <v>110365</v>
      </c>
      <c r="AL79" s="433">
        <v>110361</v>
      </c>
      <c r="AM79" s="433">
        <v>110367</v>
      </c>
      <c r="AN79" s="433">
        <v>110362</v>
      </c>
      <c r="AO79" s="433">
        <v>110366</v>
      </c>
      <c r="AP79" s="433">
        <v>110369</v>
      </c>
      <c r="AQ79" s="433">
        <v>110364</v>
      </c>
      <c r="AR79" s="433">
        <v>15531028</v>
      </c>
      <c r="AS79" s="512" t="e" vm="2">
        <f t="shared" si="15"/>
        <v>#VALUE!</v>
      </c>
      <c r="AT79" s="432">
        <v>110373</v>
      </c>
      <c r="AU79" s="432">
        <v>110370</v>
      </c>
      <c r="AV79" s="432">
        <v>110378</v>
      </c>
      <c r="AW79" s="432">
        <v>110375</v>
      </c>
      <c r="AX79" s="432">
        <v>110371</v>
      </c>
      <c r="AY79" s="432">
        <v>110377</v>
      </c>
      <c r="AZ79" s="432">
        <v>110372</v>
      </c>
      <c r="BA79" s="432">
        <v>110376</v>
      </c>
      <c r="BB79" s="432">
        <v>110379</v>
      </c>
      <c r="BC79" s="432">
        <v>110374</v>
      </c>
      <c r="BD79" s="432">
        <v>15541028</v>
      </c>
      <c r="BE79" s="512" t="e" vm="2">
        <f t="shared" ref="BE79" si="16">VLOOKUP(AT79,AT79:BD79,$P$21,FALSE)</f>
        <v>#VALUE!</v>
      </c>
      <c r="BF79" s="544"/>
    </row>
    <row r="80" spans="1:58" ht="32.1" customHeight="1">
      <c r="A80" s="93"/>
      <c r="B80" s="76" t="str">
        <f>VLOOKUP(878,Sprachindex!$A:$Z,Info!$O$7,FALSE)</f>
        <v>Stk.</v>
      </c>
      <c r="C80" s="78" t="e" vm="50">
        <v>#VALUE!</v>
      </c>
      <c r="D80" s="75" t="str">
        <f t="shared" ref="D80:D95" si="17">IF(ISNUMBER(A80),AS80,"")</f>
        <v/>
      </c>
      <c r="E80" s="618" t="str">
        <f>VLOOKUP(799,Sprachindex!$A:$Z,Info!$O$7,FALSE)</f>
        <v>Schneestopper für Dachplatte und Dachraute 29 × 29</v>
      </c>
      <c r="F80" s="619"/>
      <c r="G80" s="619"/>
      <c r="H80" s="619"/>
      <c r="I80" s="619"/>
      <c r="J80" s="619"/>
      <c r="K80" s="620"/>
      <c r="L80" s="76" t="str">
        <f t="shared" si="10"/>
        <v/>
      </c>
      <c r="M80" s="161" t="str">
        <f>VLOOKUP(878,Sprachindex!$A:$Z,Info!$O$7,FALSE)</f>
        <v>Stk.</v>
      </c>
      <c r="N80" s="77"/>
      <c r="O80" s="184" t="str">
        <f t="shared" si="11"/>
        <v/>
      </c>
      <c r="R80" s="182">
        <v>1.79</v>
      </c>
      <c r="AC80" s="129"/>
      <c r="AD80" s="139">
        <f>ROUNDUP($A80/100,0)*100</f>
        <v>0</v>
      </c>
      <c r="AE80" s="139">
        <f t="shared" si="6"/>
        <v>0</v>
      </c>
      <c r="AF80" s="135"/>
      <c r="AH80" s="44">
        <v>110303</v>
      </c>
      <c r="AI80" s="44">
        <v>110300</v>
      </c>
      <c r="AJ80" s="44">
        <v>110308</v>
      </c>
      <c r="AK80" s="44">
        <v>110305</v>
      </c>
      <c r="AL80" s="44">
        <v>110301</v>
      </c>
      <c r="AM80" s="44">
        <v>110307</v>
      </c>
      <c r="AN80" s="44">
        <v>110302</v>
      </c>
      <c r="AO80" s="44">
        <v>110306</v>
      </c>
      <c r="AP80" s="44">
        <v>110309</v>
      </c>
      <c r="AQ80" s="44">
        <v>110304</v>
      </c>
      <c r="AR80" s="44">
        <v>15491028</v>
      </c>
      <c r="AS80" s="512" t="e" vm="2">
        <f>VLOOKUP(AH80,AH80:AR80,$P$21,FALSE)</f>
        <v>#VALUE!</v>
      </c>
    </row>
    <row r="81" spans="1:45" ht="32.1" customHeight="1">
      <c r="A81" s="93"/>
      <c r="B81" s="76" t="str">
        <f>VLOOKUP(878,Sprachindex!$A:$Z,Info!$O$7,FALSE)</f>
        <v>Stk.</v>
      </c>
      <c r="C81" s="78" t="e" vm="51">
        <v>#VALUE!</v>
      </c>
      <c r="D81" s="75" t="str">
        <f t="shared" si="17"/>
        <v/>
      </c>
      <c r="E81" s="618" t="str">
        <f>VLOOKUP(2190,Sprachindex!$A:$Z,Info!$O$7,FALSE)</f>
        <v>Haken für Schneerechensystem, inkl. Befestigungsmaterial</v>
      </c>
      <c r="F81" s="619"/>
      <c r="G81" s="619"/>
      <c r="H81" s="619"/>
      <c r="I81" s="619"/>
      <c r="J81" s="619"/>
      <c r="K81" s="620"/>
      <c r="L81" s="76" t="str">
        <f t="shared" si="10"/>
        <v/>
      </c>
      <c r="M81" s="161" t="str">
        <f>VLOOKUP(878,Sprachindex!$A:$Z,Info!$O$7,FALSE)</f>
        <v>Stk.</v>
      </c>
      <c r="N81" s="77"/>
      <c r="O81" s="184" t="str">
        <f t="shared" si="11"/>
        <v/>
      </c>
      <c r="R81" s="182">
        <v>57.49</v>
      </c>
      <c r="AC81" s="129"/>
      <c r="AD81" s="139">
        <f>ROUNDUP($A81/10,0)*10</f>
        <v>0</v>
      </c>
      <c r="AE81" s="139">
        <f t="shared" si="6"/>
        <v>0</v>
      </c>
      <c r="AF81" s="135"/>
      <c r="AH81" s="44">
        <v>120183</v>
      </c>
      <c r="AI81" s="44">
        <v>120180</v>
      </c>
      <c r="AJ81" s="44">
        <v>120188</v>
      </c>
      <c r="AK81" s="44">
        <v>120185</v>
      </c>
      <c r="AL81" s="44">
        <v>120181</v>
      </c>
      <c r="AM81" s="44">
        <v>120187</v>
      </c>
      <c r="AN81" s="44">
        <v>120182</v>
      </c>
      <c r="AO81" s="44">
        <v>120186</v>
      </c>
      <c r="AP81" s="44">
        <v>120189</v>
      </c>
      <c r="AQ81" s="44">
        <v>120184</v>
      </c>
      <c r="AR81" s="44">
        <v>14121028</v>
      </c>
      <c r="AS81" s="512" t="e" vm="2">
        <f t="shared" si="15"/>
        <v>#VALUE!</v>
      </c>
    </row>
    <row r="82" spans="1:45" ht="32.1" customHeight="1">
      <c r="A82" s="93"/>
      <c r="B82" s="76" t="str">
        <f>VLOOKUP(878,Sprachindex!$A:$Z,Info!$O$7,FALSE)</f>
        <v>Stk.</v>
      </c>
      <c r="C82" s="78" t="e" vm="52">
        <v>#VALUE!</v>
      </c>
      <c r="D82" s="75" t="str">
        <f t="shared" si="17"/>
        <v/>
      </c>
      <c r="E82" s="618" t="str">
        <f>VLOOKUP(2191,Sprachindex!$A:$Z,Info!$O$7,FALSE)</f>
        <v>Haken für Schneerechensystem XL, inkl. Befestigungsmaterial</v>
      </c>
      <c r="F82" s="619"/>
      <c r="G82" s="619"/>
      <c r="H82" s="619"/>
      <c r="I82" s="619"/>
      <c r="J82" s="619"/>
      <c r="K82" s="620"/>
      <c r="L82" s="76" t="str">
        <f t="shared" si="10"/>
        <v/>
      </c>
      <c r="M82" s="161" t="str">
        <f>VLOOKUP(878,Sprachindex!$A:$Z,Info!$O$7,FALSE)</f>
        <v>Stk.</v>
      </c>
      <c r="N82" s="77"/>
      <c r="O82" s="184" t="str">
        <f t="shared" si="11"/>
        <v/>
      </c>
      <c r="R82" s="182">
        <v>100.84</v>
      </c>
      <c r="AC82" s="129"/>
      <c r="AD82" s="139">
        <f>ROUNDUP($A82/18,0)*18</f>
        <v>0</v>
      </c>
      <c r="AE82" s="139">
        <f t="shared" si="6"/>
        <v>0</v>
      </c>
      <c r="AF82" s="135"/>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512" t="e" vm="2">
        <f t="shared" si="15"/>
        <v>#VALUE!</v>
      </c>
    </row>
    <row r="83" spans="1:45" ht="32.1" customHeight="1">
      <c r="A83" s="93"/>
      <c r="B83" s="76" t="str">
        <f>VLOOKUP(1512,Sprachindex!$A:$Z,Info!$O$7,FALSE)</f>
        <v>lfm</v>
      </c>
      <c r="C83" s="78" t="e" vm="53">
        <v>#VALUE!</v>
      </c>
      <c r="D83" s="75" t="str">
        <f t="shared" si="17"/>
        <v/>
      </c>
      <c r="E83" s="618" t="str">
        <f>VLOOKUP(793,Sprachindex!$A:$Z,Info!$O$7,FALSE)</f>
        <v>Einlegeprofil (3.000 mm)</v>
      </c>
      <c r="F83" s="619"/>
      <c r="G83" s="619"/>
      <c r="H83" s="619"/>
      <c r="I83" s="619"/>
      <c r="J83" s="619"/>
      <c r="K83" s="620"/>
      <c r="L83" s="76" t="str">
        <f t="shared" si="10"/>
        <v/>
      </c>
      <c r="M83" s="161" t="str">
        <f>VLOOKUP(1512,Sprachindex!$A:$Z,Info!$O$7,FALSE)</f>
        <v>lfm</v>
      </c>
      <c r="N83" s="77"/>
      <c r="O83" s="184" t="str">
        <f t="shared" si="11"/>
        <v/>
      </c>
      <c r="R83" s="182">
        <v>11.03</v>
      </c>
      <c r="AC83" s="129"/>
      <c r="AD83" s="139">
        <f>ROUNDUP($A83/3,0)*3</f>
        <v>0</v>
      </c>
      <c r="AE83" s="139">
        <f>ROUNDUP($A83/3,0)*3</f>
        <v>0</v>
      </c>
      <c r="AF83" s="135"/>
      <c r="AH83" s="44">
        <v>120353</v>
      </c>
      <c r="AI83" s="44">
        <v>120350</v>
      </c>
      <c r="AJ83" s="44">
        <v>120358</v>
      </c>
      <c r="AK83" s="44">
        <v>120355</v>
      </c>
      <c r="AL83" s="44">
        <v>120351</v>
      </c>
      <c r="AM83" s="44">
        <v>120357</v>
      </c>
      <c r="AN83" s="44">
        <v>120352</v>
      </c>
      <c r="AO83" s="44">
        <v>120356</v>
      </c>
      <c r="AP83" s="44">
        <v>120359</v>
      </c>
      <c r="AQ83" s="44">
        <v>120354</v>
      </c>
      <c r="AR83" s="44">
        <v>14231028</v>
      </c>
      <c r="AS83" s="512" t="e" vm="2">
        <f t="shared" si="15"/>
        <v>#VALUE!</v>
      </c>
    </row>
    <row r="84" spans="1:45" ht="32.1" customHeight="1">
      <c r="A84" s="93"/>
      <c r="B84" s="76" t="str">
        <f>VLOOKUP(878,Sprachindex!$A:$Z,Info!$O$7,FALSE)</f>
        <v>Stk.</v>
      </c>
      <c r="C84" s="78" t="e" vm="54">
        <v>#VALUE!</v>
      </c>
      <c r="D84" s="75" t="str">
        <f t="shared" si="17"/>
        <v/>
      </c>
      <c r="E84" s="618" t="str">
        <f>VLOOKUP(794,Sprachindex!$A:$Z,Info!$O$7,FALSE)</f>
        <v>Eiskralle</v>
      </c>
      <c r="F84" s="619"/>
      <c r="G84" s="619"/>
      <c r="H84" s="619"/>
      <c r="I84" s="619"/>
      <c r="J84" s="619"/>
      <c r="K84" s="620"/>
      <c r="L84" s="76" t="str">
        <f t="shared" si="10"/>
        <v/>
      </c>
      <c r="M84" s="161" t="str">
        <f>VLOOKUP(878,Sprachindex!$A:$Z,Info!$O$7,FALSE)</f>
        <v>Stk.</v>
      </c>
      <c r="N84" s="77"/>
      <c r="O84" s="184" t="str">
        <f t="shared" si="11"/>
        <v/>
      </c>
      <c r="R84" s="182">
        <v>4.78</v>
      </c>
      <c r="AC84" s="129"/>
      <c r="AD84" s="139">
        <f>ROUNDUP($A84/100,0)*100</f>
        <v>0</v>
      </c>
      <c r="AE84" s="139">
        <f t="shared" ref="AE84:AE93" si="18">ROUNDUP($A84,0)</f>
        <v>0</v>
      </c>
      <c r="AF84" s="135"/>
      <c r="AH84" s="44">
        <v>120703</v>
      </c>
      <c r="AI84" s="44">
        <v>120700</v>
      </c>
      <c r="AJ84" s="44">
        <v>120708</v>
      </c>
      <c r="AK84" s="44">
        <v>120705</v>
      </c>
      <c r="AL84" s="44">
        <v>120701</v>
      </c>
      <c r="AM84" s="44">
        <v>120707</v>
      </c>
      <c r="AN84" s="44">
        <v>120702</v>
      </c>
      <c r="AO84" s="44">
        <v>120706</v>
      </c>
      <c r="AP84" s="44">
        <v>120709</v>
      </c>
      <c r="AQ84" s="44">
        <v>120704</v>
      </c>
      <c r="AR84" s="44">
        <v>14111028</v>
      </c>
      <c r="AS84" s="512" t="e" vm="2">
        <f t="shared" si="15"/>
        <v>#VALUE!</v>
      </c>
    </row>
    <row r="85" spans="1:45" ht="32.1" customHeight="1">
      <c r="A85" s="93"/>
      <c r="B85" s="76" t="str">
        <f>VLOOKUP(878,Sprachindex!$A:$Z,Info!$O$7,FALSE)</f>
        <v>Stk.</v>
      </c>
      <c r="C85" s="78" t="e" vm="55">
        <v>#VALUE!</v>
      </c>
      <c r="D85" s="75" t="str">
        <f t="shared" si="17"/>
        <v/>
      </c>
      <c r="E85" s="618" t="str">
        <f>VLOOKUP(791,Sprachindex!$A:$Z,Info!$O$7,FALSE)</f>
        <v>Abschluss für Schneerechensystem</v>
      </c>
      <c r="F85" s="619"/>
      <c r="G85" s="619"/>
      <c r="H85" s="619"/>
      <c r="I85" s="619"/>
      <c r="J85" s="619"/>
      <c r="K85" s="620"/>
      <c r="L85" s="76" t="str">
        <f t="shared" si="10"/>
        <v/>
      </c>
      <c r="M85" s="161" t="str">
        <f>VLOOKUP(878,Sprachindex!$A:$Z,Info!$O$7,FALSE)</f>
        <v>Stk.</v>
      </c>
      <c r="N85" s="77"/>
      <c r="O85" s="184" t="str">
        <f t="shared" si="11"/>
        <v/>
      </c>
      <c r="R85" s="182">
        <v>6.52</v>
      </c>
      <c r="AC85" s="129"/>
      <c r="AD85" s="139">
        <f>ROUNDUP($A85/2,0)*2</f>
        <v>0</v>
      </c>
      <c r="AE85" s="139">
        <f t="shared" si="18"/>
        <v>0</v>
      </c>
      <c r="AF85" s="135"/>
      <c r="AH85" s="44">
        <v>120393</v>
      </c>
      <c r="AI85" s="44">
        <v>120390</v>
      </c>
      <c r="AJ85" s="44">
        <v>120398</v>
      </c>
      <c r="AK85" s="44">
        <v>120395</v>
      </c>
      <c r="AL85" s="44">
        <v>120391</v>
      </c>
      <c r="AM85" s="44">
        <v>120397</v>
      </c>
      <c r="AN85" s="44">
        <v>120392</v>
      </c>
      <c r="AO85" s="44">
        <v>120396</v>
      </c>
      <c r="AP85" s="44">
        <v>120399</v>
      </c>
      <c r="AQ85" s="44">
        <v>120394</v>
      </c>
      <c r="AR85" s="44">
        <v>14101028</v>
      </c>
      <c r="AS85" s="512" t="e" vm="2">
        <f t="shared" si="15"/>
        <v>#VALUE!</v>
      </c>
    </row>
    <row r="86" spans="1:45" ht="32.1" customHeight="1">
      <c r="A86" s="93"/>
      <c r="B86" s="76" t="str">
        <f>VLOOKUP(878,Sprachindex!$A:$Z,Info!$O$7,FALSE)</f>
        <v>Stk.</v>
      </c>
      <c r="C86" s="78" t="e" vm="56">
        <v>#VALUE!</v>
      </c>
      <c r="D86" s="75" t="str">
        <f t="shared" si="17"/>
        <v/>
      </c>
      <c r="E86" s="618" t="str">
        <f>VLOOKUP(2192,Sprachindex!$A:$Z,Info!$O$7,FALSE)</f>
        <v>Abschluss für Schneerechensystem XL</v>
      </c>
      <c r="F86" s="619"/>
      <c r="G86" s="619"/>
      <c r="H86" s="619"/>
      <c r="I86" s="619"/>
      <c r="J86" s="619"/>
      <c r="K86" s="620"/>
      <c r="L86" s="76" t="str">
        <f t="shared" si="10"/>
        <v/>
      </c>
      <c r="M86" s="161" t="str">
        <f>VLOOKUP(878,Sprachindex!$A:$Z,Info!$O$7,FALSE)</f>
        <v>Stk.</v>
      </c>
      <c r="N86" s="77"/>
      <c r="O86" s="184" t="str">
        <f t="shared" si="11"/>
        <v/>
      </c>
      <c r="R86" s="182">
        <v>8.5500000000000007</v>
      </c>
      <c r="AC86" s="129"/>
      <c r="AD86" s="139">
        <f>ROUNDUP($A86/18,0)*18</f>
        <v>0</v>
      </c>
      <c r="AE86" s="139">
        <f t="shared" si="18"/>
        <v>0</v>
      </c>
      <c r="AF86" s="135"/>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512" t="e" vm="2">
        <f>VLOOKUP(AH86,AH86:AR86,$P$21,FALSE)</f>
        <v>#VALUE!</v>
      </c>
    </row>
    <row r="87" spans="1:45" ht="32.1" customHeight="1">
      <c r="A87" s="93"/>
      <c r="B87" s="76" t="str">
        <f>VLOOKUP(878,Sprachindex!$A:$Z,Info!$O$7,FALSE)</f>
        <v>Stk.</v>
      </c>
      <c r="C87" s="78" t="e" vm="57">
        <v>#VALUE!</v>
      </c>
      <c r="D87" s="75" t="str">
        <f t="shared" si="17"/>
        <v/>
      </c>
      <c r="E87" s="618" t="str">
        <f>VLOOKUP(424,Sprachindex!$A:$Z,Info!$O$7,FALSE)</f>
        <v>Gebirgsschneefangstütze</v>
      </c>
      <c r="F87" s="619"/>
      <c r="G87" s="619"/>
      <c r="H87" s="619"/>
      <c r="I87" s="619"/>
      <c r="J87" s="619"/>
      <c r="K87" s="620"/>
      <c r="L87" s="76" t="str">
        <f t="shared" si="10"/>
        <v/>
      </c>
      <c r="M87" s="161" t="str">
        <f>VLOOKUP(878,Sprachindex!$A:$Z,Info!$O$7,FALSE)</f>
        <v>Stk.</v>
      </c>
      <c r="N87" s="77"/>
      <c r="O87" s="184" t="str">
        <f t="shared" si="11"/>
        <v/>
      </c>
      <c r="R87" s="182">
        <v>57.49</v>
      </c>
      <c r="AC87" s="129"/>
      <c r="AD87" s="139">
        <f>ROUNDUP($A87/2,0)*2</f>
        <v>0</v>
      </c>
      <c r="AE87" s="139">
        <f t="shared" si="18"/>
        <v>0</v>
      </c>
      <c r="AF87" s="135"/>
      <c r="AH87" s="44">
        <v>120153</v>
      </c>
      <c r="AI87" s="44">
        <v>120150</v>
      </c>
      <c r="AJ87" s="44">
        <v>120158</v>
      </c>
      <c r="AK87" s="44">
        <v>120155</v>
      </c>
      <c r="AL87" s="44">
        <v>120151</v>
      </c>
      <c r="AM87" s="44">
        <v>120157</v>
      </c>
      <c r="AN87" s="44">
        <v>120152</v>
      </c>
      <c r="AO87" s="44">
        <v>120156</v>
      </c>
      <c r="AP87" s="44">
        <v>120159</v>
      </c>
      <c r="AQ87" s="44">
        <v>120154</v>
      </c>
      <c r="AR87" s="119">
        <v>14061028</v>
      </c>
      <c r="AS87" s="512" t="e" vm="2">
        <f t="shared" si="15"/>
        <v>#VALUE!</v>
      </c>
    </row>
    <row r="88" spans="1:45" ht="32.1" customHeight="1">
      <c r="A88" s="93"/>
      <c r="B88" s="76" t="str">
        <f>VLOOKUP(878,Sprachindex!$A:$Z,Info!$O$7,FALSE)</f>
        <v>Stk.</v>
      </c>
      <c r="C88" s="78" t="e" vm="58">
        <v>#VALUE!</v>
      </c>
      <c r="D88" s="75" t="str">
        <f t="shared" si="17"/>
        <v/>
      </c>
      <c r="E88" s="618" t="str">
        <f>VLOOKUP(510,Sprachindex!$A:$Z,Info!$O$7,FALSE)</f>
        <v>Kaminhut (700 × 700 mm)</v>
      </c>
      <c r="F88" s="619"/>
      <c r="G88" s="619"/>
      <c r="H88" s="619"/>
      <c r="I88" s="619"/>
      <c r="J88" s="619"/>
      <c r="K88" s="620"/>
      <c r="L88" s="76" t="str">
        <f t="shared" si="10"/>
        <v/>
      </c>
      <c r="M88" s="161" t="str">
        <f>VLOOKUP(878,Sprachindex!$A:$Z,Info!$O$7,FALSE)</f>
        <v>Stk.</v>
      </c>
      <c r="N88" s="77"/>
      <c r="O88" s="184" t="str">
        <f t="shared" si="11"/>
        <v/>
      </c>
      <c r="R88" s="182">
        <v>157.28</v>
      </c>
      <c r="AC88" s="129"/>
      <c r="AD88" s="139">
        <f>ROUNDUP($A88,0)</f>
        <v>0</v>
      </c>
      <c r="AE88" s="139">
        <f t="shared" si="18"/>
        <v>0</v>
      </c>
      <c r="AF88" s="135"/>
      <c r="AH88" s="44">
        <v>110423</v>
      </c>
      <c r="AI88" s="44">
        <v>110420</v>
      </c>
      <c r="AJ88" s="44">
        <v>110428</v>
      </c>
      <c r="AK88" s="44">
        <v>110425</v>
      </c>
      <c r="AL88" s="44">
        <v>110421</v>
      </c>
      <c r="AM88" s="44">
        <v>110427</v>
      </c>
      <c r="AN88" s="44">
        <v>110422</v>
      </c>
      <c r="AO88" s="44">
        <v>110426</v>
      </c>
      <c r="AP88" s="44">
        <v>110429</v>
      </c>
      <c r="AQ88" s="44">
        <v>110424</v>
      </c>
      <c r="AR88" s="44">
        <v>15261028</v>
      </c>
      <c r="AS88" s="512" t="e" vm="2">
        <f t="shared" ref="AS88:AS95" si="19">VLOOKUP(AH88,AH88:AR88,$P$21,FALSE)</f>
        <v>#VALUE!</v>
      </c>
    </row>
    <row r="89" spans="1:45" ht="32.1" customHeight="1">
      <c r="A89" s="93"/>
      <c r="B89" s="76" t="str">
        <f>VLOOKUP(878,Sprachindex!$A:$Z,Info!$O$7,FALSE)</f>
        <v>Stk.</v>
      </c>
      <c r="C89" s="78" t="e" vm="59">
        <v>#VALUE!</v>
      </c>
      <c r="D89" s="75" t="str">
        <f t="shared" si="17"/>
        <v/>
      </c>
      <c r="E89" s="618" t="str">
        <f>VLOOKUP(511,Sprachindex!$A:$Z,Info!$O$7,FALSE)</f>
        <v>Kaminhut (800 × 800 mm)</v>
      </c>
      <c r="F89" s="619"/>
      <c r="G89" s="619"/>
      <c r="H89" s="619"/>
      <c r="I89" s="619"/>
      <c r="J89" s="619"/>
      <c r="K89" s="620"/>
      <c r="L89" s="76" t="str">
        <f t="shared" si="10"/>
        <v/>
      </c>
      <c r="M89" s="161" t="str">
        <f>VLOOKUP(878,Sprachindex!$A:$Z,Info!$O$7,FALSE)</f>
        <v>Stk.</v>
      </c>
      <c r="N89" s="77"/>
      <c r="O89" s="184" t="str">
        <f t="shared" si="11"/>
        <v/>
      </c>
      <c r="R89" s="182">
        <v>169.95</v>
      </c>
      <c r="AC89" s="129"/>
      <c r="AD89" s="139">
        <f>ROUNDUP($A89,0)</f>
        <v>0</v>
      </c>
      <c r="AE89" s="139">
        <f t="shared" si="18"/>
        <v>0</v>
      </c>
      <c r="AF89" s="135"/>
      <c r="AH89" s="44">
        <v>110433</v>
      </c>
      <c r="AI89" s="44">
        <v>110430</v>
      </c>
      <c r="AJ89" s="44">
        <v>110438</v>
      </c>
      <c r="AK89" s="44">
        <v>110435</v>
      </c>
      <c r="AL89" s="44">
        <v>110431</v>
      </c>
      <c r="AM89" s="44">
        <v>110437</v>
      </c>
      <c r="AN89" s="44">
        <v>110432</v>
      </c>
      <c r="AO89" s="44">
        <v>110436</v>
      </c>
      <c r="AP89" s="44">
        <v>110439</v>
      </c>
      <c r="AQ89" s="44">
        <v>110434</v>
      </c>
      <c r="AR89" s="44">
        <v>15271028</v>
      </c>
      <c r="AS89" s="512" t="e" vm="2">
        <f t="shared" si="19"/>
        <v>#VALUE!</v>
      </c>
    </row>
    <row r="90" spans="1:45" ht="32.1" customHeight="1">
      <c r="A90" s="93"/>
      <c r="B90" s="76" t="str">
        <f>VLOOKUP(878,Sprachindex!$A:$Z,Info!$O$7,FALSE)</f>
        <v>Stk.</v>
      </c>
      <c r="C90" s="78" t="e" vm="60">
        <v>#VALUE!</v>
      </c>
      <c r="D90" s="75" t="str">
        <f t="shared" si="17"/>
        <v/>
      </c>
      <c r="E90" s="618" t="str">
        <f>VLOOKUP(507,Sprachindex!$A:$Z,Info!$O$7,FALSE)</f>
        <v>Kaminhut (1.000 × 700 mm)</v>
      </c>
      <c r="F90" s="619"/>
      <c r="G90" s="619"/>
      <c r="H90" s="619"/>
      <c r="I90" s="619"/>
      <c r="J90" s="619"/>
      <c r="K90" s="620"/>
      <c r="L90" s="76" t="str">
        <f t="shared" si="10"/>
        <v/>
      </c>
      <c r="M90" s="161" t="str">
        <f>VLOOKUP(878,Sprachindex!$A:$Z,Info!$O$7,FALSE)</f>
        <v>Stk.</v>
      </c>
      <c r="N90" s="77"/>
      <c r="O90" s="184" t="str">
        <f t="shared" si="11"/>
        <v/>
      </c>
      <c r="R90" s="182">
        <v>170.57</v>
      </c>
      <c r="AC90" s="129"/>
      <c r="AD90" s="139">
        <f>ROUNDUP($A90,0)</f>
        <v>0</v>
      </c>
      <c r="AE90" s="139">
        <f t="shared" si="18"/>
        <v>0</v>
      </c>
      <c r="AF90" s="135"/>
      <c r="AH90" s="44">
        <v>110443</v>
      </c>
      <c r="AI90" s="44">
        <v>110440</v>
      </c>
      <c r="AJ90" s="44">
        <v>110448</v>
      </c>
      <c r="AK90" s="44">
        <v>110445</v>
      </c>
      <c r="AL90" s="44">
        <v>110441</v>
      </c>
      <c r="AM90" s="44">
        <v>110447</v>
      </c>
      <c r="AN90" s="44">
        <v>110442</v>
      </c>
      <c r="AO90" s="44">
        <v>110446</v>
      </c>
      <c r="AP90" s="44">
        <v>110449</v>
      </c>
      <c r="AQ90" s="44">
        <v>110444</v>
      </c>
      <c r="AR90" s="44">
        <v>15281028</v>
      </c>
      <c r="AS90" s="512" t="e" vm="2">
        <f t="shared" si="19"/>
        <v>#VALUE!</v>
      </c>
    </row>
    <row r="91" spans="1:45" ht="32.1" customHeight="1">
      <c r="A91" s="93"/>
      <c r="B91" s="76" t="str">
        <f>VLOOKUP(878,Sprachindex!$A:$Z,Info!$O$7,FALSE)</f>
        <v>Stk.</v>
      </c>
      <c r="C91" s="78" t="e" vm="61">
        <v>#VALUE!</v>
      </c>
      <c r="D91" s="75" t="str">
        <f t="shared" si="17"/>
        <v/>
      </c>
      <c r="E91" s="618" t="str">
        <f>VLOOKUP(508,Sprachindex!$A:$Z,Info!$O$7,FALSE)</f>
        <v>Kaminhut (1.100 × 800 mm)</v>
      </c>
      <c r="F91" s="619"/>
      <c r="G91" s="619"/>
      <c r="H91" s="619"/>
      <c r="I91" s="619"/>
      <c r="J91" s="619"/>
      <c r="K91" s="620"/>
      <c r="L91" s="76" t="str">
        <f t="shared" si="10"/>
        <v/>
      </c>
      <c r="M91" s="161" t="str">
        <f>VLOOKUP(878,Sprachindex!$A:$Z,Info!$O$7,FALSE)</f>
        <v>Stk.</v>
      </c>
      <c r="N91" s="77"/>
      <c r="O91" s="184" t="str">
        <f t="shared" si="11"/>
        <v/>
      </c>
      <c r="R91" s="182">
        <v>204.46</v>
      </c>
      <c r="AC91" s="129"/>
      <c r="AD91" s="139">
        <f>ROUNDUP($A91,0)</f>
        <v>0</v>
      </c>
      <c r="AE91" s="139">
        <f t="shared" si="18"/>
        <v>0</v>
      </c>
      <c r="AF91" s="135"/>
      <c r="AH91" s="44">
        <v>110453</v>
      </c>
      <c r="AI91" s="44">
        <v>110450</v>
      </c>
      <c r="AJ91" s="44">
        <v>110458</v>
      </c>
      <c r="AK91" s="44">
        <v>110455</v>
      </c>
      <c r="AL91" s="44">
        <v>110451</v>
      </c>
      <c r="AM91" s="44">
        <v>110457</v>
      </c>
      <c r="AN91" s="44">
        <v>110452</v>
      </c>
      <c r="AO91" s="44">
        <v>110456</v>
      </c>
      <c r="AP91" s="44">
        <v>110459</v>
      </c>
      <c r="AQ91" s="44">
        <v>110454</v>
      </c>
      <c r="AR91" s="44">
        <v>15291028</v>
      </c>
      <c r="AS91" s="512" t="e" vm="2">
        <f t="shared" si="19"/>
        <v>#VALUE!</v>
      </c>
    </row>
    <row r="92" spans="1:45" ht="32.1" customHeight="1">
      <c r="A92" s="93"/>
      <c r="B92" s="76" t="str">
        <f>VLOOKUP(878,Sprachindex!$A:$Z,Info!$O$7,FALSE)</f>
        <v>Stk.</v>
      </c>
      <c r="C92" s="78" t="e" vm="59">
        <v>#VALUE!</v>
      </c>
      <c r="D92" s="75" t="str">
        <f t="shared" si="17"/>
        <v/>
      </c>
      <c r="E92" s="618" t="str">
        <f>VLOOKUP(509,Sprachindex!$A:$Z,Info!$O$7,FALSE)</f>
        <v>Kaminhut (1.500 × 800 mm)</v>
      </c>
      <c r="F92" s="619"/>
      <c r="G92" s="619"/>
      <c r="H92" s="619"/>
      <c r="I92" s="619"/>
      <c r="J92" s="619"/>
      <c r="K92" s="620"/>
      <c r="L92" s="76" t="str">
        <f t="shared" si="10"/>
        <v/>
      </c>
      <c r="M92" s="161" t="str">
        <f>VLOOKUP(878,Sprachindex!$A:$Z,Info!$O$7,FALSE)</f>
        <v>Stk.</v>
      </c>
      <c r="N92" s="77"/>
      <c r="O92" s="184" t="str">
        <f t="shared" si="11"/>
        <v/>
      </c>
      <c r="R92" s="182">
        <v>279.54000000000002</v>
      </c>
      <c r="AC92" s="129"/>
      <c r="AD92" s="139">
        <f>ROUNDUP($A92,0)</f>
        <v>0</v>
      </c>
      <c r="AE92" s="139">
        <f t="shared" si="18"/>
        <v>0</v>
      </c>
      <c r="AF92" s="135"/>
      <c r="AH92" s="44">
        <v>110463</v>
      </c>
      <c r="AI92" s="44">
        <v>110460</v>
      </c>
      <c r="AJ92" s="44">
        <v>110468</v>
      </c>
      <c r="AK92" s="44">
        <v>110465</v>
      </c>
      <c r="AL92" s="44">
        <v>110461</v>
      </c>
      <c r="AM92" s="44">
        <v>110467</v>
      </c>
      <c r="AN92" s="44">
        <v>110462</v>
      </c>
      <c r="AO92" s="44">
        <v>110466</v>
      </c>
      <c r="AP92" s="44">
        <v>110469</v>
      </c>
      <c r="AQ92" s="44">
        <v>110464</v>
      </c>
      <c r="AR92" s="44">
        <v>15301028</v>
      </c>
      <c r="AS92" s="512" t="e" vm="2">
        <f t="shared" si="19"/>
        <v>#VALUE!</v>
      </c>
    </row>
    <row r="93" spans="1:45" ht="32.1" customHeight="1">
      <c r="A93" s="93"/>
      <c r="B93" s="76" t="str">
        <f>VLOOKUP(878,Sprachindex!$A:$Z,Info!$O$7,FALSE)</f>
        <v>Stk.</v>
      </c>
      <c r="C93" s="78" t="e" vm="62">
        <v>#VALUE!</v>
      </c>
      <c r="D93" s="75" t="str">
        <f t="shared" si="17"/>
        <v/>
      </c>
      <c r="E93" s="618" t="str">
        <f>VLOOKUP(512,Sprachindex!$A:$Z,Info!$O$7,FALSE)</f>
        <v>Kaminstrebe gebogen</v>
      </c>
      <c r="F93" s="619"/>
      <c r="G93" s="619"/>
      <c r="H93" s="619"/>
      <c r="I93" s="619"/>
      <c r="J93" s="619"/>
      <c r="K93" s="620"/>
      <c r="L93" s="76" t="str">
        <f t="shared" si="10"/>
        <v/>
      </c>
      <c r="M93" s="161" t="str">
        <f>VLOOKUP(878,Sprachindex!$A:$Z,Info!$O$7,FALSE)</f>
        <v>Stk.</v>
      </c>
      <c r="N93" s="77"/>
      <c r="O93" s="184" t="str">
        <f t="shared" si="11"/>
        <v/>
      </c>
      <c r="R93" s="182">
        <v>17.27</v>
      </c>
      <c r="AC93" s="129"/>
      <c r="AD93" s="139">
        <f>ROUNDUP($A93/10,0)*10</f>
        <v>0</v>
      </c>
      <c r="AE93" s="139">
        <f t="shared" si="18"/>
        <v>0</v>
      </c>
      <c r="AF93" s="135"/>
      <c r="AH93" s="44">
        <v>110413</v>
      </c>
      <c r="AI93" s="44">
        <v>110410</v>
      </c>
      <c r="AJ93" s="44">
        <v>110418</v>
      </c>
      <c r="AK93" s="44">
        <v>110415</v>
      </c>
      <c r="AL93" s="44">
        <v>110411</v>
      </c>
      <c r="AM93" s="44">
        <v>110417</v>
      </c>
      <c r="AN93" s="44">
        <v>110412</v>
      </c>
      <c r="AO93" s="44">
        <v>110416</v>
      </c>
      <c r="AP93" s="44">
        <v>110419</v>
      </c>
      <c r="AQ93" s="44">
        <v>110414</v>
      </c>
      <c r="AR93" s="44">
        <v>15331028</v>
      </c>
      <c r="AS93" s="512" t="e" vm="2">
        <f t="shared" si="19"/>
        <v>#VALUE!</v>
      </c>
    </row>
    <row r="94" spans="1:45" ht="32.1" customHeight="1">
      <c r="A94" s="93"/>
      <c r="B94" s="76" t="str">
        <f>VLOOKUP(1512,Sprachindex!$A:$Z,Info!$O$7,FALSE)</f>
        <v>lfm</v>
      </c>
      <c r="C94" s="78" t="e" vm="63">
        <v>#VALUE!</v>
      </c>
      <c r="D94" s="75" t="str">
        <f t="shared" si="17"/>
        <v/>
      </c>
      <c r="E94" s="618" t="str">
        <f>VLOOKUP(402,Sprachindex!$A:$Z,Info!$O$7,FALSE)</f>
        <v>Flachprofil (35 × 7 × 3.000 mm)</v>
      </c>
      <c r="F94" s="619"/>
      <c r="G94" s="619"/>
      <c r="H94" s="619"/>
      <c r="I94" s="619"/>
      <c r="J94" s="619"/>
      <c r="K94" s="620"/>
      <c r="L94" s="76" t="str">
        <f t="shared" si="10"/>
        <v/>
      </c>
      <c r="M94" s="161" t="str">
        <f>VLOOKUP(1512,Sprachindex!$A:$Z,Info!$O$7,FALSE)</f>
        <v>lfm</v>
      </c>
      <c r="N94" s="77"/>
      <c r="O94" s="184" t="str">
        <f t="shared" si="11"/>
        <v/>
      </c>
      <c r="R94" s="182">
        <v>11.66</v>
      </c>
      <c r="AC94" s="129"/>
      <c r="AD94" s="139">
        <f>ROUNDUP($A94/3,0)*3</f>
        <v>0</v>
      </c>
      <c r="AE94" s="139">
        <f>ROUNDUP($A94/3,0)*3</f>
        <v>0</v>
      </c>
      <c r="AF94" s="135"/>
      <c r="AH94" s="44">
        <v>110403</v>
      </c>
      <c r="AI94" s="44">
        <v>110400</v>
      </c>
      <c r="AJ94" s="44">
        <v>110408</v>
      </c>
      <c r="AK94" s="44">
        <v>110405</v>
      </c>
      <c r="AL94" s="44">
        <v>110401</v>
      </c>
      <c r="AM94" s="44">
        <v>110407</v>
      </c>
      <c r="AN94" s="44">
        <v>110402</v>
      </c>
      <c r="AO94" s="44">
        <v>110406</v>
      </c>
      <c r="AP94" s="111" t="s">
        <v>63</v>
      </c>
      <c r="AQ94" s="44">
        <v>110404</v>
      </c>
      <c r="AR94" s="111">
        <v>15321028</v>
      </c>
      <c r="AS94" s="512" t="e" vm="2">
        <f t="shared" si="19"/>
        <v>#VALUE!</v>
      </c>
    </row>
    <row r="95" spans="1:45" ht="32.1" customHeight="1">
      <c r="A95" s="93"/>
      <c r="B95" s="76" t="str">
        <f>VLOOKUP(878,Sprachindex!$A:$Z,Info!$O$7,FALSE)</f>
        <v>Stk.</v>
      </c>
      <c r="C95" s="78" t="e" vm="64">
        <v>#VALUE!</v>
      </c>
      <c r="D95" s="75" t="str">
        <f t="shared" si="17"/>
        <v/>
      </c>
      <c r="E95" s="618" t="str">
        <f>VLOOKUP(459,Sprachindex!$A:$Z,Info!$O$7,FALSE)</f>
        <v>Hauerbuckel; zum Abdecken von Befestigungsmitteln</v>
      </c>
      <c r="F95" s="619"/>
      <c r="G95" s="619"/>
      <c r="H95" s="619"/>
      <c r="I95" s="619"/>
      <c r="J95" s="619"/>
      <c r="K95" s="620"/>
      <c r="L95" s="76" t="str">
        <f t="shared" si="10"/>
        <v/>
      </c>
      <c r="M95" s="161" t="str">
        <f>VLOOKUP(878,Sprachindex!$A:$Z,Info!$O$7,FALSE)</f>
        <v>Stk.</v>
      </c>
      <c r="N95" s="77"/>
      <c r="O95" s="184" t="str">
        <f t="shared" si="11"/>
        <v/>
      </c>
      <c r="R95" s="182">
        <v>2.12</v>
      </c>
      <c r="AC95" s="129"/>
      <c r="AD95" s="139">
        <f>ROUNDUP($A95,0)</f>
        <v>0</v>
      </c>
      <c r="AE95" s="139">
        <f>ROUNDUP($A95,0)</f>
        <v>0</v>
      </c>
      <c r="AF95" s="135"/>
      <c r="AH95" s="44">
        <v>112404</v>
      </c>
      <c r="AI95" s="44">
        <v>112401</v>
      </c>
      <c r="AJ95" s="44">
        <v>112409</v>
      </c>
      <c r="AK95" s="44">
        <v>112406</v>
      </c>
      <c r="AL95" s="44">
        <v>112402</v>
      </c>
      <c r="AM95" s="44">
        <v>112408</v>
      </c>
      <c r="AN95" s="44">
        <v>112403</v>
      </c>
      <c r="AO95" s="44">
        <v>112407</v>
      </c>
      <c r="AP95" s="44">
        <v>112410</v>
      </c>
      <c r="AQ95" s="44">
        <v>112405</v>
      </c>
      <c r="AR95" s="44">
        <v>58581028</v>
      </c>
      <c r="AS95" s="512" t="e" vm="2">
        <f t="shared" si="19"/>
        <v>#VALUE!</v>
      </c>
    </row>
    <row r="96" spans="1:45" ht="32.1" customHeight="1">
      <c r="A96" s="93"/>
      <c r="B96" s="76" t="s">
        <v>31</v>
      </c>
      <c r="C96" s="78" t="e" vm="65">
        <v>#VALUE!</v>
      </c>
      <c r="D96" s="75">
        <v>340404</v>
      </c>
      <c r="E96" s="618" t="str">
        <f>VLOOKUP(1422,Sprachindex!$A:$Z,Info!$O$7,FALSE)</f>
        <v>Dachleitungshalter für Blitzschutzdraht</v>
      </c>
      <c r="F96" s="619"/>
      <c r="G96" s="619"/>
      <c r="H96" s="619"/>
      <c r="I96" s="619"/>
      <c r="J96" s="619"/>
      <c r="K96" s="620"/>
      <c r="L96" s="76" t="str">
        <f t="shared" si="10"/>
        <v/>
      </c>
      <c r="M96" s="161" t="s">
        <v>31</v>
      </c>
      <c r="N96" s="77"/>
      <c r="O96" s="184" t="str">
        <f t="shared" si="11"/>
        <v/>
      </c>
      <c r="R96" s="182">
        <v>7.37</v>
      </c>
      <c r="AC96" s="129"/>
      <c r="AD96" s="139">
        <f>ROUNDUP($A96/50,0)*50</f>
        <v>0</v>
      </c>
      <c r="AE96" s="139">
        <f t="shared" ref="AE96:AE106" si="20">ROUNDUP($A96,0)</f>
        <v>0</v>
      </c>
      <c r="AF96" s="135"/>
      <c r="AH96" s="119"/>
      <c r="AI96" s="119"/>
      <c r="AJ96" s="119"/>
      <c r="AK96" s="119"/>
      <c r="AL96" s="119"/>
      <c r="AM96" s="119"/>
      <c r="AN96" s="119"/>
      <c r="AO96" s="119"/>
      <c r="AP96" s="119"/>
      <c r="AQ96" s="119"/>
      <c r="AR96" s="119"/>
      <c r="AS96" s="503"/>
    </row>
    <row r="97" spans="1:57" ht="32.1" customHeight="1">
      <c r="A97" s="93"/>
      <c r="B97" s="76" t="str">
        <f>VLOOKUP(878,Sprachindex!$A:$Z,Info!$O$7,FALSE)</f>
        <v>Stk.</v>
      </c>
      <c r="C97" s="75" t="e" vm="66">
        <v>#VALUE!</v>
      </c>
      <c r="D97" s="75">
        <v>420501</v>
      </c>
      <c r="E97" s="654" t="str">
        <f>VLOOKUP(851,Sprachindex!$A:$Z,Info!$O$7,FALSE)</f>
        <v>Spezialkleber</v>
      </c>
      <c r="F97" s="655"/>
      <c r="G97" s="655"/>
      <c r="H97" s="655"/>
      <c r="I97" s="655"/>
      <c r="J97" s="655"/>
      <c r="K97" s="656"/>
      <c r="L97" s="76" t="str">
        <f t="shared" si="10"/>
        <v/>
      </c>
      <c r="M97" s="161" t="str">
        <f>VLOOKUP(878,Sprachindex!$A:$Z,Info!$O$7,FALSE)</f>
        <v>Stk.</v>
      </c>
      <c r="N97" s="77"/>
      <c r="O97" s="184" t="str">
        <f t="shared" si="11"/>
        <v/>
      </c>
      <c r="R97" s="182">
        <v>40.299999999999997</v>
      </c>
      <c r="AC97" s="129"/>
      <c r="AD97" s="139">
        <f>ROUNDUP($A97/24,0)*24</f>
        <v>0</v>
      </c>
      <c r="AE97" s="139">
        <f t="shared" si="20"/>
        <v>0</v>
      </c>
      <c r="AF97" s="140"/>
      <c r="AS97" s="503"/>
    </row>
    <row r="98" spans="1:57" ht="32.1" customHeight="1">
      <c r="A98" s="93"/>
      <c r="B98" s="76" t="str">
        <f>VLOOKUP(821,Sprachindex!$A:$Z,Info!$O$7,FALSE)</f>
        <v>Set</v>
      </c>
      <c r="C98" s="75" t="e" vm="67">
        <v>#VALUE!</v>
      </c>
      <c r="D98" s="75">
        <v>420500</v>
      </c>
      <c r="E98" s="618" t="str">
        <f>VLOOKUP(852,Sprachindex!$A:$Z,Info!$O$7,FALSE)</f>
        <v>Spezialkleberset</v>
      </c>
      <c r="F98" s="619"/>
      <c r="G98" s="619"/>
      <c r="H98" s="619"/>
      <c r="I98" s="619"/>
      <c r="J98" s="619"/>
      <c r="K98" s="620"/>
      <c r="L98" s="76" t="str">
        <f t="shared" si="10"/>
        <v/>
      </c>
      <c r="M98" s="161" t="str">
        <f>VLOOKUP(821,Sprachindex!$A:$Z,Info!$O$7,FALSE)</f>
        <v>Set</v>
      </c>
      <c r="N98" s="77"/>
      <c r="O98" s="184" t="str">
        <f t="shared" si="11"/>
        <v/>
      </c>
      <c r="R98" s="182">
        <v>55.18</v>
      </c>
      <c r="AC98" s="129"/>
      <c r="AD98" s="139">
        <f t="shared" ref="AD98:AE105" si="21">ROUNDUP($A98,0)</f>
        <v>0</v>
      </c>
      <c r="AE98" s="139">
        <f t="shared" si="20"/>
        <v>0</v>
      </c>
      <c r="AF98" s="135"/>
      <c r="AH98" s="47" t="s">
        <v>35</v>
      </c>
      <c r="AI98" s="47" t="s">
        <v>32</v>
      </c>
      <c r="AJ98" s="47" t="s">
        <v>40</v>
      </c>
      <c r="AK98" s="47" t="s">
        <v>37</v>
      </c>
      <c r="AL98" s="47" t="s">
        <v>33</v>
      </c>
      <c r="AM98" s="47" t="s">
        <v>39</v>
      </c>
      <c r="AN98" s="47" t="s">
        <v>34</v>
      </c>
      <c r="AO98" s="47" t="s">
        <v>38</v>
      </c>
      <c r="AP98" s="47" t="s">
        <v>41</v>
      </c>
      <c r="AQ98" s="47" t="s">
        <v>36</v>
      </c>
      <c r="AR98" s="47" t="s">
        <v>38962</v>
      </c>
      <c r="AS98" s="503"/>
      <c r="AT98" s="47" t="s">
        <v>35</v>
      </c>
      <c r="AU98" s="47" t="s">
        <v>32</v>
      </c>
      <c r="AV98" s="47" t="s">
        <v>40</v>
      </c>
      <c r="AW98" s="47" t="s">
        <v>37</v>
      </c>
      <c r="AX98" s="47" t="s">
        <v>33</v>
      </c>
      <c r="AY98" s="47" t="s">
        <v>39</v>
      </c>
      <c r="AZ98" s="47" t="s">
        <v>34</v>
      </c>
      <c r="BA98" s="47" t="s">
        <v>38</v>
      </c>
      <c r="BB98" s="47" t="s">
        <v>41</v>
      </c>
      <c r="BC98" s="47" t="s">
        <v>36</v>
      </c>
      <c r="BD98" s="47" t="s">
        <v>38962</v>
      </c>
    </row>
    <row r="99" spans="1:57" ht="32.1" customHeight="1">
      <c r="A99" s="93"/>
      <c r="B99" s="76" t="str">
        <f>VLOOKUP(878,Sprachindex!$A:$Z,Info!$O$7,FALSE)</f>
        <v>Stk.</v>
      </c>
      <c r="C99" s="78" t="e" vm="68">
        <v>#VALUE!</v>
      </c>
      <c r="D99" s="75">
        <v>411687</v>
      </c>
      <c r="E99" s="618" t="str">
        <f>VLOOKUP(705,Sprachindex!$A:$Z,Info!$O$7,FALSE)</f>
        <v>Rilleneisen</v>
      </c>
      <c r="F99" s="619"/>
      <c r="G99" s="619"/>
      <c r="H99" s="619"/>
      <c r="I99" s="619"/>
      <c r="J99" s="619"/>
      <c r="K99" s="620"/>
      <c r="L99" s="76" t="str">
        <f t="shared" si="10"/>
        <v/>
      </c>
      <c r="M99" s="161" t="str">
        <f>VLOOKUP(878,Sprachindex!$A:$Z,Info!$O$7,FALSE)</f>
        <v>Stk.</v>
      </c>
      <c r="N99" s="77"/>
      <c r="O99" s="184" t="str">
        <f t="shared" si="11"/>
        <v/>
      </c>
      <c r="R99" s="182">
        <v>57.64</v>
      </c>
      <c r="AC99" s="129"/>
      <c r="AD99" s="139">
        <f t="shared" si="21"/>
        <v>0</v>
      </c>
      <c r="AE99" s="139">
        <f t="shared" si="20"/>
        <v>0</v>
      </c>
      <c r="AF99" s="135"/>
      <c r="AS99" s="503"/>
    </row>
    <row r="100" spans="1:57" ht="32.1" customHeight="1">
      <c r="A100" s="93"/>
      <c r="B100" s="76" t="str">
        <f>VLOOKUP(878,Sprachindex!$A:$Z,Info!$O$7,FALSE)</f>
        <v>Stk.</v>
      </c>
      <c r="C100" s="78" t="e" vm="69">
        <v>#VALUE!</v>
      </c>
      <c r="D100" s="75">
        <v>412229</v>
      </c>
      <c r="E100" s="618" t="str">
        <f>VLOOKUP(156,Sprachindex!$A:$Z,Info!$O$7,FALSE)</f>
        <v>Abspanneisen</v>
      </c>
      <c r="F100" s="619"/>
      <c r="G100" s="619"/>
      <c r="H100" s="619"/>
      <c r="I100" s="619"/>
      <c r="J100" s="619"/>
      <c r="K100" s="620"/>
      <c r="L100" s="76" t="str">
        <f t="shared" si="10"/>
        <v/>
      </c>
      <c r="M100" s="161" t="str">
        <f>VLOOKUP(878,Sprachindex!$A:$Z,Info!$O$7,FALSE)</f>
        <v>Stk.</v>
      </c>
      <c r="N100" s="77"/>
      <c r="O100" s="184" t="str">
        <f t="shared" si="11"/>
        <v/>
      </c>
      <c r="R100" s="182">
        <v>63.85</v>
      </c>
      <c r="AC100" s="129"/>
      <c r="AD100" s="139">
        <f t="shared" si="21"/>
        <v>0</v>
      </c>
      <c r="AE100" s="139">
        <f t="shared" si="20"/>
        <v>0</v>
      </c>
      <c r="AF100" s="135"/>
      <c r="AS100" s="503"/>
    </row>
    <row r="101" spans="1:57" ht="32.1" customHeight="1">
      <c r="A101" s="93"/>
      <c r="B101" s="76" t="str">
        <f>VLOOKUP(878,Sprachindex!$A:$Z,Info!$O$7,FALSE)</f>
        <v>Stk.</v>
      </c>
      <c r="C101" s="78" t="e" vm="70">
        <v>#VALUE!</v>
      </c>
      <c r="D101" s="75">
        <v>340415</v>
      </c>
      <c r="E101" s="618" t="str">
        <f>VLOOKUP(184,Sprachindex!$A:$Z,Info!$O$7,FALSE)</f>
        <v>Aufsparrenschraubenpaket</v>
      </c>
      <c r="F101" s="619"/>
      <c r="G101" s="619"/>
      <c r="H101" s="619"/>
      <c r="I101" s="619"/>
      <c r="J101" s="619"/>
      <c r="K101" s="620"/>
      <c r="L101" s="76" t="str">
        <f>IF($A101=0,"",IF($P$11=1,AD101,AE101))</f>
        <v/>
      </c>
      <c r="M101" s="161" t="str">
        <f>VLOOKUP(878,Sprachindex!$A:$Z,Info!$O$7,FALSE)</f>
        <v>Stk.</v>
      </c>
      <c r="N101" s="77"/>
      <c r="O101" s="184" t="str">
        <f t="shared" si="11"/>
        <v/>
      </c>
      <c r="R101" s="182">
        <v>26.8</v>
      </c>
      <c r="AC101" s="129"/>
      <c r="AD101" s="139">
        <f t="shared" si="21"/>
        <v>0</v>
      </c>
      <c r="AE101" s="139">
        <f t="shared" si="20"/>
        <v>0</v>
      </c>
      <c r="AF101" s="135"/>
      <c r="AS101" s="503"/>
    </row>
    <row r="102" spans="1:57" ht="32.1" customHeight="1">
      <c r="A102" s="93"/>
      <c r="B102" s="76" t="str">
        <f>VLOOKUP(878,Sprachindex!$A:$Z,Info!$O$7,FALSE)</f>
        <v>Stk.</v>
      </c>
      <c r="C102" s="78" t="e" vm="71">
        <v>#VALUE!</v>
      </c>
      <c r="D102" s="75">
        <v>340416</v>
      </c>
      <c r="E102" s="618" t="str">
        <f>VLOOKUP(183,Sprachindex!$A:$Z,Info!$O$7,FALSE)</f>
        <v>Aufsparrenmontagepaket</v>
      </c>
      <c r="F102" s="619"/>
      <c r="G102" s="619"/>
      <c r="H102" s="619"/>
      <c r="I102" s="619"/>
      <c r="J102" s="619"/>
      <c r="K102" s="620"/>
      <c r="L102" s="76" t="str">
        <f>IF($A102=0,"",IF($P$11=1,AD102,AE102))</f>
        <v/>
      </c>
      <c r="M102" s="161" t="str">
        <f>VLOOKUP(878,Sprachindex!$A:$Z,Info!$O$7,FALSE)</f>
        <v>Stk.</v>
      </c>
      <c r="N102" s="77"/>
      <c r="O102" s="184" t="str">
        <f t="shared" si="11"/>
        <v/>
      </c>
      <c r="R102" s="182">
        <v>44.93</v>
      </c>
      <c r="AC102" s="129"/>
      <c r="AD102" s="139">
        <f t="shared" si="21"/>
        <v>0</v>
      </c>
      <c r="AE102" s="139">
        <f t="shared" si="20"/>
        <v>0</v>
      </c>
      <c r="AF102" s="135"/>
      <c r="AS102" s="503"/>
    </row>
    <row r="103" spans="1:57" ht="32.1" customHeight="1">
      <c r="A103" s="93"/>
      <c r="B103" s="76" t="str">
        <f>VLOOKUP(878,Sprachindex!$A:$Z,Info!$O$7,FALSE)</f>
        <v>Stk.</v>
      </c>
      <c r="C103" s="78" t="e" vm="72">
        <v>#VALUE!</v>
      </c>
      <c r="D103" s="75">
        <v>119008</v>
      </c>
      <c r="E103" s="618" t="str">
        <f>VLOOKUP(2237,Sprachindex!$A:$Z,Info!$O$7,FALSE) &amp; " (" &amp; VLOOKUP(2668,Sprachindex!$A:$Z,Info!$O$7,FALSE) &amp; ")"</f>
        <v>Taurus-BEF-10 auf Fußteilen (P.10 Schwarz)</v>
      </c>
      <c r="F103" s="619"/>
      <c r="G103" s="619"/>
      <c r="H103" s="619"/>
      <c r="I103" s="619"/>
      <c r="J103" s="619"/>
      <c r="K103" s="620"/>
      <c r="L103" s="76" t="str">
        <f t="shared" ref="L103:L104" si="22">IF($A103=0,"",IF($P$11=1,AD103,AE103))</f>
        <v/>
      </c>
      <c r="M103" s="161" t="str">
        <f>VLOOKUP(878,Sprachindex!$A:$Z,Info!$O$7,FALSE)</f>
        <v>Stk.</v>
      </c>
      <c r="N103" s="77"/>
      <c r="O103" s="184" t="str">
        <f t="shared" ref="O103:O105" si="23">IF(ISNUMBER(A103),$L103*R103, "")</f>
        <v/>
      </c>
      <c r="R103" s="182">
        <v>142.76</v>
      </c>
      <c r="AC103" s="129"/>
      <c r="AD103" s="139">
        <f t="shared" si="21"/>
        <v>0</v>
      </c>
      <c r="AE103" s="139">
        <f t="shared" si="20"/>
        <v>0</v>
      </c>
      <c r="AF103" s="135"/>
      <c r="AS103" s="503"/>
    </row>
    <row r="104" spans="1:57" ht="32.1" customHeight="1">
      <c r="A104" s="93"/>
      <c r="B104" s="76" t="str">
        <f>VLOOKUP(878,Sprachindex!$A:$Z,Info!$O$7,FALSE)</f>
        <v>Stk.</v>
      </c>
      <c r="C104" s="78" t="e" vm="73">
        <v>#VALUE!</v>
      </c>
      <c r="D104" s="75">
        <v>120268</v>
      </c>
      <c r="E104" s="618" t="str">
        <f>VLOOKUP(2238,Sprachindex!$A:$Z,Info!$O$7,FALSE) &amp; " (" &amp; VLOOKUP(2668,Sprachindex!$A:$Z,Info!$O$7,FALSE) &amp; ")"</f>
        <v>Einzelanschlagspunkt auf Fußteilen (P.10 Schwarz)</v>
      </c>
      <c r="F104" s="619"/>
      <c r="G104" s="619"/>
      <c r="H104" s="619"/>
      <c r="I104" s="619"/>
      <c r="J104" s="619"/>
      <c r="K104" s="620"/>
      <c r="L104" s="76" t="str">
        <f t="shared" si="22"/>
        <v/>
      </c>
      <c r="M104" s="161" t="str">
        <f>VLOOKUP(878,Sprachindex!$A:$Z,Info!$O$7,FALSE)</f>
        <v>Stk.</v>
      </c>
      <c r="N104" s="77"/>
      <c r="O104" s="184" t="str">
        <f t="shared" si="23"/>
        <v/>
      </c>
      <c r="R104" s="182">
        <v>139.66999999999999</v>
      </c>
      <c r="AC104" s="129"/>
      <c r="AD104" s="139">
        <f t="shared" si="21"/>
        <v>0</v>
      </c>
      <c r="AE104" s="139">
        <f t="shared" si="20"/>
        <v>0</v>
      </c>
      <c r="AF104" s="135"/>
      <c r="AS104" s="503"/>
    </row>
    <row r="105" spans="1:57" ht="32.1" customHeight="1">
      <c r="A105" s="93"/>
      <c r="B105" s="76" t="str">
        <f>VLOOKUP(531,Sprachindex!$A:$Z,Info!$O$7,FALSE)</f>
        <v>kg</v>
      </c>
      <c r="C105" s="78" t="e" vm="74">
        <v>#VALUE!</v>
      </c>
      <c r="D105" s="75" t="str" cm="1">
        <f t="array" ref="D105">_xlfn.IFS(I105=Formeln!$A$107,AI105,I105=Formeln!$A$108,AH105,I105=Formeln!$A$109,AK105,I105=Formeln!$A$110,AJ105,TRUE,"")</f>
        <v/>
      </c>
      <c r="E105" s="618" t="str">
        <f>VLOOKUP(583,Sprachindex!$A:$Z,Info!$O$7,FALSE)</f>
        <v>Lochblech (⌀ 5 mm) ca. 24 kg/Rolle (0,7 × 1.000 mm)</v>
      </c>
      <c r="F105" s="619"/>
      <c r="G105" s="619"/>
      <c r="H105" s="647"/>
      <c r="I105" s="624"/>
      <c r="J105" s="625"/>
      <c r="K105" s="626"/>
      <c r="L105" s="76" t="str">
        <f>IF($A105=0,"",IF($I105=Formeln!$A$106," ",IF($P$11=1,AD105,AE105)))</f>
        <v/>
      </c>
      <c r="M105" s="161" t="str">
        <f>VLOOKUP(531,Sprachindex!$A:$Z,Info!$O$7,FALSE)</f>
        <v>kg</v>
      </c>
      <c r="N105" s="77"/>
      <c r="O105" s="204" t="str">
        <f t="shared" si="23"/>
        <v/>
      </c>
      <c r="R105" s="182">
        <v>0</v>
      </c>
      <c r="AD105" s="139">
        <f>ROUNDUP($A105/24,0)*24</f>
        <v>0</v>
      </c>
      <c r="AE105" s="139">
        <f t="shared" si="21"/>
        <v>0</v>
      </c>
      <c r="AF105" s="141" t="str">
        <f>IF(A105&gt;24, Formeln!$A$119, Formeln!$A$118)</f>
        <v>Rolle</v>
      </c>
      <c r="AH105" s="44">
        <v>507202</v>
      </c>
      <c r="AI105" s="44">
        <v>507206</v>
      </c>
      <c r="AJ105" s="44">
        <v>507205</v>
      </c>
      <c r="AK105" s="163">
        <v>507203</v>
      </c>
      <c r="AL105" s="559"/>
      <c r="AS105" s="510"/>
    </row>
    <row r="106" spans="1:57" ht="32.1" customHeight="1">
      <c r="A106" s="93"/>
      <c r="B106" s="76" t="str">
        <f>VLOOKUP(531,Sprachindex!$A:$Z,Info!$O$7,FALSE)</f>
        <v>kg</v>
      </c>
      <c r="C106" s="78" t="e" vm="75">
        <v>#VALUE!</v>
      </c>
      <c r="D106" s="75" t="str">
        <f>IF($P$9=1,BE106,IF($P$9=2,AS106,""))</f>
        <v/>
      </c>
      <c r="E106" s="618" t="str">
        <f>VLOOKUP(669,Sprachindex!$A:$Z,Info!$O$7,FALSE)</f>
        <v>PREFALZ Ergänzungsband; 0,7 × 1.000 mm (für Zusatzverblechungen)</v>
      </c>
      <c r="F106" s="619"/>
      <c r="G106" s="619"/>
      <c r="H106" s="619"/>
      <c r="I106" s="619"/>
      <c r="J106" s="619"/>
      <c r="K106" s="620"/>
      <c r="L106" s="76" t="str">
        <f>IF($A106=0,"",IF($P$11=1,AD106,AE106))</f>
        <v/>
      </c>
      <c r="M106" s="161" t="str">
        <f>VLOOKUP(531,Sprachindex!$A:$Z,Info!$O$7,FALSE)</f>
        <v>kg</v>
      </c>
      <c r="N106" s="77"/>
      <c r="O106" s="204" t="str">
        <f>IF(ISNUMBER(A106),$L106*R106, "")</f>
        <v/>
      </c>
      <c r="R106" s="182">
        <v>0</v>
      </c>
      <c r="AC106" s="129"/>
      <c r="AD106" s="151">
        <f>ROUNDUP($A106/30,0)*30</f>
        <v>0</v>
      </c>
      <c r="AE106" s="151">
        <f t="shared" si="20"/>
        <v>0</v>
      </c>
      <c r="AF106" s="141" t="str">
        <f>IF(A106&gt;60, Formeln!$A$119, Formeln!$A$118)</f>
        <v>Rolle</v>
      </c>
      <c r="AH106" s="545" t="s">
        <v>85</v>
      </c>
      <c r="AI106" s="433" t="s">
        <v>65</v>
      </c>
      <c r="AJ106" s="433" t="s">
        <v>72</v>
      </c>
      <c r="AK106" s="433" t="s">
        <v>69</v>
      </c>
      <c r="AL106" s="433" t="s">
        <v>66</v>
      </c>
      <c r="AM106" s="433" t="s">
        <v>71</v>
      </c>
      <c r="AN106" s="433" t="s">
        <v>67</v>
      </c>
      <c r="AO106" s="433" t="s">
        <v>70</v>
      </c>
      <c r="AP106" s="433" t="s">
        <v>73</v>
      </c>
      <c r="AQ106" s="433" t="s">
        <v>68</v>
      </c>
      <c r="AR106" s="545" t="s">
        <v>277</v>
      </c>
      <c r="AS106" s="512" t="e" vm="2">
        <f>VLOOKUP(AH106,AH106:AR106,$P$21,FALSE)</f>
        <v>#VALUE!</v>
      </c>
      <c r="AT106" s="432" t="s">
        <v>77</v>
      </c>
      <c r="AU106" s="432" t="s">
        <v>74</v>
      </c>
      <c r="AV106" s="432" t="s">
        <v>82</v>
      </c>
      <c r="AW106" s="432" t="s">
        <v>79</v>
      </c>
      <c r="AX106" s="432" t="s">
        <v>75</v>
      </c>
      <c r="AY106" s="432" t="s">
        <v>81</v>
      </c>
      <c r="AZ106" s="432" t="s">
        <v>76</v>
      </c>
      <c r="BA106" s="432" t="s">
        <v>80</v>
      </c>
      <c r="BB106" s="432" t="s">
        <v>83</v>
      </c>
      <c r="BC106" s="432" t="s">
        <v>78</v>
      </c>
      <c r="BD106" s="546" t="s">
        <v>293</v>
      </c>
      <c r="BE106" s="512" t="e" vm="2">
        <f>VLOOKUP(AT106,AT106:BD106,$P$21,FALSE)</f>
        <v>#VALUE!</v>
      </c>
    </row>
    <row r="107" spans="1:57" ht="32.1" customHeight="1">
      <c r="A107" s="93"/>
      <c r="B107" s="98"/>
      <c r="C107" s="98"/>
      <c r="D107" s="441"/>
      <c r="E107" s="648"/>
      <c r="F107" s="649"/>
      <c r="G107" s="649"/>
      <c r="H107" s="649"/>
      <c r="I107" s="649"/>
      <c r="J107" s="649"/>
      <c r="K107" s="650"/>
      <c r="L107" s="98"/>
      <c r="M107" s="399"/>
      <c r="N107" s="412"/>
      <c r="O107" s="185"/>
      <c r="AC107" s="129"/>
      <c r="AD107" s="8"/>
      <c r="AE107" s="8"/>
      <c r="AH107" s="47" t="s">
        <v>35</v>
      </c>
      <c r="AI107" s="47" t="s">
        <v>32</v>
      </c>
      <c r="AJ107" s="47" t="s">
        <v>40</v>
      </c>
      <c r="AK107" s="47" t="s">
        <v>37</v>
      </c>
      <c r="AL107" s="47" t="s">
        <v>33</v>
      </c>
      <c r="AM107" s="47" t="s">
        <v>39</v>
      </c>
      <c r="AN107" s="47" t="s">
        <v>34</v>
      </c>
      <c r="AO107" s="47" t="s">
        <v>38</v>
      </c>
      <c r="AP107" s="47" t="s">
        <v>41</v>
      </c>
      <c r="AQ107" s="47" t="s">
        <v>36</v>
      </c>
      <c r="AR107" s="47" t="s">
        <v>38962</v>
      </c>
      <c r="AS107" s="503" t="s">
        <v>39049</v>
      </c>
      <c r="AT107" s="47" t="s">
        <v>35</v>
      </c>
      <c r="AU107" s="47" t="s">
        <v>32</v>
      </c>
      <c r="AV107" s="47" t="s">
        <v>40</v>
      </c>
      <c r="AW107" s="47" t="s">
        <v>37</v>
      </c>
      <c r="AX107" s="47" t="s">
        <v>33</v>
      </c>
      <c r="AY107" s="47" t="s">
        <v>39</v>
      </c>
      <c r="AZ107" s="47" t="s">
        <v>34</v>
      </c>
      <c r="BA107" s="47" t="s">
        <v>38</v>
      </c>
      <c r="BB107" s="47" t="s">
        <v>41</v>
      </c>
      <c r="BC107" s="47" t="s">
        <v>36</v>
      </c>
      <c r="BD107" s="47" t="s">
        <v>38962</v>
      </c>
      <c r="BE107" s="503" t="s">
        <v>39049</v>
      </c>
    </row>
    <row r="108" spans="1:57" ht="32.1" customHeight="1">
      <c r="A108" s="93"/>
      <c r="B108" s="98"/>
      <c r="C108" s="98"/>
      <c r="D108" s="98"/>
      <c r="E108" s="648"/>
      <c r="F108" s="649"/>
      <c r="G108" s="649"/>
      <c r="H108" s="649"/>
      <c r="I108" s="649"/>
      <c r="J108" s="649"/>
      <c r="K108" s="650"/>
      <c r="L108" s="98"/>
      <c r="M108" s="399"/>
      <c r="N108" s="412"/>
      <c r="O108" s="185"/>
      <c r="AC108" s="129"/>
      <c r="AD108" s="8"/>
      <c r="AE108" s="8"/>
    </row>
    <row r="109" spans="1:57" ht="32.1" customHeight="1" thickBot="1">
      <c r="A109" s="143"/>
      <c r="B109" s="144"/>
      <c r="C109" s="144"/>
      <c r="D109" s="144"/>
      <c r="E109" s="651"/>
      <c r="F109" s="652"/>
      <c r="G109" s="652"/>
      <c r="H109" s="652"/>
      <c r="I109" s="652"/>
      <c r="J109" s="652"/>
      <c r="K109" s="653"/>
      <c r="L109" s="144"/>
      <c r="M109" s="400"/>
      <c r="N109" s="413"/>
      <c r="O109" s="185"/>
      <c r="AC109" s="129"/>
      <c r="AD109" s="8"/>
      <c r="AE109" s="8"/>
    </row>
    <row r="110" spans="1:57" ht="17.399999999999999">
      <c r="D110" s="641"/>
      <c r="E110" s="641"/>
      <c r="F110" s="641"/>
      <c r="G110" s="641"/>
      <c r="H110" s="641"/>
      <c r="I110" s="641"/>
      <c r="J110" s="641"/>
      <c r="K110" s="641"/>
      <c r="L110" s="641"/>
      <c r="M110" s="641"/>
      <c r="N110" s="641"/>
      <c r="O110" s="67"/>
    </row>
    <row r="111" spans="1:57" ht="17.399999999999999">
      <c r="C111" s="84" t="str">
        <f>VLOOKUP(1035,Sprachindex!$A:$Z,Info!$O$7,FALSE)</f>
        <v>Zusatzvermerk:</v>
      </c>
      <c r="D111" s="642"/>
      <c r="E111" s="642"/>
      <c r="F111" s="642"/>
      <c r="G111" s="642"/>
      <c r="H111" s="642"/>
      <c r="I111" s="642"/>
      <c r="J111" s="642"/>
      <c r="K111" s="642"/>
      <c r="L111" s="642"/>
      <c r="M111" s="642"/>
      <c r="N111" s="642"/>
      <c r="O111" s="180">
        <f>SUM(O31:O110)</f>
        <v>0</v>
      </c>
    </row>
    <row r="112" spans="1:57" ht="17.399999999999999">
      <c r="D112" s="643"/>
      <c r="E112" s="643"/>
      <c r="F112" s="643"/>
      <c r="G112" s="643"/>
      <c r="H112" s="643"/>
      <c r="I112" s="643"/>
      <c r="J112" s="643"/>
      <c r="K112" s="643"/>
      <c r="L112" s="643"/>
      <c r="M112" s="643"/>
      <c r="N112" s="643"/>
      <c r="O112" s="5"/>
    </row>
    <row r="113" spans="1:15" ht="17.399999999999999">
      <c r="D113" s="642"/>
      <c r="E113" s="642"/>
      <c r="F113" s="642"/>
      <c r="G113" s="642"/>
      <c r="H113" s="642"/>
      <c r="I113" s="642"/>
      <c r="J113" s="642"/>
      <c r="K113" s="642"/>
      <c r="L113" s="642"/>
      <c r="M113" s="642"/>
      <c r="N113" s="642"/>
      <c r="O113" s="5"/>
    </row>
    <row r="114" spans="1:15" ht="17.399999999999999">
      <c r="D114" s="643"/>
      <c r="E114" s="643"/>
      <c r="F114" s="643"/>
      <c r="G114" s="643"/>
      <c r="H114" s="643"/>
      <c r="I114" s="643"/>
      <c r="J114" s="643"/>
      <c r="K114" s="643"/>
      <c r="L114" s="643"/>
      <c r="M114" s="643"/>
      <c r="N114" s="643"/>
      <c r="O114" s="5"/>
    </row>
    <row r="115" spans="1:15" ht="17.399999999999999">
      <c r="D115" s="642"/>
      <c r="E115" s="642"/>
      <c r="F115" s="642"/>
      <c r="G115" s="642"/>
      <c r="H115" s="642"/>
      <c r="I115" s="642"/>
      <c r="J115" s="642"/>
      <c r="K115" s="642"/>
      <c r="L115" s="642"/>
      <c r="M115" s="642"/>
      <c r="N115" s="642"/>
      <c r="O115" s="5"/>
    </row>
    <row r="116" spans="1:15" ht="17.399999999999999">
      <c r="M116" s="5"/>
      <c r="N116" s="5"/>
      <c r="O116" s="5"/>
    </row>
    <row r="117" spans="1:15" ht="17.399999999999999"/>
    <row r="118" spans="1:15" ht="17.399999999999999">
      <c r="A118" s="85" t="str">
        <f>VLOOKUP(2097,Sprachindex!$A:$Z,Info!$O$7,FALSE)</f>
        <v>Produkttechnik</v>
      </c>
      <c r="B118" s="86"/>
      <c r="C118" s="86"/>
      <c r="D118" s="646"/>
      <c r="E118" s="646"/>
      <c r="F118" s="646"/>
      <c r="G118" s="646"/>
      <c r="H118" s="646"/>
      <c r="I118" s="646"/>
      <c r="J118" s="646"/>
      <c r="K118" s="87" t="str">
        <f>VLOOKUP(856,Sprachindex!$A:$Z,Info!$O$7,FALSE)</f>
        <v>Stand:</v>
      </c>
      <c r="L118" s="644">
        <f>Info!M59</f>
        <v>45728</v>
      </c>
      <c r="M118" s="644"/>
      <c r="N118" s="645"/>
    </row>
    <row r="119" spans="1:15" ht="17.399999999999999"/>
    <row r="120" spans="1:15" ht="17.399999999999999" hidden="1"/>
    <row r="121" spans="1:15" ht="14.25" hidden="1" customHeight="1"/>
    <row r="122" spans="1:15" ht="14.25" hidden="1" customHeight="1"/>
  </sheetData>
  <sheetProtection algorithmName="SHA-512" hashValue="mdlQWF+02ep9LLCQvEjGif5Aq0B7iByXmXq/35avBRiqAFVwEkR+dMbPU7/UioFBtgIqkKtTdme8T0XPTgtyEg==" saltValue="qjTidk71HRo1RBgHuep7XQ==" spinCount="100000" sheet="1" objects="1" scenarios="1" selectLockedCells="1" autoFilter="0"/>
  <protectedRanges>
    <protectedRange password="DEBF" sqref="AD31:AD33" name="darf vom Benutzer nicht verändert werden_1_5_2"/>
    <protectedRange password="DEBF" sqref="AE32" name="darf vom Benutzer nicht verändert werden_1"/>
    <protectedRange password="DEBF" sqref="AE33 AE35:AE36" name="darf vom Benutzer nicht verändert werden_1_1"/>
    <protectedRange password="DEBF" sqref="AD34:AE34 AD35 AE37 AE39" name="darf vom Benutzer nicht verändert werden_1_2"/>
    <protectedRange password="DEBF" sqref="AD36" name="darf vom Benutzer nicht verändert werden_1_4"/>
    <protectedRange password="DEBF" sqref="AD37" name="darf vom Benutzer nicht verändert werden_1_5_2_5"/>
    <protectedRange password="DEBF" sqref="AD39 AD38:AE38 AD40:AE104 AD106:AE109" name="darf vom Benutzer nicht verändert werden_1_5"/>
    <protectedRange password="DEBF" sqref="AF106" name="darf vom Benutzer nicht verändert werden_1_12"/>
    <protectedRange password="DEBF" sqref="AD105:AE105" name="darf vom Benutzer nicht verändert werden_1_5_7"/>
    <protectedRange password="DEBF" sqref="AF105" name="darf vom Benutzer nicht verändert werden_1_12_1"/>
  </protectedRanges>
  <autoFilter ref="A29:A109" xr:uid="{00000000-0009-0000-0000-000001000000}"/>
  <mergeCells count="138">
    <mergeCell ref="AH53:AH54"/>
    <mergeCell ref="BE53:BE54"/>
    <mergeCell ref="AI53:AI54"/>
    <mergeCell ref="AJ53:AJ54"/>
    <mergeCell ref="AK53:AK54"/>
    <mergeCell ref="AL53:AL54"/>
    <mergeCell ref="AM53:AM54"/>
    <mergeCell ref="AN53:AN54"/>
    <mergeCell ref="AO53:AO54"/>
    <mergeCell ref="AP53:AP54"/>
    <mergeCell ref="AQ53:AQ54"/>
    <mergeCell ref="AR53:AR54"/>
    <mergeCell ref="AS53:AS54"/>
    <mergeCell ref="BC53:BC54"/>
    <mergeCell ref="BD53:BD54"/>
    <mergeCell ref="AT53:AT54"/>
    <mergeCell ref="AU53:AU54"/>
    <mergeCell ref="AV53:AV54"/>
    <mergeCell ref="AW53:AW54"/>
    <mergeCell ref="AX53:AX54"/>
    <mergeCell ref="AY53:AY54"/>
    <mergeCell ref="AZ53:AZ54"/>
    <mergeCell ref="BA53:BA54"/>
    <mergeCell ref="BB53:BB54"/>
    <mergeCell ref="D110:N111"/>
    <mergeCell ref="D112:N113"/>
    <mergeCell ref="D114:N115"/>
    <mergeCell ref="L118:N118"/>
    <mergeCell ref="E85:K85"/>
    <mergeCell ref="E83:K83"/>
    <mergeCell ref="E76:K76"/>
    <mergeCell ref="E77:K77"/>
    <mergeCell ref="E78:K78"/>
    <mergeCell ref="E79:K79"/>
    <mergeCell ref="E80:K80"/>
    <mergeCell ref="E81:K81"/>
    <mergeCell ref="D118:J118"/>
    <mergeCell ref="E102:K102"/>
    <mergeCell ref="E105:H105"/>
    <mergeCell ref="I105:K105"/>
    <mergeCell ref="E107:K107"/>
    <mergeCell ref="E108:K108"/>
    <mergeCell ref="E109:K109"/>
    <mergeCell ref="E103:K103"/>
    <mergeCell ref="E104:K104"/>
    <mergeCell ref="E95:K95"/>
    <mergeCell ref="E97:K97"/>
    <mergeCell ref="E99:K99"/>
    <mergeCell ref="B24:B27"/>
    <mergeCell ref="C11:E11"/>
    <mergeCell ref="C9:E9"/>
    <mergeCell ref="C10:E10"/>
    <mergeCell ref="E100:K100"/>
    <mergeCell ref="E55:K55"/>
    <mergeCell ref="E92:K92"/>
    <mergeCell ref="E93:K93"/>
    <mergeCell ref="E94:K94"/>
    <mergeCell ref="E96:K96"/>
    <mergeCell ref="E84:K84"/>
    <mergeCell ref="E56:H56"/>
    <mergeCell ref="J56:K56"/>
    <mergeCell ref="E75:K75"/>
    <mergeCell ref="E59:K59"/>
    <mergeCell ref="E61:K61"/>
    <mergeCell ref="E62:K62"/>
    <mergeCell ref="E63:K63"/>
    <mergeCell ref="E64:K64"/>
    <mergeCell ref="E71:K71"/>
    <mergeCell ref="E72:K72"/>
    <mergeCell ref="E70:K70"/>
    <mergeCell ref="E69:K69"/>
    <mergeCell ref="H49:K49"/>
    <mergeCell ref="E44:K44"/>
    <mergeCell ref="E45:K45"/>
    <mergeCell ref="E50:G50"/>
    <mergeCell ref="E43:K43"/>
    <mergeCell ref="H50:K50"/>
    <mergeCell ref="E33:K33"/>
    <mergeCell ref="B29:E29"/>
    <mergeCell ref="H37:K37"/>
    <mergeCell ref="E38:K38"/>
    <mergeCell ref="E36:G36"/>
    <mergeCell ref="H36:K36"/>
    <mergeCell ref="E39:G39"/>
    <mergeCell ref="H39:K39"/>
    <mergeCell ref="E40:K40"/>
    <mergeCell ref="E41:K41"/>
    <mergeCell ref="E30:K30"/>
    <mergeCell ref="E31:K31"/>
    <mergeCell ref="E32:K32"/>
    <mergeCell ref="J57:K57"/>
    <mergeCell ref="E87:K87"/>
    <mergeCell ref="E88:K88"/>
    <mergeCell ref="E89:K89"/>
    <mergeCell ref="E90:K90"/>
    <mergeCell ref="E91:K91"/>
    <mergeCell ref="E98:K98"/>
    <mergeCell ref="E86:K86"/>
    <mergeCell ref="E82:K82"/>
    <mergeCell ref="E74:K74"/>
    <mergeCell ref="E60:K60"/>
    <mergeCell ref="E73:K73"/>
    <mergeCell ref="E67:K67"/>
    <mergeCell ref="E57:G57"/>
    <mergeCell ref="E58:G58"/>
    <mergeCell ref="E106:K106"/>
    <mergeCell ref="AH69:AS69"/>
    <mergeCell ref="AT69:BD69"/>
    <mergeCell ref="C27:E27"/>
    <mergeCell ref="E37:G37"/>
    <mergeCell ref="E65:K65"/>
    <mergeCell ref="E66:K66"/>
    <mergeCell ref="C26:E26"/>
    <mergeCell ref="E48:G48"/>
    <mergeCell ref="H48:K48"/>
    <mergeCell ref="AD29:AE29"/>
    <mergeCell ref="E51:K51"/>
    <mergeCell ref="E52:K52"/>
    <mergeCell ref="E42:K42"/>
    <mergeCell ref="E34:K34"/>
    <mergeCell ref="E68:K68"/>
    <mergeCell ref="E35:K35"/>
    <mergeCell ref="E101:K101"/>
    <mergeCell ref="E46:K46"/>
    <mergeCell ref="E47:K47"/>
    <mergeCell ref="E49:G49"/>
    <mergeCell ref="J58:K58"/>
    <mergeCell ref="E54:K54"/>
    <mergeCell ref="E53:K53"/>
    <mergeCell ref="C13:E13"/>
    <mergeCell ref="C14:E14"/>
    <mergeCell ref="C15:E15"/>
    <mergeCell ref="C18:E18"/>
    <mergeCell ref="C19:E19"/>
    <mergeCell ref="C20:E20"/>
    <mergeCell ref="C21:E21"/>
    <mergeCell ref="C24:E24"/>
    <mergeCell ref="C25:E25"/>
  </mergeCells>
  <phoneticPr fontId="43" type="noConversion"/>
  <conditionalFormatting sqref="A31:A104">
    <cfRule type="cellIs" dxfId="1595" priority="89" operator="equal">
      <formula>""</formula>
    </cfRule>
  </conditionalFormatting>
  <conditionalFormatting sqref="A105:A109">
    <cfRule type="cellIs" dxfId="1594" priority="7" operator="equal">
      <formula>""</formula>
    </cfRule>
  </conditionalFormatting>
  <conditionalFormatting sqref="B107:M109">
    <cfRule type="cellIs" dxfId="1592" priority="400" operator="equal">
      <formula>""</formula>
    </cfRule>
  </conditionalFormatting>
  <conditionalFormatting sqref="C9:E11">
    <cfRule type="cellIs" dxfId="1591" priority="545" operator="equal">
      <formula>""</formula>
    </cfRule>
  </conditionalFormatting>
  <conditionalFormatting sqref="C13:E15">
    <cfRule type="cellIs" dxfId="1590" priority="542" operator="equal">
      <formula>""</formula>
    </cfRule>
  </conditionalFormatting>
  <conditionalFormatting sqref="C18:E21">
    <cfRule type="cellIs" dxfId="1589" priority="537" operator="equal">
      <formula>""</formula>
    </cfRule>
  </conditionalFormatting>
  <conditionalFormatting sqref="C24:E27">
    <cfRule type="cellIs" dxfId="1588" priority="136" operator="equal">
      <formula>""</formula>
    </cfRule>
  </conditionalFormatting>
  <conditionalFormatting sqref="D68">
    <cfRule type="duplicateValues" dxfId="1587" priority="168"/>
  </conditionalFormatting>
  <conditionalFormatting sqref="D69">
    <cfRule type="duplicateValues" dxfId="1586" priority="259"/>
  </conditionalFormatting>
  <conditionalFormatting sqref="D70">
    <cfRule type="duplicateValues" dxfId="1585" priority="207"/>
  </conditionalFormatting>
  <conditionalFormatting sqref="D78">
    <cfRule type="duplicateValues" dxfId="1584" priority="249"/>
  </conditionalFormatting>
  <conditionalFormatting sqref="H37:K37">
    <cfRule type="cellIs" dxfId="1578" priority="431" operator="equal">
      <formula>""</formula>
    </cfRule>
  </conditionalFormatting>
  <conditionalFormatting sqref="I13">
    <cfRule type="expression" dxfId="1575" priority="192">
      <formula>$P$13=2</formula>
    </cfRule>
    <cfRule type="expression" dxfId="1574" priority="195">
      <formula>$P$13=1</formula>
    </cfRule>
  </conditionalFormatting>
  <conditionalFormatting sqref="I21:I22">
    <cfRule type="expression" dxfId="1573" priority="140">
      <formula>$P$21=10</formula>
    </cfRule>
  </conditionalFormatting>
  <conditionalFormatting sqref="I24:I26">
    <cfRule type="cellIs" dxfId="1572" priority="81" operator="equal">
      <formula>""</formula>
    </cfRule>
  </conditionalFormatting>
  <conditionalFormatting sqref="I28">
    <cfRule type="expression" dxfId="1571" priority="563">
      <formula>$P$21=10</formula>
    </cfRule>
  </conditionalFormatting>
  <conditionalFormatting sqref="L13:N13">
    <cfRule type="expression" dxfId="1568" priority="194">
      <formula>$P$13=2</formula>
    </cfRule>
    <cfRule type="expression" dxfId="1567" priority="193">
      <formula>$P$13=1</formula>
    </cfRule>
  </conditionalFormatting>
  <conditionalFormatting sqref="AH87 AJ87:AR87">
    <cfRule type="duplicateValues" dxfId="1564" priority="2275"/>
  </conditionalFormatting>
  <conditionalFormatting sqref="AH105:AL105">
    <cfRule type="duplicateValues" dxfId="1563" priority="8"/>
  </conditionalFormatting>
  <conditionalFormatting sqref="AH83:AO83 AQ83">
    <cfRule type="duplicateValues" dxfId="1562" priority="2199"/>
  </conditionalFormatting>
  <conditionalFormatting sqref="AH84:AO84 AQ84">
    <cfRule type="duplicateValues" dxfId="1561" priority="2202"/>
  </conditionalFormatting>
  <conditionalFormatting sqref="AH88:AO88 AQ88">
    <cfRule type="duplicateValues" dxfId="1560" priority="2205"/>
  </conditionalFormatting>
  <conditionalFormatting sqref="AH89:AO89 AQ89">
    <cfRule type="duplicateValues" dxfId="1559" priority="2208"/>
  </conditionalFormatting>
  <conditionalFormatting sqref="AH90:AO90 AQ90">
    <cfRule type="duplicateValues" dxfId="1558" priority="2211"/>
  </conditionalFormatting>
  <conditionalFormatting sqref="AH91:AO91 AQ91">
    <cfRule type="duplicateValues" dxfId="1557" priority="2214"/>
  </conditionalFormatting>
  <conditionalFormatting sqref="AH92:AO92 AQ92">
    <cfRule type="duplicateValues" dxfId="1556" priority="2217"/>
  </conditionalFormatting>
  <conditionalFormatting sqref="AH94:AO94 AQ94">
    <cfRule type="duplicateValues" dxfId="1555" priority="2220"/>
  </conditionalFormatting>
  <conditionalFormatting sqref="AH66:AP66">
    <cfRule type="duplicateValues" dxfId="1554" priority="171"/>
  </conditionalFormatting>
  <conditionalFormatting sqref="AH67:AP67">
    <cfRule type="duplicateValues" dxfId="1553" priority="261"/>
  </conditionalFormatting>
  <conditionalFormatting sqref="AH96:AP96 AH95:AO95 AQ95">
    <cfRule type="duplicateValues" dxfId="1552" priority="2186"/>
  </conditionalFormatting>
  <conditionalFormatting sqref="AH38:AR38">
    <cfRule type="duplicateValues" dxfId="1551" priority="2114"/>
  </conditionalFormatting>
  <conditionalFormatting sqref="AH48:AR48">
    <cfRule type="duplicateValues" dxfId="1550" priority="65"/>
  </conditionalFormatting>
  <conditionalFormatting sqref="AH49:AR49">
    <cfRule type="duplicateValues" dxfId="1549" priority="64"/>
  </conditionalFormatting>
  <conditionalFormatting sqref="AH50:AR50">
    <cfRule type="duplicateValues" dxfId="1548" priority="63"/>
  </conditionalFormatting>
  <conditionalFormatting sqref="AH51:AR51">
    <cfRule type="duplicateValues" dxfId="1547" priority="60"/>
  </conditionalFormatting>
  <conditionalFormatting sqref="AH52:AR52">
    <cfRule type="duplicateValues" dxfId="1546" priority="59"/>
  </conditionalFormatting>
  <conditionalFormatting sqref="AH55:AR55">
    <cfRule type="duplicateValues" dxfId="1545" priority="2125"/>
  </conditionalFormatting>
  <conditionalFormatting sqref="AH56:AR57">
    <cfRule type="duplicateValues" dxfId="1544" priority="55"/>
  </conditionalFormatting>
  <conditionalFormatting sqref="AH59:AR65">
    <cfRule type="duplicateValues" dxfId="1543" priority="14"/>
  </conditionalFormatting>
  <conditionalFormatting sqref="AH71:AR71">
    <cfRule type="duplicateValues" dxfId="1542" priority="2278"/>
  </conditionalFormatting>
  <conditionalFormatting sqref="AH75:AR77">
    <cfRule type="duplicateValues" dxfId="1541" priority="10"/>
  </conditionalFormatting>
  <conditionalFormatting sqref="AH79:AR79 AT79:AU79 AX79 AZ79">
    <cfRule type="duplicateValues" dxfId="1540" priority="2328"/>
  </conditionalFormatting>
  <conditionalFormatting sqref="AH80:AR80">
    <cfRule type="duplicateValues" dxfId="1539" priority="2287"/>
  </conditionalFormatting>
  <conditionalFormatting sqref="AH81:AR82">
    <cfRule type="duplicateValues" dxfId="1538" priority="2290"/>
  </conditionalFormatting>
  <conditionalFormatting sqref="AH85:AR85">
    <cfRule type="duplicateValues" dxfId="1537" priority="2293"/>
  </conditionalFormatting>
  <conditionalFormatting sqref="AH86:AR86">
    <cfRule type="duplicateValues" dxfId="1536" priority="2296"/>
  </conditionalFormatting>
  <conditionalFormatting sqref="AH93:AR93">
    <cfRule type="duplicateValues" dxfId="1535" priority="2299"/>
  </conditionalFormatting>
  <conditionalFormatting sqref="AI87">
    <cfRule type="duplicateValues" dxfId="1534" priority="236"/>
  </conditionalFormatting>
  <conditionalFormatting sqref="AQ66">
    <cfRule type="duplicateValues" dxfId="1533" priority="170"/>
  </conditionalFormatting>
  <conditionalFormatting sqref="AQ67">
    <cfRule type="duplicateValues" dxfId="1532" priority="260"/>
  </conditionalFormatting>
  <conditionalFormatting sqref="AQ96:AR96 AR95 AP95">
    <cfRule type="duplicateValues" dxfId="1531" priority="210"/>
  </conditionalFormatting>
  <conditionalFormatting sqref="AR83 AP83">
    <cfRule type="duplicateValues" dxfId="1530" priority="2255"/>
  </conditionalFormatting>
  <conditionalFormatting sqref="AR84 AP84">
    <cfRule type="duplicateValues" dxfId="1529" priority="2257"/>
  </conditionalFormatting>
  <conditionalFormatting sqref="AR88 AP88">
    <cfRule type="duplicateValues" dxfId="1528" priority="2259"/>
  </conditionalFormatting>
  <conditionalFormatting sqref="AR89 AP89">
    <cfRule type="duplicateValues" dxfId="1527" priority="2261"/>
  </conditionalFormatting>
  <conditionalFormatting sqref="AR90 AP90">
    <cfRule type="duplicateValues" dxfId="1526" priority="2263"/>
  </conditionalFormatting>
  <conditionalFormatting sqref="AR91 AP91">
    <cfRule type="duplicateValues" dxfId="1525" priority="2265"/>
  </conditionalFormatting>
  <conditionalFormatting sqref="AR92 AP92">
    <cfRule type="duplicateValues" dxfId="1524" priority="2267"/>
  </conditionalFormatting>
  <conditionalFormatting sqref="AR94 AP94">
    <cfRule type="duplicateValues" dxfId="1523" priority="2269"/>
  </conditionalFormatting>
  <conditionalFormatting sqref="AR58:AS58">
    <cfRule type="duplicateValues" dxfId="1522" priority="2129"/>
  </conditionalFormatting>
  <conditionalFormatting sqref="AT72:AU73 AX72:AX73 AZ72:AZ73 AH72:AR74">
    <cfRule type="duplicateValues" dxfId="1521" priority="2322"/>
  </conditionalFormatting>
  <conditionalFormatting sqref="AT106:AU106 AX106 AZ106 AH106:AR106">
    <cfRule type="duplicateValues" dxfId="1520" priority="2334"/>
  </conditionalFormatting>
  <conditionalFormatting sqref="AT48:AV51">
    <cfRule type="duplicateValues" dxfId="1519" priority="62"/>
  </conditionalFormatting>
  <conditionalFormatting sqref="AT59:BC59">
    <cfRule type="duplicateValues" dxfId="1518" priority="34"/>
  </conditionalFormatting>
  <conditionalFormatting sqref="AT60:BC60">
    <cfRule type="duplicateValues" dxfId="1517" priority="27"/>
  </conditionalFormatting>
  <conditionalFormatting sqref="AT61:BC61">
    <cfRule type="duplicateValues" dxfId="1516" priority="33"/>
  </conditionalFormatting>
  <conditionalFormatting sqref="AT52:BD52">
    <cfRule type="duplicateValues" dxfId="1515" priority="58"/>
  </conditionalFormatting>
  <conditionalFormatting sqref="AT55:BD55">
    <cfRule type="duplicateValues" dxfId="1514" priority="2128"/>
  </conditionalFormatting>
  <conditionalFormatting sqref="AT56:BD56">
    <cfRule type="duplicateValues" dxfId="1513" priority="337"/>
  </conditionalFormatting>
  <conditionalFormatting sqref="AT57:BD57">
    <cfRule type="duplicateValues" dxfId="1512" priority="36"/>
  </conditionalFormatting>
  <conditionalFormatting sqref="AT74:BD74">
    <cfRule type="duplicateValues" dxfId="1511" priority="11"/>
  </conditionalFormatting>
  <conditionalFormatting sqref="AV72:AW73 AY72:AY73 BA72:BC73">
    <cfRule type="duplicateValues" dxfId="1510" priority="2306"/>
  </conditionalFormatting>
  <conditionalFormatting sqref="AV79:AW79 AY79 BA79:BD79">
    <cfRule type="duplicateValues" dxfId="1509" priority="2309"/>
  </conditionalFormatting>
  <conditionalFormatting sqref="AV106:AW106 AY106 BA106:BD106">
    <cfRule type="duplicateValues" dxfId="1508" priority="2333"/>
  </conditionalFormatting>
  <conditionalFormatting sqref="AY31 BA31:BD31 AV31:AW31">
    <cfRule type="duplicateValues" dxfId="1507" priority="2112"/>
  </conditionalFormatting>
  <conditionalFormatting sqref="AY41:AY47 BA41:BD47 AV41:AW47">
    <cfRule type="duplicateValues" dxfId="1506" priority="2120"/>
  </conditionalFormatting>
  <conditionalFormatting sqref="AZ31 AX31 AT31:AU31 AH31:AR31">
    <cfRule type="duplicateValues" dxfId="1505" priority="2110"/>
  </conditionalFormatting>
  <conditionalFormatting sqref="AZ41:AZ47 AT41:AU47 AX41:AX47 AH41:AR47">
    <cfRule type="duplicateValues" dxfId="1504" priority="2119"/>
  </conditionalFormatting>
  <conditionalFormatting sqref="BB62:BB65 BC62 AT62:BA62">
    <cfRule type="duplicateValues" dxfId="1503" priority="32"/>
  </conditionalFormatting>
  <conditionalFormatting sqref="BB63">
    <cfRule type="duplicateValues" dxfId="1502" priority="30"/>
  </conditionalFormatting>
  <conditionalFormatting sqref="BB64">
    <cfRule type="duplicateValues" dxfId="1501" priority="28"/>
  </conditionalFormatting>
  <conditionalFormatting sqref="BB65">
    <cfRule type="duplicateValues" dxfId="1500" priority="25"/>
  </conditionalFormatting>
  <conditionalFormatting sqref="BC63 AT63:BA63">
    <cfRule type="duplicateValues" dxfId="1499" priority="31"/>
  </conditionalFormatting>
  <conditionalFormatting sqref="BC64 AT64:BA64">
    <cfRule type="duplicateValues" dxfId="1498" priority="29"/>
  </conditionalFormatting>
  <conditionalFormatting sqref="BC65 AT65:BA65">
    <cfRule type="duplicateValues" dxfId="1497" priority="26"/>
  </conditionalFormatting>
  <conditionalFormatting sqref="BD72:BD73">
    <cfRule type="duplicateValues" dxfId="1496" priority="13"/>
  </conditionalFormatting>
  <conditionalFormatting sqref="BE58:BK58 BM58:BV58">
    <cfRule type="duplicateValues" dxfId="1495" priority="2131"/>
  </conditionalFormatting>
  <conditionalFormatting sqref="BT56:CD57">
    <cfRule type="duplicateValues" dxfId="1494" priority="54"/>
  </conditionalFormatting>
  <conditionalFormatting sqref="BX58:CF58 CH58:CQ58">
    <cfRule type="duplicateValues" dxfId="1493" priority="157"/>
  </conditionalFormatting>
  <conditionalFormatting sqref="CH56:CR57 BH56:BR57">
    <cfRule type="duplicateValues" dxfId="1492" priority="53"/>
  </conditionalFormatting>
  <conditionalFormatting sqref="CS58:DA58 DX58:EG58">
    <cfRule type="duplicateValues" dxfId="1491" priority="156"/>
  </conditionalFormatting>
  <conditionalFormatting sqref="CU56:DD57">
    <cfRule type="duplicateValues" dxfId="1490" priority="52"/>
  </conditionalFormatting>
  <conditionalFormatting sqref="DC58:DL58">
    <cfRule type="duplicateValues" dxfId="1489" priority="152"/>
  </conditionalFormatting>
  <conditionalFormatting sqref="DH56:DR57">
    <cfRule type="duplicateValues" dxfId="1488" priority="51"/>
  </conditionalFormatting>
  <conditionalFormatting sqref="DU56:ED57">
    <cfRule type="duplicateValues" dxfId="1487" priority="50"/>
  </conditionalFormatting>
  <conditionalFormatting sqref="EH56:ER57">
    <cfRule type="duplicateValues" dxfId="1486" priority="49"/>
  </conditionalFormatting>
  <conditionalFormatting sqref="EI58:EQ58 ES58:FB58">
    <cfRule type="duplicateValues" dxfId="1485" priority="155"/>
  </conditionalFormatting>
  <conditionalFormatting sqref="EU56:FD57">
    <cfRule type="duplicateValues" dxfId="1484" priority="48"/>
  </conditionalFormatting>
  <conditionalFormatting sqref="FH56:FR57">
    <cfRule type="duplicateValues" dxfId="1483" priority="47"/>
  </conditionalFormatting>
  <conditionalFormatting sqref="FU56:GD57">
    <cfRule type="duplicateValues" dxfId="1482" priority="46"/>
  </conditionalFormatting>
  <conditionalFormatting sqref="GH56:GR57">
    <cfRule type="duplicateValues" dxfId="1481" priority="45"/>
  </conditionalFormatting>
  <conditionalFormatting sqref="GU56:HD57">
    <cfRule type="duplicateValues" dxfId="1480" priority="44"/>
  </conditionalFormatting>
  <conditionalFormatting sqref="HH56:HR57">
    <cfRule type="duplicateValues" dxfId="1479" priority="43"/>
  </conditionalFormatting>
  <conditionalFormatting sqref="HU56:ID57">
    <cfRule type="duplicateValues" dxfId="1478" priority="42"/>
  </conditionalFormatting>
  <conditionalFormatting sqref="IH56:IR57">
    <cfRule type="duplicateValues" dxfId="1477" priority="41"/>
  </conditionalFormatting>
  <conditionalFormatting sqref="IU56:JD57">
    <cfRule type="duplicateValues" dxfId="1476" priority="40"/>
  </conditionalFormatting>
  <conditionalFormatting sqref="JH56:JR57">
    <cfRule type="duplicateValues" dxfId="1475" priority="39"/>
  </conditionalFormatting>
  <conditionalFormatting sqref="JU56:KD57">
    <cfRule type="duplicateValues" dxfId="1474" priority="38"/>
  </conditionalFormatting>
  <conditionalFormatting sqref="KF56:KM56">
    <cfRule type="duplicateValues" dxfId="1473" priority="309"/>
  </conditionalFormatting>
  <conditionalFormatting sqref="KN56">
    <cfRule type="duplicateValues" dxfId="1472" priority="101"/>
  </conditionalFormatting>
  <conditionalFormatting sqref="KP56">
    <cfRule type="duplicateValues" dxfId="1471" priority="281"/>
  </conditionalFormatting>
  <conditionalFormatting sqref="KQ56:KX56">
    <cfRule type="duplicateValues" dxfId="1470" priority="307"/>
  </conditionalFormatting>
  <conditionalFormatting sqref="KZ56:LH56">
    <cfRule type="duplicateValues" dxfId="1469" priority="306"/>
  </conditionalFormatting>
  <conditionalFormatting sqref="LI56">
    <cfRule type="duplicateValues" dxfId="1468" priority="102"/>
  </conditionalFormatting>
  <conditionalFormatting sqref="LK56">
    <cfRule type="duplicateValues" dxfId="1467" priority="280"/>
  </conditionalFormatting>
  <conditionalFormatting sqref="LL56:LS56">
    <cfRule type="duplicateValues" dxfId="1466" priority="305"/>
  </conditionalFormatting>
  <conditionalFormatting sqref="LU56:MC56">
    <cfRule type="duplicateValues" dxfId="1465" priority="304"/>
  </conditionalFormatting>
  <conditionalFormatting sqref="MD56">
    <cfRule type="duplicateValues" dxfId="1464" priority="103"/>
  </conditionalFormatting>
  <conditionalFormatting sqref="MF56">
    <cfRule type="duplicateValues" dxfId="1463" priority="279"/>
  </conditionalFormatting>
  <conditionalFormatting sqref="MG56:MN56">
    <cfRule type="duplicateValues" dxfId="1462" priority="303"/>
  </conditionalFormatting>
  <conditionalFormatting sqref="MP56:MX56">
    <cfRule type="duplicateValues" dxfId="1461" priority="302"/>
  </conditionalFormatting>
  <conditionalFormatting sqref="MY56">
    <cfRule type="duplicateValues" dxfId="1460" priority="104"/>
  </conditionalFormatting>
  <conditionalFormatting sqref="NA56">
    <cfRule type="duplicateValues" dxfId="1459" priority="278"/>
  </conditionalFormatting>
  <conditionalFormatting sqref="NB56:NI56">
    <cfRule type="duplicateValues" dxfId="1458" priority="301"/>
  </conditionalFormatting>
  <conditionalFormatting sqref="NK56:NS56">
    <cfRule type="duplicateValues" dxfId="1457" priority="300"/>
  </conditionalFormatting>
  <conditionalFormatting sqref="NT56">
    <cfRule type="duplicateValues" dxfId="1456" priority="105"/>
  </conditionalFormatting>
  <conditionalFormatting sqref="NV56">
    <cfRule type="duplicateValues" dxfId="1455" priority="277"/>
  </conditionalFormatting>
  <conditionalFormatting sqref="NW56:OD56">
    <cfRule type="duplicateValues" dxfId="1454" priority="299"/>
  </conditionalFormatting>
  <conditionalFormatting sqref="OF56:ON56">
    <cfRule type="duplicateValues" dxfId="1453" priority="298"/>
  </conditionalFormatting>
  <conditionalFormatting sqref="OO56">
    <cfRule type="duplicateValues" dxfId="1452" priority="106"/>
  </conditionalFormatting>
  <conditionalFormatting sqref="OQ56">
    <cfRule type="duplicateValues" dxfId="1451" priority="276"/>
  </conditionalFormatting>
  <conditionalFormatting sqref="OR56:OY56">
    <cfRule type="duplicateValues" dxfId="1450" priority="297"/>
  </conditionalFormatting>
  <conditionalFormatting sqref="PA56:PJ56">
    <cfRule type="duplicateValues" dxfId="1449" priority="296"/>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48" r:id="rId5" name="Option Button 28">
              <controlPr defaultSize="0" autoFill="0" autoLine="0" autoPict="0" altText="">
                <anchor moveWithCells="1">
                  <from>
                    <xdr:col>5</xdr:col>
                    <xdr:colOff>563880</xdr:colOff>
                    <xdr:row>14</xdr:row>
                    <xdr:rowOff>175260</xdr:rowOff>
                  </from>
                  <to>
                    <xdr:col>7</xdr:col>
                    <xdr:colOff>609600</xdr:colOff>
                    <xdr:row>15</xdr:row>
                    <xdr:rowOff>175260</xdr:rowOff>
                  </to>
                </anchor>
              </controlPr>
            </control>
          </mc:Choice>
        </mc:AlternateContent>
        <mc:AlternateContent xmlns:mc="http://schemas.openxmlformats.org/markup-compatibility/2006">
          <mc:Choice Requires="x14">
            <control shapeId="5139" r:id="rId6" name="Option Button 19">
              <controlPr defaultSize="0" autoFill="0" autoLine="0" autoPict="0">
                <anchor moveWithCells="1">
                  <from>
                    <xdr:col>7</xdr:col>
                    <xdr:colOff>678180</xdr:colOff>
                    <xdr:row>12</xdr:row>
                    <xdr:rowOff>30480</xdr:rowOff>
                  </from>
                  <to>
                    <xdr:col>10</xdr:col>
                    <xdr:colOff>373380</xdr:colOff>
                    <xdr:row>12</xdr:row>
                    <xdr:rowOff>182880</xdr:rowOff>
                  </to>
                </anchor>
              </controlPr>
            </control>
          </mc:Choice>
        </mc:AlternateContent>
        <mc:AlternateContent xmlns:mc="http://schemas.openxmlformats.org/markup-compatibility/2006">
          <mc:Choice Requires="x14">
            <control shapeId="5140" r:id="rId7" name="Option Button 2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138" r:id="rId8" name="Group Box 18">
              <controlPr defaultSize="0" print="0" autoFill="0" autoPict="0">
                <anchor moveWithCells="1">
                  <from>
                    <xdr:col>5</xdr:col>
                    <xdr:colOff>571500</xdr:colOff>
                    <xdr:row>12</xdr:row>
                    <xdr:rowOff>0</xdr:rowOff>
                  </from>
                  <to>
                    <xdr:col>13</xdr:col>
                    <xdr:colOff>708660</xdr:colOff>
                    <xdr:row>13</xdr:row>
                    <xdr:rowOff>0</xdr:rowOff>
                  </to>
                </anchor>
              </controlPr>
            </control>
          </mc:Choice>
        </mc:AlternateContent>
        <mc:AlternateContent xmlns:mc="http://schemas.openxmlformats.org/markup-compatibility/2006">
          <mc:Choice Requires="x14">
            <control shapeId="5121" r:id="rId9" name="Group Box 1">
              <controlPr defaultSize="0" print="0" autoFill="0" autoPict="0" altText="">
                <anchor moveWithCells="1">
                  <from>
                    <xdr:col>5</xdr:col>
                    <xdr:colOff>563880</xdr:colOff>
                    <xdr:row>8</xdr:row>
                    <xdr:rowOff>0</xdr:rowOff>
                  </from>
                  <to>
                    <xdr:col>13</xdr:col>
                    <xdr:colOff>708660</xdr:colOff>
                    <xdr:row>9</xdr:row>
                    <xdr:rowOff>0</xdr:rowOff>
                  </to>
                </anchor>
              </controlPr>
            </control>
          </mc:Choice>
        </mc:AlternateContent>
        <mc:AlternateContent xmlns:mc="http://schemas.openxmlformats.org/markup-compatibility/2006">
          <mc:Choice Requires="x14">
            <control shapeId="5144" r:id="rId10"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145" r:id="rId11"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159" r:id="rId12" name="Group Box 39">
              <controlPr defaultSize="0" print="0" autoFill="0" autoPict="0">
                <anchor moveWithCells="1">
                  <from>
                    <xdr:col>5</xdr:col>
                    <xdr:colOff>571500</xdr:colOff>
                    <xdr:row>10</xdr:row>
                    <xdr:rowOff>0</xdr:rowOff>
                  </from>
                  <to>
                    <xdr:col>13</xdr:col>
                    <xdr:colOff>708660</xdr:colOff>
                    <xdr:row>11</xdr:row>
                    <xdr:rowOff>0</xdr:rowOff>
                  </to>
                </anchor>
              </controlPr>
            </control>
          </mc:Choice>
        </mc:AlternateContent>
        <mc:AlternateContent xmlns:mc="http://schemas.openxmlformats.org/markup-compatibility/2006">
          <mc:Choice Requires="x14">
            <control shapeId="5162" r:id="rId13" name="Option Button 42">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163" r:id="rId14" name="Option Button 43">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123" r:id="rId15" name="Group Box 3">
              <controlPr defaultSize="0" print="0" autoFill="0" autoPict="0" altText="">
                <anchor moveWithCells="1">
                  <from>
                    <xdr:col>5</xdr:col>
                    <xdr:colOff>563880</xdr:colOff>
                    <xdr:row>14</xdr:row>
                    <xdr:rowOff>0</xdr:rowOff>
                  </from>
                  <to>
                    <xdr:col>13</xdr:col>
                    <xdr:colOff>708660</xdr:colOff>
                    <xdr:row>21</xdr:row>
                    <xdr:rowOff>0</xdr:rowOff>
                  </to>
                </anchor>
              </controlPr>
            </control>
          </mc:Choice>
        </mc:AlternateContent>
        <mc:AlternateContent xmlns:mc="http://schemas.openxmlformats.org/markup-compatibility/2006">
          <mc:Choice Requires="x14">
            <control shapeId="5129" r:id="rId16" name="Option Button 9">
              <controlPr defaultSize="0" autoFill="0" autoLine="0" autoPict="0" altText="">
                <anchor moveWithCells="1">
                  <from>
                    <xdr:col>5</xdr:col>
                    <xdr:colOff>563880</xdr:colOff>
                    <xdr:row>16</xdr:row>
                    <xdr:rowOff>7620</xdr:rowOff>
                  </from>
                  <to>
                    <xdr:col>7</xdr:col>
                    <xdr:colOff>655320</xdr:colOff>
                    <xdr:row>16</xdr:row>
                    <xdr:rowOff>175260</xdr:rowOff>
                  </to>
                </anchor>
              </controlPr>
            </control>
          </mc:Choice>
        </mc:AlternateContent>
        <mc:AlternateContent xmlns:mc="http://schemas.openxmlformats.org/markup-compatibility/2006">
          <mc:Choice Requires="x14">
            <control shapeId="5130" r:id="rId17" name="Option Button 10">
              <controlPr defaultSize="0" autoFill="0" autoLine="0" autoPict="0" altText="">
                <anchor moveWithCells="1">
                  <from>
                    <xdr:col>5</xdr:col>
                    <xdr:colOff>563880</xdr:colOff>
                    <xdr:row>17</xdr:row>
                    <xdr:rowOff>7620</xdr:rowOff>
                  </from>
                  <to>
                    <xdr:col>7</xdr:col>
                    <xdr:colOff>655320</xdr:colOff>
                    <xdr:row>17</xdr:row>
                    <xdr:rowOff>175260</xdr:rowOff>
                  </to>
                </anchor>
              </controlPr>
            </control>
          </mc:Choice>
        </mc:AlternateContent>
        <mc:AlternateContent xmlns:mc="http://schemas.openxmlformats.org/markup-compatibility/2006">
          <mc:Choice Requires="x14">
            <control shapeId="5131" r:id="rId18" name="Option Button 11">
              <controlPr defaultSize="0" autoFill="0" autoLine="0" autoPict="0" altText="">
                <anchor moveWithCells="1">
                  <from>
                    <xdr:col>5</xdr:col>
                    <xdr:colOff>563880</xdr:colOff>
                    <xdr:row>18</xdr:row>
                    <xdr:rowOff>22860</xdr:rowOff>
                  </from>
                  <to>
                    <xdr:col>7</xdr:col>
                    <xdr:colOff>655320</xdr:colOff>
                    <xdr:row>18</xdr:row>
                    <xdr:rowOff>182880</xdr:rowOff>
                  </to>
                </anchor>
              </controlPr>
            </control>
          </mc:Choice>
        </mc:AlternateContent>
        <mc:AlternateContent xmlns:mc="http://schemas.openxmlformats.org/markup-compatibility/2006">
          <mc:Choice Requires="x14">
            <control shapeId="5132" r:id="rId19" name="Option Button 12">
              <controlPr defaultSize="0" autoFill="0" autoLine="0" autoPict="0" altText="">
                <anchor moveWithCells="1">
                  <from>
                    <xdr:col>5</xdr:col>
                    <xdr:colOff>563880</xdr:colOff>
                    <xdr:row>19</xdr:row>
                    <xdr:rowOff>22860</xdr:rowOff>
                  </from>
                  <to>
                    <xdr:col>7</xdr:col>
                    <xdr:colOff>655320</xdr:colOff>
                    <xdr:row>19</xdr:row>
                    <xdr:rowOff>182880</xdr:rowOff>
                  </to>
                </anchor>
              </controlPr>
            </control>
          </mc:Choice>
        </mc:AlternateContent>
        <mc:AlternateContent xmlns:mc="http://schemas.openxmlformats.org/markup-compatibility/2006">
          <mc:Choice Requires="x14">
            <control shapeId="5133" r:id="rId20" name="Option Button 13">
              <controlPr defaultSize="0" autoFill="0" autoLine="0" autoPict="0" altText="">
                <anchor moveWithCells="1">
                  <from>
                    <xdr:col>5</xdr:col>
                    <xdr:colOff>563880</xdr:colOff>
                    <xdr:row>20</xdr:row>
                    <xdr:rowOff>22860</xdr:rowOff>
                  </from>
                  <to>
                    <xdr:col>7</xdr:col>
                    <xdr:colOff>670560</xdr:colOff>
                    <xdr:row>20</xdr:row>
                    <xdr:rowOff>182880</xdr:rowOff>
                  </to>
                </anchor>
              </controlPr>
            </control>
          </mc:Choice>
        </mc:AlternateContent>
        <mc:AlternateContent xmlns:mc="http://schemas.openxmlformats.org/markup-compatibility/2006">
          <mc:Choice Requires="x14">
            <control shapeId="5134" r:id="rId21" name="Option Button 14">
              <controlPr defaultSize="0" autoFill="0" autoLine="0" autoPict="0" altText="">
                <anchor moveWithCells="1">
                  <from>
                    <xdr:col>8</xdr:col>
                    <xdr:colOff>784860</xdr:colOff>
                    <xdr:row>15</xdr:row>
                    <xdr:rowOff>22860</xdr:rowOff>
                  </from>
                  <to>
                    <xdr:col>10</xdr:col>
                    <xdr:colOff>708660</xdr:colOff>
                    <xdr:row>16</xdr:row>
                    <xdr:rowOff>22860</xdr:rowOff>
                  </to>
                </anchor>
              </controlPr>
            </control>
          </mc:Choice>
        </mc:AlternateContent>
        <mc:AlternateContent xmlns:mc="http://schemas.openxmlformats.org/markup-compatibility/2006">
          <mc:Choice Requires="x14">
            <control shapeId="5135" r:id="rId22" name="Option Button 15">
              <controlPr defaultSize="0" autoFill="0" autoLine="0" autoPict="0" altText="">
                <anchor moveWithCells="1">
                  <from>
                    <xdr:col>8</xdr:col>
                    <xdr:colOff>784860</xdr:colOff>
                    <xdr:row>16</xdr:row>
                    <xdr:rowOff>30480</xdr:rowOff>
                  </from>
                  <to>
                    <xdr:col>11</xdr:col>
                    <xdr:colOff>121920</xdr:colOff>
                    <xdr:row>17</xdr:row>
                    <xdr:rowOff>0</xdr:rowOff>
                  </to>
                </anchor>
              </controlPr>
            </control>
          </mc:Choice>
        </mc:AlternateContent>
        <mc:AlternateContent xmlns:mc="http://schemas.openxmlformats.org/markup-compatibility/2006">
          <mc:Choice Requires="x14">
            <control shapeId="5136" r:id="rId23" name="Option Button 16">
              <controlPr defaultSize="0" autoFill="0" autoLine="0" autoPict="0" altText="">
                <anchor moveWithCells="1">
                  <from>
                    <xdr:col>8</xdr:col>
                    <xdr:colOff>784860</xdr:colOff>
                    <xdr:row>17</xdr:row>
                    <xdr:rowOff>22860</xdr:rowOff>
                  </from>
                  <to>
                    <xdr:col>11</xdr:col>
                    <xdr:colOff>60960</xdr:colOff>
                    <xdr:row>18</xdr:row>
                    <xdr:rowOff>22860</xdr:rowOff>
                  </to>
                </anchor>
              </controlPr>
            </control>
          </mc:Choice>
        </mc:AlternateContent>
        <mc:AlternateContent xmlns:mc="http://schemas.openxmlformats.org/markup-compatibility/2006">
          <mc:Choice Requires="x14">
            <control shapeId="5137" r:id="rId24" name="Option Button 17">
              <controlPr defaultSize="0" autoFill="0" autoLine="0" autoPict="0" altText="">
                <anchor moveWithCells="1">
                  <from>
                    <xdr:col>8</xdr:col>
                    <xdr:colOff>784860</xdr:colOff>
                    <xdr:row>18</xdr:row>
                    <xdr:rowOff>45720</xdr:rowOff>
                  </from>
                  <to>
                    <xdr:col>11</xdr:col>
                    <xdr:colOff>114300</xdr:colOff>
                    <xdr:row>19</xdr:row>
                    <xdr:rowOff>7620</xdr:rowOff>
                  </to>
                </anchor>
              </controlPr>
            </control>
          </mc:Choice>
        </mc:AlternateContent>
        <mc:AlternateContent xmlns:mc="http://schemas.openxmlformats.org/markup-compatibility/2006">
          <mc:Choice Requires="x14">
            <control shapeId="5150" r:id="rId25" name="Option Button 30">
              <controlPr defaultSize="0" autoFill="0" autoLine="0" autoPict="0" altText="">
                <anchor moveWithCells="1">
                  <from>
                    <xdr:col>8</xdr:col>
                    <xdr:colOff>784860</xdr:colOff>
                    <xdr:row>19</xdr:row>
                    <xdr:rowOff>22860</xdr:rowOff>
                  </from>
                  <to>
                    <xdr:col>11</xdr:col>
                    <xdr:colOff>114300</xdr:colOff>
                    <xdr:row>19</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7" id="{F6324C63-48E8-409E-A8F1-397C939838D9}">
            <xm:f>Info!$V$7=2</xm:f>
            <x14:dxf>
              <font>
                <color theme="0" tint="-4.9989318521683403E-2"/>
              </font>
              <fill>
                <patternFill>
                  <bgColor theme="0"/>
                </patternFill>
              </fill>
              <border>
                <vertical/>
                <horizontal/>
              </border>
            </x14:dxf>
          </x14:cfRule>
          <xm:sqref>A103:N103</xm:sqref>
        </x14:conditionalFormatting>
        <x14:conditionalFormatting xmlns:xm="http://schemas.microsoft.com/office/excel/2006/main">
          <x14:cfRule type="expression" priority="1" id="{F9B49705-1545-4F49-9B3A-6E3C47311375}">
            <xm:f>$H$48=Formeln!$A$1</xm:f>
            <x14:dxf>
              <fill>
                <patternFill>
                  <bgColor theme="0" tint="-0.14996795556505021"/>
                </patternFill>
              </fill>
            </x14:dxf>
          </x14:cfRule>
          <xm:sqref>H48</xm:sqref>
        </x14:conditionalFormatting>
        <x14:conditionalFormatting xmlns:xm="http://schemas.microsoft.com/office/excel/2006/main">
          <x14:cfRule type="expression" priority="61" id="{568B625B-FB00-4B5D-960D-1932364B868E}">
            <xm:f>$H$49=Formeln!$A$1</xm:f>
            <x14:dxf>
              <fill>
                <patternFill>
                  <bgColor theme="0" tint="-0.14996795556505021"/>
                </patternFill>
              </fill>
            </x14:dxf>
          </x14:cfRule>
          <xm:sqref>H49</xm:sqref>
        </x14:conditionalFormatting>
        <x14:conditionalFormatting xmlns:xm="http://schemas.microsoft.com/office/excel/2006/main">
          <x14:cfRule type="expression" priority="2" id="{9CA04E51-3466-4AE6-B5A2-71F98B5E8808}">
            <xm:f>$H$57=Formeln!$G$63</xm:f>
            <x14:dxf>
              <fill>
                <patternFill>
                  <bgColor theme="0" tint="-0.14996795556505021"/>
                </patternFill>
              </fill>
            </x14:dxf>
          </x14:cfRule>
          <xm:sqref>H57</xm:sqref>
        </x14:conditionalFormatting>
        <x14:conditionalFormatting xmlns:xm="http://schemas.microsoft.com/office/excel/2006/main">
          <x14:cfRule type="expression" priority="4" id="{27BDD37B-99F9-42EA-AF35-A4E64877B25C}">
            <xm:f>$H$58=Formeln!$G$63</xm:f>
            <x14:dxf>
              <fill>
                <patternFill>
                  <bgColor theme="0" tint="-0.14996795556505021"/>
                </patternFill>
              </fill>
            </x14:dxf>
          </x14:cfRule>
          <xm:sqref>H58</xm:sqref>
        </x14:conditionalFormatting>
        <x14:conditionalFormatting xmlns:xm="http://schemas.microsoft.com/office/excel/2006/main">
          <x14:cfRule type="expression" priority="1592" id="{26376937-140A-47E7-959B-F6341C319F82}">
            <xm:f>$H$36=Formeln!$A$146+Formeln!$A$1</xm:f>
            <x14:dxf>
              <fill>
                <patternFill>
                  <bgColor theme="0" tint="-0.14996795556505021"/>
                </patternFill>
              </fill>
            </x14:dxf>
          </x14:cfRule>
          <xm:sqref>H36:K36</xm:sqref>
        </x14:conditionalFormatting>
        <x14:conditionalFormatting xmlns:xm="http://schemas.microsoft.com/office/excel/2006/main">
          <x14:cfRule type="expression" priority="415" id="{71D6FC95-C060-463C-ABA7-71E7467099BC}">
            <xm:f>$H$39=Formeln!$A$1</xm:f>
            <x14:dxf>
              <fill>
                <patternFill>
                  <bgColor theme="0" tint="-0.14996795556505021"/>
                </patternFill>
              </fill>
            </x14:dxf>
          </x14:cfRule>
          <xm:sqref>H39:K39</xm:sqref>
        </x14:conditionalFormatting>
        <x14:conditionalFormatting xmlns:xm="http://schemas.microsoft.com/office/excel/2006/main">
          <x14:cfRule type="expression" priority="413" id="{A3E72E2D-2702-421A-97C6-3D3C8795B5A5}">
            <xm:f>$H$50=Formeln!$A$1</xm:f>
            <x14:dxf>
              <fill>
                <patternFill>
                  <bgColor theme="0" tint="-0.14996795556505021"/>
                </patternFill>
              </fill>
            </x14:dxf>
          </x14:cfRule>
          <xm:sqref>H50:K50</xm:sqref>
        </x14:conditionalFormatting>
        <x14:conditionalFormatting xmlns:xm="http://schemas.microsoft.com/office/excel/2006/main">
          <x14:cfRule type="expression" priority="9" id="{F9966F11-7D53-48CA-A0FF-AF07846669FD}">
            <xm:f>$I$105=Formeln!$A$1</xm:f>
            <x14:dxf>
              <fill>
                <patternFill>
                  <bgColor theme="0" tint="-0.14996795556505021"/>
                </patternFill>
              </fill>
            </x14:dxf>
          </x14:cfRule>
          <xm:sqref>I105:K105</xm:sqref>
        </x14:conditionalFormatting>
        <x14:conditionalFormatting xmlns:xm="http://schemas.microsoft.com/office/excel/2006/main">
          <x14:cfRule type="expression" priority="122" id="{ED9D1D70-E02B-4BCA-A57C-C360075BC042}">
            <xm:f>$J56=Formeln!$A$1</xm:f>
            <x14:dxf>
              <fill>
                <patternFill>
                  <bgColor theme="0" tint="-0.14996795556505021"/>
                </patternFill>
              </fill>
            </x14:dxf>
          </x14:cfRule>
          <xm:sqref>J56:K58</xm:sqref>
        </x14:conditionalFormatting>
        <x14:conditionalFormatting xmlns:xm="http://schemas.microsoft.com/office/excel/2006/main">
          <x14:cfRule type="expression" priority="5" id="{189E8F73-2753-41D9-BBB0-CDAC1CD30004}">
            <xm:f>Info!$V$7=8</xm:f>
            <x14:dxf>
              <font>
                <color theme="1"/>
              </font>
              <border>
                <left style="thin">
                  <color auto="1"/>
                </left>
                <right style="thin">
                  <color auto="1"/>
                </right>
                <top style="thin">
                  <color auto="1"/>
                </top>
                <bottom style="thin">
                  <color auto="1"/>
                </bottom>
                <vertical/>
                <horizontal/>
              </border>
            </x14:dxf>
          </x14:cfRule>
          <xm:sqref>O30:O109</xm:sqref>
        </x14:conditionalFormatting>
        <x14:conditionalFormatting xmlns:xm="http://schemas.microsoft.com/office/excel/2006/main">
          <x14:cfRule type="expression" priority="82" id="{55B2DDE3-A7BC-4BCC-9F29-457BD2D133D9}">
            <xm:f>Info!$V$7=8</xm:f>
            <x14:dxf>
              <font>
                <color theme="1"/>
              </font>
              <border>
                <bottom style="thin">
                  <color auto="1"/>
                </bottom>
              </border>
            </x14:dxf>
          </x14:cfRule>
          <xm:sqref>O111</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0000000}">
          <x14:formula1>
            <xm:f>Formeln!$A$30:$A$51</xm:f>
          </x14:formula1>
          <xm:sqref>J56:K56</xm:sqref>
        </x14:dataValidation>
        <x14:dataValidation type="list" allowBlank="1" showInputMessage="1" showErrorMessage="1" xr:uid="{00000000-0002-0000-0100-000002000000}">
          <x14:formula1>
            <xm:f>Formeln!$A$20:$A$22</xm:f>
          </x14:formula1>
          <xm:sqref>H50:K50</xm:sqref>
        </x14:dataValidation>
        <x14:dataValidation type="list" allowBlank="1" showInputMessage="1" showErrorMessage="1" xr:uid="{00000000-0002-0000-0100-000003000000}">
          <x14:formula1>
            <xm:f>Formeln!$A$17:$A$19</xm:f>
          </x14:formula1>
          <xm:sqref>H49:K49</xm:sqref>
        </x14:dataValidation>
        <x14:dataValidation type="list" allowBlank="1" showInputMessage="1" showErrorMessage="1" xr:uid="{00000000-0002-0000-0100-000004000000}">
          <x14:formula1>
            <xm:f>Formeln!$A$9:$A$15</xm:f>
          </x14:formula1>
          <xm:sqref>H39:K39</xm:sqref>
        </x14:dataValidation>
        <x14:dataValidation type="list" allowBlank="1" showInputMessage="1" showErrorMessage="1" xr:uid="{00000000-0002-0000-0100-000005000000}">
          <x14:formula1>
            <xm:f>Formeln!$A$5:$A$8</xm:f>
          </x14:formula1>
          <xm:sqref>H37:K37</xm:sqref>
        </x14:dataValidation>
        <x14:dataValidation type="list" allowBlank="1" showInputMessage="1" showErrorMessage="1" xr:uid="{00000000-0002-0000-0100-000006000000}">
          <x14:formula1>
            <xm:f>Formeln!$A$1:$A$4</xm:f>
          </x14:formula1>
          <xm:sqref>H36:K36</xm:sqref>
        </x14:dataValidation>
        <x14:dataValidation type="list" allowBlank="1" showInputMessage="1" showErrorMessage="1" xr:uid="{00000000-0002-0000-0100-000008000000}">
          <x14:formula1>
            <xm:f>Formeln!$A$52:$A$103</xm:f>
          </x14:formula1>
          <xm:sqref>J57:K57</xm:sqref>
        </x14:dataValidation>
        <x14:dataValidation type="list" allowBlank="1" showInputMessage="1" showErrorMessage="1" xr:uid="{00000000-0002-0000-0100-000009000000}">
          <x14:formula1>
            <xm:f>Formeln!$C$52:$C$111</xm:f>
          </x14:formula1>
          <xm:sqref>J58:K58</xm:sqref>
        </x14:dataValidation>
        <x14:dataValidation type="list" allowBlank="1" showInputMessage="1" showErrorMessage="1" xr:uid="{032B4A5C-2555-42F2-A700-94AB7A4AFDF0}">
          <x14:formula1>
            <xm:f>Formeln!$B$17:$B$19</xm:f>
          </x14:formula1>
          <xm:sqref>H48:K48</xm:sqref>
        </x14:dataValidation>
        <x14:dataValidation type="list" allowBlank="1" showInputMessage="1" showErrorMessage="1" xr:uid="{407FD7F9-8070-4E13-9F52-314025C47772}">
          <x14:formula1>
            <xm:f>Formeln!$A$106:$A$110</xm:f>
          </x14:formula1>
          <xm:sqref>I105:K105</xm:sqref>
        </x14:dataValidation>
        <x14:dataValidation type="list" allowBlank="1" showInputMessage="1" showErrorMessage="1" xr:uid="{BC6C8CBB-3B27-44C0-A383-682954374A08}">
          <x14:formula1>
            <xm:f>Formeln!$G$63:$G$65</xm:f>
          </x14:formula1>
          <xm:sqref>H57:H58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A1:PJ126"/>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44140625" style="1" customWidth="1"/>
    <col min="15" max="15" width="14.6640625" style="1" customWidth="1"/>
    <col min="16" max="16" width="2.6640625" style="5" customWidth="1"/>
    <col min="17" max="17" width="20.6640625" style="5" hidden="1" customWidth="1"/>
    <col min="18" max="19" width="20.6640625" style="179" hidden="1" customWidth="1"/>
    <col min="20" max="20" width="8.33203125" style="5" hidden="1" customWidth="1"/>
    <col min="21" max="21" width="6.6640625" style="5" hidden="1" customWidth="1"/>
    <col min="22" max="22" width="4.6640625" style="5" hidden="1" customWidth="1"/>
    <col min="23" max="23" width="6.44140625" style="5" hidden="1" customWidth="1"/>
    <col min="24" max="24" width="7.6640625" style="5" hidden="1" customWidth="1"/>
    <col min="25" max="25" width="7" style="5" hidden="1" customWidth="1"/>
    <col min="26" max="26" width="5.109375" style="5" hidden="1" customWidth="1"/>
    <col min="27" max="27" width="5.33203125" style="5" hidden="1" customWidth="1"/>
    <col min="28" max="28" width="2.6640625" style="5" hidden="1" customWidth="1"/>
    <col min="29" max="29" width="30.6640625" style="9" hidden="1" customWidth="1"/>
    <col min="30" max="30" width="24.6640625" style="9" hidden="1" customWidth="1"/>
    <col min="31" max="31" width="24.6640625" style="1" hidden="1" customWidth="1"/>
    <col min="32" max="32" width="5.6640625" style="1" hidden="1" customWidth="1"/>
    <col min="33" max="33" width="4.33203125" style="1" hidden="1" customWidth="1"/>
    <col min="34" max="34" width="15.6640625" style="1" hidden="1" customWidth="1"/>
    <col min="35" max="35" width="10" style="1" hidden="1" customWidth="1"/>
    <col min="36" max="43" width="8.6640625" style="1" hidden="1" customWidth="1"/>
    <col min="44" max="44" width="11" style="1" hidden="1" customWidth="1"/>
    <col min="45" max="45" width="10.44140625" style="1" hidden="1" customWidth="1"/>
    <col min="46" max="55" width="8.6640625" style="1" hidden="1" customWidth="1"/>
    <col min="56" max="56" width="11.33203125" style="1" hidden="1" customWidth="1"/>
    <col min="57" max="57" width="9.88671875" style="1" hidden="1" customWidth="1"/>
    <col min="58" max="107" width="8.6640625" style="1" hidden="1" customWidth="1"/>
    <col min="108" max="108" width="11.88671875" style="1" hidden="1" customWidth="1"/>
    <col min="109" max="148" width="8.6640625" style="1" hidden="1" customWidth="1"/>
    <col min="149" max="149" width="12.44140625" style="1" hidden="1" customWidth="1"/>
    <col min="150" max="159" width="8.6640625" style="1" hidden="1" customWidth="1"/>
    <col min="160" max="160" width="10.88671875" style="1" hidden="1" customWidth="1"/>
    <col min="161" max="161" width="12.109375" style="1" hidden="1" customWidth="1"/>
    <col min="162" max="174" width="8.6640625" style="1" hidden="1" customWidth="1"/>
    <col min="175" max="175" width="9.6640625" style="1" hidden="1" customWidth="1"/>
    <col min="176" max="16384" width="8.6640625" style="1" hidden="1"/>
  </cols>
  <sheetData>
    <row r="1" spans="1:31" ht="28.2">
      <c r="N1" s="2" t="str">
        <f>VLOOKUP(279,Sprachindex!$A:$Z,Info!$O$7,FALSE)</f>
        <v>Dachsysteme</v>
      </c>
    </row>
    <row r="2" spans="1:31" ht="28.2">
      <c r="D2" s="18"/>
      <c r="N2" s="2" t="str">
        <f>VLOOKUP(273,Sprachindex!$A:$Z,Info!$O$7,FALSE)</f>
        <v>Dachschindel</v>
      </c>
    </row>
    <row r="3" spans="1:31" ht="15" customHeight="1">
      <c r="O3" s="67"/>
      <c r="P3" s="68"/>
      <c r="Q3" s="68"/>
    </row>
    <row r="4" spans="1:31" ht="17.25" customHeight="1">
      <c r="N4" s="186"/>
      <c r="O4" s="67"/>
      <c r="P4" s="68"/>
      <c r="Q4" s="68"/>
      <c r="AE4" s="3"/>
    </row>
    <row r="5" spans="1:31" ht="17.25" customHeight="1">
      <c r="N5" s="186"/>
      <c r="O5" s="67"/>
      <c r="P5" s="68"/>
      <c r="Q5" s="68"/>
      <c r="AE5" s="3"/>
    </row>
    <row r="6" spans="1:31" ht="17.25" customHeight="1">
      <c r="N6" s="186"/>
      <c r="O6" s="67"/>
      <c r="P6" s="94"/>
      <c r="Q6" s="94"/>
      <c r="T6" s="50"/>
      <c r="U6" s="50"/>
      <c r="V6" s="50"/>
      <c r="W6" s="50"/>
      <c r="X6" s="50"/>
      <c r="Y6" s="50"/>
      <c r="Z6" s="50"/>
      <c r="AA6" s="50"/>
      <c r="AB6" s="50"/>
      <c r="AE6" s="3"/>
    </row>
    <row r="7" spans="1:31" ht="17.25" customHeight="1">
      <c r="N7" s="186"/>
      <c r="O7" s="67"/>
      <c r="P7" s="94"/>
      <c r="Q7" s="94"/>
      <c r="T7" s="50"/>
      <c r="U7" s="50"/>
      <c r="V7" s="50"/>
      <c r="W7" s="50"/>
      <c r="X7" s="50"/>
      <c r="Y7" s="50"/>
      <c r="Z7" s="50"/>
      <c r="AA7" s="50"/>
      <c r="AB7" s="50"/>
      <c r="AE7" s="3"/>
    </row>
    <row r="8" spans="1:31" ht="17.25" customHeight="1">
      <c r="A8" s="83" t="str">
        <f>VLOOKUP(393,Sprachindex!$A:$Z,Info!$O$7,FALSE)</f>
        <v>Firma / Besteller:</v>
      </c>
      <c r="B8" s="67"/>
      <c r="C8" s="67"/>
      <c r="D8" s="67"/>
      <c r="E8" s="67"/>
      <c r="F8" s="67"/>
      <c r="G8" s="67"/>
      <c r="H8" s="67"/>
      <c r="I8" s="67"/>
      <c r="J8" s="67"/>
      <c r="K8" s="67"/>
      <c r="L8" s="67"/>
      <c r="O8" s="67"/>
      <c r="P8" s="68"/>
      <c r="Q8" s="68"/>
      <c r="AD8" s="10"/>
    </row>
    <row r="9" spans="1:31" ht="15" customHeight="1">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O9" s="94">
        <v>0</v>
      </c>
      <c r="P9" s="94"/>
      <c r="Q9" s="94"/>
      <c r="T9" s="51"/>
      <c r="U9" s="51"/>
      <c r="V9" s="51"/>
      <c r="W9" s="51"/>
      <c r="X9" s="51"/>
      <c r="Y9" s="51"/>
      <c r="Z9" s="51"/>
      <c r="AA9" s="51"/>
      <c r="AB9" s="51"/>
      <c r="AC9" s="11"/>
      <c r="AE9" s="4"/>
    </row>
    <row r="10" spans="1:31" ht="15" customHeight="1">
      <c r="B10" s="71" t="str">
        <f>VLOOKUP(884,Sprachindex!$A:$Z,Info!$O$7,FALSE)</f>
        <v>Straße:</v>
      </c>
      <c r="C10" s="615"/>
      <c r="D10" s="616"/>
      <c r="E10" s="617"/>
      <c r="F10" s="67"/>
      <c r="G10" s="67"/>
      <c r="H10" s="67"/>
      <c r="I10" s="88"/>
      <c r="J10" s="68">
        <v>1</v>
      </c>
      <c r="K10" s="67"/>
      <c r="L10" s="67"/>
      <c r="O10" s="68"/>
      <c r="P10" s="68"/>
      <c r="Q10" s="68"/>
      <c r="AE10" s="4"/>
    </row>
    <row r="11" spans="1:31" ht="15" customHeight="1">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51"/>
      <c r="Q11" s="51"/>
      <c r="T11" s="51"/>
      <c r="U11" s="51"/>
      <c r="V11" s="51"/>
      <c r="W11" s="51"/>
      <c r="X11" s="51"/>
      <c r="Y11" s="51"/>
      <c r="Z11" s="51"/>
      <c r="AA11" s="51"/>
      <c r="AB11" s="51"/>
      <c r="AC11" s="11"/>
      <c r="AE11" s="4"/>
    </row>
    <row r="12" spans="1:31" ht="15" customHeight="1">
      <c r="B12" s="67"/>
      <c r="C12" s="67"/>
      <c r="D12" s="67"/>
      <c r="E12" s="67"/>
      <c r="F12" s="67"/>
      <c r="G12" s="67"/>
      <c r="H12" s="67"/>
      <c r="I12" s="84"/>
      <c r="J12" s="68">
        <v>1</v>
      </c>
      <c r="K12" s="67"/>
      <c r="L12" s="67"/>
      <c r="O12" s="68"/>
      <c r="P12" s="68"/>
      <c r="Q12" s="68"/>
    </row>
    <row r="13" spans="1:31" ht="15" customHeight="1">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O13" s="94">
        <v>0</v>
      </c>
      <c r="P13" s="94"/>
      <c r="Q13" s="94"/>
      <c r="T13" s="50"/>
      <c r="U13" s="50"/>
      <c r="V13" s="50"/>
      <c r="W13" s="50"/>
      <c r="X13" s="50"/>
      <c r="Y13" s="50"/>
      <c r="Z13" s="50"/>
      <c r="AA13" s="50"/>
      <c r="AB13" s="50"/>
      <c r="AC13" s="12"/>
      <c r="AE13" s="4"/>
    </row>
    <row r="14" spans="1:31" ht="15" customHeight="1">
      <c r="B14" s="71" t="str">
        <f>VLOOKUP(901,Sprachindex!$A:$Z,Info!$O$7,FALSE)</f>
        <v>Telefon:</v>
      </c>
      <c r="C14" s="615"/>
      <c r="D14" s="616"/>
      <c r="E14" s="617"/>
      <c r="F14" s="67"/>
      <c r="G14" s="67"/>
      <c r="H14" s="67"/>
      <c r="I14" s="67"/>
      <c r="J14" s="67"/>
      <c r="K14" s="67"/>
      <c r="L14" s="67"/>
      <c r="O14" s="68"/>
      <c r="P14" s="68"/>
      <c r="Q14" s="68"/>
      <c r="AE14" s="4"/>
    </row>
    <row r="15" spans="1:31" ht="15" customHeight="1">
      <c r="B15" s="71" t="str">
        <f>VLOOKUP(1698,Sprachindex!$A:$Z,Info!$O$7,FALSE)</f>
        <v>eMail:</v>
      </c>
      <c r="C15" s="615"/>
      <c r="D15" s="616"/>
      <c r="E15" s="617"/>
      <c r="F15" s="67"/>
      <c r="G15" s="89" t="str">
        <f>VLOOKUP(385,Sprachindex!$A:$Z,Info!$O$7,FALSE)</f>
        <v>Farbe:</v>
      </c>
      <c r="H15" s="67"/>
      <c r="I15" s="67"/>
      <c r="J15" s="67"/>
      <c r="K15" s="67"/>
      <c r="L15" s="67"/>
      <c r="O15" s="68"/>
      <c r="P15" s="68"/>
      <c r="Q15" s="68"/>
      <c r="AE15" s="4"/>
    </row>
    <row r="16" spans="1:31" ht="15" customHeight="1">
      <c r="B16" s="67"/>
      <c r="C16" s="67"/>
      <c r="D16" s="67"/>
      <c r="E16" s="67"/>
      <c r="F16" s="67"/>
      <c r="G16" s="67" t="str">
        <f>VLOOKUP(25,Sprachindex!$A:$Z,Info!$O$7,FALSE)</f>
        <v>01 P.10 Braun</v>
      </c>
      <c r="H16" s="67"/>
      <c r="I16" s="67"/>
      <c r="J16" s="66" t="str">
        <f>VLOOKUP(37,Sprachindex!$A:$Z,Info!$O$7,FALSE)</f>
        <v>07 P.10 Hellgrau</v>
      </c>
      <c r="K16" s="67"/>
      <c r="L16" s="67"/>
      <c r="O16" s="68"/>
      <c r="P16" s="68"/>
      <c r="Q16" s="68"/>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O17" s="68"/>
      <c r="P17" s="68"/>
      <c r="Q17" s="68"/>
      <c r="AD17" s="10"/>
    </row>
    <row r="18" spans="1:57" ht="15" customHeight="1">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O18" s="68"/>
      <c r="P18" s="90"/>
      <c r="Q18" s="90"/>
      <c r="T18" s="14"/>
      <c r="U18" s="14"/>
      <c r="V18" s="14"/>
      <c r="W18" s="14"/>
      <c r="X18" s="14"/>
      <c r="Y18" s="14"/>
      <c r="Z18" s="14"/>
      <c r="AA18" s="14"/>
      <c r="AB18" s="14"/>
      <c r="AE18" s="4"/>
    </row>
    <row r="19" spans="1:57" ht="15" customHeight="1">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O19" s="68"/>
      <c r="P19" s="68"/>
      <c r="Q19" s="68"/>
      <c r="AE19" s="4"/>
    </row>
    <row r="20" spans="1:57" ht="15" customHeight="1">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O20" s="68"/>
      <c r="P20" s="68"/>
      <c r="Q20" s="68"/>
      <c r="AE20" s="4"/>
      <c r="AG20" s="35"/>
      <c r="AH20" s="35"/>
    </row>
    <row r="21" spans="1:57" ht="15" customHeight="1">
      <c r="B21" s="71" t="str">
        <f>VLOOKUP(641,Sprachindex!$A:$Z,Info!$O$7,FALSE)</f>
        <v>Ort:</v>
      </c>
      <c r="C21" s="615"/>
      <c r="D21" s="616"/>
      <c r="E21" s="617"/>
      <c r="F21" s="67"/>
      <c r="G21" s="67" t="str">
        <f>VLOOKUP(35,Sprachindex!$A:$Z,Info!$O$7,FALSE)</f>
        <v>06 P.10 Moosgrün</v>
      </c>
      <c r="H21" s="67"/>
      <c r="I21" s="90"/>
      <c r="J21" s="91"/>
      <c r="K21" s="91"/>
      <c r="L21" s="67"/>
      <c r="O21" s="94">
        <v>0</v>
      </c>
      <c r="P21" s="166"/>
      <c r="Q21" s="166"/>
      <c r="T21" s="51"/>
      <c r="U21" s="51"/>
      <c r="V21" s="51"/>
      <c r="W21" s="51"/>
      <c r="X21" s="51"/>
      <c r="Y21" s="51"/>
      <c r="Z21" s="51"/>
      <c r="AA21" s="51"/>
      <c r="AB21" s="51"/>
      <c r="AE21" s="4"/>
    </row>
    <row r="22" spans="1:57" s="5" customFormat="1" ht="15" customHeight="1">
      <c r="A22" s="1"/>
      <c r="B22" s="71"/>
      <c r="C22" s="67"/>
      <c r="D22" s="67"/>
      <c r="E22" s="67"/>
      <c r="F22" s="71"/>
      <c r="G22" s="67"/>
      <c r="H22" s="67"/>
      <c r="I22" s="90"/>
      <c r="J22" s="67"/>
      <c r="K22" s="67"/>
      <c r="L22" s="67"/>
      <c r="M22" s="67"/>
      <c r="N22" s="67"/>
      <c r="O22" s="68"/>
      <c r="P22" s="68"/>
      <c r="Q22" s="68"/>
      <c r="R22" s="179"/>
      <c r="S22" s="179"/>
      <c r="T22" s="68"/>
      <c r="U22" s="68"/>
      <c r="V22" s="68"/>
      <c r="W22" s="68"/>
      <c r="X22" s="68"/>
      <c r="Y22" s="68"/>
      <c r="Z22" s="68"/>
      <c r="AA22" s="68"/>
      <c r="AB22" s="68"/>
      <c r="AC22" s="52"/>
      <c r="AD22" s="52"/>
      <c r="AE22" s="14"/>
    </row>
    <row r="23" spans="1:57"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68"/>
      <c r="R23" s="179"/>
      <c r="S23" s="179"/>
      <c r="T23" s="68"/>
      <c r="U23" s="68"/>
      <c r="V23" s="68"/>
      <c r="W23" s="68"/>
      <c r="X23" s="68"/>
      <c r="Y23" s="68"/>
      <c r="Z23" s="68"/>
      <c r="AA23" s="68"/>
      <c r="AB23" s="68"/>
      <c r="AC23" s="52"/>
      <c r="AD23" s="52"/>
      <c r="AE23" s="14"/>
    </row>
    <row r="24" spans="1:57" s="5" customFormat="1" ht="15" customHeight="1">
      <c r="A24" s="1"/>
      <c r="B24" s="640" t="str">
        <f>VLOOKUP(1430,Sprachindex!$A:$Z,Info!$O$7,FALSE)</f>
        <v>Beschreibung</v>
      </c>
      <c r="C24" s="615"/>
      <c r="D24" s="616"/>
      <c r="E24" s="617"/>
      <c r="F24" s="67"/>
      <c r="G24" s="83"/>
      <c r="H24" s="71" t="str">
        <f>VLOOKUP(1429,Sprachindex!$A:$Z,Info!$O$7,FALSE)</f>
        <v>Bearbeiter:</v>
      </c>
      <c r="I24" s="415"/>
      <c r="J24" s="67"/>
      <c r="K24" s="67"/>
      <c r="L24" s="67"/>
      <c r="M24" s="67"/>
      <c r="N24" s="67"/>
      <c r="O24" s="68"/>
      <c r="P24" s="68"/>
      <c r="Q24" s="68"/>
      <c r="R24" s="179"/>
      <c r="S24" s="179"/>
      <c r="T24" s="68"/>
      <c r="U24" s="68"/>
      <c r="V24" s="68"/>
      <c r="W24" s="68"/>
      <c r="X24" s="68"/>
      <c r="Y24" s="68"/>
      <c r="Z24" s="68"/>
      <c r="AA24" s="68"/>
      <c r="AB24" s="68"/>
      <c r="AC24" s="52"/>
      <c r="AD24" s="52"/>
      <c r="AE24" s="14"/>
    </row>
    <row r="25" spans="1:57" s="5" customFormat="1" ht="15" customHeight="1">
      <c r="A25" s="1"/>
      <c r="B25" s="640"/>
      <c r="C25" s="615"/>
      <c r="D25" s="616"/>
      <c r="E25" s="617"/>
      <c r="F25" s="67"/>
      <c r="G25" s="83"/>
      <c r="H25" s="71" t="str">
        <f>VLOOKUP(2243,Sprachindex!$A:$Z,Info!$O$7,FALSE)</f>
        <v>Projekt-ID:</v>
      </c>
      <c r="I25" s="415"/>
      <c r="J25" s="67"/>
      <c r="K25" s="67"/>
      <c r="L25" s="67"/>
      <c r="M25" s="67"/>
      <c r="N25" s="67"/>
      <c r="O25" s="68"/>
      <c r="P25" s="68"/>
      <c r="Q25" s="68"/>
      <c r="R25" s="179"/>
      <c r="S25" s="179"/>
      <c r="T25" s="68"/>
      <c r="U25" s="68"/>
      <c r="V25" s="68"/>
      <c r="W25" s="68"/>
      <c r="X25" s="68"/>
      <c r="Y25" s="68"/>
      <c r="Z25" s="68"/>
      <c r="AA25" s="68"/>
      <c r="AB25" s="68"/>
      <c r="AC25" s="52"/>
      <c r="AD25" s="52"/>
      <c r="AE25" s="14"/>
    </row>
    <row r="26" spans="1:57" s="5" customFormat="1" ht="15" customHeight="1">
      <c r="A26" s="1"/>
      <c r="B26" s="640"/>
      <c r="C26" s="615"/>
      <c r="D26" s="616"/>
      <c r="E26" s="617"/>
      <c r="F26" s="67"/>
      <c r="G26" s="83"/>
      <c r="H26" s="71" t="str">
        <f>VLOOKUP(286,Sprachindex!$A:$Z,Info!$O$7,FALSE)</f>
        <v>Datum:</v>
      </c>
      <c r="I26" s="483">
        <f ca="1">TODAY()</f>
        <v>45770</v>
      </c>
      <c r="J26" s="67"/>
      <c r="K26" s="67"/>
      <c r="L26" s="67"/>
      <c r="M26" s="67"/>
      <c r="N26" s="67"/>
      <c r="O26" s="67"/>
      <c r="P26" s="68"/>
      <c r="Q26" s="68"/>
      <c r="R26" s="179"/>
      <c r="S26" s="179"/>
      <c r="T26" s="68"/>
      <c r="U26" s="68"/>
      <c r="V26" s="68"/>
      <c r="W26" s="68"/>
      <c r="X26" s="68"/>
      <c r="Y26" s="68"/>
      <c r="Z26" s="68"/>
      <c r="AA26" s="68"/>
      <c r="AB26" s="68"/>
      <c r="AC26" s="52"/>
      <c r="AD26" s="52"/>
      <c r="AE26" s="14"/>
    </row>
    <row r="27" spans="1:57" s="5" customFormat="1" ht="15" customHeight="1">
      <c r="A27" s="1"/>
      <c r="B27" s="640"/>
      <c r="C27" s="615"/>
      <c r="D27" s="616"/>
      <c r="E27" s="617"/>
      <c r="F27" s="67"/>
      <c r="L27" s="67"/>
      <c r="M27" s="67"/>
      <c r="N27" s="67"/>
      <c r="O27" s="67"/>
      <c r="P27" s="68"/>
      <c r="Q27" s="68"/>
      <c r="R27" s="179"/>
      <c r="S27" s="179"/>
      <c r="T27" s="68"/>
      <c r="U27" s="68"/>
      <c r="V27" s="68"/>
      <c r="W27" s="68"/>
      <c r="X27" s="68"/>
      <c r="Y27" s="68"/>
      <c r="Z27" s="68"/>
      <c r="AA27" s="68"/>
      <c r="AB27" s="68"/>
      <c r="AC27" s="52"/>
      <c r="AD27" s="52"/>
      <c r="AE27" s="14"/>
    </row>
    <row r="28" spans="1:57" ht="15" customHeight="1">
      <c r="B28" s="71"/>
      <c r="C28" s="67"/>
      <c r="D28" s="67"/>
      <c r="E28" s="67"/>
      <c r="F28" s="67"/>
      <c r="G28" s="67"/>
      <c r="H28" s="67"/>
      <c r="I28" s="90"/>
      <c r="J28" s="67"/>
      <c r="K28" s="67"/>
      <c r="L28" s="67"/>
      <c r="O28" s="67"/>
      <c r="P28" s="68"/>
      <c r="Q28" s="68"/>
      <c r="AE28" s="4"/>
    </row>
    <row r="29" spans="1:57" s="67" customFormat="1" ht="15" customHeight="1" thickBot="1">
      <c r="A29" s="95" t="str">
        <f>VLOOKUP(392,Sprachindex!$A:$Z,Info!$O$7,FALSE)</f>
        <v>Filter:</v>
      </c>
      <c r="B29" s="633"/>
      <c r="C29" s="633"/>
      <c r="D29" s="633"/>
      <c r="E29" s="633"/>
      <c r="P29" s="68"/>
      <c r="Q29" s="68"/>
      <c r="R29" s="179"/>
      <c r="S29" s="179"/>
      <c r="T29" s="68"/>
      <c r="U29" s="68"/>
      <c r="V29" s="68"/>
      <c r="W29" s="68"/>
      <c r="X29" s="68"/>
      <c r="Y29" s="68"/>
      <c r="Z29" s="68"/>
      <c r="AA29" s="68"/>
      <c r="AB29" s="68"/>
      <c r="AD29" s="627" t="s">
        <v>25</v>
      </c>
      <c r="AE29" s="627"/>
      <c r="AH29" s="45" t="s">
        <v>26</v>
      </c>
      <c r="AI29" s="13"/>
      <c r="AJ29" s="13"/>
      <c r="AK29" s="13"/>
      <c r="AL29" s="13"/>
      <c r="AM29" s="13"/>
      <c r="AN29" s="1"/>
      <c r="AO29" s="13"/>
      <c r="AP29" s="13"/>
      <c r="AQ29" s="13"/>
      <c r="AR29" s="13"/>
      <c r="AS29" s="13"/>
      <c r="AT29" s="45" t="s">
        <v>27</v>
      </c>
      <c r="AU29" s="13"/>
      <c r="AV29" s="13"/>
      <c r="AW29" s="13"/>
      <c r="AX29" s="13"/>
      <c r="AY29" s="13"/>
      <c r="AZ29" s="13"/>
      <c r="BA29" s="13"/>
      <c r="BB29" s="13"/>
      <c r="BC29" s="46"/>
      <c r="BD29" s="46"/>
      <c r="BE29" s="294"/>
    </row>
    <row r="30" spans="1:57" s="67" customFormat="1"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D30" s="153" t="s">
        <v>30</v>
      </c>
      <c r="AE30" s="153" t="s">
        <v>31</v>
      </c>
      <c r="AH30" s="47" t="s">
        <v>35</v>
      </c>
      <c r="AI30" s="47" t="s">
        <v>32</v>
      </c>
      <c r="AJ30" s="47" t="s">
        <v>40</v>
      </c>
      <c r="AK30" s="47" t="s">
        <v>37</v>
      </c>
      <c r="AL30" s="47" t="s">
        <v>33</v>
      </c>
      <c r="AM30" s="47" t="s">
        <v>39</v>
      </c>
      <c r="AN30" s="47"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20" t="s">
        <v>38962</v>
      </c>
      <c r="BE30" s="503" t="s">
        <v>39049</v>
      </c>
    </row>
    <row r="31" spans="1:57" ht="32.1" customHeight="1">
      <c r="A31" s="93"/>
      <c r="B31" s="74" t="str">
        <f>VLOOKUP(588,Sprachindex!$A:$Z,Info!$O$7,FALSE)</f>
        <v>m²</v>
      </c>
      <c r="C31" s="97" t="e" vm="76">
        <v>#VALUE!</v>
      </c>
      <c r="D31" s="73" t="str">
        <f>IF($O$9=1,BE31,IF($O$9=2,AS31,""))</f>
        <v/>
      </c>
      <c r="E31" s="637" t="str">
        <f>VLOOKUP(273,Sprachindex!$A:$Z,Info!$O$7,FALSE)</f>
        <v>Dachschindel</v>
      </c>
      <c r="F31" s="638"/>
      <c r="G31" s="638"/>
      <c r="H31" s="638"/>
      <c r="I31" s="638"/>
      <c r="J31" s="638"/>
      <c r="K31" s="639"/>
      <c r="L31" s="74" t="str">
        <f>IF(A31=0,"",IF($O$11=1,AD31,AE31))</f>
        <v/>
      </c>
      <c r="M31" s="398" t="str">
        <f>B31</f>
        <v>m²</v>
      </c>
      <c r="N31" s="403"/>
      <c r="O31" s="184" t="str">
        <f>IF(ISNUMBER(A31), IF(O21=7, $L31*S31, $L31*R31), "")</f>
        <v/>
      </c>
      <c r="R31" s="182">
        <v>40.630000000000003</v>
      </c>
      <c r="S31" s="182">
        <v>41.68</v>
      </c>
      <c r="AC31" s="1"/>
      <c r="AD31" s="154">
        <f>ROUNDUP($A31/10,0)*10</f>
        <v>0</v>
      </c>
      <c r="AE31" s="155">
        <f>ROUNDUP($A31/1,0)*1</f>
        <v>0</v>
      </c>
      <c r="AH31" s="433">
        <v>110703</v>
      </c>
      <c r="AI31" s="433">
        <v>110720</v>
      </c>
      <c r="AJ31" s="433">
        <v>110728</v>
      </c>
      <c r="AK31" s="433">
        <v>110725</v>
      </c>
      <c r="AL31" s="433">
        <v>110721</v>
      </c>
      <c r="AM31" s="433">
        <v>110727</v>
      </c>
      <c r="AN31" s="433">
        <v>110722</v>
      </c>
      <c r="AO31" s="433">
        <v>110726</v>
      </c>
      <c r="AP31" s="433">
        <v>110729</v>
      </c>
      <c r="AQ31" s="433">
        <v>110724</v>
      </c>
      <c r="AR31" s="433">
        <v>10511028</v>
      </c>
      <c r="AS31" s="504" t="e" vm="2">
        <f>VLOOKUP(AH31,AH31:AR31,$O$21,FALSE)</f>
        <v>#VALUE!</v>
      </c>
      <c r="AT31" s="432">
        <v>110733</v>
      </c>
      <c r="AU31" s="432">
        <v>110730</v>
      </c>
      <c r="AV31" s="432">
        <v>110738</v>
      </c>
      <c r="AW31" s="432">
        <v>110735</v>
      </c>
      <c r="AX31" s="432">
        <v>110731</v>
      </c>
      <c r="AY31" s="432">
        <v>110737</v>
      </c>
      <c r="AZ31" s="432">
        <v>110732</v>
      </c>
      <c r="BA31" s="432">
        <v>110736</v>
      </c>
      <c r="BB31" s="432">
        <v>110739</v>
      </c>
      <c r="BC31" s="432">
        <v>110734</v>
      </c>
      <c r="BD31" s="432">
        <v>10521028</v>
      </c>
      <c r="BE31" s="504" t="e" vm="2">
        <f>VLOOKUP(AT31,AT31:BD31,$O$21,FALSE)</f>
        <v>#VALUE!</v>
      </c>
    </row>
    <row r="32" spans="1:57" ht="32.1" customHeight="1">
      <c r="A32" s="93"/>
      <c r="B32" s="76" t="str">
        <f>VLOOKUP(878,Sprachindex!$A:$Z,Info!$O$7,FALSE)</f>
        <v>Stk.</v>
      </c>
      <c r="C32" s="75" t="e" vm="77">
        <v>#VALUE!</v>
      </c>
      <c r="D32" s="75" t="str">
        <f>IF($O$9=1,BE32,IF($O$9=2,AS32,""))</f>
        <v/>
      </c>
      <c r="E32" s="618" t="str">
        <f>VLOOKUP(650,Sprachindex!$A:$Z,Info!$O$7,FALSE)</f>
        <v>Passschindel für Anschlüsse (840 × 240 mm)</v>
      </c>
      <c r="F32" s="619"/>
      <c r="G32" s="619"/>
      <c r="H32" s="619"/>
      <c r="I32" s="619"/>
      <c r="J32" s="619"/>
      <c r="K32" s="620"/>
      <c r="L32" s="76" t="str">
        <f>IF(A32=0,"",IF($O$11=1,AD32,AE32))</f>
        <v/>
      </c>
      <c r="M32" s="399" t="str">
        <f t="shared" ref="M32:M79" si="0">B32</f>
        <v>Stk.</v>
      </c>
      <c r="N32" s="77"/>
      <c r="O32" s="184" t="str">
        <f>IF(ISNUMBER(A32), IF(O21=7, $L32*S32, $L32*R32), "")</f>
        <v/>
      </c>
      <c r="R32" s="182">
        <v>12.02</v>
      </c>
      <c r="S32" s="179">
        <v>12.45</v>
      </c>
      <c r="AC32" s="1"/>
      <c r="AD32" s="139">
        <f>ROUNDUP($A32/10,0)*10</f>
        <v>0</v>
      </c>
      <c r="AE32" s="139">
        <f>ROUNDUP($A32,0)</f>
        <v>0</v>
      </c>
      <c r="AH32" s="433">
        <v>110743</v>
      </c>
      <c r="AI32" s="433">
        <v>110740</v>
      </c>
      <c r="AJ32" s="433">
        <v>110748</v>
      </c>
      <c r="AK32" s="433">
        <v>110745</v>
      </c>
      <c r="AL32" s="433">
        <v>110741</v>
      </c>
      <c r="AM32" s="433">
        <v>110747</v>
      </c>
      <c r="AN32" s="433">
        <v>110742</v>
      </c>
      <c r="AO32" s="433">
        <v>110746</v>
      </c>
      <c r="AP32" s="433">
        <v>110749</v>
      </c>
      <c r="AQ32" s="433">
        <v>110744</v>
      </c>
      <c r="AR32" s="433">
        <v>15431028</v>
      </c>
      <c r="AS32" s="504" t="e" vm="2">
        <f>VLOOKUP(AH32,AH32:AR32,$O$21,FALSE)</f>
        <v>#VALUE!</v>
      </c>
      <c r="AT32" s="432">
        <v>110753</v>
      </c>
      <c r="AU32" s="432">
        <v>110750</v>
      </c>
      <c r="AV32" s="432">
        <v>110758</v>
      </c>
      <c r="AW32" s="432">
        <v>110755</v>
      </c>
      <c r="AX32" s="432">
        <v>110751</v>
      </c>
      <c r="AY32" s="432">
        <v>110757</v>
      </c>
      <c r="AZ32" s="432">
        <v>110752</v>
      </c>
      <c r="BA32" s="432">
        <v>110756</v>
      </c>
      <c r="BB32" s="432">
        <v>110759</v>
      </c>
      <c r="BC32" s="432">
        <v>110754</v>
      </c>
      <c r="BD32" s="432">
        <v>15441028</v>
      </c>
      <c r="BE32" s="504" t="e" vm="2">
        <f>VLOOKUP(AT32,AT32:BD32,$O$21,FALSE)</f>
        <v>#VALUE!</v>
      </c>
    </row>
    <row r="33" spans="1:57" ht="32.1" customHeight="1">
      <c r="A33" s="93"/>
      <c r="B33" s="76" t="str">
        <f>VLOOKUP(878,Sprachindex!$A:$Z,Info!$O$7,FALSE)</f>
        <v>Stk.</v>
      </c>
      <c r="C33" s="75" t="e" vm="78">
        <v>#VALUE!</v>
      </c>
      <c r="D33" s="75">
        <v>505001</v>
      </c>
      <c r="E33" s="618" t="str">
        <f>VLOOKUP(652,Sprachindex!$A:$Z,Info!$O$7,FALSE)</f>
        <v>Patenthaft für Dachplatte und Dachschindel</v>
      </c>
      <c r="F33" s="619"/>
      <c r="G33" s="619"/>
      <c r="H33" s="619"/>
      <c r="I33" s="619"/>
      <c r="J33" s="619"/>
      <c r="K33" s="620"/>
      <c r="L33" s="76" t="str">
        <f>IF(A33=0,"",IF($O$11=1,AD33,AE33))</f>
        <v/>
      </c>
      <c r="M33" s="399" t="str">
        <f t="shared" si="0"/>
        <v>Stk.</v>
      </c>
      <c r="N33" s="77"/>
      <c r="O33" s="184" t="str">
        <f>IF(ISNUMBER(A33),$L33*R33, "")</f>
        <v/>
      </c>
      <c r="R33" s="182">
        <v>0.03</v>
      </c>
      <c r="AC33" s="1"/>
      <c r="AD33" s="139">
        <f>ROUNDUP($A33/840,0)*840</f>
        <v>0</v>
      </c>
      <c r="AE33" s="139">
        <f>ROUNDUP($A33,0)</f>
        <v>0</v>
      </c>
    </row>
    <row r="34" spans="1:57" ht="32.1" customHeight="1">
      <c r="A34" s="93"/>
      <c r="B34" s="76" t="str">
        <f>VLOOKUP(1433,Sprachindex!$A:$Z,Info!$O$7,FALSE)</f>
        <v>Magazin</v>
      </c>
      <c r="C34" s="75" t="e" vm="6">
        <v>#VALUE!</v>
      </c>
      <c r="D34" s="75">
        <v>505004</v>
      </c>
      <c r="E34" s="618" t="str">
        <f>VLOOKUP(449,Sprachindex!$A:$Z,Info!$O$7,FALSE)</f>
        <v>Haftemagazin zum Nachladen für Bull-Tack-Nagler 80 Stk./Haftemagazin; 30 Mag./Karton</v>
      </c>
      <c r="F34" s="619"/>
      <c r="G34" s="619"/>
      <c r="H34" s="619"/>
      <c r="I34" s="619"/>
      <c r="J34" s="619"/>
      <c r="K34" s="620"/>
      <c r="L34" s="76" t="str">
        <f>IF(A34=0,"",IF($P$11=1,AD34, AE34))</f>
        <v/>
      </c>
      <c r="M34" s="161" t="str">
        <f>VLOOKUP(1433,Sprachindex!$A:$Z,Info!$O$7,FALSE)</f>
        <v>Magazin</v>
      </c>
      <c r="N34" s="77"/>
      <c r="O34" s="184" t="str">
        <f>IF(ISNUMBER(A34),$L34*R34, "")</f>
        <v/>
      </c>
      <c r="P34" s="267"/>
      <c r="R34" s="182">
        <v>5.54</v>
      </c>
      <c r="T34" s="179"/>
      <c r="U34" s="179"/>
      <c r="V34" s="179"/>
      <c r="W34" s="179"/>
      <c r="X34" s="179"/>
      <c r="Y34" s="179"/>
      <c r="Z34" s="179"/>
      <c r="AA34" s="179"/>
      <c r="AB34" s="179"/>
      <c r="AC34" s="129"/>
      <c r="AD34" s="138">
        <f>ROUNDUP($A34/30,0)*30</f>
        <v>0</v>
      </c>
      <c r="AE34" s="138">
        <f>ROUNDUP($A34,0)</f>
        <v>0</v>
      </c>
      <c r="AF34" s="135" t="str">
        <f>IF(A34&gt;1,Formeln!A119,IF(A34=1,Formeln!A120,""))</f>
        <v/>
      </c>
    </row>
    <row r="35" spans="1:57" ht="32.1" customHeight="1">
      <c r="A35" s="93"/>
      <c r="B35" s="76" t="str">
        <f>VLOOKUP(1512,Sprachindex!$A:$Z,Info!$O$7,FALSE)</f>
        <v>lfm</v>
      </c>
      <c r="C35" s="75" t="e" vm="79">
        <v>#VALUE!</v>
      </c>
      <c r="D35" s="79">
        <v>562005</v>
      </c>
      <c r="E35" s="618" t="str">
        <f>VLOOKUP(768,Sprachindex!$A:$Z,Info!$O$7,FALSE)</f>
        <v>Saumstreifen (1.800 × 158 × 1,00 mm)</v>
      </c>
      <c r="F35" s="619"/>
      <c r="G35" s="619"/>
      <c r="H35" s="619"/>
      <c r="I35" s="619"/>
      <c r="J35" s="619"/>
      <c r="K35" s="620"/>
      <c r="L35" s="76" t="str">
        <f>IF(A35=0,"",IF($O$11=1,AD35,AE35))</f>
        <v/>
      </c>
      <c r="M35" s="399" t="str">
        <f t="shared" si="0"/>
        <v>lfm</v>
      </c>
      <c r="N35" s="77"/>
      <c r="O35" s="184" t="str">
        <f>IF(ISNUMBER(A35),$L35*R35, "")</f>
        <v/>
      </c>
      <c r="R35" s="182">
        <v>6.74</v>
      </c>
      <c r="AC35" s="1"/>
      <c r="AD35" s="137">
        <f>ROUNDUP($A35/1.8,0)*1.8</f>
        <v>0</v>
      </c>
      <c r="AE35" s="137">
        <f>ROUNDUP($A35/1.8,0)*1.8</f>
        <v>0</v>
      </c>
    </row>
    <row r="36" spans="1:57" ht="32.1" customHeight="1">
      <c r="A36" s="93"/>
      <c r="B36" s="76" t="str">
        <f>VLOOKUP(531,Sprachindex!$A:$Z,Info!$O$7,FALSE)</f>
        <v>kg</v>
      </c>
      <c r="C36" s="75" t="e" vm="80">
        <v>#VALUE!</v>
      </c>
      <c r="D36" s="75" t="str">
        <f>IF(H36=Formeln!A2,340392,IF(H36=Formeln!A3,340394,IF(H36=Formeln!A4,341392,"")))</f>
        <v/>
      </c>
      <c r="E36" s="618" t="str">
        <f>VLOOKUP(707,Sprachindex!$A:$Z,Info!$O$7,FALSE)</f>
        <v>Rillennagel (verzinkt)</v>
      </c>
      <c r="F36" s="619"/>
      <c r="G36" s="619"/>
      <c r="H36" s="624"/>
      <c r="I36" s="625"/>
      <c r="J36" s="625"/>
      <c r="K36" s="626"/>
      <c r="L36" s="76" t="str">
        <f>IF(A36=0,"",IF(H36=Formeln!$A$1,"",IF($O$11=1,AD36,AE36)))</f>
        <v/>
      </c>
      <c r="M36" s="399" t="str">
        <f t="shared" si="0"/>
        <v>kg</v>
      </c>
      <c r="N36" s="77"/>
      <c r="O36" s="184" t="str">
        <f>IF(ISNUMBER(A36),$L36*R36, "")</f>
        <v/>
      </c>
      <c r="R36" s="182">
        <v>9.6300000000000008</v>
      </c>
      <c r="T36" s="179"/>
      <c r="AC36" s="1"/>
      <c r="AD36" s="138">
        <f>IF(OR($H36=Formeln!$A$2,$H36=Formeln!$A$3),ROUNDUP($A36/2.5,0)*2.5,ROUNDUP($A36/2,0)*2)</f>
        <v>0</v>
      </c>
      <c r="AE36" s="138">
        <f>ROUNDUP($A36,2)</f>
        <v>0</v>
      </c>
      <c r="AF36" s="6">
        <f>IF(H36=Formeln!A2,570,IF(H36=Formeln!A3,480,IF(H36=Formeln!A4,380,0)))</f>
        <v>0</v>
      </c>
    </row>
    <row r="37" spans="1:57" ht="32.1" customHeight="1">
      <c r="A37" s="93"/>
      <c r="B37" s="76" t="str">
        <f>IF(A37&lt;2,VLOOKUP(748,Sprachindex!$A:$Z,Info!$O$7,FALSE),VLOOKUP(749,Sprachindex!$A:$Z,Info!$O$7,FALSE))</f>
        <v>Rolle</v>
      </c>
      <c r="C37" s="75" t="e" vm="8">
        <v>#VALUE!</v>
      </c>
      <c r="D37" s="78" t="str">
        <f>IF(H37=Formeln!$A$6,341395,IF(H37=Formeln!$A$7,341396,IF(H37=Formeln!$A$8,341398,"")))</f>
        <v/>
      </c>
      <c r="E37" s="618" t="str">
        <f>VLOOKUP(2186,Sprachindex!$A:$Z,Info!$O$7,FALSE)</f>
        <v>Rillennägel gebunden</v>
      </c>
      <c r="F37" s="619"/>
      <c r="G37" s="619"/>
      <c r="H37" s="624"/>
      <c r="I37" s="625"/>
      <c r="J37" s="625"/>
      <c r="K37" s="626"/>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P37" s="267"/>
      <c r="R37" s="182">
        <v>31.5</v>
      </c>
      <c r="S37" s="182">
        <v>47.3</v>
      </c>
      <c r="T37" s="582">
        <v>66.3</v>
      </c>
      <c r="U37" s="179"/>
      <c r="V37" s="179"/>
      <c r="W37" s="179"/>
      <c r="X37" s="179"/>
      <c r="Y37" s="179"/>
      <c r="Z37" s="179"/>
      <c r="AA37" s="179"/>
      <c r="AB37" s="179"/>
      <c r="AC37" s="179" t="b">
        <f>IF(OR(H37=Formeln!$A$6,H37=Formeln!$A$8),A37*3200,IF(H37=Formeln!$A$7,A37*2400))</f>
        <v>0</v>
      </c>
      <c r="AD37" s="138">
        <f>IF(OR($H37=Formeln!$A$6,$H37=Formeln!$A$8),ROUNDUP($A37/3200,0)*3200,ROUNDUP($A37/2400,0)*2400)</f>
        <v>0</v>
      </c>
      <c r="AE37" s="139">
        <f>ROUNDUP($A37/1000,0)*1000</f>
        <v>0</v>
      </c>
      <c r="AF37" s="140">
        <f>IF($H37=Formeln!$A$7,2400,3200)</f>
        <v>3200</v>
      </c>
      <c r="AH37" s="47" t="s">
        <v>35</v>
      </c>
      <c r="AI37" s="47" t="s">
        <v>32</v>
      </c>
      <c r="AJ37" s="47" t="s">
        <v>40</v>
      </c>
      <c r="AK37" s="47" t="s">
        <v>37</v>
      </c>
      <c r="AL37" s="47" t="s">
        <v>33</v>
      </c>
      <c r="AM37" s="47" t="s">
        <v>39</v>
      </c>
      <c r="AN37" s="47" t="s">
        <v>34</v>
      </c>
      <c r="AO37" s="47" t="s">
        <v>38</v>
      </c>
      <c r="AP37" s="47" t="s">
        <v>41</v>
      </c>
      <c r="AQ37" s="47" t="s">
        <v>36</v>
      </c>
      <c r="AR37" s="47" t="s">
        <v>38962</v>
      </c>
      <c r="AS37" s="503" t="s">
        <v>39049</v>
      </c>
    </row>
    <row r="38" spans="1:57" ht="32.1" customHeight="1">
      <c r="A38" s="93"/>
      <c r="B38" s="76" t="str">
        <f>VLOOKUP(1512,Sprachindex!$A:$Z,Info!$O$7,FALSE)</f>
        <v>lfm</v>
      </c>
      <c r="C38" s="75" t="e" vm="81">
        <v>#VALUE!</v>
      </c>
      <c r="D38" s="75" t="str">
        <f>IF(ISNUMBER(A38),AS38,"")</f>
        <v/>
      </c>
      <c r="E38" s="618" t="str">
        <f>VLOOKUP(333,Sprachindex!$A:$Z,Info!$O$7,FALSE)</f>
        <v>Einlaufblech</v>
      </c>
      <c r="F38" s="619"/>
      <c r="G38" s="619"/>
      <c r="H38" s="619"/>
      <c r="I38" s="619"/>
      <c r="J38" s="619"/>
      <c r="K38" s="620"/>
      <c r="L38" s="76" t="str">
        <f>IF(A38=0,"",IF($O$11=1,AD38,AE38))</f>
        <v/>
      </c>
      <c r="M38" s="399" t="str">
        <f t="shared" si="0"/>
        <v>lfm</v>
      </c>
      <c r="N38" s="77"/>
      <c r="O38" s="184" t="str">
        <f>IF(ISNUMBER(A38),$L38*R38, "")</f>
        <v/>
      </c>
      <c r="R38" s="182">
        <v>8.91</v>
      </c>
      <c r="T38" s="179"/>
      <c r="AC38" s="129"/>
      <c r="AD38" s="139">
        <f>ROUNDUP($A38/2,0)*2</f>
        <v>0</v>
      </c>
      <c r="AE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VLOOKUP(AH38,AH38:AR38,$O$21,FALSE)</f>
        <v>#VALUE!</v>
      </c>
    </row>
    <row r="39" spans="1:57" ht="32.1" customHeight="1">
      <c r="A39" s="93"/>
      <c r="B39" s="76" t="str">
        <f>VLOOKUP(1512,Sprachindex!$A:$Z,Info!$O$7,FALSE)</f>
        <v>lfm</v>
      </c>
      <c r="C39" s="79" t="e" vm="82">
        <v>#VALUE!</v>
      </c>
      <c r="D39" s="79" t="str">
        <f>IF(H39=Formeln!A10,507403,IF(H39=Formeln!A11,507404,IF(H39=Formeln!A12,507402,IF(H39=Formeln!A13,507405,IF(H39=Formeln!A14,507412,IF(H39=Formeln!A15,507413,""))))))</f>
        <v/>
      </c>
      <c r="E39" s="618" t="str">
        <f>VLOOKUP(586,Sprachindex!$A:$Z,Info!$O$7,FALSE)</f>
        <v>Lüftungsband</v>
      </c>
      <c r="F39" s="619"/>
      <c r="G39" s="619"/>
      <c r="H39" s="624"/>
      <c r="I39" s="625"/>
      <c r="J39" s="625"/>
      <c r="K39" s="626"/>
      <c r="L39" s="76" t="str">
        <f>IF($H39=Formeln!$A$9," ",IF(A39=0,"",IF($O$11=1,AD39,AE39)))</f>
        <v xml:space="preserve"> </v>
      </c>
      <c r="M39" s="399" t="str">
        <f t="shared" si="0"/>
        <v>lfm</v>
      </c>
      <c r="N39" s="77"/>
      <c r="O39" s="184" t="str">
        <f>IF(ISNUMBER(A39), IF(OR(H39=Formeln!$A$10,H39=Formeln!$A$11), $L39*R39, $L39*S39), "")</f>
        <v/>
      </c>
      <c r="R39" s="182">
        <v>13.63</v>
      </c>
      <c r="S39" s="182">
        <v>21.91</v>
      </c>
      <c r="T39" s="179"/>
      <c r="AC39" s="1"/>
      <c r="AD39" s="139">
        <f>ROUNDUP($A39/40,0)*40</f>
        <v>0</v>
      </c>
      <c r="AE39" s="139">
        <f>$A39</f>
        <v>0</v>
      </c>
      <c r="AH39" s="661" t="s">
        <v>26</v>
      </c>
      <c r="AI39" s="661"/>
      <c r="AJ39" s="661"/>
      <c r="AK39" s="661"/>
      <c r="AL39" s="661"/>
      <c r="AM39" s="661"/>
      <c r="AN39" s="661"/>
      <c r="AO39" s="661"/>
      <c r="AP39" s="661"/>
      <c r="AQ39" s="661"/>
      <c r="AR39" s="661"/>
      <c r="AS39" s="49"/>
      <c r="AT39" s="662" t="s">
        <v>27</v>
      </c>
      <c r="AU39" s="662"/>
      <c r="AV39" s="662"/>
      <c r="AW39" s="662"/>
      <c r="AX39" s="662"/>
      <c r="AY39" s="662"/>
      <c r="AZ39" s="662"/>
      <c r="BA39" s="662"/>
      <c r="BB39" s="662"/>
      <c r="BC39" s="662"/>
      <c r="BD39" s="662"/>
    </row>
    <row r="40" spans="1:57" ht="31.95" customHeight="1">
      <c r="A40" s="93"/>
      <c r="B40" s="76" t="str">
        <f>VLOOKUP(1512,Sprachindex!$A:$Z,Info!$O$7,FALSE)</f>
        <v>lfm</v>
      </c>
      <c r="C40" s="75" t="e" vm="83">
        <v>#VALUE!</v>
      </c>
      <c r="D40" s="75">
        <v>507300</v>
      </c>
      <c r="E40" s="618" t="str">
        <f>VLOOKUP(986,Sprachindex!$A:$Z,Info!$O$7,FALSE)</f>
        <v>Vogelschutzgitter (Braun/Anthrazit; 125 × 2.000 × 0,7 mm)</v>
      </c>
      <c r="F40" s="619"/>
      <c r="G40" s="619"/>
      <c r="H40" s="619"/>
      <c r="I40" s="619"/>
      <c r="J40" s="619"/>
      <c r="K40" s="620"/>
      <c r="L40" s="76" t="str">
        <f t="shared" ref="L40:L47" si="1">IF(A40=0,"",IF($O$11=1,AD40,AE40))</f>
        <v/>
      </c>
      <c r="M40" s="399" t="str">
        <f t="shared" si="0"/>
        <v>lfm</v>
      </c>
      <c r="N40" s="77"/>
      <c r="O40" s="184" t="str">
        <f t="shared" ref="O40:O47" si="2">IF(ISNUMBER(A40),$L40*R40, "")</f>
        <v/>
      </c>
      <c r="R40" s="182">
        <v>4.13</v>
      </c>
      <c r="T40" s="179"/>
      <c r="AC40" s="1"/>
      <c r="AD40" s="139">
        <f>ROUNDUP($A40/2,0)*2</f>
        <v>0</v>
      </c>
      <c r="AE40" s="139">
        <f>ROUNDUP($A40/2,0)*2</f>
        <v>0</v>
      </c>
      <c r="AH40" s="47" t="s">
        <v>35</v>
      </c>
      <c r="AI40" s="47" t="s">
        <v>32</v>
      </c>
      <c r="AJ40" s="47" t="s">
        <v>40</v>
      </c>
      <c r="AK40" s="47" t="s">
        <v>37</v>
      </c>
      <c r="AL40" s="47" t="s">
        <v>33</v>
      </c>
      <c r="AM40" s="47" t="s">
        <v>39</v>
      </c>
      <c r="AN40" s="47" t="s">
        <v>34</v>
      </c>
      <c r="AO40" s="47" t="s">
        <v>38</v>
      </c>
      <c r="AP40" s="47" t="s">
        <v>41</v>
      </c>
      <c r="AQ40" s="47" t="s">
        <v>36</v>
      </c>
      <c r="AR40" s="47" t="s">
        <v>38962</v>
      </c>
      <c r="AS40" s="503" t="s">
        <v>39049</v>
      </c>
      <c r="AT40" s="47" t="s">
        <v>35</v>
      </c>
      <c r="AU40" s="47" t="s">
        <v>32</v>
      </c>
      <c r="AV40" s="47" t="s">
        <v>40</v>
      </c>
      <c r="AW40" s="47" t="s">
        <v>37</v>
      </c>
      <c r="AX40" s="47" t="s">
        <v>33</v>
      </c>
      <c r="AY40" s="47" t="s">
        <v>39</v>
      </c>
      <c r="AZ40" s="47" t="s">
        <v>34</v>
      </c>
      <c r="BA40" s="47" t="s">
        <v>38</v>
      </c>
      <c r="BB40" s="47" t="s">
        <v>41</v>
      </c>
      <c r="BC40" s="47" t="s">
        <v>36</v>
      </c>
      <c r="BD40" s="47" t="s">
        <v>38962</v>
      </c>
      <c r="BE40" s="503" t="s">
        <v>39049</v>
      </c>
    </row>
    <row r="41" spans="1:57" ht="32.1" customHeight="1">
      <c r="A41" s="93"/>
      <c r="B41" s="76" t="str">
        <f>VLOOKUP(1512,Sprachindex!$A:$Z,Info!$O$7,FALSE)</f>
        <v>lfm</v>
      </c>
      <c r="C41" s="75" t="e" vm="84">
        <v>#VALUE!</v>
      </c>
      <c r="D41" s="75" t="str">
        <f t="shared" ref="D41:D47" si="3">IF($O$9=1,BE41,IF($O$9=2,AS41,""))</f>
        <v/>
      </c>
      <c r="E41" s="618" t="str">
        <f>VLOOKUP(647,Sprachindex!$A:$Z,Info!$O$7,FALSE)</f>
        <v>Ortgangstreifen (95 × 2.000 × 0,70 mm)</v>
      </c>
      <c r="F41" s="619"/>
      <c r="G41" s="619"/>
      <c r="H41" s="619"/>
      <c r="I41" s="619"/>
      <c r="J41" s="619"/>
      <c r="K41" s="620"/>
      <c r="L41" s="76" t="str">
        <f t="shared" si="1"/>
        <v/>
      </c>
      <c r="M41" s="399" t="str">
        <f t="shared" si="0"/>
        <v>lfm</v>
      </c>
      <c r="N41" s="77"/>
      <c r="O41" s="184" t="str">
        <f t="shared" si="2"/>
        <v/>
      </c>
      <c r="R41" s="182">
        <v>9.86</v>
      </c>
      <c r="T41" s="179"/>
      <c r="AC41" s="1"/>
      <c r="AD41" s="139">
        <f>ROUNDUP($A41/2,0)*2</f>
        <v>0</v>
      </c>
      <c r="AE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 t="shared" ref="AS41:AS52" si="4">VLOOKUP(AH41,AH41:AR41,$O$21,FALSE)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 t="shared" ref="BE41:BE47" si="5">VLOOKUP(AT41,AT41:BD41,$O$21,FALSE)</f>
        <v>#VALUE!</v>
      </c>
    </row>
    <row r="42" spans="1:57" ht="32.1" customHeight="1">
      <c r="A42" s="93"/>
      <c r="B42" s="76" t="str">
        <f>VLOOKUP(1512,Sprachindex!$A:$Z,Info!$O$7,FALSE)</f>
        <v>lfm</v>
      </c>
      <c r="C42" s="75" t="e" vm="85">
        <v>#VALUE!</v>
      </c>
      <c r="D42" s="75" t="str">
        <f t="shared" si="3"/>
        <v/>
      </c>
      <c r="E42" s="618" t="str">
        <f>VLOOKUP(825,Sprachindex!$A:$Z,Info!$O$7,FALSE)</f>
        <v>Sicherheitskehle (stucco; Länge: 3.000 mm)</v>
      </c>
      <c r="F42" s="619"/>
      <c r="G42" s="619"/>
      <c r="H42" s="619"/>
      <c r="I42" s="619"/>
      <c r="J42" s="619"/>
      <c r="K42" s="620"/>
      <c r="L42" s="76" t="str">
        <f t="shared" si="1"/>
        <v/>
      </c>
      <c r="M42" s="399" t="str">
        <f t="shared" si="0"/>
        <v>lfm</v>
      </c>
      <c r="N42" s="77"/>
      <c r="O42" s="184" t="str">
        <f t="shared" si="2"/>
        <v/>
      </c>
      <c r="R42" s="182">
        <v>33.1</v>
      </c>
      <c r="T42" s="179"/>
      <c r="AC42" s="1"/>
      <c r="AD42" s="139">
        <f>ROUNDUP($A42/3,0)*3</f>
        <v>0</v>
      </c>
      <c r="AE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si="4"/>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si="5"/>
        <v>#VALUE!</v>
      </c>
    </row>
    <row r="43" spans="1:57" ht="32.1" customHeight="1">
      <c r="A43" s="93"/>
      <c r="B43" s="76" t="str">
        <f>VLOOKUP(1512,Sprachindex!$A:$Z,Info!$O$7,FALSE)</f>
        <v>lfm</v>
      </c>
      <c r="C43" s="75" t="e" vm="86">
        <v>#VALUE!</v>
      </c>
      <c r="D43" s="75" t="str">
        <f t="shared" si="3"/>
        <v/>
      </c>
      <c r="E43" s="618" t="str">
        <f>VLOOKUP(440,Sprachindex!$A:$Z,Info!$O$7,FALSE)</f>
        <v>Grat- und Firstreiter (500 × 1,00 mm; stucco) inkl. Niro-Schraube 4,5 × 45 mm und Dichtscheibe</v>
      </c>
      <c r="F43" s="619"/>
      <c r="G43" s="619"/>
      <c r="H43" s="619"/>
      <c r="I43" s="619"/>
      <c r="J43" s="619"/>
      <c r="K43" s="620"/>
      <c r="L43" s="76" t="str">
        <f t="shared" si="1"/>
        <v/>
      </c>
      <c r="M43" s="399" t="str">
        <f t="shared" si="0"/>
        <v>lfm</v>
      </c>
      <c r="N43" s="77"/>
      <c r="O43" s="184" t="str">
        <f t="shared" si="2"/>
        <v/>
      </c>
      <c r="R43" s="182">
        <v>15.21</v>
      </c>
      <c r="AC43" s="1"/>
      <c r="AD43" s="139">
        <f>ROUNDUP($A43/10,0)*10</f>
        <v>0</v>
      </c>
      <c r="AE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4"/>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5"/>
        <v>#VALUE!</v>
      </c>
    </row>
    <row r="44" spans="1:57" ht="32.1" customHeight="1">
      <c r="A44" s="93"/>
      <c r="B44" s="76" t="str">
        <f>VLOOKUP(878,Sprachindex!$A:$Z,Info!$O$7,FALSE)</f>
        <v>Stk.</v>
      </c>
      <c r="C44" s="75"/>
      <c r="D44" s="75" t="str">
        <f t="shared" si="3"/>
        <v/>
      </c>
      <c r="E44" s="618" t="str">
        <f>VLOOKUP(441,Sprachindex!$A:$Z,Info!$O$7,FALSE)</f>
        <v>Gratreitervorkopf (stucco)</v>
      </c>
      <c r="F44" s="619"/>
      <c r="G44" s="619"/>
      <c r="H44" s="619"/>
      <c r="I44" s="619"/>
      <c r="J44" s="619"/>
      <c r="K44" s="620"/>
      <c r="L44" s="76" t="str">
        <f t="shared" si="1"/>
        <v/>
      </c>
      <c r="M44" s="399" t="str">
        <f t="shared" si="0"/>
        <v>Stk.</v>
      </c>
      <c r="N44" s="77"/>
      <c r="O44" s="184" t="str">
        <f t="shared" si="2"/>
        <v/>
      </c>
      <c r="R44" s="182">
        <v>8.26</v>
      </c>
      <c r="AC44" s="1"/>
      <c r="AD44" s="139">
        <f>ROUNDUP($A44/10,0)*10</f>
        <v>0</v>
      </c>
      <c r="AE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4"/>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5"/>
        <v>#VALUE!</v>
      </c>
    </row>
    <row r="45" spans="1:57" ht="32.1" customHeight="1">
      <c r="A45" s="93"/>
      <c r="B45" s="76" t="str">
        <f>VLOOKUP(1512,Sprachindex!$A:$Z,Info!$O$7,FALSE)</f>
        <v>lfm</v>
      </c>
      <c r="C45" s="75" t="e" vm="87">
        <v>#VALUE!</v>
      </c>
      <c r="D45" s="75" t="str">
        <f t="shared" si="3"/>
        <v/>
      </c>
      <c r="E45" s="618" t="str">
        <f>VLOOKUP(501,Sprachindex!$A:$Z,Info!$O$7,FALSE)</f>
        <v>Jet-Lüfter (stucco; 1.200 mm); inkl. Niro-Schraube und Dichtscheibe</v>
      </c>
      <c r="F45" s="619"/>
      <c r="G45" s="619"/>
      <c r="H45" s="619"/>
      <c r="I45" s="619"/>
      <c r="J45" s="619"/>
      <c r="K45" s="620"/>
      <c r="L45" s="76" t="str">
        <f t="shared" si="1"/>
        <v/>
      </c>
      <c r="M45" s="399" t="str">
        <f t="shared" si="0"/>
        <v>lfm</v>
      </c>
      <c r="N45" s="77"/>
      <c r="O45" s="184" t="str">
        <f t="shared" si="2"/>
        <v/>
      </c>
      <c r="R45" s="182">
        <v>69.22</v>
      </c>
      <c r="AC45" s="1"/>
      <c r="AD45" s="139">
        <f>ROUNDUP($A45/1.2,0)*1.2</f>
        <v>0</v>
      </c>
      <c r="AE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4"/>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5"/>
        <v>#VALUE!</v>
      </c>
    </row>
    <row r="46" spans="1:57" ht="32.1" customHeight="1">
      <c r="A46" s="93"/>
      <c r="B46" s="76" t="str">
        <f>VLOOKUP(1512,Sprachindex!$A:$Z,Info!$O$7,FALSE)</f>
        <v>lfm</v>
      </c>
      <c r="C46" s="75" t="e" vm="87">
        <v>#VALUE!</v>
      </c>
      <c r="D46" s="75" t="str">
        <f t="shared" si="3"/>
        <v/>
      </c>
      <c r="E46" s="618" t="str">
        <f>VLOOKUP(502,Sprachindex!$A:$Z,Info!$O$7,FALSE)</f>
        <v>Jet-Lüfter (stucco; 3.000 mm); inkl. Niro-Schraube und Dichtscheibe</v>
      </c>
      <c r="F46" s="619"/>
      <c r="G46" s="619"/>
      <c r="H46" s="619"/>
      <c r="I46" s="619"/>
      <c r="J46" s="619"/>
      <c r="K46" s="620"/>
      <c r="L46" s="76" t="str">
        <f t="shared" si="1"/>
        <v/>
      </c>
      <c r="M46" s="399" t="str">
        <f t="shared" si="0"/>
        <v>lfm</v>
      </c>
      <c r="N46" s="77"/>
      <c r="O46" s="184" t="str">
        <f t="shared" si="2"/>
        <v/>
      </c>
      <c r="R46" s="182">
        <v>62.51</v>
      </c>
      <c r="AC46" s="1"/>
      <c r="AD46" s="139">
        <f>ROUNDUP($A46/9,0)*9</f>
        <v>0</v>
      </c>
      <c r="AE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4"/>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5"/>
        <v>#VALUE!</v>
      </c>
    </row>
    <row r="47" spans="1:57" ht="32.1" customHeight="1">
      <c r="A47" s="93"/>
      <c r="B47" s="76" t="str">
        <f>VLOOKUP(878,Sprachindex!$A:$Z,Info!$O$7,FALSE)</f>
        <v>Stk.</v>
      </c>
      <c r="C47" s="75" t="e" vm="88">
        <v>#VALUE!</v>
      </c>
      <c r="D47" s="75" t="str">
        <f t="shared" si="3"/>
        <v/>
      </c>
      <c r="E47" s="618" t="str">
        <f>VLOOKUP(503,Sprachindex!$A:$Z,Info!$O$7,FALSE)</f>
        <v>Jet-Lüfter-Vorkopf (stucco)</v>
      </c>
      <c r="F47" s="619"/>
      <c r="G47" s="619"/>
      <c r="H47" s="619"/>
      <c r="I47" s="619"/>
      <c r="J47" s="619"/>
      <c r="K47" s="620"/>
      <c r="L47" s="76" t="str">
        <f t="shared" si="1"/>
        <v/>
      </c>
      <c r="M47" s="399" t="str">
        <f t="shared" si="0"/>
        <v>Stk.</v>
      </c>
      <c r="N47" s="77"/>
      <c r="O47" s="184" t="str">
        <f t="shared" si="2"/>
        <v/>
      </c>
      <c r="R47" s="182">
        <v>8.9700000000000006</v>
      </c>
      <c r="AC47" s="1"/>
      <c r="AD47" s="139">
        <f>ROUNDUP($A47/2,0)*2</f>
        <v>0</v>
      </c>
      <c r="AE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4"/>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5"/>
        <v>#VALUE!</v>
      </c>
    </row>
    <row r="48" spans="1:57" ht="32.1" customHeight="1">
      <c r="A48" s="93"/>
      <c r="B48" s="76" t="str">
        <f>VLOOKUP(878,Sprachindex!$A:$Z,Info!$O$7,FALSE)</f>
        <v>Stk.</v>
      </c>
      <c r="C48" s="75" t="e" vm="19">
        <v>#VALUE!</v>
      </c>
      <c r="D48" s="75" t="str">
        <f>IF(H48=Formeln!B18,AS48,IF(H48=Formeln!B19,AT48,""))</f>
        <v/>
      </c>
      <c r="E48" s="618" t="str">
        <f>VLOOKUP(2187,Sprachindex!$A:$Z,Info!$O$7,FALSE)</f>
        <v>Dichtschraube NIRO, 4,5x25</v>
      </c>
      <c r="F48" s="619"/>
      <c r="G48" s="619"/>
      <c r="H48" s="624"/>
      <c r="I48" s="625"/>
      <c r="J48" s="625"/>
      <c r="K48" s="626"/>
      <c r="L48" s="76" t="str">
        <f>IF(A48=0,"",IF($P$11=1,AD48,AE48))</f>
        <v/>
      </c>
      <c r="M48" s="161" t="str">
        <f>VLOOKUP(878,Sprachindex!$A:$Z,Info!$O$7,FALSE)</f>
        <v>Stk.</v>
      </c>
      <c r="N48" s="77"/>
      <c r="O48" s="204" t="str">
        <f>IF(ISNUMBER(L48),IF(H48=Formeln!$B$19,L48*S48,$L48*R48), "")</f>
        <v/>
      </c>
      <c r="P48" s="267"/>
      <c r="R48" s="182">
        <v>0.47</v>
      </c>
      <c r="S48" s="179">
        <v>0.36</v>
      </c>
      <c r="T48" s="179"/>
      <c r="U48" s="179"/>
      <c r="V48" s="179"/>
      <c r="W48" s="209"/>
      <c r="X48" s="209"/>
      <c r="Y48" s="209"/>
      <c r="Z48" s="209"/>
      <c r="AA48" s="209"/>
      <c r="AB48" s="209"/>
      <c r="AC48" s="129"/>
      <c r="AD48" s="139">
        <f>ROUNDUP($A48/200,0)*200</f>
        <v>0</v>
      </c>
      <c r="AE48" s="139">
        <f t="shared" ref="AE48:AE56" si="6">ROUNDUP($A48,0)</f>
        <v>0</v>
      </c>
      <c r="AH48" s="433">
        <v>340044</v>
      </c>
      <c r="AI48" s="433">
        <v>340041</v>
      </c>
      <c r="AJ48" s="433">
        <v>340048</v>
      </c>
      <c r="AK48" s="433">
        <v>340045</v>
      </c>
      <c r="AL48" s="433">
        <v>340042</v>
      </c>
      <c r="AM48" s="433">
        <v>340047</v>
      </c>
      <c r="AN48" s="433">
        <v>340043</v>
      </c>
      <c r="AO48" s="433">
        <v>340046</v>
      </c>
      <c r="AP48" s="433">
        <v>340049</v>
      </c>
      <c r="AQ48" s="433" t="s">
        <v>2349</v>
      </c>
      <c r="AR48" s="498" t="s">
        <v>2349</v>
      </c>
      <c r="AS48" s="507" t="e" vm="2">
        <f t="shared" si="4"/>
        <v>#VALUE!</v>
      </c>
      <c r="AT48" s="505">
        <v>340040</v>
      </c>
      <c r="AU48" s="505"/>
      <c r="AV48" s="505"/>
    </row>
    <row r="49" spans="1:426" ht="32.1" customHeight="1">
      <c r="A49" s="93"/>
      <c r="B49" s="76" t="str">
        <f>VLOOKUP(878,Sprachindex!$A:$Z,Info!$O$7,FALSE)</f>
        <v>Stk.</v>
      </c>
      <c r="C49" s="75" t="e" vm="20">
        <v>#VALUE!</v>
      </c>
      <c r="D49" s="75" t="str">
        <f>IF(H49=Formeln!A18,AS49,IF(H49=Formeln!A19,AT49,""))</f>
        <v/>
      </c>
      <c r="E49" s="618" t="str">
        <f>VLOOKUP(2188,Sprachindex!$A:$Z,Info!$O$7,FALSE)</f>
        <v>Dichtschraube NIRO 4,5 x 45 mm, für Grat- und Firstreiter</v>
      </c>
      <c r="F49" s="619"/>
      <c r="G49" s="619"/>
      <c r="H49" s="624"/>
      <c r="I49" s="625"/>
      <c r="J49" s="625"/>
      <c r="K49" s="626"/>
      <c r="L49" s="76" t="str">
        <f>IF(A49=0,"",IF(H49=Formeln!$A$17," ",IF($P$11=1,AD49,AE49)))</f>
        <v/>
      </c>
      <c r="M49" s="161" t="str">
        <f>VLOOKUP(878,Sprachindex!$A:$Z,Info!$O$7,FALSE)</f>
        <v>Stk.</v>
      </c>
      <c r="N49" s="77"/>
      <c r="O49" s="204" t="str">
        <f>IF(ISNUMBER(L49),IF(H49=Formeln!$A$19,L49*S49,$L49*R49), "")</f>
        <v/>
      </c>
      <c r="P49" s="267"/>
      <c r="R49" s="182">
        <v>0.7</v>
      </c>
      <c r="S49" s="179">
        <v>0.62</v>
      </c>
      <c r="T49" s="179"/>
      <c r="U49" s="179"/>
      <c r="V49" s="179"/>
      <c r="W49" s="209"/>
      <c r="X49" s="209"/>
      <c r="Y49" s="209"/>
      <c r="Z49" s="209"/>
      <c r="AA49" s="209"/>
      <c r="AB49" s="209"/>
      <c r="AC49" s="129"/>
      <c r="AD49" s="139">
        <f>ROUNDUP($A49/250,0)*250</f>
        <v>0</v>
      </c>
      <c r="AE49" s="139">
        <f t="shared" si="6"/>
        <v>0</v>
      </c>
      <c r="AH49" s="433">
        <v>340104</v>
      </c>
      <c r="AI49" s="433">
        <v>340001</v>
      </c>
      <c r="AJ49" s="433">
        <v>340014</v>
      </c>
      <c r="AK49" s="433">
        <v>340002</v>
      </c>
      <c r="AL49" s="433">
        <v>340004</v>
      </c>
      <c r="AM49" s="433">
        <v>340011</v>
      </c>
      <c r="AN49" s="433">
        <v>340003</v>
      </c>
      <c r="AO49" s="433">
        <v>340016</v>
      </c>
      <c r="AP49" s="433">
        <v>340013</v>
      </c>
      <c r="AQ49" s="433" t="s">
        <v>2349</v>
      </c>
      <c r="AR49" s="433">
        <v>340012</v>
      </c>
      <c r="AS49" s="507" t="e" vm="2">
        <f t="shared" si="4"/>
        <v>#VALUE!</v>
      </c>
      <c r="AT49" s="505">
        <v>340103</v>
      </c>
      <c r="AU49" s="505">
        <v>340017</v>
      </c>
      <c r="AV49" s="505">
        <v>340010</v>
      </c>
    </row>
    <row r="50" spans="1:426" ht="32.1" customHeight="1">
      <c r="A50" s="93"/>
      <c r="B50" s="76" t="str">
        <f>VLOOKUP(878,Sprachindex!$A:$Z,Info!$O$7,FALSE)</f>
        <v>Stk.</v>
      </c>
      <c r="C50" s="75" t="e" vm="21">
        <v>#VALUE!</v>
      </c>
      <c r="D50" s="75" t="str">
        <f>IF(H50=Formeln!A21,AS50,IF(H50=Formeln!A22,AT50,""))</f>
        <v/>
      </c>
      <c r="E50" s="618" t="str">
        <f>VLOOKUP(2189,Sprachindex!$A:$Z,Info!$O$7,FALSE)</f>
        <v>Dichtschraube NIRO 4,5 x 60 mm, für Jet-Lüfter</v>
      </c>
      <c r="F50" s="619"/>
      <c r="G50" s="619"/>
      <c r="H50" s="624"/>
      <c r="I50" s="625"/>
      <c r="J50" s="625"/>
      <c r="K50" s="626"/>
      <c r="L50" s="76" t="str">
        <f>IF(A50=0,"",IF(H50=Formeln!$A$17," ",IF($P$11=1,AD50,AE50)))</f>
        <v/>
      </c>
      <c r="M50" s="161" t="str">
        <f>VLOOKUP(878,Sprachindex!$A:$Z,Info!$O$7,FALSE)</f>
        <v>Stk.</v>
      </c>
      <c r="N50" s="77"/>
      <c r="O50" s="204" t="str">
        <f>IF(ISNUMBER(L50),IF(H50=Formeln!$A$22,L50*S50,$L50*R50), "")</f>
        <v/>
      </c>
      <c r="P50" s="267"/>
      <c r="R50" s="182">
        <v>0.89</v>
      </c>
      <c r="S50" s="179">
        <v>0.7</v>
      </c>
      <c r="T50" s="179"/>
      <c r="U50" s="179"/>
      <c r="V50" s="179"/>
      <c r="W50" s="209"/>
      <c r="X50" s="209"/>
      <c r="Y50" s="209"/>
      <c r="Z50" s="209"/>
      <c r="AA50" s="209"/>
      <c r="AB50" s="209"/>
      <c r="AC50" s="129"/>
      <c r="AD50" s="139">
        <f>ROUNDUP($A50/100,0)*100</f>
        <v>0</v>
      </c>
      <c r="AE50" s="139">
        <f t="shared" si="6"/>
        <v>0</v>
      </c>
      <c r="AH50" s="433">
        <v>340021</v>
      </c>
      <c r="AI50" s="433">
        <v>340020</v>
      </c>
      <c r="AJ50" s="433">
        <v>340030</v>
      </c>
      <c r="AK50" s="433">
        <v>340025</v>
      </c>
      <c r="AL50" s="433">
        <v>340024</v>
      </c>
      <c r="AM50" s="433">
        <v>340027</v>
      </c>
      <c r="AN50" s="433">
        <v>340022</v>
      </c>
      <c r="AO50" s="433">
        <v>340032</v>
      </c>
      <c r="AP50" s="433">
        <v>340036</v>
      </c>
      <c r="AQ50" s="433" t="s">
        <v>2349</v>
      </c>
      <c r="AR50" s="433">
        <v>340035</v>
      </c>
      <c r="AS50" s="507" t="e" vm="2">
        <f t="shared" si="4"/>
        <v>#VALUE!</v>
      </c>
      <c r="AT50" s="505">
        <v>340106</v>
      </c>
      <c r="AU50" s="505">
        <v>340037</v>
      </c>
      <c r="AV50" s="505">
        <v>340034</v>
      </c>
    </row>
    <row r="51" spans="1:426" ht="32.1" customHeight="1">
      <c r="A51" s="93"/>
      <c r="B51" s="76" t="str">
        <f>VLOOKUP(878,Sprachindex!$A:$Z,Info!$O$7,FALSE)</f>
        <v>Stk.</v>
      </c>
      <c r="C51" s="75"/>
      <c r="D51" s="75" t="str">
        <f>IF(ISNUMBER(A51),AS51,"")</f>
        <v/>
      </c>
      <c r="E51" s="618" t="str">
        <f>VLOOKUP(409,Sprachindex!$A:$Z,Info!$O$7,FALSE)</f>
        <v>Froschmaullukenhaube</v>
      </c>
      <c r="F51" s="619"/>
      <c r="G51" s="619"/>
      <c r="H51" s="619"/>
      <c r="I51" s="619"/>
      <c r="J51" s="619"/>
      <c r="K51" s="620"/>
      <c r="L51" s="76" t="str">
        <f>IF(A51=0,"",IF($O$11=1,AD51,AE51))</f>
        <v/>
      </c>
      <c r="M51" s="399" t="str">
        <f t="shared" si="0"/>
        <v>Stk.</v>
      </c>
      <c r="N51" s="77"/>
      <c r="O51" s="184" t="str">
        <f>IF(ISNUMBER(A51),$L51*R51, "")</f>
        <v/>
      </c>
      <c r="R51" s="182">
        <v>25.39</v>
      </c>
      <c r="AC51" s="1"/>
      <c r="AD51" s="139">
        <f>ROUNDUP($A51/20,0)*20</f>
        <v>0</v>
      </c>
      <c r="AE51" s="139">
        <f t="shared" si="6"/>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 t="shared" si="4"/>
        <v>#VALUE!</v>
      </c>
      <c r="AT51" s="506" t="s">
        <v>28580</v>
      </c>
      <c r="AU51" s="506" t="s">
        <v>39050</v>
      </c>
      <c r="AV51" s="506" t="s">
        <v>39051</v>
      </c>
    </row>
    <row r="52" spans="1:426" ht="32.1" customHeight="1">
      <c r="A52" s="93"/>
      <c r="B52" s="76" t="str">
        <f>VLOOKUP(878,Sprachindex!$A:$Z,Info!$O$7,FALSE)</f>
        <v>Stk.</v>
      </c>
      <c r="C52" s="75"/>
      <c r="D52" s="75" t="str">
        <f>IF($O$9=1,BE52,IF($O$9=2,AS52,""))</f>
        <v/>
      </c>
      <c r="E52" s="618" t="str">
        <f>VLOOKUP(408,Sprachindex!$A:$Z,Info!$O$7,FALSE)</f>
        <v>Froschmaulluke (stucco) für Dachschindel 420 × 240 mm Lüftungsquerschnitt: ca. 30 cm²</v>
      </c>
      <c r="F52" s="619"/>
      <c r="G52" s="619"/>
      <c r="H52" s="619"/>
      <c r="I52" s="619"/>
      <c r="J52" s="619"/>
      <c r="K52" s="620"/>
      <c r="L52" s="76" t="str">
        <f>IF(A52=0,"",IF($O$11=1,AD52,AE52))</f>
        <v/>
      </c>
      <c r="M52" s="399" t="str">
        <f t="shared" si="0"/>
        <v>Stk.</v>
      </c>
      <c r="N52" s="77"/>
      <c r="O52" s="184" t="str">
        <f>IF(ISNUMBER(A52),$L52*R52, "")</f>
        <v/>
      </c>
      <c r="R52" s="182">
        <v>45.02</v>
      </c>
      <c r="AC52" s="1"/>
      <c r="AD52" s="139">
        <f>ROUNDUP($A52/15,0)*15</f>
        <v>0</v>
      </c>
      <c r="AE52" s="139">
        <f t="shared" si="6"/>
        <v>0</v>
      </c>
      <c r="AH52" s="433">
        <v>110133</v>
      </c>
      <c r="AI52" s="433">
        <v>110130</v>
      </c>
      <c r="AJ52" s="433">
        <v>110138</v>
      </c>
      <c r="AK52" s="433">
        <v>110135</v>
      </c>
      <c r="AL52" s="433">
        <v>110131</v>
      </c>
      <c r="AM52" s="433">
        <v>110137</v>
      </c>
      <c r="AN52" s="433">
        <v>110132</v>
      </c>
      <c r="AO52" s="433">
        <v>110136</v>
      </c>
      <c r="AP52" s="433">
        <v>110139</v>
      </c>
      <c r="AQ52" s="433">
        <v>110134</v>
      </c>
      <c r="AR52" s="433">
        <v>11351028</v>
      </c>
      <c r="AS52" s="507" t="e" vm="2">
        <f t="shared" si="4"/>
        <v>#VALUE!</v>
      </c>
      <c r="AT52" s="433">
        <v>110143</v>
      </c>
      <c r="AU52" s="433">
        <v>110140</v>
      </c>
      <c r="AV52" s="433">
        <v>110148</v>
      </c>
      <c r="AW52" s="433">
        <v>110145</v>
      </c>
      <c r="AX52" s="433">
        <v>110141</v>
      </c>
      <c r="AY52" s="433">
        <v>110147</v>
      </c>
      <c r="AZ52" s="433">
        <v>110142</v>
      </c>
      <c r="BA52" s="433">
        <v>110146</v>
      </c>
      <c r="BB52" s="433">
        <v>110149</v>
      </c>
      <c r="BC52" s="433">
        <v>110144</v>
      </c>
      <c r="BD52" s="433">
        <v>10541028</v>
      </c>
      <c r="BE52" s="507" t="e" vm="2">
        <f>VLOOKUP(AT52,AT52:BD52,$O$21,FALSE)</f>
        <v>#VALUE!</v>
      </c>
    </row>
    <row r="53" spans="1:426" ht="32.1" customHeight="1">
      <c r="A53" s="93"/>
      <c r="B53" s="76" t="str">
        <f>VLOOKUP(878,Sprachindex!$A:$Z,Info!$O$7,FALSE)</f>
        <v>Stk.</v>
      </c>
      <c r="C53" s="75" t="e" vm="89">
        <v>#VALUE!</v>
      </c>
      <c r="D53" s="75">
        <v>545106</v>
      </c>
      <c r="E53" s="628" t="str">
        <f>VLOOKUP(1874,Sprachindex!$A:$Z,Info!$O$7,FALSE)</f>
        <v>Einfassung Vario, 120-600 mm, stucco</v>
      </c>
      <c r="F53" s="629"/>
      <c r="G53" s="629"/>
      <c r="H53" s="629"/>
      <c r="I53" s="629"/>
      <c r="J53" s="629"/>
      <c r="K53" s="630"/>
      <c r="L53" s="76" t="str">
        <f>IF(A53=0,"",IF($O$11=1,AD53,AE53))</f>
        <v/>
      </c>
      <c r="M53" s="399" t="str">
        <f t="shared" si="0"/>
        <v>Stk.</v>
      </c>
      <c r="N53" s="77"/>
      <c r="O53" s="184" t="str">
        <f>IF(ISNUMBER(A53),$L53*R53, "")</f>
        <v/>
      </c>
      <c r="R53" s="182">
        <v>0</v>
      </c>
      <c r="T53" s="179"/>
      <c r="U53" s="179"/>
      <c r="V53" s="179"/>
      <c r="W53" s="179"/>
      <c r="X53" s="179"/>
      <c r="Y53" s="179"/>
      <c r="Z53" s="179"/>
      <c r="AA53" s="179"/>
      <c r="AC53" s="1"/>
      <c r="AD53" s="139">
        <f>ROUNDUP($A53,0)</f>
        <v>0</v>
      </c>
      <c r="AE53" s="139">
        <f t="shared" si="6"/>
        <v>0</v>
      </c>
    </row>
    <row r="54" spans="1:426" ht="32.1" customHeight="1" thickBot="1">
      <c r="A54" s="93"/>
      <c r="B54" s="76" t="str">
        <f>VLOOKUP(878,Sprachindex!$A:$Z,Info!$O$7,FALSE)</f>
        <v>Stk.</v>
      </c>
      <c r="C54" s="75" t="e" vm="89">
        <v>#VALUE!</v>
      </c>
      <c r="D54" s="75">
        <v>545106</v>
      </c>
      <c r="E54" s="628" t="str">
        <f>VLOOKUP(1875,Sprachindex!$A:$Z,Info!$O$7,FALSE)</f>
        <v>Einfassung Vario, 600-1.020 mm, stucco</v>
      </c>
      <c r="F54" s="629"/>
      <c r="G54" s="629"/>
      <c r="H54" s="629"/>
      <c r="I54" s="629"/>
      <c r="J54" s="629"/>
      <c r="K54" s="630"/>
      <c r="L54" s="76" t="str">
        <f>IF(A54=0,"",IF($O$11=1,AD54,AE54))</f>
        <v/>
      </c>
      <c r="M54" s="399" t="str">
        <f t="shared" si="0"/>
        <v>Stk.</v>
      </c>
      <c r="N54" s="77"/>
      <c r="O54" s="204" t="str">
        <f>IF(ISNUMBER(A54),$L54*R54, "")</f>
        <v/>
      </c>
      <c r="R54" s="182">
        <v>0</v>
      </c>
      <c r="T54" s="179"/>
      <c r="U54" s="179"/>
      <c r="V54" s="179"/>
      <c r="W54" s="179"/>
      <c r="X54" s="179"/>
      <c r="Y54" s="179"/>
      <c r="Z54" s="179"/>
      <c r="AA54" s="179"/>
      <c r="AC54" s="1"/>
      <c r="AD54" s="139">
        <f>ROUNDUP($A54,0)</f>
        <v>0</v>
      </c>
      <c r="AE54" s="139">
        <f t="shared" si="6"/>
        <v>0</v>
      </c>
    </row>
    <row r="55" spans="1:426" ht="32.1" customHeight="1" thickBot="1">
      <c r="A55" s="93"/>
      <c r="B55" s="76" t="str">
        <f>VLOOKUP(878,Sprachindex!$A:$Z,Info!$O$7,FALSE)</f>
        <v>Stk.</v>
      </c>
      <c r="C55" s="75" t="e" vm="26">
        <v>#VALUE!</v>
      </c>
      <c r="D55" s="75" t="str">
        <f>IF($O$9=1,BE55,IF($O$9=2,AS55,""))</f>
        <v/>
      </c>
      <c r="E55" s="628" t="str">
        <f>VLOOKUP(254,Sprachindex!$A:$Z,Info!$O$7,FALSE)</f>
        <v>Dachluke (600 × 600 mm); komplett mit Holzrahmen</v>
      </c>
      <c r="F55" s="629"/>
      <c r="G55" s="629"/>
      <c r="H55" s="629"/>
      <c r="I55" s="629"/>
      <c r="J55" s="629"/>
      <c r="K55" s="630"/>
      <c r="L55" s="76" t="str">
        <f>IF(A55=0,"",IF($P$11=1,AD55,AE55))</f>
        <v/>
      </c>
      <c r="M55" s="161" t="str">
        <f>VLOOKUP(878,Sprachindex!$A:$Z,Info!$O$7,FALSE)</f>
        <v>Stk.</v>
      </c>
      <c r="N55" s="77"/>
      <c r="O55" s="204" t="str">
        <f>IF(ISNUMBER(A55),$L55*R55, "")</f>
        <v/>
      </c>
      <c r="P55" s="267"/>
      <c r="R55" s="182">
        <v>254.93</v>
      </c>
      <c r="T55" s="179"/>
      <c r="U55" s="179"/>
      <c r="V55" s="179"/>
      <c r="W55" s="179"/>
      <c r="X55" s="179"/>
      <c r="Y55" s="179"/>
      <c r="Z55" s="179"/>
      <c r="AA55" s="179"/>
      <c r="AB55" s="179"/>
      <c r="AC55" s="129"/>
      <c r="AD55" s="139">
        <f>ROUNDUP($A55,0)</f>
        <v>0</v>
      </c>
      <c r="AE55" s="139">
        <f t="shared" si="6"/>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VLOOKUP(AH55,AH55:AR55,$O$21,FALSE)</f>
        <v>#VALUE!</v>
      </c>
      <c r="AT55" s="438">
        <v>110033</v>
      </c>
      <c r="AU55" s="438">
        <v>110030</v>
      </c>
      <c r="AV55" s="438">
        <v>110038</v>
      </c>
      <c r="AW55" s="438">
        <v>110035</v>
      </c>
      <c r="AX55" s="438">
        <v>110031</v>
      </c>
      <c r="AY55" s="438">
        <v>110037</v>
      </c>
      <c r="AZ55" s="438">
        <v>110032</v>
      </c>
      <c r="BA55" s="438">
        <v>110036</v>
      </c>
      <c r="BB55" s="508">
        <v>110039</v>
      </c>
      <c r="BC55" s="438">
        <v>110034</v>
      </c>
      <c r="BD55" s="438">
        <v>16761028</v>
      </c>
      <c r="BE55" s="524" t="e" vm="2">
        <f>VLOOKUP(AT55,AT55:BD55,$O$21,FALSE)</f>
        <v>#VALUE!</v>
      </c>
      <c r="BF55" s="525" t="s">
        <v>39079</v>
      </c>
      <c r="BG55" s="523" t="s">
        <v>39080</v>
      </c>
      <c r="BH55" s="519" t="s">
        <v>35</v>
      </c>
      <c r="BI55" s="519" t="s">
        <v>32</v>
      </c>
      <c r="BJ55" s="519" t="s">
        <v>40</v>
      </c>
      <c r="BK55" s="519" t="s">
        <v>37</v>
      </c>
      <c r="BL55" s="519" t="s">
        <v>33</v>
      </c>
      <c r="BM55" s="519" t="s">
        <v>39</v>
      </c>
      <c r="BN55" s="519" t="s">
        <v>34</v>
      </c>
      <c r="BO55" s="519" t="s">
        <v>38</v>
      </c>
      <c r="BP55" s="519" t="s">
        <v>41</v>
      </c>
      <c r="BQ55" s="519" t="s">
        <v>36</v>
      </c>
      <c r="BR55" s="519" t="s">
        <v>38962</v>
      </c>
      <c r="BS55" s="520" t="s">
        <v>39049</v>
      </c>
      <c r="BT55" s="519" t="s">
        <v>35</v>
      </c>
      <c r="BU55" s="519" t="s">
        <v>32</v>
      </c>
      <c r="BV55" s="519" t="s">
        <v>40</v>
      </c>
      <c r="BW55" s="519" t="s">
        <v>37</v>
      </c>
      <c r="BX55" s="519" t="s">
        <v>33</v>
      </c>
      <c r="BY55" s="519" t="s">
        <v>39</v>
      </c>
      <c r="BZ55" s="519" t="s">
        <v>34</v>
      </c>
      <c r="CA55" s="519" t="s">
        <v>38</v>
      </c>
      <c r="CB55" s="519" t="s">
        <v>41</v>
      </c>
      <c r="CC55" s="519" t="s">
        <v>36</v>
      </c>
      <c r="CD55" s="519" t="s">
        <v>38962</v>
      </c>
      <c r="CE55" s="516" t="s">
        <v>39049</v>
      </c>
      <c r="CF55" s="535" t="s">
        <v>39079</v>
      </c>
      <c r="CG55" s="523" t="s">
        <v>39080</v>
      </c>
      <c r="CH55" s="519" t="s">
        <v>35</v>
      </c>
      <c r="CI55" s="519" t="s">
        <v>32</v>
      </c>
      <c r="CJ55" s="519" t="s">
        <v>40</v>
      </c>
      <c r="CK55" s="519" t="s">
        <v>37</v>
      </c>
      <c r="CL55" s="519" t="s">
        <v>33</v>
      </c>
      <c r="CM55" s="519" t="s">
        <v>39</v>
      </c>
      <c r="CN55" s="519" t="s">
        <v>34</v>
      </c>
      <c r="CO55" s="519" t="s">
        <v>38</v>
      </c>
      <c r="CP55" s="519" t="s">
        <v>41</v>
      </c>
      <c r="CQ55" s="519" t="s">
        <v>36</v>
      </c>
      <c r="CR55" s="519" t="s">
        <v>38962</v>
      </c>
      <c r="CS55" s="520" t="s">
        <v>39049</v>
      </c>
      <c r="CT55" s="519" t="s">
        <v>35</v>
      </c>
      <c r="CU55" s="519" t="s">
        <v>32</v>
      </c>
      <c r="CV55" s="519" t="s">
        <v>40</v>
      </c>
      <c r="CW55" s="519" t="s">
        <v>37</v>
      </c>
      <c r="CX55" s="519" t="s">
        <v>33</v>
      </c>
      <c r="CY55" s="519" t="s">
        <v>39</v>
      </c>
      <c r="CZ55" s="519" t="s">
        <v>34</v>
      </c>
      <c r="DA55" s="519" t="s">
        <v>38</v>
      </c>
      <c r="DB55" s="519" t="s">
        <v>41</v>
      </c>
      <c r="DC55" s="519" t="s">
        <v>36</v>
      </c>
      <c r="DD55" s="519" t="s">
        <v>38962</v>
      </c>
      <c r="DE55" s="520" t="s">
        <v>39049</v>
      </c>
      <c r="DF55" s="521" t="s">
        <v>39079</v>
      </c>
      <c r="DG55" s="523" t="s">
        <v>39080</v>
      </c>
      <c r="DH55" s="519" t="s">
        <v>35</v>
      </c>
      <c r="DI55" s="519" t="s">
        <v>32</v>
      </c>
      <c r="DJ55" s="519" t="s">
        <v>40</v>
      </c>
      <c r="DK55" s="519" t="s">
        <v>37</v>
      </c>
      <c r="DL55" s="519" t="s">
        <v>33</v>
      </c>
      <c r="DM55" s="519" t="s">
        <v>39</v>
      </c>
      <c r="DN55" s="519" t="s">
        <v>34</v>
      </c>
      <c r="DO55" s="519" t="s">
        <v>38</v>
      </c>
      <c r="DP55" s="519" t="s">
        <v>41</v>
      </c>
      <c r="DQ55" s="519" t="s">
        <v>36</v>
      </c>
      <c r="DR55" s="519" t="s">
        <v>38962</v>
      </c>
      <c r="DS55" s="520" t="s">
        <v>39049</v>
      </c>
      <c r="DT55" s="519" t="s">
        <v>35</v>
      </c>
      <c r="DU55" s="519" t="s">
        <v>32</v>
      </c>
      <c r="DV55" s="519" t="s">
        <v>40</v>
      </c>
      <c r="DW55" s="519" t="s">
        <v>37</v>
      </c>
      <c r="DX55" s="519" t="s">
        <v>33</v>
      </c>
      <c r="DY55" s="519" t="s">
        <v>39</v>
      </c>
      <c r="DZ55" s="519" t="s">
        <v>34</v>
      </c>
      <c r="EA55" s="519" t="s">
        <v>38</v>
      </c>
      <c r="EB55" s="519" t="s">
        <v>41</v>
      </c>
      <c r="EC55" s="519" t="s">
        <v>36</v>
      </c>
      <c r="ED55" s="519" t="s">
        <v>38962</v>
      </c>
      <c r="EE55" s="520" t="s">
        <v>39049</v>
      </c>
      <c r="EF55" s="521" t="s">
        <v>39079</v>
      </c>
      <c r="EG55" s="523" t="s">
        <v>39080</v>
      </c>
      <c r="EH55" s="519" t="s">
        <v>35</v>
      </c>
      <c r="EI55" s="519" t="s">
        <v>32</v>
      </c>
      <c r="EJ55" s="519" t="s">
        <v>40</v>
      </c>
      <c r="EK55" s="519" t="s">
        <v>37</v>
      </c>
      <c r="EL55" s="519" t="s">
        <v>33</v>
      </c>
      <c r="EM55" s="519" t="s">
        <v>39</v>
      </c>
      <c r="EN55" s="519" t="s">
        <v>34</v>
      </c>
      <c r="EO55" s="519" t="s">
        <v>38</v>
      </c>
      <c r="EP55" s="519" t="s">
        <v>41</v>
      </c>
      <c r="EQ55" s="519" t="s">
        <v>36</v>
      </c>
      <c r="ER55" s="519" t="s">
        <v>38962</v>
      </c>
      <c r="ES55" s="520" t="s">
        <v>39049</v>
      </c>
      <c r="ET55" s="519" t="s">
        <v>35</v>
      </c>
      <c r="EU55" s="519" t="s">
        <v>32</v>
      </c>
      <c r="EV55" s="519" t="s">
        <v>40</v>
      </c>
      <c r="EW55" s="519" t="s">
        <v>37</v>
      </c>
      <c r="EX55" s="519" t="s">
        <v>33</v>
      </c>
      <c r="EY55" s="519" t="s">
        <v>39</v>
      </c>
      <c r="EZ55" s="519" t="s">
        <v>34</v>
      </c>
      <c r="FA55" s="519" t="s">
        <v>38</v>
      </c>
      <c r="FB55" s="519" t="s">
        <v>41</v>
      </c>
      <c r="FC55" s="519" t="s">
        <v>36</v>
      </c>
      <c r="FD55" s="519" t="s">
        <v>38962</v>
      </c>
      <c r="FE55" s="520" t="s">
        <v>39049</v>
      </c>
      <c r="FF55" s="521" t="s">
        <v>39079</v>
      </c>
      <c r="FG55" s="523" t="s">
        <v>39080</v>
      </c>
      <c r="FH55" s="519" t="s">
        <v>35</v>
      </c>
      <c r="FI55" s="519" t="s">
        <v>32</v>
      </c>
      <c r="FJ55" s="519" t="s">
        <v>40</v>
      </c>
      <c r="FK55" s="519" t="s">
        <v>37</v>
      </c>
      <c r="FL55" s="519" t="s">
        <v>33</v>
      </c>
      <c r="FM55" s="519" t="s">
        <v>39</v>
      </c>
      <c r="FN55" s="519" t="s">
        <v>34</v>
      </c>
      <c r="FO55" s="519" t="s">
        <v>38</v>
      </c>
      <c r="FP55" s="519" t="s">
        <v>41</v>
      </c>
      <c r="FQ55" s="519" t="s">
        <v>36</v>
      </c>
      <c r="FR55" s="519" t="s">
        <v>38962</v>
      </c>
      <c r="FS55" s="520" t="s">
        <v>39049</v>
      </c>
      <c r="FT55" s="519" t="s">
        <v>35</v>
      </c>
      <c r="FU55" s="519" t="s">
        <v>32</v>
      </c>
      <c r="FV55" s="519" t="s">
        <v>40</v>
      </c>
      <c r="FW55" s="519" t="s">
        <v>37</v>
      </c>
      <c r="FX55" s="519" t="s">
        <v>33</v>
      </c>
      <c r="FY55" s="519" t="s">
        <v>39</v>
      </c>
      <c r="FZ55" s="519" t="s">
        <v>34</v>
      </c>
      <c r="GA55" s="519" t="s">
        <v>38</v>
      </c>
      <c r="GB55" s="519" t="s">
        <v>41</v>
      </c>
      <c r="GC55" s="519" t="s">
        <v>36</v>
      </c>
      <c r="GD55" s="519" t="s">
        <v>38962</v>
      </c>
      <c r="GE55" s="520" t="s">
        <v>39049</v>
      </c>
      <c r="GF55" s="521" t="s">
        <v>39079</v>
      </c>
      <c r="GG55" s="523" t="s">
        <v>39080</v>
      </c>
      <c r="GH55" s="519" t="s">
        <v>35</v>
      </c>
      <c r="GI55" s="519" t="s">
        <v>32</v>
      </c>
      <c r="GJ55" s="519" t="s">
        <v>40</v>
      </c>
      <c r="GK55" s="519" t="s">
        <v>37</v>
      </c>
      <c r="GL55" s="519" t="s">
        <v>33</v>
      </c>
      <c r="GM55" s="519" t="s">
        <v>39</v>
      </c>
      <c r="GN55" s="519" t="s">
        <v>34</v>
      </c>
      <c r="GO55" s="519" t="s">
        <v>38</v>
      </c>
      <c r="GP55" s="519" t="s">
        <v>41</v>
      </c>
      <c r="GQ55" s="519" t="s">
        <v>36</v>
      </c>
      <c r="GR55" s="519" t="s">
        <v>38962</v>
      </c>
      <c r="GS55" s="520" t="s">
        <v>39049</v>
      </c>
      <c r="GT55" s="519" t="s">
        <v>35</v>
      </c>
      <c r="GU55" s="519" t="s">
        <v>32</v>
      </c>
      <c r="GV55" s="519" t="s">
        <v>40</v>
      </c>
      <c r="GW55" s="519" t="s">
        <v>37</v>
      </c>
      <c r="GX55" s="519" t="s">
        <v>33</v>
      </c>
      <c r="GY55" s="519" t="s">
        <v>39</v>
      </c>
      <c r="GZ55" s="519" t="s">
        <v>34</v>
      </c>
      <c r="HA55" s="519" t="s">
        <v>38</v>
      </c>
      <c r="HB55" s="519" t="s">
        <v>41</v>
      </c>
      <c r="HC55" s="519" t="s">
        <v>36</v>
      </c>
      <c r="HD55" s="519" t="s">
        <v>38962</v>
      </c>
      <c r="HE55" s="520" t="s">
        <v>39049</v>
      </c>
      <c r="HF55" s="521" t="s">
        <v>39079</v>
      </c>
      <c r="HG55" s="523" t="s">
        <v>39080</v>
      </c>
      <c r="HH55" s="519" t="s">
        <v>35</v>
      </c>
      <c r="HI55" s="519" t="s">
        <v>32</v>
      </c>
      <c r="HJ55" s="519" t="s">
        <v>40</v>
      </c>
      <c r="HK55" s="519" t="s">
        <v>37</v>
      </c>
      <c r="HL55" s="519" t="s">
        <v>33</v>
      </c>
      <c r="HM55" s="519" t="s">
        <v>39</v>
      </c>
      <c r="HN55" s="519" t="s">
        <v>34</v>
      </c>
      <c r="HO55" s="519" t="s">
        <v>38</v>
      </c>
      <c r="HP55" s="519" t="s">
        <v>41</v>
      </c>
      <c r="HQ55" s="519" t="s">
        <v>36</v>
      </c>
      <c r="HR55" s="519" t="s">
        <v>38962</v>
      </c>
      <c r="HS55" s="520" t="s">
        <v>39049</v>
      </c>
      <c r="HT55" s="519" t="s">
        <v>35</v>
      </c>
      <c r="HU55" s="519" t="s">
        <v>32</v>
      </c>
      <c r="HV55" s="519" t="s">
        <v>40</v>
      </c>
      <c r="HW55" s="519" t="s">
        <v>37</v>
      </c>
      <c r="HX55" s="519" t="s">
        <v>33</v>
      </c>
      <c r="HY55" s="519" t="s">
        <v>39</v>
      </c>
      <c r="HZ55" s="519" t="s">
        <v>34</v>
      </c>
      <c r="IA55" s="519" t="s">
        <v>38</v>
      </c>
      <c r="IB55" s="519" t="s">
        <v>41</v>
      </c>
      <c r="IC55" s="519" t="s">
        <v>36</v>
      </c>
      <c r="ID55" s="519" t="s">
        <v>38962</v>
      </c>
      <c r="IE55" s="520" t="s">
        <v>39049</v>
      </c>
      <c r="IF55" s="535" t="s">
        <v>39079</v>
      </c>
      <c r="IG55" s="523" t="s">
        <v>39080</v>
      </c>
      <c r="IH55" s="519" t="s">
        <v>35</v>
      </c>
      <c r="II55" s="519" t="s">
        <v>32</v>
      </c>
      <c r="IJ55" s="519" t="s">
        <v>40</v>
      </c>
      <c r="IK55" s="519" t="s">
        <v>37</v>
      </c>
      <c r="IL55" s="519" t="s">
        <v>33</v>
      </c>
      <c r="IM55" s="519" t="s">
        <v>39</v>
      </c>
      <c r="IN55" s="519" t="s">
        <v>34</v>
      </c>
      <c r="IO55" s="519" t="s">
        <v>38</v>
      </c>
      <c r="IP55" s="519" t="s">
        <v>41</v>
      </c>
      <c r="IQ55" s="519" t="s">
        <v>36</v>
      </c>
      <c r="IR55" s="519" t="s">
        <v>38962</v>
      </c>
      <c r="IS55" s="520" t="s">
        <v>39049</v>
      </c>
      <c r="IT55" s="519" t="s">
        <v>35</v>
      </c>
      <c r="IU55" s="519" t="s">
        <v>32</v>
      </c>
      <c r="IV55" s="519" t="s">
        <v>40</v>
      </c>
      <c r="IW55" s="519" t="s">
        <v>37</v>
      </c>
      <c r="IX55" s="519" t="s">
        <v>33</v>
      </c>
      <c r="IY55" s="519" t="s">
        <v>39</v>
      </c>
      <c r="IZ55" s="519" t="s">
        <v>34</v>
      </c>
      <c r="JA55" s="519" t="s">
        <v>38</v>
      </c>
      <c r="JB55" s="519" t="s">
        <v>41</v>
      </c>
      <c r="JC55" s="519" t="s">
        <v>36</v>
      </c>
      <c r="JD55" s="519" t="s">
        <v>38962</v>
      </c>
      <c r="JE55" s="520" t="s">
        <v>39049</v>
      </c>
      <c r="JF55" s="521" t="s">
        <v>39079</v>
      </c>
      <c r="JG55" s="523" t="s">
        <v>39080</v>
      </c>
      <c r="JH55" s="519" t="s">
        <v>35</v>
      </c>
      <c r="JI55" s="519" t="s">
        <v>32</v>
      </c>
      <c r="JJ55" s="519" t="s">
        <v>40</v>
      </c>
      <c r="JK55" s="519" t="s">
        <v>37</v>
      </c>
      <c r="JL55" s="519" t="s">
        <v>33</v>
      </c>
      <c r="JM55" s="519" t="s">
        <v>39</v>
      </c>
      <c r="JN55" s="519" t="s">
        <v>34</v>
      </c>
      <c r="JO55" s="519" t="s">
        <v>38</v>
      </c>
      <c r="JP55" s="519" t="s">
        <v>41</v>
      </c>
      <c r="JQ55" s="519" t="s">
        <v>36</v>
      </c>
      <c r="JR55" s="519" t="s">
        <v>38962</v>
      </c>
      <c r="JS55" s="520" t="s">
        <v>39049</v>
      </c>
      <c r="JT55" s="519" t="s">
        <v>35</v>
      </c>
      <c r="JU55" s="519" t="s">
        <v>32</v>
      </c>
      <c r="JV55" s="519" t="s">
        <v>40</v>
      </c>
      <c r="JW55" s="519" t="s">
        <v>37</v>
      </c>
      <c r="JX55" s="519" t="s">
        <v>33</v>
      </c>
      <c r="JY55" s="519" t="s">
        <v>39</v>
      </c>
      <c r="JZ55" s="519" t="s">
        <v>34</v>
      </c>
      <c r="KA55" s="519" t="s">
        <v>38</v>
      </c>
      <c r="KB55" s="519" t="s">
        <v>41</v>
      </c>
      <c r="KC55" s="519" t="s">
        <v>36</v>
      </c>
      <c r="KD55" s="519" t="s">
        <v>38962</v>
      </c>
      <c r="KE55" s="520" t="s">
        <v>39049</v>
      </c>
    </row>
    <row r="56" spans="1:426" ht="32.1" customHeight="1" thickBot="1">
      <c r="A56" s="93"/>
      <c r="B56" s="76" t="str">
        <f>VLOOKUP(878,Sprachindex!$A:$Z,Info!$O$7,FALSE)</f>
        <v>Stk.</v>
      </c>
      <c r="C56" s="75" t="e" vm="27">
        <v>#VALUE!</v>
      </c>
      <c r="D56" s="75" t="str">
        <f>IF(ISNUMBER(A56),IF(Info!V6=2,'Velux DE Artikelnummern'!C27,Q56),"")</f>
        <v/>
      </c>
      <c r="E56" s="618" t="str">
        <f>VLOOKUP(324,Sprachindex!$A:$Z,Info!$O$7,FALSE)</f>
        <v>Einfassung für Velux-Dachflächenfenster (stucco)</v>
      </c>
      <c r="F56" s="619"/>
      <c r="G56" s="619"/>
      <c r="H56" s="619"/>
      <c r="I56" s="81" t="str">
        <f>VLOOKUP(591,Sprachindex!$A:$Z,Info!$O$7,FALSE)</f>
        <v>Maße:</v>
      </c>
      <c r="J56" s="624"/>
      <c r="K56" s="626"/>
      <c r="L56" s="76" t="str">
        <f>IF($A56=0,"",IF($J56=Formeln!$A$30," ",IF($P$11=1,AD56,AE56)))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7"/>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B56" s="179"/>
      <c r="AC56" s="129"/>
      <c r="AD56" s="139">
        <f>ROUNDUP($A56,0)</f>
        <v>0</v>
      </c>
      <c r="AE56" s="141">
        <f t="shared" si="6"/>
        <v>0</v>
      </c>
      <c r="AF56" s="513" t="s">
        <v>51</v>
      </c>
      <c r="AG56" s="517" t="str">
        <f>IF($O$9=1,BE56,IF($O$9=2,AS56,""))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VLOOKUP(AH56,AH56:AR56,$O$21,FALSE)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VLOOKUP(AT56,AT56:BD56,$O$21,FALSE)</f>
        <v>#VALUE!</v>
      </c>
      <c r="BF56" s="521" t="s">
        <v>52</v>
      </c>
      <c r="BG56" s="522" t="str">
        <f>IF($O$9=1,CE56,IF($O$9=2,BS56,""))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VLOOKUP(BH56,BH56:BR56,$O$21,FALSE)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VLOOKUP(BT56,BT56:CD56,$O$21,FALSE)</f>
        <v>#VALUE!</v>
      </c>
      <c r="CF56" s="521" t="s">
        <v>53</v>
      </c>
      <c r="CG56" s="522" t="str">
        <f>IF($O$9=1,DE56,IF($O$9=2,CS56,""))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VLOOKUP(CH56,CH56:CR56,$O$21,FALSE)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VLOOKUP(CT56,CT56:DD56,$O$21,FALSE)</f>
        <v>#VALUE!</v>
      </c>
      <c r="DF56" s="521" t="s">
        <v>54</v>
      </c>
      <c r="DG56" s="522" t="str">
        <f>IF($O$9=1,EE56,IF($O$9=2,DS56,""))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VLOOKUP(DH56,DH56:DR56,$O$21,FALSE)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VLOOKUP(DT56,DT56:ED56,$O$21,FALSE)</f>
        <v>#VALUE!</v>
      </c>
      <c r="EF56" s="521" t="s">
        <v>55</v>
      </c>
      <c r="EG56" s="522" t="str">
        <f>IF($O$9=1,FE56,IF($O$9=2,ES56,""))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VLOOKUP(EH56,EH56:ER56,$O$21,FALSE)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VLOOKUP(ET56,ET56:FD56,$O$21,FALSE)</f>
        <v>#VALUE!</v>
      </c>
      <c r="FF56" s="521" t="s">
        <v>56</v>
      </c>
      <c r="FG56" s="522" t="str">
        <f>IF($O$9=1,GE56,IF($O$9=2,FS56,""))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VLOOKUP(FH56,FH56:FR56,$O$21,FALSE)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VLOOKUP(FT56,FT56:GD56,$O$21,FALSE)</f>
        <v>#VALUE!</v>
      </c>
      <c r="GF56" s="521" t="s">
        <v>57</v>
      </c>
      <c r="GG56" s="522" t="str">
        <f>IF($O$9=1,HE56,IF($O$9=2,GS56,""))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VLOOKUP(GH56,GH56:GR56,$O$21,FALSE)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VLOOKUP(GT56,GT56:HD56,$O$21,FALSE)</f>
        <v>#VALUE!</v>
      </c>
      <c r="HF56" s="521" t="s">
        <v>58</v>
      </c>
      <c r="HG56" s="522" t="str">
        <f>IF($O$9=1,IE56,IF($O$9=2,HS56,""))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VLOOKUP(HH56,HH56:HR56,$O$21,FALSE)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VLOOKUP(HT56,HT56:ID56,$O$21,FALSE)</f>
        <v>#VALUE!</v>
      </c>
      <c r="IF56" s="528" t="s">
        <v>59</v>
      </c>
      <c r="IG56" s="529" t="str">
        <f>IF($O$9=1,JE56,IF($O$9=2,IS56,""))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VLOOKUP(IH56,IH56:IR56,$O$21,FALSE)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VLOOKUP(IT56,IT56:JD56,$O$21,FALSE)</f>
        <v>#VALUE!</v>
      </c>
      <c r="JF56" s="528" t="s">
        <v>60</v>
      </c>
      <c r="JG56" s="529" t="str">
        <f>IF($O$9=1,KE56,IF($O$9=2,JS56,""))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VLOOKUP(JH56,JH56:JR56,$O$21,FALSE)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VLOOKUP(JT56,JT56:KD56,$O$21,FALSE)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18" t="str">
        <f>VLOOKUP(321,Sprachindex!$A:$Z,Info!$O$7,FALSE)</f>
        <v>Einfassung für Roto-Dachflächenfenster (stucco)</v>
      </c>
      <c r="F57" s="619"/>
      <c r="G57" s="619"/>
      <c r="H57" s="594" t="s">
        <v>39284</v>
      </c>
      <c r="I57" s="81" t="str">
        <f>VLOOKUP(591,Sprachindex!$A:$Z,Info!$O$7,FALSE)</f>
        <v>Maße:</v>
      </c>
      <c r="J57" s="624"/>
      <c r="K57" s="626"/>
      <c r="L57" s="76" t="str">
        <f>IF($A57=0,"",IF($J57=Formeln!$A$52," ",IF($P$11=1,AD57,AE57)))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7"/>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Z57" s="179"/>
      <c r="AA57" s="179"/>
      <c r="AB57" s="179"/>
      <c r="AC57" s="129"/>
      <c r="AD57" s="139">
        <f t="shared" ref="AD57" si="7">ROUNDUP($A57,0)</f>
        <v>0</v>
      </c>
      <c r="AE57" s="139">
        <f t="shared" ref="AE57:AE79" si="8">ROUNDUP($A57,0)</f>
        <v>0</v>
      </c>
      <c r="AF57" s="549" t="s">
        <v>61</v>
      </c>
      <c r="AG57" s="550" t="str">
        <f>IF($O$9=1,BE57,IF($O$9=2,AS57,""))</f>
        <v/>
      </c>
      <c r="AH57" s="530">
        <v>111313</v>
      </c>
      <c r="AI57" s="530">
        <v>111310</v>
      </c>
      <c r="AJ57" s="530">
        <v>111318</v>
      </c>
      <c r="AK57" s="530">
        <v>111315</v>
      </c>
      <c r="AL57" s="530">
        <v>111311</v>
      </c>
      <c r="AM57" s="530">
        <v>111317</v>
      </c>
      <c r="AN57" s="530">
        <v>111312</v>
      </c>
      <c r="AO57" s="530">
        <v>111316</v>
      </c>
      <c r="AP57" s="530">
        <v>111319</v>
      </c>
      <c r="AQ57" s="530">
        <v>111314</v>
      </c>
      <c r="AR57" s="530">
        <v>16011028</v>
      </c>
      <c r="AS57" s="531" t="e" vm="2">
        <f>VLOOKUP(AH57,AH57:AR57,$O$21,FALSE)</f>
        <v>#VALUE!</v>
      </c>
      <c r="AT57" s="533">
        <v>111303</v>
      </c>
      <c r="AU57" s="533">
        <v>111300</v>
      </c>
      <c r="AV57" s="533">
        <v>111308</v>
      </c>
      <c r="AW57" s="533">
        <v>111305</v>
      </c>
      <c r="AX57" s="533">
        <v>111301</v>
      </c>
      <c r="AY57" s="533">
        <v>111307</v>
      </c>
      <c r="AZ57" s="533">
        <v>111302</v>
      </c>
      <c r="BA57" s="533">
        <v>111306</v>
      </c>
      <c r="BB57" s="533">
        <v>111309</v>
      </c>
      <c r="BC57" s="533">
        <v>111304</v>
      </c>
      <c r="BD57" s="533">
        <v>16021028</v>
      </c>
      <c r="BE57" s="534" t="e" vm="2">
        <f>VLOOKUP(AT57,AT57:BD57,$O$21,FALSE)</f>
        <v>#VALUE!</v>
      </c>
      <c r="BF57" s="549" t="s">
        <v>62</v>
      </c>
      <c r="BG57" s="550" t="str">
        <f>IF($O$9=1,CE57,IF($O$9=2,BS57,""))</f>
        <v/>
      </c>
      <c r="BH57" s="530">
        <v>111333</v>
      </c>
      <c r="BI57" s="530">
        <v>111330</v>
      </c>
      <c r="BJ57" s="530">
        <v>111338</v>
      </c>
      <c r="BK57" s="530">
        <v>111335</v>
      </c>
      <c r="BL57" s="530">
        <v>111331</v>
      </c>
      <c r="BM57" s="530">
        <v>111337</v>
      </c>
      <c r="BN57" s="530">
        <v>111332</v>
      </c>
      <c r="BO57" s="530">
        <v>111336</v>
      </c>
      <c r="BP57" s="530">
        <v>111339</v>
      </c>
      <c r="BQ57" s="530">
        <v>111334</v>
      </c>
      <c r="BR57" s="530">
        <v>16041028</v>
      </c>
      <c r="BS57" s="531" t="e" vm="2">
        <f>VLOOKUP(BH57,BH57:BR57,$O$21,FALSE)</f>
        <v>#VALUE!</v>
      </c>
      <c r="BT57" s="533">
        <v>111323</v>
      </c>
      <c r="BU57" s="533">
        <v>111320</v>
      </c>
      <c r="BV57" s="533">
        <v>111328</v>
      </c>
      <c r="BW57" s="533">
        <v>111325</v>
      </c>
      <c r="BX57" s="533">
        <v>111321</v>
      </c>
      <c r="BY57" s="533">
        <v>111327</v>
      </c>
      <c r="BZ57" s="533">
        <v>111322</v>
      </c>
      <c r="CA57" s="533">
        <v>111326</v>
      </c>
      <c r="CB57" s="533">
        <v>111329</v>
      </c>
      <c r="CC57" s="533">
        <v>111324</v>
      </c>
      <c r="CD57" s="533">
        <v>16031028</v>
      </c>
      <c r="CE57" s="534" t="e" vm="2">
        <f>VLOOKUP(BT57,BT57:CD57,$O$21,FALSE)</f>
        <v>#VALUE!</v>
      </c>
      <c r="CF57" s="549" t="s">
        <v>39081</v>
      </c>
      <c r="CG57" s="550" t="str">
        <f>IF($O$9=1,DE57,IF($O$9=2,CS57,""))</f>
        <v/>
      </c>
      <c r="CH57" s="530">
        <v>111353</v>
      </c>
      <c r="CI57" s="530">
        <v>111350</v>
      </c>
      <c r="CJ57" s="530">
        <v>111358</v>
      </c>
      <c r="CK57" s="530">
        <v>111355</v>
      </c>
      <c r="CL57" s="530">
        <v>111351</v>
      </c>
      <c r="CM57" s="530">
        <v>111357</v>
      </c>
      <c r="CN57" s="530">
        <v>111352</v>
      </c>
      <c r="CO57" s="530">
        <v>111356</v>
      </c>
      <c r="CP57" s="530">
        <v>111359</v>
      </c>
      <c r="CQ57" s="530">
        <v>111354</v>
      </c>
      <c r="CR57" s="530">
        <v>16061028</v>
      </c>
      <c r="CS57" s="531" t="e" vm="2">
        <f>VLOOKUP(CH57,CH57:CR57,$O$21,FALSE)</f>
        <v>#VALUE!</v>
      </c>
      <c r="CT57" s="532">
        <v>111343</v>
      </c>
      <c r="CU57" s="533">
        <v>111340</v>
      </c>
      <c r="CV57" s="533">
        <v>111348</v>
      </c>
      <c r="CW57" s="533">
        <v>111345</v>
      </c>
      <c r="CX57" s="533">
        <v>111341</v>
      </c>
      <c r="CY57" s="533">
        <v>111347</v>
      </c>
      <c r="CZ57" s="533">
        <v>111342</v>
      </c>
      <c r="DA57" s="533">
        <v>111346</v>
      </c>
      <c r="DB57" s="533">
        <v>111349</v>
      </c>
      <c r="DC57" s="533">
        <v>111344</v>
      </c>
      <c r="DD57" s="533">
        <v>16051028</v>
      </c>
      <c r="DE57" s="534" t="e" vm="2">
        <f>VLOOKUP(CT57,CT57:DD57,$O$21,FALSE)</f>
        <v>#VALUE!</v>
      </c>
      <c r="DF57" s="549" t="s">
        <v>39082</v>
      </c>
      <c r="DG57" s="550" t="str">
        <f>IF($O$9=1,EE57,IF($O$9=2,DS57,""))</f>
        <v/>
      </c>
      <c r="DH57" s="530">
        <v>111373</v>
      </c>
      <c r="DI57" s="530">
        <v>111370</v>
      </c>
      <c r="DJ57" s="530">
        <v>111378</v>
      </c>
      <c r="DK57" s="530">
        <v>111375</v>
      </c>
      <c r="DL57" s="530">
        <v>111371</v>
      </c>
      <c r="DM57" s="530">
        <v>111377</v>
      </c>
      <c r="DN57" s="530">
        <v>111372</v>
      </c>
      <c r="DO57" s="530">
        <v>111376</v>
      </c>
      <c r="DP57" s="530">
        <v>111379</v>
      </c>
      <c r="DQ57" s="530">
        <v>111374</v>
      </c>
      <c r="DR57" s="530">
        <v>16081028</v>
      </c>
      <c r="DS57" s="531" t="e" vm="2">
        <f>VLOOKUP(DH57,DH57:DR57,$O$21,FALSE)</f>
        <v>#VALUE!</v>
      </c>
      <c r="DT57" s="532">
        <v>111363</v>
      </c>
      <c r="DU57" s="533">
        <v>111360</v>
      </c>
      <c r="DV57" s="533">
        <v>111368</v>
      </c>
      <c r="DW57" s="533">
        <v>111365</v>
      </c>
      <c r="DX57" s="533">
        <v>111361</v>
      </c>
      <c r="DY57" s="533">
        <v>111367</v>
      </c>
      <c r="DZ57" s="533">
        <v>111362</v>
      </c>
      <c r="EA57" s="533">
        <v>111366</v>
      </c>
      <c r="EB57" s="533">
        <v>111369</v>
      </c>
      <c r="EC57" s="533">
        <v>111364</v>
      </c>
      <c r="ED57" s="533">
        <v>16071028</v>
      </c>
      <c r="EE57" s="534" t="e" vm="2">
        <f>VLOOKUP(DT57,DT57:ED57,$O$21,FALSE)</f>
        <v>#VALUE!</v>
      </c>
      <c r="EF57" s="549" t="s">
        <v>39083</v>
      </c>
      <c r="EG57" s="550" t="str">
        <f>IF($O$9=1,FE57,IF($O$9=2,ES57,""))</f>
        <v/>
      </c>
      <c r="EH57" s="530">
        <v>111393</v>
      </c>
      <c r="EI57" s="530">
        <v>111390</v>
      </c>
      <c r="EJ57" s="530">
        <v>111398</v>
      </c>
      <c r="EK57" s="530">
        <v>111395</v>
      </c>
      <c r="EL57" s="530">
        <v>111391</v>
      </c>
      <c r="EM57" s="530">
        <v>111397</v>
      </c>
      <c r="EN57" s="530">
        <v>111392</v>
      </c>
      <c r="EO57" s="530">
        <v>111396</v>
      </c>
      <c r="EP57" s="530">
        <v>111399</v>
      </c>
      <c r="EQ57" s="530">
        <v>111394</v>
      </c>
      <c r="ER57" s="530">
        <v>16101028</v>
      </c>
      <c r="ES57" s="531" t="e" vm="2">
        <f>VLOOKUP(EH57,EH57:ER57,$O$21,FALSE)</f>
        <v>#VALUE!</v>
      </c>
      <c r="ET57" s="532">
        <v>111383</v>
      </c>
      <c r="EU57" s="533">
        <v>111380</v>
      </c>
      <c r="EV57" s="533">
        <v>111388</v>
      </c>
      <c r="EW57" s="533">
        <v>111385</v>
      </c>
      <c r="EX57" s="533">
        <v>111381</v>
      </c>
      <c r="EY57" s="533">
        <v>111387</v>
      </c>
      <c r="EZ57" s="533">
        <v>111382</v>
      </c>
      <c r="FA57" s="533">
        <v>111386</v>
      </c>
      <c r="FB57" s="533">
        <v>111389</v>
      </c>
      <c r="FC57" s="533">
        <v>111384</v>
      </c>
      <c r="FD57" s="533">
        <v>16091028</v>
      </c>
      <c r="FE57" s="534" t="e" vm="2">
        <f>VLOOKUP(ET57,ET57:FD57,$O$21,FALSE)</f>
        <v>#VALUE!</v>
      </c>
      <c r="FF57" s="549" t="s">
        <v>39084</v>
      </c>
      <c r="FG57" s="550" t="str">
        <f>IF($O$9=1,GE57,IF($O$9=2,FS57,""))</f>
        <v/>
      </c>
      <c r="FH57" s="530">
        <v>111413</v>
      </c>
      <c r="FI57" s="530">
        <v>111410</v>
      </c>
      <c r="FJ57" s="530">
        <v>111418</v>
      </c>
      <c r="FK57" s="530">
        <v>111415</v>
      </c>
      <c r="FL57" s="530">
        <v>111411</v>
      </c>
      <c r="FM57" s="530">
        <v>111417</v>
      </c>
      <c r="FN57" s="530">
        <v>111412</v>
      </c>
      <c r="FO57" s="530">
        <v>111416</v>
      </c>
      <c r="FP57" s="530">
        <v>111419</v>
      </c>
      <c r="FQ57" s="530">
        <v>111414</v>
      </c>
      <c r="FR57" s="530">
        <v>16121028</v>
      </c>
      <c r="FS57" s="531" t="e" vm="2">
        <f>VLOOKUP(FH57,FH57:FR57,$O$21,FALSE)</f>
        <v>#VALUE!</v>
      </c>
      <c r="FT57" s="532">
        <v>111403</v>
      </c>
      <c r="FU57" s="533">
        <v>111400</v>
      </c>
      <c r="FV57" s="533">
        <v>111408</v>
      </c>
      <c r="FW57" s="533">
        <v>111405</v>
      </c>
      <c r="FX57" s="533">
        <v>111401</v>
      </c>
      <c r="FY57" s="533">
        <v>111407</v>
      </c>
      <c r="FZ57" s="533">
        <v>111402</v>
      </c>
      <c r="GA57" s="533">
        <v>111406</v>
      </c>
      <c r="GB57" s="533">
        <v>111409</v>
      </c>
      <c r="GC57" s="533">
        <v>111404</v>
      </c>
      <c r="GD57" s="533">
        <v>16111028</v>
      </c>
      <c r="GE57" s="534" t="e" vm="2">
        <f>VLOOKUP(FT57,FT57:GD57,$O$21,FALSE)</f>
        <v>#VALUE!</v>
      </c>
      <c r="GF57" s="549" t="s">
        <v>39085</v>
      </c>
      <c r="GG57" s="550" t="str">
        <f>IF($O$9=1,HE57,IF($O$9=2,GS57,""))</f>
        <v/>
      </c>
      <c r="GH57" s="530">
        <v>111433</v>
      </c>
      <c r="GI57" s="530">
        <v>111430</v>
      </c>
      <c r="GJ57" s="530">
        <v>111438</v>
      </c>
      <c r="GK57" s="530">
        <v>111435</v>
      </c>
      <c r="GL57" s="530">
        <v>111431</v>
      </c>
      <c r="GM57" s="530">
        <v>111437</v>
      </c>
      <c r="GN57" s="530">
        <v>111432</v>
      </c>
      <c r="GO57" s="530">
        <v>111436</v>
      </c>
      <c r="GP57" s="530">
        <v>111439</v>
      </c>
      <c r="GQ57" s="530">
        <v>111434</v>
      </c>
      <c r="GR57" s="530">
        <v>16141028</v>
      </c>
      <c r="GS57" s="531" t="e" vm="2">
        <f>VLOOKUP(GH57,GH57:GR57,$O$21,FALSE)</f>
        <v>#VALUE!</v>
      </c>
      <c r="GT57" s="532">
        <v>111423</v>
      </c>
      <c r="GU57" s="533">
        <v>111420</v>
      </c>
      <c r="GV57" s="533">
        <v>111428</v>
      </c>
      <c r="GW57" s="533">
        <v>111425</v>
      </c>
      <c r="GX57" s="533">
        <v>111421</v>
      </c>
      <c r="GY57" s="533">
        <v>111427</v>
      </c>
      <c r="GZ57" s="533">
        <v>111422</v>
      </c>
      <c r="HA57" s="533">
        <v>111426</v>
      </c>
      <c r="HB57" s="533">
        <v>111429</v>
      </c>
      <c r="HC57" s="533">
        <v>111424</v>
      </c>
      <c r="HD57" s="533">
        <v>16131028</v>
      </c>
      <c r="HE57" s="534" t="e" vm="2">
        <f>VLOOKUP(GT57,GT57:HD57,$O$21,FALSE)</f>
        <v>#VALUE!</v>
      </c>
      <c r="HF57" s="549" t="s">
        <v>39086</v>
      </c>
      <c r="HG57" s="550" t="str">
        <f>IF($O$9=1,IE57,IF($O$9=2,HS57,""))</f>
        <v/>
      </c>
      <c r="HH57" s="530">
        <v>111453</v>
      </c>
      <c r="HI57" s="530">
        <v>111450</v>
      </c>
      <c r="HJ57" s="530">
        <v>111458</v>
      </c>
      <c r="HK57" s="530">
        <v>111455</v>
      </c>
      <c r="HL57" s="530">
        <v>111451</v>
      </c>
      <c r="HM57" s="530">
        <v>111457</v>
      </c>
      <c r="HN57" s="530">
        <v>111452</v>
      </c>
      <c r="HO57" s="530">
        <v>111456</v>
      </c>
      <c r="HP57" s="530">
        <v>111459</v>
      </c>
      <c r="HQ57" s="530">
        <v>111454</v>
      </c>
      <c r="HR57" s="530">
        <v>16161028</v>
      </c>
      <c r="HS57" s="531" t="e" vm="2">
        <f>VLOOKUP(HH57,HH57:HR57,$O$21,FALSE)</f>
        <v>#VALUE!</v>
      </c>
      <c r="HT57" s="532">
        <v>111443</v>
      </c>
      <c r="HU57" s="533">
        <v>111440</v>
      </c>
      <c r="HV57" s="533">
        <v>111448</v>
      </c>
      <c r="HW57" s="533">
        <v>111445</v>
      </c>
      <c r="HX57" s="533">
        <v>111441</v>
      </c>
      <c r="HY57" s="533">
        <v>111447</v>
      </c>
      <c r="HZ57" s="533">
        <v>111442</v>
      </c>
      <c r="IA57" s="533">
        <v>111446</v>
      </c>
      <c r="IB57" s="533">
        <v>111449</v>
      </c>
      <c r="IC57" s="533">
        <v>111444</v>
      </c>
      <c r="ID57" s="533">
        <v>16151028</v>
      </c>
      <c r="IE57" s="534" t="e" vm="2">
        <f>VLOOKUP(HT57,HT57:ID57,$O$21,FALSE)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thickTop="1">
      <c r="A58" s="93"/>
      <c r="B58" s="76" t="str">
        <f>VLOOKUP(878,Sprachindex!$A:$Z,Info!$O$7,FALSE)</f>
        <v>Stk.</v>
      </c>
      <c r="C58" s="75" t="e" vm="90">
        <v>#VALUE!</v>
      </c>
      <c r="D58" s="75">
        <v>111700</v>
      </c>
      <c r="E58" s="618" t="str">
        <f>VLOOKUP(322,Sprachindex!$A:$Z,Info!$O$7,FALSE)</f>
        <v>Einfassung für Roto-Q-Serie (stucco)</v>
      </c>
      <c r="F58" s="619"/>
      <c r="G58" s="619"/>
      <c r="H58" s="594" t="s">
        <v>39284</v>
      </c>
      <c r="I58" s="81" t="str">
        <f>VLOOKUP(591,Sprachindex!$A:$Z,Info!$O$7,FALSE)</f>
        <v>Maße:</v>
      </c>
      <c r="J58" s="624"/>
      <c r="K58" s="626"/>
      <c r="L58" s="76" t="str">
        <f>IF($A58=0,"",IF($J58=Formeln!$A$52," ",IF($O$11=1,AD58,AE58)))</f>
        <v/>
      </c>
      <c r="M58" s="399" t="str">
        <f t="shared" si="0"/>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R58" s="182">
        <v>299.99</v>
      </c>
      <c r="S58" s="182">
        <v>307.95</v>
      </c>
      <c r="T58" s="182">
        <v>307.95</v>
      </c>
      <c r="U58" s="182">
        <v>371.6</v>
      </c>
      <c r="V58" s="182">
        <v>379.7</v>
      </c>
      <c r="W58" s="182">
        <v>382.31</v>
      </c>
      <c r="X58" s="179"/>
      <c r="Y58" s="179"/>
      <c r="Z58" s="179"/>
      <c r="AA58" s="179"/>
      <c r="AC58" s="1"/>
      <c r="AD58" s="139">
        <f t="shared" ref="AD58:AD64" si="9">ROUNDUP($A58,0)</f>
        <v>0</v>
      </c>
      <c r="AE58" s="139">
        <f t="shared" si="8"/>
        <v>0</v>
      </c>
      <c r="BC58" s="119"/>
      <c r="BD58" s="119"/>
      <c r="BE58" s="119"/>
      <c r="BF58" s="119"/>
      <c r="BG58" s="119"/>
      <c r="BH58" s="119"/>
      <c r="BI58" s="119"/>
      <c r="BJ58" s="119"/>
      <c r="BK58" s="119"/>
      <c r="BM58" s="119"/>
      <c r="BN58" s="119"/>
      <c r="BO58" s="119"/>
      <c r="BP58" s="119"/>
      <c r="BQ58" s="119"/>
      <c r="BR58" s="119"/>
      <c r="BS58" s="119"/>
      <c r="BT58" s="119"/>
      <c r="BU58" s="119"/>
      <c r="BV58" s="119"/>
      <c r="BX58" s="119"/>
      <c r="BY58" s="119"/>
      <c r="BZ58" s="119"/>
      <c r="CA58" s="119"/>
      <c r="CB58" s="119"/>
      <c r="CC58" s="119"/>
      <c r="CD58" s="119"/>
      <c r="CE58" s="119"/>
      <c r="CF58" s="119"/>
      <c r="CH58" s="119"/>
      <c r="CI58" s="119"/>
      <c r="CJ58" s="119"/>
      <c r="CK58" s="119"/>
      <c r="CL58" s="119"/>
      <c r="CM58" s="119"/>
      <c r="CN58" s="119"/>
      <c r="CO58" s="119"/>
      <c r="CP58" s="119"/>
      <c r="CQ58" s="119"/>
      <c r="CS58" s="119"/>
      <c r="CT58" s="119"/>
      <c r="CU58" s="119"/>
      <c r="CV58" s="119"/>
      <c r="CW58" s="119"/>
      <c r="CX58" s="119"/>
      <c r="CY58" s="119"/>
      <c r="CZ58" s="119"/>
      <c r="DA58" s="119"/>
      <c r="DC58" s="119"/>
      <c r="DD58" s="119"/>
      <c r="DE58" s="119"/>
      <c r="DF58" s="119"/>
      <c r="DG58" s="119"/>
      <c r="DH58" s="119"/>
      <c r="DI58" s="119"/>
      <c r="DJ58" s="119"/>
      <c r="DK58" s="119"/>
      <c r="DL58" s="119"/>
      <c r="DX58" s="119"/>
      <c r="DY58" s="119"/>
      <c r="DZ58" s="119"/>
      <c r="EA58" s="119"/>
      <c r="EB58" s="119"/>
      <c r="EC58" s="119"/>
      <c r="ED58" s="119"/>
      <c r="EE58" s="119"/>
      <c r="EF58" s="119"/>
      <c r="EG58" s="119"/>
      <c r="EI58" s="119"/>
      <c r="EJ58" s="119"/>
      <c r="EK58" s="119"/>
      <c r="EL58" s="119"/>
      <c r="EM58" s="119"/>
      <c r="EN58" s="119"/>
      <c r="EO58" s="119"/>
      <c r="EP58" s="119"/>
      <c r="EQ58" s="119"/>
      <c r="ES58" s="119"/>
      <c r="ET58" s="119"/>
      <c r="EU58" s="119"/>
      <c r="EV58" s="119"/>
      <c r="EW58" s="119"/>
      <c r="EX58" s="119"/>
      <c r="EY58" s="119"/>
      <c r="EZ58" s="119"/>
      <c r="FA58" s="119"/>
      <c r="FB58" s="119"/>
    </row>
    <row r="59" spans="1:426" ht="32.1" customHeight="1">
      <c r="A59" s="93"/>
      <c r="B59" s="76" t="str">
        <f>VLOOKUP(878,Sprachindex!$A:$Z,Info!$O$7,FALSE)</f>
        <v>Stk.</v>
      </c>
      <c r="C59" s="75" t="e" vm="30">
        <v>#VALUE!</v>
      </c>
      <c r="D59" s="75" t="str">
        <f>IF(ISNUMBER(A59),AS59,"")</f>
        <v/>
      </c>
      <c r="E59" s="618" t="str">
        <f>VLOOKUP(345,Sprachindex!$A:$Z,Info!$O$7,FALSE)</f>
        <v>Einzeltritt (inkl. zwei Fußteile)</v>
      </c>
      <c r="F59" s="619"/>
      <c r="G59" s="619"/>
      <c r="H59" s="619"/>
      <c r="I59" s="619"/>
      <c r="J59" s="619"/>
      <c r="K59" s="620"/>
      <c r="L59" s="76" t="str">
        <f t="shared" ref="L59:L71" si="10">IF(A59=0,"",IF($P$11=1,AD59,AE59))</f>
        <v/>
      </c>
      <c r="M59" s="161" t="str">
        <f>VLOOKUP(878,Sprachindex!$A:$Z,Info!$O$7,FALSE)</f>
        <v>Stk.</v>
      </c>
      <c r="N59" s="77"/>
      <c r="O59" s="204" t="str">
        <f t="shared" ref="O59:O71" si="11">IF(ISNUMBER(A59),$L59*R59, "")</f>
        <v/>
      </c>
      <c r="P59" s="267"/>
      <c r="R59" s="182">
        <v>72.87</v>
      </c>
      <c r="T59" s="179"/>
      <c r="U59" s="179"/>
      <c r="V59" s="179"/>
      <c r="W59" s="179"/>
      <c r="X59" s="179"/>
      <c r="Y59" s="179"/>
      <c r="Z59" s="179"/>
      <c r="AA59" s="179"/>
      <c r="AB59" s="179"/>
      <c r="AC59" s="129"/>
      <c r="AD59" s="139">
        <f t="shared" si="9"/>
        <v>0</v>
      </c>
      <c r="AE59" s="139">
        <f t="shared" si="8"/>
        <v>0</v>
      </c>
      <c r="AF59" s="135"/>
      <c r="AH59" s="548">
        <v>120073</v>
      </c>
      <c r="AI59" s="548">
        <v>120070</v>
      </c>
      <c r="AJ59" s="548">
        <v>120078</v>
      </c>
      <c r="AK59" s="548">
        <v>120075</v>
      </c>
      <c r="AL59" s="548">
        <v>120071</v>
      </c>
      <c r="AM59" s="548">
        <v>120077</v>
      </c>
      <c r="AN59" s="548">
        <v>120072</v>
      </c>
      <c r="AO59" s="548">
        <v>120076</v>
      </c>
      <c r="AP59" s="548">
        <v>120079</v>
      </c>
      <c r="AQ59" s="548">
        <v>120074</v>
      </c>
      <c r="AR59" s="548">
        <v>15061028</v>
      </c>
      <c r="AS59" s="509" t="e" vm="2">
        <f>VLOOKUP(AH59,AH59:AR59,$O$21,FALSE)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18" t="str">
        <f>VLOOKUP(567,Sprachindex!$A:$Z,Info!$O$7,FALSE)</f>
        <v>Laufstegstütze auf einem Fußteil</v>
      </c>
      <c r="F60" s="619"/>
      <c r="G60" s="619"/>
      <c r="H60" s="619"/>
      <c r="I60" s="619"/>
      <c r="J60" s="619"/>
      <c r="K60" s="620"/>
      <c r="L60" s="76" t="str">
        <f t="shared" si="10"/>
        <v/>
      </c>
      <c r="M60" s="161" t="str">
        <f>VLOOKUP(878,Sprachindex!$A:$Z,Info!$O$7,FALSE)</f>
        <v>Stk.</v>
      </c>
      <c r="N60" s="77"/>
      <c r="O60" s="184" t="str">
        <f t="shared" si="11"/>
        <v/>
      </c>
      <c r="P60" s="267"/>
      <c r="R60" s="182">
        <v>53.89</v>
      </c>
      <c r="T60" s="179"/>
      <c r="U60" s="179"/>
      <c r="V60" s="179"/>
      <c r="W60" s="179"/>
      <c r="X60" s="179"/>
      <c r="Y60" s="179"/>
      <c r="Z60" s="179"/>
      <c r="AA60" s="179"/>
      <c r="AB60" s="179"/>
      <c r="AC60" s="129"/>
      <c r="AD60" s="139">
        <f t="shared" si="9"/>
        <v>0</v>
      </c>
      <c r="AE60" s="139">
        <f t="shared" si="8"/>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VLOOKUP(AH60,AH60:AR60,$O$21,FALSE)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18" t="str">
        <f>VLOOKUP(568,Sprachindex!$A:$Z,Info!$O$7,FALSE)</f>
        <v>Laufstegstütze auf zwei Fußteilen</v>
      </c>
      <c r="F61" s="619"/>
      <c r="G61" s="619"/>
      <c r="H61" s="619"/>
      <c r="I61" s="619"/>
      <c r="J61" s="619"/>
      <c r="K61" s="620"/>
      <c r="L61" s="76" t="str">
        <f t="shared" si="10"/>
        <v/>
      </c>
      <c r="M61" s="161" t="str">
        <f>VLOOKUP(878,Sprachindex!$A:$Z,Info!$O$7,FALSE)</f>
        <v>Stk.</v>
      </c>
      <c r="N61" s="77"/>
      <c r="O61" s="184" t="str">
        <f t="shared" si="11"/>
        <v/>
      </c>
      <c r="P61" s="267"/>
      <c r="R61" s="182">
        <v>76.349999999999994</v>
      </c>
      <c r="T61" s="179"/>
      <c r="U61" s="179"/>
      <c r="V61" s="179"/>
      <c r="W61" s="179"/>
      <c r="X61" s="179"/>
      <c r="Y61" s="179"/>
      <c r="Z61" s="179"/>
      <c r="AA61" s="179"/>
      <c r="AB61" s="179"/>
      <c r="AC61" s="129"/>
      <c r="AD61" s="139">
        <f t="shared" si="9"/>
        <v>0</v>
      </c>
      <c r="AE61" s="139">
        <f t="shared" si="8"/>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18" t="str">
        <f>VLOOKUP(560,Sprachindex!$A:$Z,Info!$O$7,FALSE)</f>
        <v>Laufsteg (250 × 1.200 mm)</v>
      </c>
      <c r="F62" s="619"/>
      <c r="G62" s="619"/>
      <c r="H62" s="619"/>
      <c r="I62" s="619"/>
      <c r="J62" s="619"/>
      <c r="K62" s="620"/>
      <c r="L62" s="76" t="str">
        <f t="shared" si="10"/>
        <v/>
      </c>
      <c r="M62" s="161" t="str">
        <f>VLOOKUP(878,Sprachindex!$A:$Z,Info!$O$7,FALSE)</f>
        <v>Stk.</v>
      </c>
      <c r="N62" s="77"/>
      <c r="O62" s="184" t="str">
        <f t="shared" si="11"/>
        <v/>
      </c>
      <c r="P62" s="267"/>
      <c r="R62" s="182">
        <v>76.66</v>
      </c>
      <c r="T62" s="179"/>
      <c r="U62" s="179"/>
      <c r="V62" s="179"/>
      <c r="W62" s="179"/>
      <c r="X62" s="179"/>
      <c r="Y62" s="179"/>
      <c r="Z62" s="179"/>
      <c r="AA62" s="179"/>
      <c r="AB62" s="179"/>
      <c r="AC62" s="129"/>
      <c r="AD62" s="139">
        <f t="shared" si="9"/>
        <v>0</v>
      </c>
      <c r="AE62" s="139">
        <f t="shared" si="8"/>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VLOOKUP(AH62,AH62:AR62,$O$21,FALSE)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2">IF(ISNUMBER(A63),AS63,"")</f>
        <v/>
      </c>
      <c r="E63" s="618" t="str">
        <f>VLOOKUP(563,Sprachindex!$A:$Z,Info!$O$7,FALSE)</f>
        <v>Laufsteg (250 × 800 mm)</v>
      </c>
      <c r="F63" s="619"/>
      <c r="G63" s="619"/>
      <c r="H63" s="619"/>
      <c r="I63" s="619"/>
      <c r="J63" s="619"/>
      <c r="K63" s="620"/>
      <c r="L63" s="76" t="str">
        <f t="shared" si="10"/>
        <v/>
      </c>
      <c r="M63" s="161" t="str">
        <f>VLOOKUP(878,Sprachindex!$A:$Z,Info!$O$7,FALSE)</f>
        <v>Stk.</v>
      </c>
      <c r="N63" s="77"/>
      <c r="O63" s="184" t="str">
        <f t="shared" si="11"/>
        <v/>
      </c>
      <c r="P63" s="267"/>
      <c r="R63" s="182">
        <v>56.6</v>
      </c>
      <c r="T63" s="179"/>
      <c r="U63" s="179"/>
      <c r="V63" s="179"/>
      <c r="W63" s="179"/>
      <c r="X63" s="179"/>
      <c r="Y63" s="179"/>
      <c r="Z63" s="179"/>
      <c r="AA63" s="179"/>
      <c r="AB63" s="179"/>
      <c r="AC63" s="129"/>
      <c r="AD63" s="139">
        <f t="shared" si="9"/>
        <v>0</v>
      </c>
      <c r="AE63" s="139">
        <f t="shared" si="8"/>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VLOOKUP(AH63,AH63:AR63,$O$21,FALSE)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2"/>
        <v/>
      </c>
      <c r="E64" s="618" t="str">
        <f>VLOOKUP(562,Sprachindex!$A:$Z,Info!$O$7,FALSE)</f>
        <v>Laufsteg (250 × 600 mm)</v>
      </c>
      <c r="F64" s="619"/>
      <c r="G64" s="619"/>
      <c r="H64" s="619"/>
      <c r="I64" s="619"/>
      <c r="J64" s="619"/>
      <c r="K64" s="620"/>
      <c r="L64" s="76" t="str">
        <f t="shared" si="10"/>
        <v/>
      </c>
      <c r="M64" s="161" t="str">
        <f>VLOOKUP(878,Sprachindex!$A:$Z,Info!$O$7,FALSE)</f>
        <v>Stk.</v>
      </c>
      <c r="N64" s="77"/>
      <c r="O64" s="184" t="str">
        <f t="shared" si="11"/>
        <v/>
      </c>
      <c r="P64" s="267"/>
      <c r="R64" s="182">
        <v>54.1</v>
      </c>
      <c r="T64" s="179"/>
      <c r="U64" s="179"/>
      <c r="V64" s="179"/>
      <c r="W64" s="179"/>
      <c r="X64" s="179"/>
      <c r="Y64" s="179"/>
      <c r="Z64" s="179"/>
      <c r="AA64" s="179"/>
      <c r="AB64" s="179"/>
      <c r="AC64" s="129"/>
      <c r="AD64" s="139">
        <f t="shared" si="9"/>
        <v>0</v>
      </c>
      <c r="AE64" s="139">
        <f t="shared" si="8"/>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VLOOKUP(AH64,AH64:AR64,$O$21,FALSE)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2"/>
        <v/>
      </c>
      <c r="E65" s="618" t="str">
        <f>VLOOKUP(561,Sprachindex!$A:$Z,Info!$O$7,FALSE)</f>
        <v>Laufsteg (250 × 420 mm)</v>
      </c>
      <c r="F65" s="619"/>
      <c r="G65" s="619"/>
      <c r="H65" s="619"/>
      <c r="I65" s="619"/>
      <c r="J65" s="619"/>
      <c r="K65" s="620"/>
      <c r="L65" s="76" t="str">
        <f t="shared" si="10"/>
        <v/>
      </c>
      <c r="M65" s="161" t="str">
        <f>VLOOKUP(878,Sprachindex!$A:$Z,Info!$O$7,FALSE)</f>
        <v>Stk.</v>
      </c>
      <c r="N65" s="77"/>
      <c r="O65" s="184" t="str">
        <f t="shared" si="11"/>
        <v/>
      </c>
      <c r="P65" s="267"/>
      <c r="R65" s="182">
        <v>40.14</v>
      </c>
      <c r="T65" s="179"/>
      <c r="U65" s="179"/>
      <c r="V65" s="179"/>
      <c r="W65" s="179"/>
      <c r="X65" s="179"/>
      <c r="Y65" s="179"/>
      <c r="Z65" s="179"/>
      <c r="AA65" s="179"/>
      <c r="AB65" s="179"/>
      <c r="AC65" s="129"/>
      <c r="AD65" s="139">
        <f>ROUNDUP($A65/4,0)*4</f>
        <v>0</v>
      </c>
      <c r="AE65" s="139">
        <f t="shared" si="8"/>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VLOOKUP(AH65,AH65:AR65,$O$21,FALSE)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18" t="str">
        <f>VLOOKUP(565,Sprachindex!$A:$Z,Info!$O$7,FALSE)</f>
        <v>Laufsteg (360 × 800 mm)</v>
      </c>
      <c r="F66" s="619"/>
      <c r="G66" s="619"/>
      <c r="H66" s="619"/>
      <c r="I66" s="619"/>
      <c r="J66" s="619"/>
      <c r="K66" s="620"/>
      <c r="L66" s="76" t="str">
        <f t="shared" si="10"/>
        <v/>
      </c>
      <c r="M66" s="161" t="str">
        <f>VLOOKUP(878,Sprachindex!$A:$Z,Info!$O$7,FALSE)</f>
        <v>Stk.</v>
      </c>
      <c r="N66" s="77"/>
      <c r="O66" s="184" t="str">
        <f t="shared" si="11"/>
        <v/>
      </c>
      <c r="P66" s="267"/>
      <c r="R66" s="182">
        <v>83.23</v>
      </c>
      <c r="T66" s="179"/>
      <c r="U66" s="179"/>
      <c r="V66" s="179"/>
      <c r="W66" s="179"/>
      <c r="X66" s="179"/>
      <c r="Y66" s="179"/>
      <c r="Z66" s="179"/>
      <c r="AA66" s="179"/>
      <c r="AB66" s="179"/>
      <c r="AC66" s="129"/>
      <c r="AD66" s="139">
        <f>ROUNDUP($A66,0)</f>
        <v>0</v>
      </c>
      <c r="AE66" s="139">
        <f t="shared" si="8"/>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18" t="str">
        <f>VLOOKUP(564,Sprachindex!$A:$Z,Info!$O$7,FALSE)</f>
        <v>Laufsteg (360 × 1.200 mm)</v>
      </c>
      <c r="F67" s="619"/>
      <c r="G67" s="619"/>
      <c r="H67" s="619"/>
      <c r="I67" s="619"/>
      <c r="J67" s="619"/>
      <c r="K67" s="620"/>
      <c r="L67" s="76" t="str">
        <f t="shared" si="10"/>
        <v/>
      </c>
      <c r="M67" s="161" t="str">
        <f>VLOOKUP(878,Sprachindex!$A:$Z,Info!$O$7,FALSE)</f>
        <v>Stk.</v>
      </c>
      <c r="N67" s="77"/>
      <c r="O67" s="184" t="str">
        <f t="shared" si="11"/>
        <v/>
      </c>
      <c r="P67" s="267"/>
      <c r="R67" s="182">
        <v>123.29</v>
      </c>
      <c r="T67" s="179"/>
      <c r="U67" s="179"/>
      <c r="V67" s="179"/>
      <c r="W67" s="179"/>
      <c r="X67" s="179"/>
      <c r="Y67" s="179"/>
      <c r="Z67" s="179"/>
      <c r="AA67" s="179"/>
      <c r="AB67" s="179"/>
      <c r="AC67" s="129"/>
      <c r="AD67" s="139">
        <f>ROUNDUP($A67,0)</f>
        <v>0</v>
      </c>
      <c r="AE67" s="139">
        <f t="shared" si="8"/>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18" t="str">
        <f>VLOOKUP(955,Sprachindex!$A:$Z,Info!$O$7,FALSE)</f>
        <v>Verbinder (verzinkt; für Laufsteg; Breite: 250 mm)</v>
      </c>
      <c r="F68" s="619"/>
      <c r="G68" s="619"/>
      <c r="H68" s="619"/>
      <c r="I68" s="619"/>
      <c r="J68" s="619"/>
      <c r="K68" s="620"/>
      <c r="L68" s="76" t="str">
        <f t="shared" si="10"/>
        <v/>
      </c>
      <c r="M68" s="161" t="str">
        <f>VLOOKUP(878,Sprachindex!$A:$Z,Info!$O$7,FALSE)</f>
        <v>Stk.</v>
      </c>
      <c r="N68" s="77"/>
      <c r="O68" s="184" t="str">
        <f t="shared" si="11"/>
        <v/>
      </c>
      <c r="P68" s="267"/>
      <c r="R68" s="182">
        <v>24.74</v>
      </c>
      <c r="T68" s="179"/>
      <c r="U68" s="179"/>
      <c r="V68" s="179"/>
      <c r="W68" s="179"/>
      <c r="X68" s="179"/>
      <c r="Y68" s="179"/>
      <c r="Z68" s="179"/>
      <c r="AA68" s="179"/>
      <c r="AB68" s="179"/>
      <c r="AC68" s="129"/>
      <c r="AD68" s="139">
        <f>ROUNDUP($A68,0)</f>
        <v>0</v>
      </c>
      <c r="AE68" s="139">
        <f t="shared" si="8"/>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18" t="str">
        <f>VLOOKUP(956,Sprachindex!$A:$Z,Info!$O$7,FALSE)</f>
        <v>Verbinder (verzinkt; für Laufsteg; Breite: 360 mm)</v>
      </c>
      <c r="F69" s="619"/>
      <c r="G69" s="619"/>
      <c r="H69" s="619"/>
      <c r="I69" s="619"/>
      <c r="J69" s="619"/>
      <c r="K69" s="620"/>
      <c r="L69" s="76" t="str">
        <f t="shared" si="10"/>
        <v/>
      </c>
      <c r="M69" s="161" t="str">
        <f>VLOOKUP(878,Sprachindex!$A:$Z,Info!$O$7,FALSE)</f>
        <v>Stk.</v>
      </c>
      <c r="N69" s="77"/>
      <c r="O69" s="184" t="str">
        <f t="shared" si="11"/>
        <v/>
      </c>
      <c r="P69" s="267"/>
      <c r="R69" s="182">
        <v>54.66</v>
      </c>
      <c r="T69" s="179"/>
      <c r="U69" s="179"/>
      <c r="V69" s="179"/>
      <c r="W69" s="179"/>
      <c r="X69" s="179"/>
      <c r="Y69" s="179"/>
      <c r="Z69" s="179"/>
      <c r="AA69" s="179"/>
      <c r="AB69" s="179"/>
      <c r="AC69" s="129"/>
      <c r="AD69" s="139">
        <f>ROUNDUP($A69,0)</f>
        <v>0</v>
      </c>
      <c r="AE69" s="139">
        <f t="shared" si="8"/>
        <v>0</v>
      </c>
      <c r="AF69" s="135"/>
      <c r="AH69" s="621" t="s">
        <v>26</v>
      </c>
      <c r="AI69" s="622"/>
      <c r="AJ69" s="622"/>
      <c r="AK69" s="622"/>
      <c r="AL69" s="622"/>
      <c r="AM69" s="622"/>
      <c r="AN69" s="622"/>
      <c r="AO69" s="622"/>
      <c r="AP69" s="622"/>
      <c r="AQ69" s="622"/>
      <c r="AR69" s="622"/>
      <c r="AS69" s="623"/>
      <c r="AT69" s="621" t="s">
        <v>27</v>
      </c>
      <c r="AU69" s="622"/>
      <c r="AV69" s="622"/>
      <c r="AW69" s="622"/>
      <c r="AX69" s="622"/>
      <c r="AY69" s="622"/>
      <c r="AZ69" s="622"/>
      <c r="BA69" s="622"/>
      <c r="BB69" s="622"/>
      <c r="BC69" s="622"/>
      <c r="BD69" s="623"/>
    </row>
    <row r="70" spans="1:58" ht="32.1" customHeight="1">
      <c r="A70" s="93"/>
      <c r="B70" s="76" t="str">
        <f>VLOOKUP(878,Sprachindex!$A:$Z,Info!$O$7,FALSE)</f>
        <v>Stk.</v>
      </c>
      <c r="C70" s="78" t="e" vm="40">
        <v>#VALUE!</v>
      </c>
      <c r="D70" s="80">
        <v>635661</v>
      </c>
      <c r="E70" s="618" t="str">
        <f>VLOOKUP(277,Sprachindex!$A:$Z,Info!$O$7,FALSE)</f>
        <v>Sicherheitsdachhaken auf Fußteilen</v>
      </c>
      <c r="F70" s="619"/>
      <c r="G70" s="619"/>
      <c r="H70" s="619"/>
      <c r="I70" s="619"/>
      <c r="J70" s="619"/>
      <c r="K70" s="620"/>
      <c r="L70" s="76" t="str">
        <f t="shared" si="10"/>
        <v/>
      </c>
      <c r="M70" s="161" t="str">
        <f>VLOOKUP(878,Sprachindex!$A:$Z,Info!$O$7,FALSE)</f>
        <v>Stk.</v>
      </c>
      <c r="N70" s="77"/>
      <c r="O70" s="184" t="str">
        <f t="shared" si="11"/>
        <v/>
      </c>
      <c r="P70" s="267"/>
      <c r="R70" s="182">
        <v>123.39</v>
      </c>
      <c r="T70" s="179"/>
      <c r="U70" s="179"/>
      <c r="V70" s="179"/>
      <c r="W70" s="179"/>
      <c r="X70" s="179"/>
      <c r="Y70" s="179"/>
      <c r="Z70" s="179"/>
      <c r="AA70" s="179"/>
      <c r="AB70" s="179"/>
      <c r="AC70" s="129"/>
      <c r="AD70" s="139">
        <f>ROUNDUP($A70,0)</f>
        <v>0</v>
      </c>
      <c r="AE70" s="139">
        <f t="shared" si="8"/>
        <v>0</v>
      </c>
      <c r="AF70" s="135"/>
      <c r="AH70" s="47" t="s">
        <v>35</v>
      </c>
      <c r="AI70" s="47" t="s">
        <v>32</v>
      </c>
      <c r="AJ70" s="47" t="s">
        <v>40</v>
      </c>
      <c r="AK70" s="47" t="s">
        <v>37</v>
      </c>
      <c r="AL70" s="47" t="s">
        <v>33</v>
      </c>
      <c r="AM70" s="47" t="s">
        <v>39</v>
      </c>
      <c r="AN70" s="47" t="s">
        <v>34</v>
      </c>
      <c r="AO70" s="47" t="s">
        <v>38</v>
      </c>
      <c r="AP70" s="47" t="s">
        <v>41</v>
      </c>
      <c r="AQ70" s="47" t="s">
        <v>36</v>
      </c>
      <c r="AR70" s="47" t="s">
        <v>38962</v>
      </c>
      <c r="AS70" s="503" t="s">
        <v>39049</v>
      </c>
      <c r="AT70" s="47" t="s">
        <v>35</v>
      </c>
      <c r="AU70" s="47" t="s">
        <v>32</v>
      </c>
      <c r="AV70" s="47" t="s">
        <v>40</v>
      </c>
      <c r="AW70" s="47" t="s">
        <v>37</v>
      </c>
      <c r="AX70" s="47" t="s">
        <v>33</v>
      </c>
      <c r="AY70" s="47" t="s">
        <v>39</v>
      </c>
      <c r="AZ70" s="47" t="s">
        <v>34</v>
      </c>
      <c r="BA70" s="47" t="s">
        <v>38</v>
      </c>
      <c r="BB70" s="47" t="s">
        <v>41</v>
      </c>
      <c r="BC70" s="47" t="s">
        <v>36</v>
      </c>
      <c r="BD70" s="47" t="s">
        <v>38962</v>
      </c>
      <c r="BE70" s="503" t="s">
        <v>39049</v>
      </c>
      <c r="BF70" s="543"/>
    </row>
    <row r="71" spans="1:58" ht="32.1" customHeight="1">
      <c r="A71" s="93"/>
      <c r="B71" s="76" t="str">
        <f>VLOOKUP(878,Sprachindex!$A:$Z,Info!$O$7,FALSE)</f>
        <v>Stk.</v>
      </c>
      <c r="C71" s="78" t="e" vm="41">
        <v>#VALUE!</v>
      </c>
      <c r="D71" s="75" t="str">
        <f t="shared" ref="D71:D79" si="13">IF(ISNUMBER(A71),AS71,"")</f>
        <v/>
      </c>
      <c r="E71" s="618" t="str">
        <f>VLOOKUP(822,Sprachindex!$A:$Z,Info!$O$7,FALSE)</f>
        <v>Sicherheitsdachhaken</v>
      </c>
      <c r="F71" s="619"/>
      <c r="G71" s="619"/>
      <c r="H71" s="619"/>
      <c r="I71" s="619"/>
      <c r="J71" s="619"/>
      <c r="K71" s="620"/>
      <c r="L71" s="76" t="str">
        <f t="shared" si="10"/>
        <v/>
      </c>
      <c r="M71" s="161" t="str">
        <f>VLOOKUP(878,Sprachindex!$A:$Z,Info!$O$7,FALSE)</f>
        <v>Stk.</v>
      </c>
      <c r="N71" s="77"/>
      <c r="O71" s="184" t="str">
        <f t="shared" si="11"/>
        <v/>
      </c>
      <c r="P71" s="267"/>
      <c r="R71" s="182">
        <v>32.479999999999997</v>
      </c>
      <c r="T71" s="179"/>
      <c r="U71" s="179"/>
      <c r="V71" s="179"/>
      <c r="W71" s="179"/>
      <c r="X71" s="179"/>
      <c r="Y71" s="179"/>
      <c r="Z71" s="179"/>
      <c r="AA71" s="179"/>
      <c r="AB71" s="179"/>
      <c r="AC71" s="129"/>
      <c r="AD71" s="139">
        <f>ROUNDUP($A71/12,0)*12</f>
        <v>0</v>
      </c>
      <c r="AE71" s="139">
        <f t="shared" si="8"/>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VLOOKUP(AH71,AH71:AR71,$O$21,FALSE)</f>
        <v>#VALUE!</v>
      </c>
      <c r="BE71" s="132"/>
      <c r="BF71" s="132"/>
    </row>
    <row r="72" spans="1:58" ht="32.1" customHeight="1">
      <c r="A72" s="93"/>
      <c r="B72" s="76" t="str">
        <f>VLOOKUP(878,Sprachindex!$A:$Z,Info!$O$7,FALSE)</f>
        <v>Stk.</v>
      </c>
      <c r="C72" s="78" t="e" vm="43">
        <v>#VALUE!</v>
      </c>
      <c r="D72" s="105" t="str">
        <f>IF(ISNUMBER(A72),BE72,"")</f>
        <v/>
      </c>
      <c r="E72" s="618" t="str">
        <f>VLOOKUP(2942,Sprachindex!$A:$Z,Info!$O$7,FALSE)</f>
        <v>Einfassungsplatte, zum Einfalzen; Stucco</v>
      </c>
      <c r="F72" s="619"/>
      <c r="G72" s="619"/>
      <c r="H72" s="619"/>
      <c r="I72" s="619"/>
      <c r="J72" s="619"/>
      <c r="K72" s="620"/>
      <c r="L72" s="76" t="str">
        <f t="shared" ref="L72:L78" si="14">IF(A72=0,"",IF($P$11=1,AD72,AE72))</f>
        <v/>
      </c>
      <c r="M72" s="161" t="str">
        <f>VLOOKUP(878,Sprachindex!$A:$Z,Info!$O$7,FALSE)</f>
        <v>Stk.</v>
      </c>
      <c r="N72" s="77"/>
      <c r="O72" s="184" t="str">
        <f t="shared" ref="O72:O79" si="15">IF(ISNUMBER(A72),$L72*R72, "")</f>
        <v/>
      </c>
      <c r="P72" s="267"/>
      <c r="R72" s="182">
        <v>115.36</v>
      </c>
      <c r="T72" s="179"/>
      <c r="U72" s="179"/>
      <c r="V72" s="179"/>
      <c r="W72" s="179"/>
      <c r="X72" s="179"/>
      <c r="Y72" s="179"/>
      <c r="Z72" s="179"/>
      <c r="AA72" s="179"/>
      <c r="AB72" s="179"/>
      <c r="AC72" s="129"/>
      <c r="AD72" s="139">
        <f>ROUNDUP($A72/5,0)*5</f>
        <v>0</v>
      </c>
      <c r="AE72" s="139">
        <f t="shared" si="8"/>
        <v>0</v>
      </c>
      <c r="AF72" s="135"/>
      <c r="AH72" s="542">
        <v>110233</v>
      </c>
      <c r="AI72" s="542">
        <v>110230</v>
      </c>
      <c r="AJ72" s="542">
        <v>110238</v>
      </c>
      <c r="AK72" s="542">
        <v>110235</v>
      </c>
      <c r="AL72" s="542">
        <v>110231</v>
      </c>
      <c r="AM72" s="542">
        <v>110237</v>
      </c>
      <c r="AN72" s="542">
        <v>110232</v>
      </c>
      <c r="AO72" s="542">
        <v>110236</v>
      </c>
      <c r="AP72" s="542">
        <v>110239</v>
      </c>
      <c r="AQ72" s="542">
        <v>110234</v>
      </c>
      <c r="AR72" s="542"/>
      <c r="AS72" s="512"/>
      <c r="AT72" s="432">
        <v>112883</v>
      </c>
      <c r="AU72" s="541">
        <v>112880</v>
      </c>
      <c r="AV72" s="432">
        <v>112888</v>
      </c>
      <c r="AW72" s="432">
        <v>112885</v>
      </c>
      <c r="AX72" s="432">
        <v>112881</v>
      </c>
      <c r="AY72" s="432">
        <v>112887</v>
      </c>
      <c r="AZ72" s="432">
        <v>112882</v>
      </c>
      <c r="BA72" s="432">
        <v>112886</v>
      </c>
      <c r="BB72" s="432">
        <v>112889</v>
      </c>
      <c r="BC72" s="432">
        <v>112884</v>
      </c>
      <c r="BD72" s="432">
        <v>15011028</v>
      </c>
      <c r="BE72" s="512" t="e" vm="2">
        <f>VLOOKUP(AT72,AT72:BD72,$O$21,FALSE)</f>
        <v>#VALUE!</v>
      </c>
      <c r="BF72" s="544"/>
    </row>
    <row r="73" spans="1:58" ht="32.1" customHeight="1">
      <c r="A73" s="93"/>
      <c r="B73" s="76" t="str">
        <f>VLOOKUP(878,Sprachindex!$A:$Z,Info!$O$7,FALSE)</f>
        <v>Stk.</v>
      </c>
      <c r="C73" s="78" t="e" vm="44">
        <v>#VALUE!</v>
      </c>
      <c r="D73" s="75" t="str">
        <f>IF(ISNUMBER(A73),BE73,"")</f>
        <v/>
      </c>
      <c r="E73" s="618" t="str">
        <f>VLOOKUP(926,Sprachindex!$A:$Z,Info!$O$7,FALSE)</f>
        <v>Universaleinfassung (2-teilig); stucco; ⌀ 40–120 mm</v>
      </c>
      <c r="F73" s="619"/>
      <c r="G73" s="619"/>
      <c r="H73" s="619"/>
      <c r="I73" s="619"/>
      <c r="J73" s="619"/>
      <c r="K73" s="620"/>
      <c r="L73" s="76" t="str">
        <f t="shared" si="14"/>
        <v/>
      </c>
      <c r="M73" s="161" t="str">
        <f>VLOOKUP(878,Sprachindex!$A:$Z,Info!$O$7,FALSE)</f>
        <v>Stk.</v>
      </c>
      <c r="N73" s="77"/>
      <c r="O73" s="184" t="str">
        <f t="shared" si="15"/>
        <v/>
      </c>
      <c r="P73" s="267"/>
      <c r="R73" s="182">
        <v>122.16</v>
      </c>
      <c r="T73" s="179"/>
      <c r="U73" s="179"/>
      <c r="V73" s="179"/>
      <c r="W73" s="179"/>
      <c r="X73" s="179"/>
      <c r="Y73" s="179"/>
      <c r="Z73" s="179"/>
      <c r="AA73" s="179"/>
      <c r="AB73" s="179"/>
      <c r="AC73" s="129"/>
      <c r="AD73" s="139">
        <f>ROUNDUP($A73,0)</f>
        <v>0</v>
      </c>
      <c r="AE73" s="139">
        <f t="shared" si="8"/>
        <v>0</v>
      </c>
      <c r="AF73" s="135"/>
      <c r="AH73" s="542"/>
      <c r="AI73" s="542"/>
      <c r="AJ73" s="542"/>
      <c r="AK73" s="542"/>
      <c r="AL73" s="542"/>
      <c r="AM73" s="542"/>
      <c r="AN73" s="542"/>
      <c r="AO73" s="542"/>
      <c r="AP73" s="542"/>
      <c r="AQ73" s="542"/>
      <c r="AR73" s="542"/>
      <c r="AS73" s="512"/>
      <c r="AT73" s="432">
        <v>110243</v>
      </c>
      <c r="AU73" s="432">
        <v>110240</v>
      </c>
      <c r="AV73" s="432">
        <v>110248</v>
      </c>
      <c r="AW73" s="432">
        <v>110245</v>
      </c>
      <c r="AX73" s="432">
        <v>110241</v>
      </c>
      <c r="AY73" s="432">
        <v>110247</v>
      </c>
      <c r="AZ73" s="432">
        <v>110242</v>
      </c>
      <c r="BA73" s="432">
        <v>110246</v>
      </c>
      <c r="BB73" s="432">
        <v>110249</v>
      </c>
      <c r="BC73" s="432">
        <v>110244</v>
      </c>
      <c r="BD73" s="432">
        <v>15031028</v>
      </c>
      <c r="BE73" s="512" t="e" vm="2">
        <f>VLOOKUP(AT73,AT73:BD73,$O$21,FALSE)</f>
        <v>#VALUE!</v>
      </c>
    </row>
    <row r="74" spans="1:58" ht="32.1" customHeight="1">
      <c r="A74" s="93"/>
      <c r="B74" s="76" t="str">
        <f>VLOOKUP(878,Sprachindex!$A:$Z,Info!$O$7,FALSE)</f>
        <v>Stk.</v>
      </c>
      <c r="C74" s="78" t="e" vm="45">
        <v>#VALUE!</v>
      </c>
      <c r="D74" s="75" t="str">
        <f t="shared" si="13"/>
        <v/>
      </c>
      <c r="E74" s="618" t="str">
        <f>VLOOKUP(364,Sprachindex!$A:$Z,Info!$O$7,FALSE)</f>
        <v>Entlüftungshaube (⌀ 100; glatt)</v>
      </c>
      <c r="F74" s="619"/>
      <c r="G74" s="619"/>
      <c r="H74" s="619"/>
      <c r="I74" s="619"/>
      <c r="J74" s="619"/>
      <c r="K74" s="620"/>
      <c r="L74" s="76" t="str">
        <f t="shared" si="14"/>
        <v/>
      </c>
      <c r="M74" s="161" t="str">
        <f>VLOOKUP(878,Sprachindex!$A:$Z,Info!$O$7,FALSE)</f>
        <v>Stk.</v>
      </c>
      <c r="N74" s="77"/>
      <c r="O74" s="184" t="str">
        <f t="shared" si="15"/>
        <v/>
      </c>
      <c r="P74" s="267"/>
      <c r="R74" s="182">
        <v>192.1</v>
      </c>
      <c r="T74" s="179"/>
      <c r="U74" s="179"/>
      <c r="V74" s="179"/>
      <c r="W74" s="179"/>
      <c r="X74" s="179"/>
      <c r="Y74" s="179"/>
      <c r="Z74" s="179"/>
      <c r="AA74" s="179"/>
      <c r="AB74" s="179"/>
      <c r="AC74" s="129"/>
      <c r="AD74" s="139">
        <f>ROUNDUP($A74,0)</f>
        <v>0</v>
      </c>
      <c r="AE74" s="139">
        <f t="shared" si="8"/>
        <v>0</v>
      </c>
      <c r="AF74" s="135"/>
      <c r="AH74" s="433">
        <v>110283</v>
      </c>
      <c r="AI74" s="433">
        <v>110280</v>
      </c>
      <c r="AJ74" s="433">
        <v>110288</v>
      </c>
      <c r="AK74" s="433">
        <v>110285</v>
      </c>
      <c r="AL74" s="433">
        <v>110281</v>
      </c>
      <c r="AM74" s="433">
        <v>110287</v>
      </c>
      <c r="AN74" s="433">
        <v>110282</v>
      </c>
      <c r="AO74" s="433">
        <v>110286</v>
      </c>
      <c r="AP74" s="433">
        <v>110289</v>
      </c>
      <c r="AQ74" s="433">
        <v>110284</v>
      </c>
      <c r="AR74" s="433">
        <v>15071028</v>
      </c>
      <c r="AS74" s="512" t="e" vm="2">
        <f>VLOOKUP(AH74,AH74:AR74,$O$21,FALSE)</f>
        <v>#VALUE!</v>
      </c>
    </row>
    <row r="75" spans="1:58" ht="32.1" customHeight="1">
      <c r="A75" s="93"/>
      <c r="B75" s="76" t="str">
        <f>VLOOKUP(878,Sprachindex!$A:$Z,Info!$O$7,FALSE)</f>
        <v>Stk.</v>
      </c>
      <c r="C75" s="78" t="e" vm="46">
        <v>#VALUE!</v>
      </c>
      <c r="D75" s="75" t="str">
        <f t="shared" si="13"/>
        <v/>
      </c>
      <c r="E75" s="618" t="str">
        <f>VLOOKUP(366,Sprachindex!$A:$Z,Info!$O$7,FALSE)</f>
        <v>Entlüftungsrohr (⌀ 100; passend für HT-Rohr [NW 110])</v>
      </c>
      <c r="F75" s="619"/>
      <c r="G75" s="619"/>
      <c r="H75" s="619"/>
      <c r="I75" s="619"/>
      <c r="J75" s="619"/>
      <c r="K75" s="620"/>
      <c r="L75" s="76" t="str">
        <f t="shared" si="14"/>
        <v/>
      </c>
      <c r="M75" s="161" t="str">
        <f>VLOOKUP(878,Sprachindex!$A:$Z,Info!$O$7,FALSE)</f>
        <v>Stk.</v>
      </c>
      <c r="N75" s="77"/>
      <c r="O75" s="184" t="str">
        <f t="shared" si="15"/>
        <v/>
      </c>
      <c r="P75" s="267"/>
      <c r="R75" s="182">
        <v>79.069999999999993</v>
      </c>
      <c r="T75" s="179"/>
      <c r="U75" s="179"/>
      <c r="V75" s="179"/>
      <c r="W75" s="179"/>
      <c r="X75" s="179"/>
      <c r="Y75" s="179"/>
      <c r="Z75" s="179"/>
      <c r="AA75" s="179"/>
      <c r="AB75" s="179"/>
      <c r="AC75" s="129"/>
      <c r="AD75" s="139">
        <f>ROUNDUP($A75,0)</f>
        <v>0</v>
      </c>
      <c r="AE75" s="139">
        <f t="shared" si="8"/>
        <v>0</v>
      </c>
      <c r="AF75" s="135"/>
      <c r="AH75" s="433">
        <v>110203</v>
      </c>
      <c r="AI75" s="433">
        <v>110200</v>
      </c>
      <c r="AJ75" s="433">
        <v>110208</v>
      </c>
      <c r="AK75" s="433">
        <v>110205</v>
      </c>
      <c r="AL75" s="433">
        <v>110201</v>
      </c>
      <c r="AM75" s="433">
        <v>110207</v>
      </c>
      <c r="AN75" s="433">
        <v>110202</v>
      </c>
      <c r="AO75" s="433">
        <v>110206</v>
      </c>
      <c r="AP75" s="433">
        <v>121015</v>
      </c>
      <c r="AQ75" s="433">
        <v>110204</v>
      </c>
      <c r="AR75" s="433">
        <v>15081028</v>
      </c>
      <c r="AS75" s="512" t="e" vm="2">
        <f>VLOOKUP(AH75,AH75:AR75,$O$21,FALSE)</f>
        <v>#VALUE!</v>
      </c>
    </row>
    <row r="76" spans="1:58" ht="32.1" customHeight="1">
      <c r="A76" s="93"/>
      <c r="B76" s="76" t="str">
        <f>VLOOKUP(878,Sprachindex!$A:$Z,Info!$O$7,FALSE)</f>
        <v>Stk.</v>
      </c>
      <c r="C76" s="78" t="e" vm="47">
        <v>#VALUE!</v>
      </c>
      <c r="D76" s="75" t="str">
        <f t="shared" si="13"/>
        <v/>
      </c>
      <c r="E76" s="618" t="str">
        <f>VLOOKUP(368,Sprachindex!$A:$Z,Info!$O$7,FALSE)</f>
        <v>Entlüftungsrohr (⌀ 120; passend für HT-Rohr [NW 125])</v>
      </c>
      <c r="F76" s="619"/>
      <c r="G76" s="619"/>
      <c r="H76" s="619"/>
      <c r="I76" s="619"/>
      <c r="J76" s="619"/>
      <c r="K76" s="620"/>
      <c r="L76" s="76" t="str">
        <f t="shared" si="14"/>
        <v/>
      </c>
      <c r="M76" s="161" t="str">
        <f>VLOOKUP(878,Sprachindex!$A:$Z,Info!$O$7,FALSE)</f>
        <v>Stk.</v>
      </c>
      <c r="N76" s="77"/>
      <c r="O76" s="184" t="str">
        <f t="shared" si="15"/>
        <v/>
      </c>
      <c r="P76" s="267"/>
      <c r="R76" s="182">
        <v>83.85</v>
      </c>
      <c r="T76" s="179"/>
      <c r="U76" s="179"/>
      <c r="V76" s="179"/>
      <c r="W76" s="179"/>
      <c r="X76" s="179"/>
      <c r="Y76" s="179"/>
      <c r="Z76" s="179"/>
      <c r="AA76" s="179"/>
      <c r="AB76" s="179"/>
      <c r="AC76" s="129"/>
      <c r="AD76" s="139">
        <f>ROUNDUP($A76,0)</f>
        <v>0</v>
      </c>
      <c r="AE76" s="139">
        <f t="shared" si="8"/>
        <v>0</v>
      </c>
      <c r="AF76" s="135"/>
      <c r="AH76" s="433">
        <v>110213</v>
      </c>
      <c r="AI76" s="433">
        <v>110210</v>
      </c>
      <c r="AJ76" s="433">
        <v>110218</v>
      </c>
      <c r="AK76" s="433">
        <v>110215</v>
      </c>
      <c r="AL76" s="433">
        <v>110211</v>
      </c>
      <c r="AM76" s="433">
        <v>110217</v>
      </c>
      <c r="AN76" s="433">
        <v>110212</v>
      </c>
      <c r="AO76" s="433">
        <v>110216</v>
      </c>
      <c r="AP76" s="433">
        <v>121025</v>
      </c>
      <c r="AQ76" s="433">
        <v>110214</v>
      </c>
      <c r="AR76" s="433">
        <v>15091028</v>
      </c>
      <c r="AS76" s="512" t="e" vm="2">
        <f>VLOOKUP(AH76,AH76:AR76,$O$21,FALSE)</f>
        <v>#VALUE!</v>
      </c>
    </row>
    <row r="77" spans="1:58" ht="32.1" customHeight="1">
      <c r="A77" s="93"/>
      <c r="B77" s="76" t="str">
        <f>VLOOKUP(878,Sprachindex!$A:$Z,Info!$O$7,FALSE)</f>
        <v>Stk.</v>
      </c>
      <c r="C77" s="78" t="e" vm="48">
        <v>#VALUE!</v>
      </c>
      <c r="D77" s="80">
        <v>340943</v>
      </c>
      <c r="E77" s="618" t="str">
        <f>VLOOKUP(379,Sprachindex!$A:$Z,Info!$O$7,FALSE)</f>
        <v>Faltmanschette (Ø 100–130)</v>
      </c>
      <c r="F77" s="619"/>
      <c r="G77" s="619"/>
      <c r="H77" s="619"/>
      <c r="I77" s="619"/>
      <c r="J77" s="619"/>
      <c r="K77" s="620"/>
      <c r="L77" s="76" t="str">
        <f t="shared" si="14"/>
        <v/>
      </c>
      <c r="M77" s="161" t="str">
        <f>VLOOKUP(878,Sprachindex!$A:$Z,Info!$O$7,FALSE)</f>
        <v>Stk.</v>
      </c>
      <c r="N77" s="77"/>
      <c r="O77" s="184" t="str">
        <f t="shared" si="15"/>
        <v/>
      </c>
      <c r="P77" s="267"/>
      <c r="R77" s="182">
        <v>38.86</v>
      </c>
      <c r="T77" s="179"/>
      <c r="U77" s="179"/>
      <c r="V77" s="179"/>
      <c r="W77" s="179"/>
      <c r="X77" s="179"/>
      <c r="Y77" s="179"/>
      <c r="Z77" s="179"/>
      <c r="AA77" s="179"/>
      <c r="AB77" s="179"/>
      <c r="AC77" s="129"/>
      <c r="AD77" s="139">
        <f>ROUNDUP($A77,0)</f>
        <v>0</v>
      </c>
      <c r="AE77" s="139">
        <f t="shared" si="8"/>
        <v>0</v>
      </c>
      <c r="AF77" s="135"/>
      <c r="AS77" s="512"/>
      <c r="AT77" s="47" t="s">
        <v>35</v>
      </c>
      <c r="AU77" s="47" t="s">
        <v>32</v>
      </c>
      <c r="AV77" s="47" t="s">
        <v>40</v>
      </c>
      <c r="AW77" s="47" t="s">
        <v>37</v>
      </c>
      <c r="AX77" s="47" t="s">
        <v>33</v>
      </c>
      <c r="AY77" s="47" t="s">
        <v>39</v>
      </c>
      <c r="AZ77" s="47" t="s">
        <v>34</v>
      </c>
      <c r="BA77" s="47" t="s">
        <v>38</v>
      </c>
      <c r="BB77" s="47" t="s">
        <v>41</v>
      </c>
      <c r="BC77" s="47" t="s">
        <v>36</v>
      </c>
      <c r="BD77" s="47" t="s">
        <v>38962</v>
      </c>
      <c r="BE77" s="132"/>
      <c r="BF77" s="132"/>
    </row>
    <row r="78" spans="1:58" ht="32.1" customHeight="1">
      <c r="A78" s="93"/>
      <c r="B78" s="76" t="str">
        <f>VLOOKUP(878,Sprachindex!$A:$Z,Info!$O$7,FALSE)</f>
        <v>Stk.</v>
      </c>
      <c r="C78" s="78" t="e" vm="49">
        <v>#VALUE!</v>
      </c>
      <c r="D78" s="75" t="str">
        <f>IF($O$9=1,BE78,IF($O$9=2,AS78,""))</f>
        <v/>
      </c>
      <c r="E78" s="618" t="str">
        <f>IF($O$9=1,VLOOKUP(936,Sprachindex!$A:$Z,Info!$O$7,FALSE),VLOOKUP(2943,Sprachindex!$A:$Z,Info!$O$7,FALSE))</f>
        <v>Unterlagsplatte (540 × 125 mm [Länge × Breite]; glatt)</v>
      </c>
      <c r="F78" s="619"/>
      <c r="G78" s="619"/>
      <c r="H78" s="619"/>
      <c r="I78" s="619"/>
      <c r="J78" s="619"/>
      <c r="K78" s="620"/>
      <c r="L78" s="76" t="str">
        <f t="shared" si="14"/>
        <v/>
      </c>
      <c r="M78" s="161" t="str">
        <f>VLOOKUP(878,Sprachindex!$A:$Z,Info!$O$7,FALSE)</f>
        <v>Stk.</v>
      </c>
      <c r="N78" s="77"/>
      <c r="O78" s="184" t="str">
        <f t="shared" si="15"/>
        <v/>
      </c>
      <c r="P78" s="267"/>
      <c r="R78" s="182">
        <v>11.04</v>
      </c>
      <c r="T78" s="179"/>
      <c r="U78" s="179"/>
      <c r="V78" s="179"/>
      <c r="W78" s="179"/>
      <c r="X78" s="179"/>
      <c r="Y78" s="179"/>
      <c r="Z78" s="179"/>
      <c r="AA78" s="179"/>
      <c r="AB78" s="179"/>
      <c r="AC78" s="129"/>
      <c r="AD78" s="139">
        <f>ROUNDUP($A78/15,0)*15</f>
        <v>0</v>
      </c>
      <c r="AE78" s="139">
        <f t="shared" si="8"/>
        <v>0</v>
      </c>
      <c r="AF78" s="135"/>
      <c r="AH78" s="433">
        <v>110363</v>
      </c>
      <c r="AI78" s="433">
        <v>110360</v>
      </c>
      <c r="AJ78" s="433">
        <v>110368</v>
      </c>
      <c r="AK78" s="433">
        <v>110365</v>
      </c>
      <c r="AL78" s="433">
        <v>110361</v>
      </c>
      <c r="AM78" s="433">
        <v>110367</v>
      </c>
      <c r="AN78" s="433">
        <v>110362</v>
      </c>
      <c r="AO78" s="433">
        <v>110366</v>
      </c>
      <c r="AP78" s="433">
        <v>110369</v>
      </c>
      <c r="AQ78" s="433">
        <v>110364</v>
      </c>
      <c r="AR78" s="433">
        <v>15531028</v>
      </c>
      <c r="AS78" s="512" t="e" vm="2">
        <f t="shared" ref="AS78:AS94" si="16">VLOOKUP(AH78,AH78:AR78,$O$21,FALSE)</f>
        <v>#VALUE!</v>
      </c>
      <c r="AT78" s="432">
        <v>110373</v>
      </c>
      <c r="AU78" s="432">
        <v>110370</v>
      </c>
      <c r="AV78" s="432">
        <v>110378</v>
      </c>
      <c r="AW78" s="432">
        <v>110375</v>
      </c>
      <c r="AX78" s="432">
        <v>110371</v>
      </c>
      <c r="AY78" s="432">
        <v>110377</v>
      </c>
      <c r="AZ78" s="432">
        <v>110372</v>
      </c>
      <c r="BA78" s="432">
        <v>110376</v>
      </c>
      <c r="BB78" s="432">
        <v>110379</v>
      </c>
      <c r="BC78" s="432">
        <v>110374</v>
      </c>
      <c r="BD78" s="432">
        <v>15541028</v>
      </c>
      <c r="BE78" s="512" t="e" vm="2">
        <f>VLOOKUP(AT78,AT78:BD78,$O$21,FALSE)</f>
        <v>#VALUE!</v>
      </c>
      <c r="BF78" s="544"/>
    </row>
    <row r="79" spans="1:58" ht="32.1" customHeight="1">
      <c r="A79" s="93"/>
      <c r="B79" s="76" t="str">
        <f>VLOOKUP(878,Sprachindex!$A:$Z,Info!$O$7,FALSE)</f>
        <v>Stk.</v>
      </c>
      <c r="C79" s="78"/>
      <c r="D79" s="75" t="str">
        <f t="shared" si="13"/>
        <v/>
      </c>
      <c r="E79" s="618" t="str">
        <f>VLOOKUP(805,Sprachindex!$A:$Z,Info!$O$7,FALSE)</f>
        <v>Schneestopper für Dachschindel</v>
      </c>
      <c r="F79" s="619"/>
      <c r="G79" s="619"/>
      <c r="H79" s="619"/>
      <c r="I79" s="619"/>
      <c r="J79" s="619"/>
      <c r="K79" s="620"/>
      <c r="L79" s="76" t="str">
        <f t="shared" ref="L79" si="17">IF(A79=0,"",IF($O$11=1,AD79,AE79))</f>
        <v/>
      </c>
      <c r="M79" s="399" t="str">
        <f t="shared" si="0"/>
        <v>Stk.</v>
      </c>
      <c r="N79" s="77"/>
      <c r="O79" s="184" t="str">
        <f t="shared" si="15"/>
        <v/>
      </c>
      <c r="R79" s="182">
        <v>1.79</v>
      </c>
      <c r="AC79" s="1"/>
      <c r="AD79" s="139">
        <f>ROUNDUP($A79/150,0)*150</f>
        <v>0</v>
      </c>
      <c r="AE79" s="139">
        <f t="shared" si="8"/>
        <v>0</v>
      </c>
      <c r="AH79" s="44">
        <v>110313</v>
      </c>
      <c r="AI79" s="44">
        <v>110310</v>
      </c>
      <c r="AJ79" s="44">
        <v>110318</v>
      </c>
      <c r="AK79" s="44">
        <v>110315</v>
      </c>
      <c r="AL79" s="44">
        <v>110311</v>
      </c>
      <c r="AM79" s="44">
        <v>110317</v>
      </c>
      <c r="AN79" s="44">
        <v>110312</v>
      </c>
      <c r="AO79" s="44">
        <v>110316</v>
      </c>
      <c r="AP79" s="44">
        <v>110319</v>
      </c>
      <c r="AQ79" s="44">
        <v>110314</v>
      </c>
      <c r="AR79" s="44">
        <v>15511028</v>
      </c>
      <c r="AS79" s="512" t="e" vm="2">
        <f t="shared" si="16"/>
        <v>#VALUE!</v>
      </c>
    </row>
    <row r="80" spans="1:58" ht="32.1" customHeight="1">
      <c r="A80" s="93"/>
      <c r="B80" s="76" t="str">
        <f>VLOOKUP(878,Sprachindex!$A:$Z,Info!$O$7,FALSE)</f>
        <v>Stk.</v>
      </c>
      <c r="C80" s="78" t="e" vm="51">
        <v>#VALUE!</v>
      </c>
      <c r="D80" s="75" t="str">
        <f t="shared" ref="D80:D94" si="18">IF(ISNUMBER(A80),AS80,"")</f>
        <v/>
      </c>
      <c r="E80" s="618" t="str">
        <f>VLOOKUP(2190,Sprachindex!$A:$Z,Info!$O$7,FALSE)</f>
        <v>Haken für Schneerechensystem, inkl. Befestigungsmaterial</v>
      </c>
      <c r="F80" s="619"/>
      <c r="G80" s="619"/>
      <c r="H80" s="619"/>
      <c r="I80" s="619"/>
      <c r="J80" s="619"/>
      <c r="K80" s="620"/>
      <c r="L80" s="76" t="str">
        <f t="shared" ref="L80:L97" si="19">IF(A80=0,"",IF($P$11=1,AD80,AE80))</f>
        <v/>
      </c>
      <c r="M80" s="161" t="str">
        <f>VLOOKUP(878,Sprachindex!$A:$Z,Info!$O$7,FALSE)</f>
        <v>Stk.</v>
      </c>
      <c r="N80" s="77"/>
      <c r="O80" s="184" t="str">
        <f t="shared" ref="O80:O103" si="20">IF(ISNUMBER(A80),$L80*R80, "")</f>
        <v/>
      </c>
      <c r="P80" s="267"/>
      <c r="R80" s="182">
        <v>57.49</v>
      </c>
      <c r="T80" s="179"/>
      <c r="U80" s="179"/>
      <c r="V80" s="179"/>
      <c r="W80" s="179"/>
      <c r="X80" s="179"/>
      <c r="Y80" s="179"/>
      <c r="Z80" s="179"/>
      <c r="AA80" s="179"/>
      <c r="AB80" s="179"/>
      <c r="AC80" s="129"/>
      <c r="AD80" s="139">
        <f>ROUNDUP($A80/10,0)*10</f>
        <v>0</v>
      </c>
      <c r="AE80" s="139">
        <f>ROUNDUP($A80,0)</f>
        <v>0</v>
      </c>
      <c r="AF80" s="135"/>
      <c r="AH80" s="44">
        <v>120183</v>
      </c>
      <c r="AI80" s="44">
        <v>120180</v>
      </c>
      <c r="AJ80" s="44">
        <v>120188</v>
      </c>
      <c r="AK80" s="44">
        <v>120185</v>
      </c>
      <c r="AL80" s="44">
        <v>120181</v>
      </c>
      <c r="AM80" s="44">
        <v>120187</v>
      </c>
      <c r="AN80" s="44">
        <v>120182</v>
      </c>
      <c r="AO80" s="44">
        <v>120186</v>
      </c>
      <c r="AP80" s="44">
        <v>120189</v>
      </c>
      <c r="AQ80" s="44">
        <v>120184</v>
      </c>
      <c r="AR80" s="44">
        <v>14121028</v>
      </c>
      <c r="AS80" s="512" t="e" vm="2">
        <f t="shared" si="16"/>
        <v>#VALUE!</v>
      </c>
    </row>
    <row r="81" spans="1:45" ht="32.1" customHeight="1">
      <c r="A81" s="93"/>
      <c r="B81" s="76" t="str">
        <f>VLOOKUP(878,Sprachindex!$A:$Z,Info!$O$7,FALSE)</f>
        <v>Stk.</v>
      </c>
      <c r="C81" s="78" t="e" vm="52">
        <v>#VALUE!</v>
      </c>
      <c r="D81" s="75" t="str">
        <f t="shared" si="18"/>
        <v/>
      </c>
      <c r="E81" s="618" t="str">
        <f>VLOOKUP(2191,Sprachindex!$A:$Z,Info!$O$7,FALSE)</f>
        <v>Haken für Schneerechensystem XL, inkl. Befestigungsmaterial</v>
      </c>
      <c r="F81" s="619"/>
      <c r="G81" s="619"/>
      <c r="H81" s="619"/>
      <c r="I81" s="619"/>
      <c r="J81" s="619"/>
      <c r="K81" s="620"/>
      <c r="L81" s="76" t="str">
        <f t="shared" si="19"/>
        <v/>
      </c>
      <c r="M81" s="161" t="str">
        <f>VLOOKUP(878,Sprachindex!$A:$Z,Info!$O$7,FALSE)</f>
        <v>Stk.</v>
      </c>
      <c r="N81" s="77"/>
      <c r="O81" s="184" t="str">
        <f t="shared" si="20"/>
        <v/>
      </c>
      <c r="P81" s="267"/>
      <c r="R81" s="182">
        <v>100.84</v>
      </c>
      <c r="T81" s="179"/>
      <c r="U81" s="179"/>
      <c r="V81" s="179"/>
      <c r="W81" s="179"/>
      <c r="X81" s="179"/>
      <c r="Y81" s="179"/>
      <c r="Z81" s="179"/>
      <c r="AA81" s="179"/>
      <c r="AB81" s="179"/>
      <c r="AC81" s="129"/>
      <c r="AD81" s="139">
        <f>ROUNDUP($A81/18,0)*18</f>
        <v>0</v>
      </c>
      <c r="AE81" s="139">
        <f>ROUNDUP($A81,0)</f>
        <v>0</v>
      </c>
      <c r="AF81" s="135"/>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512" t="e" vm="2">
        <f t="shared" si="16"/>
        <v>#VALUE!</v>
      </c>
    </row>
    <row r="82" spans="1:45" ht="32.1" customHeight="1">
      <c r="A82" s="93"/>
      <c r="B82" s="76" t="str">
        <f>VLOOKUP(1512,Sprachindex!$A:$Z,Info!$O$7,FALSE)</f>
        <v>lfm</v>
      </c>
      <c r="C82" s="78" t="e" vm="53">
        <v>#VALUE!</v>
      </c>
      <c r="D82" s="75" t="str">
        <f t="shared" si="18"/>
        <v/>
      </c>
      <c r="E82" s="618" t="str">
        <f>VLOOKUP(793,Sprachindex!$A:$Z,Info!$O$7,FALSE)</f>
        <v>Einlegeprofil (3.000 mm)</v>
      </c>
      <c r="F82" s="619"/>
      <c r="G82" s="619"/>
      <c r="H82" s="619"/>
      <c r="I82" s="619"/>
      <c r="J82" s="619"/>
      <c r="K82" s="620"/>
      <c r="L82" s="76" t="str">
        <f t="shared" si="19"/>
        <v/>
      </c>
      <c r="M82" s="161" t="str">
        <f>VLOOKUP(1512,Sprachindex!$A:$Z,Info!$O$7,FALSE)</f>
        <v>lfm</v>
      </c>
      <c r="N82" s="77"/>
      <c r="O82" s="184" t="str">
        <f t="shared" si="20"/>
        <v/>
      </c>
      <c r="P82" s="267"/>
      <c r="R82" s="182">
        <v>11.03</v>
      </c>
      <c r="T82" s="179"/>
      <c r="U82" s="179"/>
      <c r="V82" s="179"/>
      <c r="W82" s="179"/>
      <c r="X82" s="179"/>
      <c r="Y82" s="179"/>
      <c r="Z82" s="179"/>
      <c r="AA82" s="179"/>
      <c r="AB82" s="179"/>
      <c r="AC82" s="129"/>
      <c r="AD82" s="139">
        <f>ROUNDUP($A82/3,0)*3</f>
        <v>0</v>
      </c>
      <c r="AE82" s="139">
        <f>ROUNDUP($A82/3,0)*3</f>
        <v>0</v>
      </c>
      <c r="AF82" s="135"/>
      <c r="AH82" s="44">
        <v>120353</v>
      </c>
      <c r="AI82" s="44">
        <v>120350</v>
      </c>
      <c r="AJ82" s="44">
        <v>120358</v>
      </c>
      <c r="AK82" s="44">
        <v>120355</v>
      </c>
      <c r="AL82" s="44">
        <v>120351</v>
      </c>
      <c r="AM82" s="44">
        <v>120357</v>
      </c>
      <c r="AN82" s="44">
        <v>120352</v>
      </c>
      <c r="AO82" s="44">
        <v>120356</v>
      </c>
      <c r="AP82" s="44">
        <v>120359</v>
      </c>
      <c r="AQ82" s="44">
        <v>120354</v>
      </c>
      <c r="AR82" s="44">
        <v>14231028</v>
      </c>
      <c r="AS82" s="512" t="e" vm="2">
        <f t="shared" si="16"/>
        <v>#VALUE!</v>
      </c>
    </row>
    <row r="83" spans="1:45" ht="32.1" customHeight="1">
      <c r="A83" s="93"/>
      <c r="B83" s="76" t="str">
        <f>VLOOKUP(878,Sprachindex!$A:$Z,Info!$O$7,FALSE)</f>
        <v>Stk.</v>
      </c>
      <c r="C83" s="78" t="e" vm="54">
        <v>#VALUE!</v>
      </c>
      <c r="D83" s="75" t="str">
        <f t="shared" si="18"/>
        <v/>
      </c>
      <c r="E83" s="618" t="str">
        <f>VLOOKUP(794,Sprachindex!$A:$Z,Info!$O$7,FALSE)</f>
        <v>Eiskralle</v>
      </c>
      <c r="F83" s="619"/>
      <c r="G83" s="619"/>
      <c r="H83" s="619"/>
      <c r="I83" s="619"/>
      <c r="J83" s="619"/>
      <c r="K83" s="620"/>
      <c r="L83" s="76" t="str">
        <f t="shared" si="19"/>
        <v/>
      </c>
      <c r="M83" s="161" t="str">
        <f>VLOOKUP(878,Sprachindex!$A:$Z,Info!$O$7,FALSE)</f>
        <v>Stk.</v>
      </c>
      <c r="N83" s="77"/>
      <c r="O83" s="184" t="str">
        <f t="shared" si="20"/>
        <v/>
      </c>
      <c r="P83" s="267"/>
      <c r="R83" s="182">
        <v>4.78</v>
      </c>
      <c r="T83" s="179"/>
      <c r="U83" s="179"/>
      <c r="V83" s="179"/>
      <c r="W83" s="179"/>
      <c r="X83" s="179"/>
      <c r="Y83" s="179"/>
      <c r="Z83" s="179"/>
      <c r="AA83" s="179"/>
      <c r="AB83" s="179"/>
      <c r="AC83" s="129"/>
      <c r="AD83" s="139">
        <f>ROUNDUP($A83/100,0)*100</f>
        <v>0</v>
      </c>
      <c r="AE83" s="139">
        <f t="shared" ref="AE83:AE92" si="21">ROUNDUP($A83,0)</f>
        <v>0</v>
      </c>
      <c r="AF83" s="135"/>
      <c r="AH83" s="44">
        <v>120703</v>
      </c>
      <c r="AI83" s="44">
        <v>120700</v>
      </c>
      <c r="AJ83" s="44">
        <v>120708</v>
      </c>
      <c r="AK83" s="44">
        <v>120705</v>
      </c>
      <c r="AL83" s="44">
        <v>120701</v>
      </c>
      <c r="AM83" s="44">
        <v>120707</v>
      </c>
      <c r="AN83" s="44">
        <v>120702</v>
      </c>
      <c r="AO83" s="44">
        <v>120706</v>
      </c>
      <c r="AP83" s="44">
        <v>120709</v>
      </c>
      <c r="AQ83" s="44">
        <v>120704</v>
      </c>
      <c r="AR83" s="44">
        <v>14111028</v>
      </c>
      <c r="AS83" s="512" t="e" vm="2">
        <f t="shared" si="16"/>
        <v>#VALUE!</v>
      </c>
    </row>
    <row r="84" spans="1:45" ht="32.1" customHeight="1">
      <c r="A84" s="93"/>
      <c r="B84" s="76" t="str">
        <f>VLOOKUP(878,Sprachindex!$A:$Z,Info!$O$7,FALSE)</f>
        <v>Stk.</v>
      </c>
      <c r="C84" s="78" t="e" vm="55">
        <v>#VALUE!</v>
      </c>
      <c r="D84" s="75" t="str">
        <f t="shared" si="18"/>
        <v/>
      </c>
      <c r="E84" s="618" t="str">
        <f>VLOOKUP(791,Sprachindex!$A:$Z,Info!$O$7,FALSE)</f>
        <v>Abschluss für Schneerechensystem</v>
      </c>
      <c r="F84" s="619"/>
      <c r="G84" s="619"/>
      <c r="H84" s="619"/>
      <c r="I84" s="619"/>
      <c r="J84" s="619"/>
      <c r="K84" s="620"/>
      <c r="L84" s="76" t="str">
        <f t="shared" si="19"/>
        <v/>
      </c>
      <c r="M84" s="161" t="str">
        <f>VLOOKUP(878,Sprachindex!$A:$Z,Info!$O$7,FALSE)</f>
        <v>Stk.</v>
      </c>
      <c r="N84" s="77"/>
      <c r="O84" s="184" t="str">
        <f t="shared" si="20"/>
        <v/>
      </c>
      <c r="P84" s="267"/>
      <c r="R84" s="182">
        <v>6.52</v>
      </c>
      <c r="T84" s="179"/>
      <c r="U84" s="179"/>
      <c r="V84" s="179"/>
      <c r="W84" s="179"/>
      <c r="X84" s="179"/>
      <c r="Y84" s="179"/>
      <c r="Z84" s="179"/>
      <c r="AA84" s="179"/>
      <c r="AB84" s="179"/>
      <c r="AC84" s="129"/>
      <c r="AD84" s="139">
        <f>ROUNDUP($A84/2,0)*2</f>
        <v>0</v>
      </c>
      <c r="AE84" s="139">
        <f t="shared" si="21"/>
        <v>0</v>
      </c>
      <c r="AF84" s="135"/>
      <c r="AH84" s="44">
        <v>120393</v>
      </c>
      <c r="AI84" s="44">
        <v>120390</v>
      </c>
      <c r="AJ84" s="44">
        <v>120398</v>
      </c>
      <c r="AK84" s="44">
        <v>120395</v>
      </c>
      <c r="AL84" s="44">
        <v>120391</v>
      </c>
      <c r="AM84" s="44">
        <v>120397</v>
      </c>
      <c r="AN84" s="44">
        <v>120392</v>
      </c>
      <c r="AO84" s="44">
        <v>120396</v>
      </c>
      <c r="AP84" s="44">
        <v>120399</v>
      </c>
      <c r="AQ84" s="44">
        <v>120394</v>
      </c>
      <c r="AR84" s="44">
        <v>14101028</v>
      </c>
      <c r="AS84" s="512" t="e" vm="2">
        <f t="shared" si="16"/>
        <v>#VALUE!</v>
      </c>
    </row>
    <row r="85" spans="1:45" ht="32.1" customHeight="1">
      <c r="A85" s="93"/>
      <c r="B85" s="76" t="str">
        <f>VLOOKUP(878,Sprachindex!$A:$Z,Info!$O$7,FALSE)</f>
        <v>Stk.</v>
      </c>
      <c r="C85" s="78" t="e" vm="56">
        <v>#VALUE!</v>
      </c>
      <c r="D85" s="75" t="str">
        <f t="shared" si="18"/>
        <v/>
      </c>
      <c r="E85" s="618" t="str">
        <f>VLOOKUP(2192,Sprachindex!$A:$Z,Info!$O$7,FALSE)</f>
        <v>Abschluss für Schneerechensystem XL</v>
      </c>
      <c r="F85" s="619"/>
      <c r="G85" s="619"/>
      <c r="H85" s="619"/>
      <c r="I85" s="619"/>
      <c r="J85" s="619"/>
      <c r="K85" s="620"/>
      <c r="L85" s="76" t="str">
        <f t="shared" si="19"/>
        <v/>
      </c>
      <c r="M85" s="161" t="str">
        <f>VLOOKUP(878,Sprachindex!$A:$Z,Info!$O$7,FALSE)</f>
        <v>Stk.</v>
      </c>
      <c r="N85" s="77"/>
      <c r="O85" s="184" t="str">
        <f t="shared" si="20"/>
        <v/>
      </c>
      <c r="P85" s="267"/>
      <c r="R85" s="182">
        <v>8.5500000000000007</v>
      </c>
      <c r="T85" s="179"/>
      <c r="U85" s="179"/>
      <c r="V85" s="179"/>
      <c r="W85" s="179"/>
      <c r="X85" s="179"/>
      <c r="Y85" s="179"/>
      <c r="Z85" s="179"/>
      <c r="AA85" s="179"/>
      <c r="AB85" s="179"/>
      <c r="AC85" s="129"/>
      <c r="AD85" s="139">
        <f>ROUNDUP($A85/18,0)*18</f>
        <v>0</v>
      </c>
      <c r="AE85" s="139">
        <f t="shared" si="21"/>
        <v>0</v>
      </c>
      <c r="AF85" s="135"/>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512" t="e" vm="2">
        <f t="shared" si="16"/>
        <v>#VALUE!</v>
      </c>
    </row>
    <row r="86" spans="1:45" ht="32.1" customHeight="1">
      <c r="A86" s="93"/>
      <c r="B86" s="76" t="str">
        <f>VLOOKUP(878,Sprachindex!$A:$Z,Info!$O$7,FALSE)</f>
        <v>Stk.</v>
      </c>
      <c r="C86" s="78" t="e" vm="57">
        <v>#VALUE!</v>
      </c>
      <c r="D86" s="75" t="str">
        <f t="shared" si="18"/>
        <v/>
      </c>
      <c r="E86" s="618" t="str">
        <f>VLOOKUP(424,Sprachindex!$A:$Z,Info!$O$7,FALSE)</f>
        <v>Gebirgsschneefangstütze</v>
      </c>
      <c r="F86" s="619"/>
      <c r="G86" s="619"/>
      <c r="H86" s="619"/>
      <c r="I86" s="619"/>
      <c r="J86" s="619"/>
      <c r="K86" s="620"/>
      <c r="L86" s="76" t="str">
        <f t="shared" si="19"/>
        <v/>
      </c>
      <c r="M86" s="161" t="str">
        <f>VLOOKUP(878,Sprachindex!$A:$Z,Info!$O$7,FALSE)</f>
        <v>Stk.</v>
      </c>
      <c r="N86" s="77"/>
      <c r="O86" s="184" t="str">
        <f t="shared" si="20"/>
        <v/>
      </c>
      <c r="P86" s="267"/>
      <c r="R86" s="182">
        <v>57.49</v>
      </c>
      <c r="T86" s="179"/>
      <c r="U86" s="179"/>
      <c r="V86" s="179"/>
      <c r="W86" s="179"/>
      <c r="X86" s="179"/>
      <c r="Y86" s="179"/>
      <c r="Z86" s="179"/>
      <c r="AA86" s="179"/>
      <c r="AB86" s="179"/>
      <c r="AC86" s="129"/>
      <c r="AD86" s="139">
        <f>ROUNDUP($A86/2,0)*2</f>
        <v>0</v>
      </c>
      <c r="AE86" s="139">
        <f t="shared" si="21"/>
        <v>0</v>
      </c>
      <c r="AF86" s="135"/>
      <c r="AH86" s="44">
        <v>120153</v>
      </c>
      <c r="AI86" s="44">
        <v>120150</v>
      </c>
      <c r="AJ86" s="44">
        <v>120158</v>
      </c>
      <c r="AK86" s="44">
        <v>120155</v>
      </c>
      <c r="AL86" s="44">
        <v>120151</v>
      </c>
      <c r="AM86" s="44">
        <v>120157</v>
      </c>
      <c r="AN86" s="44">
        <v>120152</v>
      </c>
      <c r="AO86" s="44">
        <v>120156</v>
      </c>
      <c r="AP86" s="44">
        <v>120159</v>
      </c>
      <c r="AQ86" s="44">
        <v>120154</v>
      </c>
      <c r="AR86" s="119">
        <v>14061028</v>
      </c>
      <c r="AS86" s="512" t="e" vm="2">
        <f t="shared" si="16"/>
        <v>#VALUE!</v>
      </c>
    </row>
    <row r="87" spans="1:45" ht="32.1" customHeight="1">
      <c r="A87" s="93"/>
      <c r="B87" s="76" t="str">
        <f>VLOOKUP(878,Sprachindex!$A:$Z,Info!$O$7,FALSE)</f>
        <v>Stk.</v>
      </c>
      <c r="C87" s="78" t="e" vm="58">
        <v>#VALUE!</v>
      </c>
      <c r="D87" s="75" t="str">
        <f t="shared" si="18"/>
        <v/>
      </c>
      <c r="E87" s="618" t="str">
        <f>VLOOKUP(510,Sprachindex!$A:$Z,Info!$O$7,FALSE)</f>
        <v>Kaminhut (700 × 700 mm)</v>
      </c>
      <c r="F87" s="619"/>
      <c r="G87" s="619"/>
      <c r="H87" s="619"/>
      <c r="I87" s="619"/>
      <c r="J87" s="619"/>
      <c r="K87" s="620"/>
      <c r="L87" s="76" t="str">
        <f t="shared" si="19"/>
        <v/>
      </c>
      <c r="M87" s="161" t="str">
        <f>VLOOKUP(878,Sprachindex!$A:$Z,Info!$O$7,FALSE)</f>
        <v>Stk.</v>
      </c>
      <c r="N87" s="77"/>
      <c r="O87" s="184" t="str">
        <f t="shared" si="20"/>
        <v/>
      </c>
      <c r="P87" s="267"/>
      <c r="R87" s="182">
        <v>157.28</v>
      </c>
      <c r="T87" s="179"/>
      <c r="U87" s="179"/>
      <c r="V87" s="179"/>
      <c r="W87" s="179"/>
      <c r="X87" s="179"/>
      <c r="Y87" s="179"/>
      <c r="Z87" s="179"/>
      <c r="AA87" s="179"/>
      <c r="AB87" s="179"/>
      <c r="AC87" s="129"/>
      <c r="AD87" s="139">
        <f>ROUNDUP($A87,0)</f>
        <v>0</v>
      </c>
      <c r="AE87" s="139">
        <f t="shared" si="21"/>
        <v>0</v>
      </c>
      <c r="AF87" s="135"/>
      <c r="AH87" s="44">
        <v>110423</v>
      </c>
      <c r="AI87" s="44">
        <v>110420</v>
      </c>
      <c r="AJ87" s="44">
        <v>110428</v>
      </c>
      <c r="AK87" s="44">
        <v>110425</v>
      </c>
      <c r="AL87" s="44">
        <v>110421</v>
      </c>
      <c r="AM87" s="44">
        <v>110427</v>
      </c>
      <c r="AN87" s="44">
        <v>110422</v>
      </c>
      <c r="AO87" s="44">
        <v>110426</v>
      </c>
      <c r="AP87" s="44">
        <v>110429</v>
      </c>
      <c r="AQ87" s="44">
        <v>110424</v>
      </c>
      <c r="AR87" s="44">
        <v>15261028</v>
      </c>
      <c r="AS87" s="512" t="e" vm="2">
        <f t="shared" si="16"/>
        <v>#VALUE!</v>
      </c>
    </row>
    <row r="88" spans="1:45" ht="32.1" customHeight="1">
      <c r="A88" s="93"/>
      <c r="B88" s="76" t="str">
        <f>VLOOKUP(878,Sprachindex!$A:$Z,Info!$O$7,FALSE)</f>
        <v>Stk.</v>
      </c>
      <c r="C88" s="78" t="e" vm="59">
        <v>#VALUE!</v>
      </c>
      <c r="D88" s="75" t="str">
        <f t="shared" si="18"/>
        <v/>
      </c>
      <c r="E88" s="618" t="str">
        <f>VLOOKUP(511,Sprachindex!$A:$Z,Info!$O$7,FALSE)</f>
        <v>Kaminhut (800 × 800 mm)</v>
      </c>
      <c r="F88" s="619"/>
      <c r="G88" s="619"/>
      <c r="H88" s="619"/>
      <c r="I88" s="619"/>
      <c r="J88" s="619"/>
      <c r="K88" s="620"/>
      <c r="L88" s="76" t="str">
        <f t="shared" si="19"/>
        <v/>
      </c>
      <c r="M88" s="161" t="str">
        <f>VLOOKUP(878,Sprachindex!$A:$Z,Info!$O$7,FALSE)</f>
        <v>Stk.</v>
      </c>
      <c r="N88" s="77"/>
      <c r="O88" s="184" t="str">
        <f t="shared" si="20"/>
        <v/>
      </c>
      <c r="P88" s="267"/>
      <c r="R88" s="182">
        <v>169.95</v>
      </c>
      <c r="T88" s="179"/>
      <c r="U88" s="179"/>
      <c r="V88" s="179"/>
      <c r="W88" s="179"/>
      <c r="X88" s="179"/>
      <c r="Y88" s="179"/>
      <c r="Z88" s="179"/>
      <c r="AA88" s="179"/>
      <c r="AB88" s="179"/>
      <c r="AC88" s="129"/>
      <c r="AD88" s="139">
        <f>ROUNDUP($A88,0)</f>
        <v>0</v>
      </c>
      <c r="AE88" s="139">
        <f t="shared" si="21"/>
        <v>0</v>
      </c>
      <c r="AF88" s="135"/>
      <c r="AH88" s="44">
        <v>110433</v>
      </c>
      <c r="AI88" s="44">
        <v>110430</v>
      </c>
      <c r="AJ88" s="44">
        <v>110438</v>
      </c>
      <c r="AK88" s="44">
        <v>110435</v>
      </c>
      <c r="AL88" s="44">
        <v>110431</v>
      </c>
      <c r="AM88" s="44">
        <v>110437</v>
      </c>
      <c r="AN88" s="44">
        <v>110432</v>
      </c>
      <c r="AO88" s="44">
        <v>110436</v>
      </c>
      <c r="AP88" s="44">
        <v>110439</v>
      </c>
      <c r="AQ88" s="44">
        <v>110434</v>
      </c>
      <c r="AR88" s="44">
        <v>15271028</v>
      </c>
      <c r="AS88" s="512" t="e" vm="2">
        <f t="shared" si="16"/>
        <v>#VALUE!</v>
      </c>
    </row>
    <row r="89" spans="1:45" ht="32.1" customHeight="1">
      <c r="A89" s="93"/>
      <c r="B89" s="76" t="str">
        <f>VLOOKUP(878,Sprachindex!$A:$Z,Info!$O$7,FALSE)</f>
        <v>Stk.</v>
      </c>
      <c r="C89" s="78" t="e" vm="60">
        <v>#VALUE!</v>
      </c>
      <c r="D89" s="75" t="str">
        <f t="shared" si="18"/>
        <v/>
      </c>
      <c r="E89" s="618" t="str">
        <f>VLOOKUP(507,Sprachindex!$A:$Z,Info!$O$7,FALSE)</f>
        <v>Kaminhut (1.000 × 700 mm)</v>
      </c>
      <c r="F89" s="619"/>
      <c r="G89" s="619"/>
      <c r="H89" s="619"/>
      <c r="I89" s="619"/>
      <c r="J89" s="619"/>
      <c r="K89" s="620"/>
      <c r="L89" s="76" t="str">
        <f t="shared" si="19"/>
        <v/>
      </c>
      <c r="M89" s="161" t="str">
        <f>VLOOKUP(878,Sprachindex!$A:$Z,Info!$O$7,FALSE)</f>
        <v>Stk.</v>
      </c>
      <c r="N89" s="77"/>
      <c r="O89" s="184" t="str">
        <f t="shared" si="20"/>
        <v/>
      </c>
      <c r="P89" s="267"/>
      <c r="R89" s="182">
        <v>170.57</v>
      </c>
      <c r="T89" s="179"/>
      <c r="U89" s="179"/>
      <c r="V89" s="179"/>
      <c r="W89" s="179"/>
      <c r="X89" s="179"/>
      <c r="Y89" s="179"/>
      <c r="Z89" s="179"/>
      <c r="AA89" s="179"/>
      <c r="AB89" s="179"/>
      <c r="AC89" s="129"/>
      <c r="AD89" s="139">
        <f>ROUNDUP($A89,0)</f>
        <v>0</v>
      </c>
      <c r="AE89" s="139">
        <f t="shared" si="21"/>
        <v>0</v>
      </c>
      <c r="AF89" s="135"/>
      <c r="AH89" s="44">
        <v>110443</v>
      </c>
      <c r="AI89" s="44">
        <v>110440</v>
      </c>
      <c r="AJ89" s="44">
        <v>110448</v>
      </c>
      <c r="AK89" s="44">
        <v>110445</v>
      </c>
      <c r="AL89" s="44">
        <v>110441</v>
      </c>
      <c r="AM89" s="44">
        <v>110447</v>
      </c>
      <c r="AN89" s="44">
        <v>110442</v>
      </c>
      <c r="AO89" s="44">
        <v>110446</v>
      </c>
      <c r="AP89" s="44">
        <v>110449</v>
      </c>
      <c r="AQ89" s="44">
        <v>110444</v>
      </c>
      <c r="AR89" s="44">
        <v>15281028</v>
      </c>
      <c r="AS89" s="512" t="e" vm="2">
        <f t="shared" si="16"/>
        <v>#VALUE!</v>
      </c>
    </row>
    <row r="90" spans="1:45" ht="32.1" customHeight="1">
      <c r="A90" s="93"/>
      <c r="B90" s="76" t="str">
        <f>VLOOKUP(878,Sprachindex!$A:$Z,Info!$O$7,FALSE)</f>
        <v>Stk.</v>
      </c>
      <c r="C90" s="78" t="e" vm="61">
        <v>#VALUE!</v>
      </c>
      <c r="D90" s="75" t="str">
        <f t="shared" si="18"/>
        <v/>
      </c>
      <c r="E90" s="618" t="str">
        <f>VLOOKUP(508,Sprachindex!$A:$Z,Info!$O$7,FALSE)</f>
        <v>Kaminhut (1.100 × 800 mm)</v>
      </c>
      <c r="F90" s="619"/>
      <c r="G90" s="619"/>
      <c r="H90" s="619"/>
      <c r="I90" s="619"/>
      <c r="J90" s="619"/>
      <c r="K90" s="620"/>
      <c r="L90" s="76" t="str">
        <f t="shared" si="19"/>
        <v/>
      </c>
      <c r="M90" s="161" t="str">
        <f>VLOOKUP(878,Sprachindex!$A:$Z,Info!$O$7,FALSE)</f>
        <v>Stk.</v>
      </c>
      <c r="N90" s="77"/>
      <c r="O90" s="184" t="str">
        <f t="shared" si="20"/>
        <v/>
      </c>
      <c r="P90" s="267"/>
      <c r="R90" s="182">
        <v>204.46</v>
      </c>
      <c r="T90" s="179"/>
      <c r="U90" s="179"/>
      <c r="V90" s="179"/>
      <c r="W90" s="179"/>
      <c r="X90" s="179"/>
      <c r="Y90" s="179"/>
      <c r="Z90" s="179"/>
      <c r="AA90" s="179"/>
      <c r="AB90" s="179"/>
      <c r="AC90" s="129"/>
      <c r="AD90" s="139">
        <f>ROUNDUP($A90,0)</f>
        <v>0</v>
      </c>
      <c r="AE90" s="139">
        <f t="shared" si="21"/>
        <v>0</v>
      </c>
      <c r="AF90" s="135"/>
      <c r="AH90" s="44">
        <v>110453</v>
      </c>
      <c r="AI90" s="44">
        <v>110450</v>
      </c>
      <c r="AJ90" s="44">
        <v>110458</v>
      </c>
      <c r="AK90" s="44">
        <v>110455</v>
      </c>
      <c r="AL90" s="44">
        <v>110451</v>
      </c>
      <c r="AM90" s="44">
        <v>110457</v>
      </c>
      <c r="AN90" s="44">
        <v>110452</v>
      </c>
      <c r="AO90" s="44">
        <v>110456</v>
      </c>
      <c r="AP90" s="44">
        <v>110459</v>
      </c>
      <c r="AQ90" s="44">
        <v>110454</v>
      </c>
      <c r="AR90" s="44">
        <v>15291028</v>
      </c>
      <c r="AS90" s="512" t="e" vm="2">
        <f t="shared" si="16"/>
        <v>#VALUE!</v>
      </c>
    </row>
    <row r="91" spans="1:45" ht="32.1" customHeight="1">
      <c r="A91" s="93"/>
      <c r="B91" s="76" t="str">
        <f>VLOOKUP(878,Sprachindex!$A:$Z,Info!$O$7,FALSE)</f>
        <v>Stk.</v>
      </c>
      <c r="C91" s="78" t="e" vm="59">
        <v>#VALUE!</v>
      </c>
      <c r="D91" s="75" t="str">
        <f t="shared" si="18"/>
        <v/>
      </c>
      <c r="E91" s="618" t="str">
        <f>VLOOKUP(509,Sprachindex!$A:$Z,Info!$O$7,FALSE)</f>
        <v>Kaminhut (1.500 × 800 mm)</v>
      </c>
      <c r="F91" s="619"/>
      <c r="G91" s="619"/>
      <c r="H91" s="619"/>
      <c r="I91" s="619"/>
      <c r="J91" s="619"/>
      <c r="K91" s="620"/>
      <c r="L91" s="76" t="str">
        <f t="shared" si="19"/>
        <v/>
      </c>
      <c r="M91" s="161" t="str">
        <f>VLOOKUP(878,Sprachindex!$A:$Z,Info!$O$7,FALSE)</f>
        <v>Stk.</v>
      </c>
      <c r="N91" s="77"/>
      <c r="O91" s="184" t="str">
        <f t="shared" si="20"/>
        <v/>
      </c>
      <c r="P91" s="267"/>
      <c r="R91" s="182">
        <v>279.54000000000002</v>
      </c>
      <c r="T91" s="179"/>
      <c r="U91" s="179"/>
      <c r="V91" s="179"/>
      <c r="W91" s="179"/>
      <c r="X91" s="179"/>
      <c r="Y91" s="179"/>
      <c r="Z91" s="179"/>
      <c r="AA91" s="179"/>
      <c r="AB91" s="179"/>
      <c r="AC91" s="129"/>
      <c r="AD91" s="139">
        <f>ROUNDUP($A91,0)</f>
        <v>0</v>
      </c>
      <c r="AE91" s="139">
        <f t="shared" si="21"/>
        <v>0</v>
      </c>
      <c r="AF91" s="135"/>
      <c r="AH91" s="44">
        <v>110463</v>
      </c>
      <c r="AI91" s="44">
        <v>110460</v>
      </c>
      <c r="AJ91" s="44">
        <v>110468</v>
      </c>
      <c r="AK91" s="44">
        <v>110465</v>
      </c>
      <c r="AL91" s="44">
        <v>110461</v>
      </c>
      <c r="AM91" s="44">
        <v>110467</v>
      </c>
      <c r="AN91" s="44">
        <v>110462</v>
      </c>
      <c r="AO91" s="44">
        <v>110466</v>
      </c>
      <c r="AP91" s="44">
        <v>110469</v>
      </c>
      <c r="AQ91" s="44">
        <v>110464</v>
      </c>
      <c r="AR91" s="44">
        <v>15301028</v>
      </c>
      <c r="AS91" s="512" t="e" vm="2">
        <f t="shared" si="16"/>
        <v>#VALUE!</v>
      </c>
    </row>
    <row r="92" spans="1:45" ht="32.1" customHeight="1">
      <c r="A92" s="93"/>
      <c r="B92" s="76" t="str">
        <f>VLOOKUP(878,Sprachindex!$A:$Z,Info!$O$7,FALSE)</f>
        <v>Stk.</v>
      </c>
      <c r="C92" s="78" t="e" vm="62">
        <v>#VALUE!</v>
      </c>
      <c r="D92" s="75" t="str">
        <f t="shared" si="18"/>
        <v/>
      </c>
      <c r="E92" s="618" t="str">
        <f>VLOOKUP(512,Sprachindex!$A:$Z,Info!$O$7,FALSE)</f>
        <v>Kaminstrebe gebogen</v>
      </c>
      <c r="F92" s="619"/>
      <c r="G92" s="619"/>
      <c r="H92" s="619"/>
      <c r="I92" s="619"/>
      <c r="J92" s="619"/>
      <c r="K92" s="620"/>
      <c r="L92" s="76" t="str">
        <f t="shared" si="19"/>
        <v/>
      </c>
      <c r="M92" s="161" t="str">
        <f>VLOOKUP(878,Sprachindex!$A:$Z,Info!$O$7,FALSE)</f>
        <v>Stk.</v>
      </c>
      <c r="N92" s="77"/>
      <c r="O92" s="184" t="str">
        <f t="shared" si="20"/>
        <v/>
      </c>
      <c r="P92" s="267"/>
      <c r="R92" s="182">
        <v>17.27</v>
      </c>
      <c r="T92" s="179"/>
      <c r="U92" s="179"/>
      <c r="V92" s="179"/>
      <c r="W92" s="179"/>
      <c r="X92" s="179"/>
      <c r="Y92" s="179"/>
      <c r="Z92" s="179"/>
      <c r="AA92" s="179"/>
      <c r="AB92" s="179"/>
      <c r="AC92" s="129"/>
      <c r="AD92" s="139">
        <f>ROUNDUP($A92/10,0)*10</f>
        <v>0</v>
      </c>
      <c r="AE92" s="139">
        <f t="shared" si="21"/>
        <v>0</v>
      </c>
      <c r="AF92" s="135"/>
      <c r="AH92" s="44">
        <v>110413</v>
      </c>
      <c r="AI92" s="44">
        <v>110410</v>
      </c>
      <c r="AJ92" s="44">
        <v>110418</v>
      </c>
      <c r="AK92" s="44">
        <v>110415</v>
      </c>
      <c r="AL92" s="44">
        <v>110411</v>
      </c>
      <c r="AM92" s="44">
        <v>110417</v>
      </c>
      <c r="AN92" s="44">
        <v>110412</v>
      </c>
      <c r="AO92" s="44">
        <v>110416</v>
      </c>
      <c r="AP92" s="44">
        <v>110419</v>
      </c>
      <c r="AQ92" s="44">
        <v>110414</v>
      </c>
      <c r="AR92" s="44">
        <v>15331028</v>
      </c>
      <c r="AS92" s="512" t="e" vm="2">
        <f t="shared" si="16"/>
        <v>#VALUE!</v>
      </c>
    </row>
    <row r="93" spans="1:45" ht="32.1" customHeight="1">
      <c r="A93" s="93"/>
      <c r="B93" s="76" t="str">
        <f>VLOOKUP(1512,Sprachindex!$A:$Z,Info!$O$7,FALSE)</f>
        <v>lfm</v>
      </c>
      <c r="C93" s="78" t="e" vm="63">
        <v>#VALUE!</v>
      </c>
      <c r="D93" s="75" t="str">
        <f t="shared" si="18"/>
        <v/>
      </c>
      <c r="E93" s="618" t="str">
        <f>VLOOKUP(402,Sprachindex!$A:$Z,Info!$O$7,FALSE)</f>
        <v>Flachprofil (35 × 7 × 3.000 mm)</v>
      </c>
      <c r="F93" s="619"/>
      <c r="G93" s="619"/>
      <c r="H93" s="619"/>
      <c r="I93" s="619"/>
      <c r="J93" s="619"/>
      <c r="K93" s="620"/>
      <c r="L93" s="76" t="str">
        <f t="shared" si="19"/>
        <v/>
      </c>
      <c r="M93" s="161" t="str">
        <f>VLOOKUP(1512,Sprachindex!$A:$Z,Info!$O$7,FALSE)</f>
        <v>lfm</v>
      </c>
      <c r="N93" s="77"/>
      <c r="O93" s="184" t="str">
        <f t="shared" si="20"/>
        <v/>
      </c>
      <c r="P93" s="267"/>
      <c r="R93" s="182">
        <v>11.66</v>
      </c>
      <c r="T93" s="179"/>
      <c r="U93" s="179"/>
      <c r="V93" s="179"/>
      <c r="W93" s="179"/>
      <c r="X93" s="179"/>
      <c r="Y93" s="179"/>
      <c r="Z93" s="179"/>
      <c r="AA93" s="179"/>
      <c r="AB93" s="179"/>
      <c r="AC93" s="129"/>
      <c r="AD93" s="139">
        <f>ROUNDUP($A93/3,0)*3</f>
        <v>0</v>
      </c>
      <c r="AE93" s="139">
        <f>ROUNDUP($A93/3,0)*3</f>
        <v>0</v>
      </c>
      <c r="AF93" s="135"/>
      <c r="AH93" s="44">
        <v>110403</v>
      </c>
      <c r="AI93" s="44">
        <v>110400</v>
      </c>
      <c r="AJ93" s="44">
        <v>110408</v>
      </c>
      <c r="AK93" s="44">
        <v>110405</v>
      </c>
      <c r="AL93" s="44">
        <v>110401</v>
      </c>
      <c r="AM93" s="44">
        <v>110407</v>
      </c>
      <c r="AN93" s="44">
        <v>110402</v>
      </c>
      <c r="AO93" s="44">
        <v>110406</v>
      </c>
      <c r="AP93" s="111" t="s">
        <v>63</v>
      </c>
      <c r="AQ93" s="44">
        <v>110404</v>
      </c>
      <c r="AR93" s="111">
        <v>15321028</v>
      </c>
      <c r="AS93" s="512" t="e" vm="2">
        <f t="shared" si="16"/>
        <v>#VALUE!</v>
      </c>
    </row>
    <row r="94" spans="1:45" ht="32.1" customHeight="1">
      <c r="A94" s="93"/>
      <c r="B94" s="76" t="str">
        <f>VLOOKUP(878,Sprachindex!$A:$Z,Info!$O$7,FALSE)</f>
        <v>Stk.</v>
      </c>
      <c r="C94" s="78" t="e" vm="64">
        <v>#VALUE!</v>
      </c>
      <c r="D94" s="75" t="str">
        <f t="shared" si="18"/>
        <v/>
      </c>
      <c r="E94" s="618" t="str">
        <f>VLOOKUP(459,Sprachindex!$A:$Z,Info!$O$7,FALSE)</f>
        <v>Hauerbuckel; zum Abdecken von Befestigungsmitteln</v>
      </c>
      <c r="F94" s="619"/>
      <c r="G94" s="619"/>
      <c r="H94" s="619"/>
      <c r="I94" s="619"/>
      <c r="J94" s="619"/>
      <c r="K94" s="620"/>
      <c r="L94" s="76" t="str">
        <f t="shared" si="19"/>
        <v/>
      </c>
      <c r="M94" s="161" t="str">
        <f>VLOOKUP(878,Sprachindex!$A:$Z,Info!$O$7,FALSE)</f>
        <v>Stk.</v>
      </c>
      <c r="N94" s="77"/>
      <c r="O94" s="184" t="str">
        <f t="shared" si="20"/>
        <v/>
      </c>
      <c r="P94" s="267"/>
      <c r="R94" s="182">
        <v>2.12</v>
      </c>
      <c r="T94" s="179"/>
      <c r="U94" s="179"/>
      <c r="V94" s="179"/>
      <c r="W94" s="179"/>
      <c r="X94" s="179"/>
      <c r="Y94" s="179"/>
      <c r="Z94" s="179"/>
      <c r="AA94" s="179"/>
      <c r="AB94" s="179"/>
      <c r="AC94" s="129"/>
      <c r="AD94" s="139">
        <f>ROUNDUP($A94,0)</f>
        <v>0</v>
      </c>
      <c r="AE94" s="139">
        <f>ROUNDUP($A94,0)</f>
        <v>0</v>
      </c>
      <c r="AF94" s="135"/>
      <c r="AH94" s="44">
        <v>112404</v>
      </c>
      <c r="AI94" s="44">
        <v>112401</v>
      </c>
      <c r="AJ94" s="44">
        <v>112409</v>
      </c>
      <c r="AK94" s="44">
        <v>112406</v>
      </c>
      <c r="AL94" s="44">
        <v>112402</v>
      </c>
      <c r="AM94" s="44">
        <v>112408</v>
      </c>
      <c r="AN94" s="44">
        <v>112403</v>
      </c>
      <c r="AO94" s="44">
        <v>112407</v>
      </c>
      <c r="AP94" s="44">
        <v>112410</v>
      </c>
      <c r="AQ94" s="44">
        <v>112405</v>
      </c>
      <c r="AR94" s="44">
        <v>58581028</v>
      </c>
      <c r="AS94" s="512" t="e" vm="2">
        <f t="shared" si="16"/>
        <v>#VALUE!</v>
      </c>
    </row>
    <row r="95" spans="1:45" ht="32.1" customHeight="1">
      <c r="A95" s="93"/>
      <c r="B95" s="76" t="s">
        <v>31</v>
      </c>
      <c r="C95" s="78" t="e" vm="65">
        <v>#VALUE!</v>
      </c>
      <c r="D95" s="75">
        <v>340404</v>
      </c>
      <c r="E95" s="618" t="str">
        <f>VLOOKUP(1422,Sprachindex!$A:$Z,Info!$O$7,FALSE)</f>
        <v>Dachleitungshalter für Blitzschutzdraht</v>
      </c>
      <c r="F95" s="619"/>
      <c r="G95" s="619"/>
      <c r="H95" s="619"/>
      <c r="I95" s="619"/>
      <c r="J95" s="619"/>
      <c r="K95" s="620"/>
      <c r="L95" s="76" t="str">
        <f t="shared" si="19"/>
        <v/>
      </c>
      <c r="M95" s="161" t="s">
        <v>31</v>
      </c>
      <c r="N95" s="77"/>
      <c r="O95" s="184" t="str">
        <f t="shared" si="20"/>
        <v/>
      </c>
      <c r="P95" s="267"/>
      <c r="R95" s="182">
        <v>7.37</v>
      </c>
      <c r="T95" s="179"/>
      <c r="U95" s="179"/>
      <c r="V95" s="179"/>
      <c r="W95" s="179"/>
      <c r="X95" s="179"/>
      <c r="Y95" s="179"/>
      <c r="Z95" s="179"/>
      <c r="AA95" s="179"/>
      <c r="AB95" s="179"/>
      <c r="AC95" s="129"/>
      <c r="AD95" s="139">
        <f>ROUNDUP($A95/50,0)*50</f>
        <v>0</v>
      </c>
      <c r="AE95" s="139">
        <f t="shared" ref="AE95:AE101" si="22">ROUNDUP($A95,0)</f>
        <v>0</v>
      </c>
      <c r="AF95" s="135"/>
      <c r="AH95" s="119"/>
      <c r="AI95" s="119"/>
      <c r="AJ95" s="119"/>
      <c r="AK95" s="119"/>
      <c r="AL95" s="119"/>
      <c r="AM95" s="119"/>
      <c r="AN95" s="119"/>
      <c r="AO95" s="119"/>
      <c r="AP95" s="119"/>
      <c r="AQ95" s="119"/>
      <c r="AR95" s="119"/>
      <c r="AS95" s="547"/>
    </row>
    <row r="96" spans="1:45" ht="32.1" customHeight="1">
      <c r="A96" s="93"/>
      <c r="B96" s="76" t="str">
        <f>VLOOKUP(878,Sprachindex!$A:$Z,Info!$O$7,FALSE)</f>
        <v>Stk.</v>
      </c>
      <c r="C96" s="75" t="e" vm="66">
        <v>#VALUE!</v>
      </c>
      <c r="D96" s="75">
        <v>420501</v>
      </c>
      <c r="E96" s="654" t="str">
        <f>VLOOKUP(851,Sprachindex!$A:$Z,Info!$O$7,FALSE)</f>
        <v>Spezialkleber</v>
      </c>
      <c r="F96" s="655"/>
      <c r="G96" s="655"/>
      <c r="H96" s="655"/>
      <c r="I96" s="655"/>
      <c r="J96" s="655"/>
      <c r="K96" s="656"/>
      <c r="L96" s="76" t="str">
        <f t="shared" si="19"/>
        <v/>
      </c>
      <c r="M96" s="161" t="str">
        <f>VLOOKUP(878,Sprachindex!$A:$Z,Info!$O$7,FALSE)</f>
        <v>Stk.</v>
      </c>
      <c r="N96" s="77"/>
      <c r="O96" s="184" t="str">
        <f t="shared" si="20"/>
        <v/>
      </c>
      <c r="P96" s="267"/>
      <c r="R96" s="182">
        <v>40.299999999999997</v>
      </c>
      <c r="T96" s="179"/>
      <c r="U96" s="179"/>
      <c r="V96" s="179"/>
      <c r="W96" s="179"/>
      <c r="X96" s="179"/>
      <c r="Y96" s="179"/>
      <c r="Z96" s="179"/>
      <c r="AA96" s="179"/>
      <c r="AB96" s="179"/>
      <c r="AC96" s="129"/>
      <c r="AD96" s="139">
        <f>ROUNDUP($A96/24,0)*24</f>
        <v>0</v>
      </c>
      <c r="AE96" s="139">
        <f t="shared" si="22"/>
        <v>0</v>
      </c>
      <c r="AF96" s="140"/>
      <c r="AS96" s="20"/>
    </row>
    <row r="97" spans="1:57" ht="32.1" customHeight="1">
      <c r="A97" s="93"/>
      <c r="B97" s="76" t="str">
        <f>VLOOKUP(821,Sprachindex!$A:$Z,Info!$O$7,FALSE)</f>
        <v>Set</v>
      </c>
      <c r="C97" s="75" t="e" vm="67">
        <v>#VALUE!</v>
      </c>
      <c r="D97" s="75">
        <v>420500</v>
      </c>
      <c r="E97" s="618" t="str">
        <f>VLOOKUP(852,Sprachindex!$A:$Z,Info!$O$7,FALSE)</f>
        <v>Spezialkleberset</v>
      </c>
      <c r="F97" s="619"/>
      <c r="G97" s="619"/>
      <c r="H97" s="619"/>
      <c r="I97" s="619"/>
      <c r="J97" s="619"/>
      <c r="K97" s="620"/>
      <c r="L97" s="76" t="str">
        <f t="shared" si="19"/>
        <v/>
      </c>
      <c r="M97" s="161" t="str">
        <f>VLOOKUP(821,Sprachindex!$A:$Z,Info!$O$7,FALSE)</f>
        <v>Set</v>
      </c>
      <c r="N97" s="77"/>
      <c r="O97" s="184" t="str">
        <f t="shared" si="20"/>
        <v/>
      </c>
      <c r="P97" s="267"/>
      <c r="R97" s="182">
        <v>55.18</v>
      </c>
      <c r="T97" s="179"/>
      <c r="U97" s="179"/>
      <c r="V97" s="179"/>
      <c r="W97" s="179"/>
      <c r="X97" s="179"/>
      <c r="Y97" s="179"/>
      <c r="Z97" s="179"/>
      <c r="AA97" s="179"/>
      <c r="AB97" s="179"/>
      <c r="AC97" s="129"/>
      <c r="AD97" s="139">
        <f t="shared" ref="AD97:AE102" si="23">ROUNDUP($A97,0)</f>
        <v>0</v>
      </c>
      <c r="AE97" s="139">
        <f t="shared" si="22"/>
        <v>0</v>
      </c>
      <c r="AF97" s="135"/>
      <c r="AH97" s="47" t="s">
        <v>35</v>
      </c>
      <c r="AI97" s="47" t="s">
        <v>32</v>
      </c>
      <c r="AJ97" s="47" t="s">
        <v>40</v>
      </c>
      <c r="AK97" s="47" t="s">
        <v>37</v>
      </c>
      <c r="AL97" s="47" t="s">
        <v>33</v>
      </c>
      <c r="AM97" s="47" t="s">
        <v>39</v>
      </c>
      <c r="AN97" s="47" t="s">
        <v>34</v>
      </c>
      <c r="AO97" s="47" t="s">
        <v>38</v>
      </c>
      <c r="AP97" s="47" t="s">
        <v>41</v>
      </c>
      <c r="AQ97" s="47" t="s">
        <v>36</v>
      </c>
      <c r="AR97" s="439" t="s">
        <v>38962</v>
      </c>
      <c r="AS97" s="20"/>
      <c r="AT97" s="149" t="s">
        <v>35</v>
      </c>
      <c r="AU97" s="47" t="s">
        <v>32</v>
      </c>
      <c r="AV97" s="47" t="s">
        <v>40</v>
      </c>
      <c r="AW97" s="47" t="s">
        <v>37</v>
      </c>
      <c r="AX97" s="47" t="s">
        <v>33</v>
      </c>
      <c r="AY97" s="47" t="s">
        <v>39</v>
      </c>
      <c r="AZ97" s="47" t="s">
        <v>34</v>
      </c>
      <c r="BA97" s="47" t="s">
        <v>38</v>
      </c>
      <c r="BB97" s="47" t="s">
        <v>41</v>
      </c>
      <c r="BC97" s="47" t="s">
        <v>36</v>
      </c>
      <c r="BD97" s="47" t="s">
        <v>38962</v>
      </c>
    </row>
    <row r="98" spans="1:57" ht="32.1" customHeight="1">
      <c r="A98" s="93"/>
      <c r="B98" s="76" t="str">
        <f>VLOOKUP(878,Sprachindex!$A:$Z,Info!$O$7,FALSE)</f>
        <v>Stk.</v>
      </c>
      <c r="C98" s="78" t="e" vm="70">
        <v>#VALUE!</v>
      </c>
      <c r="D98" s="75">
        <v>340415</v>
      </c>
      <c r="E98" s="618" t="str">
        <f>VLOOKUP(184,Sprachindex!$A:$Z,Info!$O$7,FALSE)</f>
        <v>Aufsparrenschraubenpaket</v>
      </c>
      <c r="F98" s="619"/>
      <c r="G98" s="619"/>
      <c r="H98" s="619"/>
      <c r="I98" s="619"/>
      <c r="J98" s="619"/>
      <c r="K98" s="620"/>
      <c r="L98" s="76" t="str">
        <f>IF($A98=0,"",IF($P$11=1,AD98,AE98))</f>
        <v/>
      </c>
      <c r="M98" s="161" t="str">
        <f>VLOOKUP(878,Sprachindex!$A:$Z,Info!$O$7,FALSE)</f>
        <v>Stk.</v>
      </c>
      <c r="N98" s="77"/>
      <c r="O98" s="184" t="str">
        <f t="shared" si="20"/>
        <v/>
      </c>
      <c r="P98" s="267"/>
      <c r="R98" s="182">
        <v>26.8</v>
      </c>
      <c r="T98" s="179"/>
      <c r="U98" s="179"/>
      <c r="V98" s="179"/>
      <c r="W98" s="179"/>
      <c r="X98" s="179"/>
      <c r="Y98" s="179"/>
      <c r="Z98" s="179"/>
      <c r="AA98" s="179"/>
      <c r="AB98" s="179"/>
      <c r="AC98" s="129"/>
      <c r="AD98" s="139">
        <f t="shared" si="23"/>
        <v>0</v>
      </c>
      <c r="AE98" s="139">
        <f t="shared" si="22"/>
        <v>0</v>
      </c>
      <c r="AF98" s="135"/>
      <c r="AS98" s="20"/>
    </row>
    <row r="99" spans="1:57" ht="32.1" customHeight="1">
      <c r="A99" s="93"/>
      <c r="B99" s="76" t="str">
        <f>VLOOKUP(878,Sprachindex!$A:$Z,Info!$O$7,FALSE)</f>
        <v>Stk.</v>
      </c>
      <c r="C99" s="78" t="e" vm="71">
        <v>#VALUE!</v>
      </c>
      <c r="D99" s="75">
        <v>340416</v>
      </c>
      <c r="E99" s="618" t="str">
        <f>VLOOKUP(183,Sprachindex!$A:$Z,Info!$O$7,FALSE)</f>
        <v>Aufsparrenmontagepaket</v>
      </c>
      <c r="F99" s="619"/>
      <c r="G99" s="619"/>
      <c r="H99" s="619"/>
      <c r="I99" s="619"/>
      <c r="J99" s="619"/>
      <c r="K99" s="620"/>
      <c r="L99" s="76" t="str">
        <f>IF($A99=0,"",IF($P$11=1,AD99,AE99))</f>
        <v/>
      </c>
      <c r="M99" s="161" t="str">
        <f>VLOOKUP(878,Sprachindex!$A:$Z,Info!$O$7,FALSE)</f>
        <v>Stk.</v>
      </c>
      <c r="N99" s="77"/>
      <c r="O99" s="184" t="str">
        <f t="shared" si="20"/>
        <v/>
      </c>
      <c r="P99" s="267"/>
      <c r="R99" s="182">
        <v>44.93</v>
      </c>
      <c r="T99" s="179"/>
      <c r="U99" s="179"/>
      <c r="V99" s="179"/>
      <c r="W99" s="179"/>
      <c r="X99" s="179"/>
      <c r="Y99" s="179"/>
      <c r="Z99" s="179"/>
      <c r="AA99" s="179"/>
      <c r="AB99" s="179"/>
      <c r="AC99" s="129"/>
      <c r="AD99" s="139">
        <f t="shared" si="23"/>
        <v>0</v>
      </c>
      <c r="AE99" s="139">
        <f t="shared" si="22"/>
        <v>0</v>
      </c>
      <c r="AF99" s="135"/>
      <c r="AS99" s="20"/>
    </row>
    <row r="100" spans="1:57" ht="32.1" customHeight="1">
      <c r="A100" s="93"/>
      <c r="B100" s="76" t="str">
        <f>VLOOKUP(878,Sprachindex!$A:$Z,Info!$O$7,FALSE)</f>
        <v>Stk.</v>
      </c>
      <c r="C100" s="78" t="e" vm="72">
        <v>#VALUE!</v>
      </c>
      <c r="D100" s="75">
        <v>119008</v>
      </c>
      <c r="E100" s="618" t="str">
        <f>VLOOKUP(2237,Sprachindex!$A:$Z,Info!$O$7,FALSE) &amp; " (" &amp; VLOOKUP(2668,Sprachindex!$A:$Z,Info!$O$7,FALSE) &amp; ")"</f>
        <v>Taurus-BEF-10 auf Fußteilen (P.10 Schwarz)</v>
      </c>
      <c r="F100" s="619"/>
      <c r="G100" s="619"/>
      <c r="H100" s="619"/>
      <c r="I100" s="619"/>
      <c r="J100" s="619"/>
      <c r="K100" s="620"/>
      <c r="L100" s="76" t="str">
        <f>IF($A100=0,"",IF($P$11=1,AD100,AE100))</f>
        <v/>
      </c>
      <c r="M100" s="161" t="str">
        <f>VLOOKUP(878,Sprachindex!$A:$Z,Info!$O$7,FALSE)</f>
        <v>Stk.</v>
      </c>
      <c r="N100" s="77"/>
      <c r="O100" s="184" t="str">
        <f t="shared" si="20"/>
        <v/>
      </c>
      <c r="P100" s="267"/>
      <c r="R100" s="182">
        <v>142.76</v>
      </c>
      <c r="T100" s="179"/>
      <c r="U100" s="179"/>
      <c r="V100" s="179"/>
      <c r="W100" s="179"/>
      <c r="X100" s="179"/>
      <c r="Y100" s="179"/>
      <c r="Z100" s="179"/>
      <c r="AA100" s="179"/>
      <c r="AB100" s="179"/>
      <c r="AC100" s="129"/>
      <c r="AD100" s="139">
        <f t="shared" si="23"/>
        <v>0</v>
      </c>
      <c r="AE100" s="139">
        <f t="shared" si="22"/>
        <v>0</v>
      </c>
      <c r="AF100" s="135"/>
      <c r="AS100" s="20"/>
    </row>
    <row r="101" spans="1:57" ht="32.1" customHeight="1">
      <c r="A101" s="93"/>
      <c r="B101" s="76" t="str">
        <f>VLOOKUP(878,Sprachindex!$A:$Z,Info!$O$7,FALSE)</f>
        <v>Stk.</v>
      </c>
      <c r="C101" s="78" t="e" vm="73">
        <v>#VALUE!</v>
      </c>
      <c r="D101" s="75">
        <v>120268</v>
      </c>
      <c r="E101" s="618" t="str">
        <f>VLOOKUP(2238,Sprachindex!$A:$Z,Info!$O$7,FALSE) &amp; " (" &amp; VLOOKUP(2668,Sprachindex!$A:$Z,Info!$O$7,FALSE) &amp; ")"</f>
        <v>Einzelanschlagspunkt auf Fußteilen (P.10 Schwarz)</v>
      </c>
      <c r="F101" s="619"/>
      <c r="G101" s="619"/>
      <c r="H101" s="619"/>
      <c r="I101" s="619"/>
      <c r="J101" s="619"/>
      <c r="K101" s="620"/>
      <c r="L101" s="76" t="str">
        <f>IF($A101=0,"",IF($P$11=1,AD101,AE101))</f>
        <v/>
      </c>
      <c r="M101" s="161" t="str">
        <f>VLOOKUP(878,Sprachindex!$A:$Z,Info!$O$7,FALSE)</f>
        <v>Stk.</v>
      </c>
      <c r="N101" s="77"/>
      <c r="O101" s="184" t="str">
        <f t="shared" si="20"/>
        <v/>
      </c>
      <c r="P101" s="267"/>
      <c r="R101" s="182">
        <v>139.66999999999999</v>
      </c>
      <c r="T101" s="179"/>
      <c r="U101" s="179"/>
      <c r="V101" s="179"/>
      <c r="W101" s="179"/>
      <c r="X101" s="179"/>
      <c r="Y101" s="179"/>
      <c r="Z101" s="179"/>
      <c r="AA101" s="179"/>
      <c r="AB101" s="179"/>
      <c r="AC101" s="129"/>
      <c r="AD101" s="139">
        <f t="shared" si="23"/>
        <v>0</v>
      </c>
      <c r="AE101" s="139">
        <f t="shared" si="22"/>
        <v>0</v>
      </c>
      <c r="AF101" s="135"/>
      <c r="AS101" s="20"/>
    </row>
    <row r="102" spans="1:57" ht="32.1" customHeight="1">
      <c r="A102" s="93"/>
      <c r="B102" s="76" t="str">
        <f>VLOOKUP(531,Sprachindex!$A:$Z,Info!$O$7,FALSE)</f>
        <v>kg</v>
      </c>
      <c r="C102" s="78" t="e" vm="74">
        <v>#VALUE!</v>
      </c>
      <c r="D102" s="75" t="str" cm="1">
        <f t="array" ref="D102">_xlfn.IFS(I102=Formeln!$A$107,AI102,I102=Formeln!$A$108,AH102,I102=Formeln!$A$109,AK102,I102=Formeln!$A$110,AJ102,TRUE,"")</f>
        <v/>
      </c>
      <c r="E102" s="618" t="str">
        <f>VLOOKUP(583,Sprachindex!$A:$Z,Info!$O$7,FALSE)</f>
        <v>Lochblech (⌀ 5 mm) ca. 24 kg/Rolle (0,7 × 1.000 mm)</v>
      </c>
      <c r="F102" s="619"/>
      <c r="G102" s="619"/>
      <c r="H102" s="647"/>
      <c r="I102" s="624"/>
      <c r="J102" s="625"/>
      <c r="K102" s="626"/>
      <c r="L102" s="76" t="str">
        <f>IF($A102=0,"",IF($I102=Formeln!$A$106," ",IF($P$11=1,AD102,AE102)))</f>
        <v/>
      </c>
      <c r="M102" s="161" t="str">
        <f>VLOOKUP(531,Sprachindex!$A:$Z,Info!$O$7,FALSE)</f>
        <v>kg</v>
      </c>
      <c r="N102" s="77"/>
      <c r="O102" s="204" t="str">
        <f t="shared" si="20"/>
        <v/>
      </c>
      <c r="P102" s="267"/>
      <c r="R102" s="182">
        <v>0</v>
      </c>
      <c r="T102" s="179"/>
      <c r="U102" s="179"/>
      <c r="V102" s="179"/>
      <c r="W102" s="179"/>
      <c r="X102" s="179"/>
      <c r="Y102" s="179"/>
      <c r="Z102" s="179"/>
      <c r="AA102" s="179"/>
      <c r="AB102" s="179"/>
      <c r="AD102" s="139">
        <f>ROUNDUP($A102/24,0)*24</f>
        <v>0</v>
      </c>
      <c r="AE102" s="139">
        <f t="shared" si="23"/>
        <v>0</v>
      </c>
      <c r="AF102" s="141" t="str">
        <f>IF(A102&gt;24, Formeln!$A$119, Formeln!$A$118)</f>
        <v>Rolle</v>
      </c>
      <c r="AH102" s="44">
        <v>507202</v>
      </c>
      <c r="AI102" s="44">
        <v>507206</v>
      </c>
      <c r="AJ102" s="44">
        <v>507205</v>
      </c>
      <c r="AK102" s="163">
        <v>507203</v>
      </c>
      <c r="AL102" s="559"/>
      <c r="AS102" s="510"/>
    </row>
    <row r="103" spans="1:57" ht="32.1" customHeight="1">
      <c r="A103" s="93"/>
      <c r="B103" s="76" t="str">
        <f>VLOOKUP(531,Sprachindex!$A:$Z,Info!$O$7,FALSE)</f>
        <v>kg</v>
      </c>
      <c r="C103" s="78" t="e" vm="75">
        <v>#VALUE!</v>
      </c>
      <c r="D103" s="75" t="str">
        <f>IF($O$9=1,BE103,IF($O$9=2,AS103,""))</f>
        <v/>
      </c>
      <c r="E103" s="618" t="str">
        <f>VLOOKUP(669,Sprachindex!$A:$Z,Info!$O$7,FALSE)</f>
        <v>PREFALZ Ergänzungsband; 0,7 × 1.000 mm (für Zusatzverblechungen)</v>
      </c>
      <c r="F103" s="619"/>
      <c r="G103" s="619"/>
      <c r="H103" s="619"/>
      <c r="I103" s="619"/>
      <c r="J103" s="619"/>
      <c r="K103" s="620"/>
      <c r="L103" s="76" t="str">
        <f>IF($A103=0,"",IF($P$11=1,AD103,AE103))</f>
        <v/>
      </c>
      <c r="M103" s="161" t="str">
        <f>VLOOKUP(531,Sprachindex!$A:$Z,Info!$O$7,FALSE)</f>
        <v>kg</v>
      </c>
      <c r="N103" s="77"/>
      <c r="O103" s="204" t="str">
        <f t="shared" si="20"/>
        <v/>
      </c>
      <c r="P103" s="267"/>
      <c r="R103" s="182">
        <v>0</v>
      </c>
      <c r="T103" s="179"/>
      <c r="U103" s="179"/>
      <c r="V103" s="179"/>
      <c r="W103" s="179"/>
      <c r="X103" s="179"/>
      <c r="Y103" s="179"/>
      <c r="Z103" s="179"/>
      <c r="AA103" s="179"/>
      <c r="AB103" s="179"/>
      <c r="AC103" s="129"/>
      <c r="AD103" s="151">
        <f>ROUNDUP($A103/30,0)*30</f>
        <v>0</v>
      </c>
      <c r="AE103" s="151">
        <f>ROUNDUP($A103,0)</f>
        <v>0</v>
      </c>
      <c r="AF103" s="141" t="str">
        <f>IF(A103&gt;60, Formeln!$A$119, Formeln!$A$118)</f>
        <v>Rolle</v>
      </c>
      <c r="AH103" s="545" t="s">
        <v>85</v>
      </c>
      <c r="AI103" s="433" t="s">
        <v>65</v>
      </c>
      <c r="AJ103" s="433" t="s">
        <v>72</v>
      </c>
      <c r="AK103" s="433" t="s">
        <v>69</v>
      </c>
      <c r="AL103" s="433" t="s">
        <v>66</v>
      </c>
      <c r="AM103" s="433" t="s">
        <v>71</v>
      </c>
      <c r="AN103" s="433" t="s">
        <v>67</v>
      </c>
      <c r="AO103" s="433" t="s">
        <v>70</v>
      </c>
      <c r="AP103" s="433" t="s">
        <v>73</v>
      </c>
      <c r="AQ103" s="433" t="s">
        <v>68</v>
      </c>
      <c r="AR103" s="545" t="s">
        <v>277</v>
      </c>
      <c r="AS103" s="512" t="e" vm="2">
        <f>VLOOKUP(AH103,AH103:AR103,$O$21,FALSE)</f>
        <v>#VALUE!</v>
      </c>
      <c r="AT103" s="432" t="s">
        <v>77</v>
      </c>
      <c r="AU103" s="432" t="s">
        <v>74</v>
      </c>
      <c r="AV103" s="432" t="s">
        <v>82</v>
      </c>
      <c r="AW103" s="432" t="s">
        <v>79</v>
      </c>
      <c r="AX103" s="432" t="s">
        <v>75</v>
      </c>
      <c r="AY103" s="432" t="s">
        <v>81</v>
      </c>
      <c r="AZ103" s="432" t="s">
        <v>76</v>
      </c>
      <c r="BA103" s="432" t="s">
        <v>80</v>
      </c>
      <c r="BB103" s="432" t="s">
        <v>83</v>
      </c>
      <c r="BC103" s="432" t="s">
        <v>78</v>
      </c>
      <c r="BD103" s="546" t="s">
        <v>293</v>
      </c>
      <c r="BE103" s="512" t="e" vm="2">
        <f>VLOOKUP(AT103,AT103:BD103,$O$21,FALSE)</f>
        <v>#VALUE!</v>
      </c>
    </row>
    <row r="104" spans="1:57" ht="32.1" customHeight="1">
      <c r="A104" s="93"/>
      <c r="B104" s="98"/>
      <c r="C104" s="98"/>
      <c r="D104" s="98"/>
      <c r="E104" s="648"/>
      <c r="F104" s="649"/>
      <c r="G104" s="649"/>
      <c r="H104" s="649"/>
      <c r="I104" s="649"/>
      <c r="J104" s="649"/>
      <c r="K104" s="650"/>
      <c r="L104" s="98"/>
      <c r="M104" s="399"/>
      <c r="N104" s="412"/>
      <c r="O104" s="184"/>
      <c r="R104" s="182"/>
      <c r="AC104" s="1"/>
      <c r="AD104" s="8"/>
      <c r="AE104" s="8"/>
      <c r="AH104" s="547"/>
      <c r="AI104" s="547"/>
      <c r="AJ104" s="547"/>
      <c r="AK104" s="547"/>
      <c r="AL104" s="547"/>
      <c r="AM104" s="547"/>
      <c r="AN104" s="547"/>
      <c r="AO104" s="547"/>
      <c r="AP104" s="547"/>
      <c r="AQ104" s="547"/>
      <c r="AR104" s="539"/>
    </row>
    <row r="105" spans="1:57" ht="32.1" customHeight="1">
      <c r="A105" s="93"/>
      <c r="B105" s="98"/>
      <c r="C105" s="98"/>
      <c r="D105" s="98"/>
      <c r="E105" s="648"/>
      <c r="F105" s="649"/>
      <c r="G105" s="649"/>
      <c r="H105" s="649"/>
      <c r="I105" s="649"/>
      <c r="J105" s="649"/>
      <c r="K105" s="650"/>
      <c r="L105" s="98"/>
      <c r="M105" s="399"/>
      <c r="N105" s="412"/>
      <c r="O105" s="184"/>
      <c r="R105" s="182"/>
      <c r="AC105" s="1"/>
      <c r="AD105" s="8"/>
      <c r="AE105" s="8"/>
    </row>
    <row r="106" spans="1:57" ht="32.1" customHeight="1" thickBot="1">
      <c r="A106" s="143"/>
      <c r="B106" s="144"/>
      <c r="C106" s="144"/>
      <c r="D106" s="144"/>
      <c r="E106" s="651"/>
      <c r="F106" s="652"/>
      <c r="G106" s="652"/>
      <c r="H106" s="652"/>
      <c r="I106" s="652"/>
      <c r="J106" s="652"/>
      <c r="K106" s="653"/>
      <c r="L106" s="144"/>
      <c r="M106" s="400"/>
      <c r="N106" s="413"/>
      <c r="O106" s="184"/>
      <c r="R106" s="182"/>
      <c r="AC106" s="1"/>
      <c r="AD106" s="8"/>
      <c r="AE106" s="8"/>
    </row>
    <row r="107" spans="1:57" ht="17.399999999999999">
      <c r="A107" s="67"/>
      <c r="B107" s="67"/>
      <c r="C107" s="67"/>
      <c r="D107" s="641"/>
      <c r="E107" s="641"/>
      <c r="F107" s="641"/>
      <c r="G107" s="641"/>
      <c r="H107" s="641"/>
      <c r="I107" s="641"/>
      <c r="J107" s="641"/>
      <c r="K107" s="641"/>
      <c r="L107" s="641"/>
      <c r="M107" s="641"/>
      <c r="N107" s="641"/>
      <c r="O107" s="203"/>
      <c r="R107" s="182"/>
    </row>
    <row r="108" spans="1:57" ht="17.399999999999999">
      <c r="A108" s="67"/>
      <c r="B108" s="67"/>
      <c r="C108" s="84" t="str">
        <f>VLOOKUP(1035,Sprachindex!$A:$Z,Info!$O$7,FALSE)</f>
        <v>Zusatzvermerk:</v>
      </c>
      <c r="D108" s="642"/>
      <c r="E108" s="642"/>
      <c r="F108" s="642"/>
      <c r="G108" s="642"/>
      <c r="H108" s="642"/>
      <c r="I108" s="642"/>
      <c r="J108" s="642"/>
      <c r="K108" s="642"/>
      <c r="L108" s="642"/>
      <c r="M108" s="642"/>
      <c r="N108" s="642"/>
      <c r="O108" s="180">
        <f>SUM(O27:O107)</f>
        <v>0</v>
      </c>
    </row>
    <row r="109" spans="1:57" ht="17.399999999999999">
      <c r="A109" s="67"/>
      <c r="B109" s="67"/>
      <c r="C109" s="67"/>
      <c r="D109" s="643"/>
      <c r="E109" s="643"/>
      <c r="F109" s="643"/>
      <c r="G109" s="643"/>
      <c r="H109" s="643"/>
      <c r="I109" s="643"/>
      <c r="J109" s="643"/>
      <c r="K109" s="643"/>
      <c r="L109" s="643"/>
      <c r="M109" s="643"/>
      <c r="N109" s="643"/>
      <c r="O109" s="67"/>
    </row>
    <row r="110" spans="1:57" ht="17.399999999999999">
      <c r="A110" s="67"/>
      <c r="B110" s="67"/>
      <c r="C110" s="67"/>
      <c r="D110" s="642"/>
      <c r="E110" s="642"/>
      <c r="F110" s="642"/>
      <c r="G110" s="642"/>
      <c r="H110" s="642"/>
      <c r="I110" s="642"/>
      <c r="J110" s="642"/>
      <c r="K110" s="642"/>
      <c r="L110" s="642"/>
      <c r="M110" s="642"/>
      <c r="N110" s="642"/>
      <c r="O110" s="67"/>
    </row>
    <row r="111" spans="1:57" ht="17.399999999999999">
      <c r="A111" s="67"/>
      <c r="B111" s="67"/>
      <c r="C111" s="67"/>
      <c r="D111" s="643"/>
      <c r="E111" s="643"/>
      <c r="F111" s="643"/>
      <c r="G111" s="643"/>
      <c r="H111" s="643"/>
      <c r="I111" s="643"/>
      <c r="J111" s="643"/>
      <c r="K111" s="643"/>
      <c r="L111" s="643"/>
      <c r="M111" s="643"/>
      <c r="N111" s="643"/>
      <c r="O111" s="67"/>
    </row>
    <row r="112" spans="1:57" ht="17.399999999999999">
      <c r="A112" s="67"/>
      <c r="B112" s="67"/>
      <c r="C112" s="67"/>
      <c r="D112" s="642"/>
      <c r="E112" s="642"/>
      <c r="F112" s="642"/>
      <c r="G112" s="642"/>
      <c r="H112" s="642"/>
      <c r="I112" s="642"/>
      <c r="J112" s="642"/>
      <c r="K112" s="642"/>
      <c r="L112" s="642"/>
      <c r="M112" s="642"/>
      <c r="N112" s="642"/>
      <c r="O112" s="5"/>
    </row>
    <row r="113" spans="1:15" ht="17.399999999999999">
      <c r="O113" s="5"/>
    </row>
    <row r="114" spans="1:15" ht="17.399999999999999">
      <c r="O114" s="5"/>
    </row>
    <row r="115" spans="1:15" ht="17.399999999999999">
      <c r="A115" s="85" t="str">
        <f>VLOOKUP(2097,Sprachindex!$A:$Z,Info!$O$7,FALSE)</f>
        <v>Produkttechnik</v>
      </c>
      <c r="B115" s="86"/>
      <c r="C115" s="86"/>
      <c r="D115" s="646"/>
      <c r="E115" s="646"/>
      <c r="F115" s="646"/>
      <c r="G115" s="646"/>
      <c r="H115" s="646"/>
      <c r="I115" s="646"/>
      <c r="J115" s="646"/>
      <c r="K115" s="87" t="str">
        <f>VLOOKUP(856,Sprachindex!$A:$Z,Info!$O$7,FALSE)</f>
        <v>Stand:</v>
      </c>
      <c r="L115" s="644">
        <f>Info!M59</f>
        <v>45728</v>
      </c>
      <c r="M115" s="644"/>
      <c r="N115" s="645"/>
      <c r="O115" s="5"/>
    </row>
    <row r="116" spans="1:15" ht="17.399999999999999">
      <c r="O116" s="5"/>
    </row>
    <row r="117" spans="1:15" ht="17.399999999999999" hidden="1">
      <c r="O117" s="5"/>
    </row>
    <row r="118" spans="1:15" ht="17.399999999999999" hidden="1"/>
    <row r="119" spans="1:15" ht="17.399999999999999" hidden="1">
      <c r="O119" s="5"/>
    </row>
    <row r="120" spans="1:15" ht="17.399999999999999" hidden="1"/>
    <row r="121" spans="1:15" ht="17.399999999999999" hidden="1"/>
    <row r="122" spans="1:15" ht="17.399999999999999" hidden="1"/>
    <row r="123" spans="1:15" ht="17.399999999999999" hidden="1"/>
    <row r="124" spans="1:15" ht="14.25" customHeight="1"/>
    <row r="125" spans="1:15" ht="14.25" customHeight="1"/>
    <row r="126" spans="1:15" ht="14.25" customHeight="1"/>
  </sheetData>
  <sheetProtection algorithmName="SHA-512" hashValue="0amFJb+OsWSoJT1ea0yWqT1aa9MnQ8WJandqyutkm9HarwSDiHMLsnfqqiCaQN1xDSYdvXn42UI1X4htRrYP/A==" saltValue="tQOAeW/EfilBBh1r6rcnOA==" spinCount="100000" sheet="1" objects="1" scenarios="1" selectLockedCells="1" autoFilter="0"/>
  <protectedRanges>
    <protectedRange password="DEBF" sqref="AD106" name="darf vom Benutzer nicht verändert werden_1_5_10"/>
    <protectedRange password="DEBF" sqref="AD31" name="darf vom Benutzer nicht verändert werden_1_5_2_2"/>
    <protectedRange password="DEBF" sqref="AD32:AE32" name="darf vom Benutzer nicht verändert werden_1_2_1"/>
    <protectedRange password="DEBF" sqref="AD33:AE33" name="darf vom Benutzer nicht verändert werden_1_2_2"/>
    <protectedRange password="DEBF" sqref="AD35" name="darf vom Benutzer nicht verändert werden_1_5_2_7"/>
    <protectedRange password="DEBF" sqref="AE35" name="darf vom Benutzer nicht verändert werden_1_3"/>
    <protectedRange password="DEBF" sqref="AE36" name="darf vom Benutzer nicht verändert werden_1_1_5"/>
    <protectedRange password="DEBF" sqref="AD36" name="darf vom Benutzer nicht verändert werden_1_4_5"/>
    <protectedRange password="DEBF" sqref="AE39" name="darf vom Benutzer nicht verändert werden_1_2_6"/>
    <protectedRange password="DEBF" sqref="AD39" name="darf vom Benutzer nicht verändert werden_1_5_12"/>
    <protectedRange password="DEBF" sqref="AD41:AE47 AD51:AE54 AD58:AE58" name="darf vom Benutzer nicht verändert werden_1_5_14"/>
    <protectedRange password="DEBF" sqref="AD79:AE79" name="darf vom Benutzer nicht verändert werden_1_5_18"/>
    <protectedRange password="DEBF" sqref="AD104:AD105" name="darf vom Benutzer nicht verändert werden_1_5_21"/>
    <protectedRange password="DEBF" sqref="AE104:AE106" name="darf vom Benutzer nicht verändert werden_1_5_25"/>
    <protectedRange password="DEBF" sqref="AD40:AE40" name="darf vom Benutzer nicht verändert werden_1_5_27"/>
    <protectedRange password="DEBF" sqref="AD38:AE38" name="darf vom Benutzer nicht verändert werden_1_5_1"/>
    <protectedRange password="DEBF" sqref="AD48:AE50" name="darf vom Benutzer nicht verändert werden_1_5_5"/>
    <protectedRange password="DEBF" sqref="AD55:AE57" name="darf vom Benutzer nicht verändert werden_1_5_6"/>
    <protectedRange password="DEBF" sqref="AD98:AE101 AD103:AE103" name="darf vom Benutzer nicht verändert werden_1_5_7"/>
    <protectedRange password="DEBF" sqref="AF103" name="darf vom Benutzer nicht verändert werden_1_12_1"/>
    <protectedRange password="DEBF" sqref="AD80:AE97" name="darf vom Benutzer nicht verändert werden_1_5_8"/>
    <protectedRange password="DEBF" sqref="AD72:AE77" name="darf vom Benutzer nicht verändert werden_1_5_9"/>
    <protectedRange password="DEBF" sqref="AD59:AE71" name="darf vom Benutzer nicht verändert werden_1_5_11"/>
    <protectedRange password="DEBF" sqref="AD78:AE78" name="darf vom Benutzer nicht verändert werden_1_5_13"/>
    <protectedRange password="DEBF" sqref="AD102:AE102" name="darf vom Benutzer nicht verändert werden_1_5_7_1"/>
    <protectedRange password="DEBF" sqref="AF102" name="darf vom Benutzer nicht verändert werden_1_12_1_1"/>
    <protectedRange password="DEBF" sqref="AE34" name="darf vom Benutzer nicht verändert werden_1_1"/>
    <protectedRange password="DEBF" sqref="AD34" name="darf vom Benutzer nicht verändert werden_1_2_3"/>
    <protectedRange password="DEBF" sqref="AE37" name="darf vom Benutzer nicht verändert werden_1_2_5"/>
    <protectedRange password="DEBF" sqref="AD37" name="darf vom Benutzer nicht verändert werden_1_5_2_5_2"/>
  </protectedRanges>
  <autoFilter ref="A29:A106" xr:uid="{00000000-0009-0000-0000-000002000000}"/>
  <mergeCells count="113">
    <mergeCell ref="AH39:AR39"/>
    <mergeCell ref="AT39:BD39"/>
    <mergeCell ref="E103:K103"/>
    <mergeCell ref="AH69:AS69"/>
    <mergeCell ref="AT69:BD69"/>
    <mergeCell ref="C24:E24"/>
    <mergeCell ref="E44:K44"/>
    <mergeCell ref="E53:K53"/>
    <mergeCell ref="E54:K54"/>
    <mergeCell ref="E67:K67"/>
    <mergeCell ref="C26:E26"/>
    <mergeCell ref="C27:E27"/>
    <mergeCell ref="E46:K46"/>
    <mergeCell ref="E47:K47"/>
    <mergeCell ref="E49:G49"/>
    <mergeCell ref="H49:K49"/>
    <mergeCell ref="E50:G50"/>
    <mergeCell ref="H50:K50"/>
    <mergeCell ref="E45:K45"/>
    <mergeCell ref="E36:G36"/>
    <mergeCell ref="H36:K36"/>
    <mergeCell ref="E37:G37"/>
    <mergeCell ref="H37:K37"/>
    <mergeCell ref="E38:K38"/>
    <mergeCell ref="D107:N108"/>
    <mergeCell ref="D109:N110"/>
    <mergeCell ref="D111:N112"/>
    <mergeCell ref="L115:N115"/>
    <mergeCell ref="E40:K40"/>
    <mergeCell ref="C11:E11"/>
    <mergeCell ref="C9:E9"/>
    <mergeCell ref="C10:E10"/>
    <mergeCell ref="E35:K35"/>
    <mergeCell ref="C13:E13"/>
    <mergeCell ref="C14:E14"/>
    <mergeCell ref="C15:E15"/>
    <mergeCell ref="C18:E18"/>
    <mergeCell ref="C19:E19"/>
    <mergeCell ref="C20:E20"/>
    <mergeCell ref="C21:E21"/>
    <mergeCell ref="B29:E29"/>
    <mergeCell ref="E30:K30"/>
    <mergeCell ref="E31:K31"/>
    <mergeCell ref="E32:K32"/>
    <mergeCell ref="C25:E25"/>
    <mergeCell ref="E33:K33"/>
    <mergeCell ref="B24:B27"/>
    <mergeCell ref="J58:K58"/>
    <mergeCell ref="E101:K101"/>
    <mergeCell ref="E65:K65"/>
    <mergeCell ref="E66:K66"/>
    <mergeCell ref="E60:K60"/>
    <mergeCell ref="E62:K62"/>
    <mergeCell ref="J57:K57"/>
    <mergeCell ref="E59:K59"/>
    <mergeCell ref="E55:K55"/>
    <mergeCell ref="E63:K63"/>
    <mergeCell ref="E64:K64"/>
    <mergeCell ref="E61:K61"/>
    <mergeCell ref="E68:K68"/>
    <mergeCell ref="E72:K72"/>
    <mergeCell ref="E77:K77"/>
    <mergeCell ref="E69:K69"/>
    <mergeCell ref="E70:K70"/>
    <mergeCell ref="E71:K71"/>
    <mergeCell ref="E73:K73"/>
    <mergeCell ref="E74:K74"/>
    <mergeCell ref="E75:K75"/>
    <mergeCell ref="E56:H56"/>
    <mergeCell ref="J56:K56"/>
    <mergeCell ref="E100:K100"/>
    <mergeCell ref="E80:K80"/>
    <mergeCell ref="AD29:AE29"/>
    <mergeCell ref="D115:J115"/>
    <mergeCell ref="E104:K104"/>
    <mergeCell ref="E105:K105"/>
    <mergeCell ref="E106:K106"/>
    <mergeCell ref="E102:H102"/>
    <mergeCell ref="I102:K102"/>
    <mergeCell ref="E82:K82"/>
    <mergeCell ref="E83:K83"/>
    <mergeCell ref="E84:K84"/>
    <mergeCell ref="E86:K86"/>
    <mergeCell ref="E88:K88"/>
    <mergeCell ref="E89:K89"/>
    <mergeCell ref="E90:K90"/>
    <mergeCell ref="E51:K51"/>
    <mergeCell ref="E76:K76"/>
    <mergeCell ref="E93:K93"/>
    <mergeCell ref="E91:K91"/>
    <mergeCell ref="E78:K78"/>
    <mergeCell ref="E79:K79"/>
    <mergeCell ref="E97:K97"/>
    <mergeCell ref="E98:K98"/>
    <mergeCell ref="E34:K34"/>
    <mergeCell ref="E87:K87"/>
    <mergeCell ref="E92:K92"/>
    <mergeCell ref="E94:K94"/>
    <mergeCell ref="E96:K96"/>
    <mergeCell ref="E99:K99"/>
    <mergeCell ref="E95:K95"/>
    <mergeCell ref="E81:K81"/>
    <mergeCell ref="E85:K85"/>
    <mergeCell ref="E41:K41"/>
    <mergeCell ref="E39:G39"/>
    <mergeCell ref="E42:K42"/>
    <mergeCell ref="E43:K43"/>
    <mergeCell ref="H39:K39"/>
    <mergeCell ref="E52:K52"/>
    <mergeCell ref="E48:G48"/>
    <mergeCell ref="H48:K48"/>
    <mergeCell ref="E57:G57"/>
    <mergeCell ref="E58:G58"/>
  </mergeCells>
  <conditionalFormatting sqref="A31:A103">
    <cfRule type="cellIs" dxfId="1448" priority="5" operator="equal">
      <formula>""</formula>
    </cfRule>
  </conditionalFormatting>
  <conditionalFormatting sqref="A104:E106">
    <cfRule type="cellIs" dxfId="1447" priority="178" operator="equal">
      <formula>""</formula>
    </cfRule>
  </conditionalFormatting>
  <conditionalFormatting sqref="C9:E11">
    <cfRule type="cellIs" dxfId="1445" priority="881" operator="equal">
      <formula>""</formula>
    </cfRule>
  </conditionalFormatting>
  <conditionalFormatting sqref="C13:E15">
    <cfRule type="cellIs" dxfId="1444" priority="878" operator="equal">
      <formula>""</formula>
    </cfRule>
  </conditionalFormatting>
  <conditionalFormatting sqref="C18:E21">
    <cfRule type="cellIs" dxfId="1443" priority="874" operator="equal">
      <formula>""</formula>
    </cfRule>
  </conditionalFormatting>
  <conditionalFormatting sqref="C24:E27">
    <cfRule type="cellIs" dxfId="1442" priority="411" operator="equal">
      <formula>""</formula>
    </cfRule>
  </conditionalFormatting>
  <conditionalFormatting sqref="D68">
    <cfRule type="duplicateValues" dxfId="1441" priority="37"/>
  </conditionalFormatting>
  <conditionalFormatting sqref="D69">
    <cfRule type="duplicateValues" dxfId="1440" priority="41"/>
  </conditionalFormatting>
  <conditionalFormatting sqref="D70">
    <cfRule type="duplicateValues" dxfId="1439" priority="40"/>
  </conditionalFormatting>
  <conditionalFormatting sqref="D77">
    <cfRule type="duplicateValues" dxfId="1438" priority="50"/>
  </conditionalFormatting>
  <conditionalFormatting sqref="H37:K37">
    <cfRule type="cellIs" dxfId="1432" priority="6" operator="equal">
      <formula>""</formula>
    </cfRule>
  </conditionalFormatting>
  <conditionalFormatting sqref="I13">
    <cfRule type="expression" dxfId="1429" priority="556">
      <formula>$O$13=1</formula>
    </cfRule>
    <cfRule type="expression" dxfId="1428" priority="555">
      <formula>$O$13=2</formula>
    </cfRule>
  </conditionalFormatting>
  <conditionalFormatting sqref="I21">
    <cfRule type="expression" dxfId="1427" priority="402">
      <formula>$O$21=10</formula>
    </cfRule>
  </conditionalFormatting>
  <conditionalFormatting sqref="I24:I26">
    <cfRule type="cellIs" dxfId="1425" priority="176" operator="equal">
      <formula>""</formula>
    </cfRule>
  </conditionalFormatting>
  <conditionalFormatting sqref="I28">
    <cfRule type="expression" dxfId="1424" priority="899">
      <formula>$O$21=10</formula>
    </cfRule>
  </conditionalFormatting>
  <conditionalFormatting sqref="L13">
    <cfRule type="expression" dxfId="1421" priority="553">
      <formula>$O$13=1</formula>
    </cfRule>
    <cfRule type="expression" dxfId="1420" priority="554">
      <formula>$O$13=2</formula>
    </cfRule>
  </conditionalFormatting>
  <conditionalFormatting sqref="L104:M106">
    <cfRule type="cellIs" dxfId="1419" priority="406" operator="equal">
      <formula>""</formula>
    </cfRule>
  </conditionalFormatting>
  <conditionalFormatting sqref="AH31">
    <cfRule type="duplicateValues" dxfId="1416" priority="2515"/>
  </conditionalFormatting>
  <conditionalFormatting sqref="AH86 AJ86:AR86">
    <cfRule type="duplicateValues" dxfId="1415" priority="74"/>
  </conditionalFormatting>
  <conditionalFormatting sqref="AH102:AL102">
    <cfRule type="duplicateValues" dxfId="1414" priority="15"/>
  </conditionalFormatting>
  <conditionalFormatting sqref="AH82:AO82 AQ82">
    <cfRule type="duplicateValues" dxfId="1413" priority="58"/>
  </conditionalFormatting>
  <conditionalFormatting sqref="AH83:AO83 AQ83">
    <cfRule type="duplicateValues" dxfId="1412" priority="59"/>
  </conditionalFormatting>
  <conditionalFormatting sqref="AH87:AO87 AQ87">
    <cfRule type="duplicateValues" dxfId="1411" priority="60"/>
  </conditionalFormatting>
  <conditionalFormatting sqref="AH88:AO88 AQ88">
    <cfRule type="duplicateValues" dxfId="1410" priority="61"/>
  </conditionalFormatting>
  <conditionalFormatting sqref="AH89:AO89 AQ89">
    <cfRule type="duplicateValues" dxfId="1409" priority="62"/>
  </conditionalFormatting>
  <conditionalFormatting sqref="AH90:AO90 AQ90">
    <cfRule type="duplicateValues" dxfId="1408" priority="63"/>
  </conditionalFormatting>
  <conditionalFormatting sqref="AH91:AO91 AQ91">
    <cfRule type="duplicateValues" dxfId="1407" priority="64"/>
  </conditionalFormatting>
  <conditionalFormatting sqref="AH93:AO93 AQ93">
    <cfRule type="duplicateValues" dxfId="1406" priority="65"/>
  </conditionalFormatting>
  <conditionalFormatting sqref="AH66:AP66">
    <cfRule type="duplicateValues" dxfId="1405" priority="39"/>
  </conditionalFormatting>
  <conditionalFormatting sqref="AH67:AP67">
    <cfRule type="duplicateValues" dxfId="1404" priority="43"/>
  </conditionalFormatting>
  <conditionalFormatting sqref="AH95:AP95 AH94:AO94 AQ94">
    <cfRule type="duplicateValues" dxfId="1403" priority="57"/>
  </conditionalFormatting>
  <conditionalFormatting sqref="AH79:AQ79">
    <cfRule type="duplicateValues" dxfId="1402" priority="605"/>
  </conditionalFormatting>
  <conditionalFormatting sqref="AH38:AR38">
    <cfRule type="duplicateValues" dxfId="1401" priority="149"/>
  </conditionalFormatting>
  <conditionalFormatting sqref="AH48:AR48">
    <cfRule type="duplicateValues" dxfId="1400" priority="143"/>
  </conditionalFormatting>
  <conditionalFormatting sqref="AH49:AR49">
    <cfRule type="duplicateValues" dxfId="1399" priority="142"/>
  </conditionalFormatting>
  <conditionalFormatting sqref="AH50:AR50">
    <cfRule type="duplicateValues" dxfId="1398" priority="141"/>
  </conditionalFormatting>
  <conditionalFormatting sqref="AH51:AR51">
    <cfRule type="duplicateValues" dxfId="1397" priority="136"/>
  </conditionalFormatting>
  <conditionalFormatting sqref="AH52:AR52 AT52:BD52">
    <cfRule type="duplicateValues" dxfId="1396" priority="2539"/>
  </conditionalFormatting>
  <conditionalFormatting sqref="AH55:AR55">
    <cfRule type="duplicateValues" dxfId="1395" priority="134"/>
  </conditionalFormatting>
  <conditionalFormatting sqref="AH56:AR57">
    <cfRule type="duplicateValues" dxfId="1394" priority="104"/>
  </conditionalFormatting>
  <conditionalFormatting sqref="AH59:AR65">
    <cfRule type="duplicateValues" dxfId="1393" priority="24"/>
  </conditionalFormatting>
  <conditionalFormatting sqref="AH71:AR71">
    <cfRule type="duplicateValues" dxfId="1392" priority="44"/>
  </conditionalFormatting>
  <conditionalFormatting sqref="AH74:AR76">
    <cfRule type="duplicateValues" dxfId="1391" priority="45"/>
  </conditionalFormatting>
  <conditionalFormatting sqref="AH78:AR78 AT78:AU78 AX78 AZ78">
    <cfRule type="duplicateValues" dxfId="1390" priority="23"/>
  </conditionalFormatting>
  <conditionalFormatting sqref="AH80:AR81">
    <cfRule type="duplicateValues" dxfId="1389" priority="75"/>
  </conditionalFormatting>
  <conditionalFormatting sqref="AH84:AR84">
    <cfRule type="duplicateValues" dxfId="1388" priority="76"/>
  </conditionalFormatting>
  <conditionalFormatting sqref="AH85:AR85">
    <cfRule type="duplicateValues" dxfId="1387" priority="77"/>
  </conditionalFormatting>
  <conditionalFormatting sqref="AH92:AR92">
    <cfRule type="duplicateValues" dxfId="1386" priority="78"/>
  </conditionalFormatting>
  <conditionalFormatting sqref="AI86">
    <cfRule type="duplicateValues" dxfId="1385" priority="56"/>
  </conditionalFormatting>
  <conditionalFormatting sqref="AQ66">
    <cfRule type="duplicateValues" dxfId="1384" priority="38"/>
  </conditionalFormatting>
  <conditionalFormatting sqref="AQ67">
    <cfRule type="duplicateValues" dxfId="1383" priority="42"/>
  </conditionalFormatting>
  <conditionalFormatting sqref="AQ95:AR95 AR94 AP94">
    <cfRule type="duplicateValues" dxfId="1382" priority="55"/>
  </conditionalFormatting>
  <conditionalFormatting sqref="AR31:AR32">
    <cfRule type="duplicateValues" dxfId="1381" priority="150"/>
  </conditionalFormatting>
  <conditionalFormatting sqref="AR79">
    <cfRule type="duplicateValues" dxfId="1380" priority="19"/>
  </conditionalFormatting>
  <conditionalFormatting sqref="AR82 AP82">
    <cfRule type="duplicateValues" dxfId="1379" priority="66"/>
  </conditionalFormatting>
  <conditionalFormatting sqref="AR83 AP83">
    <cfRule type="duplicateValues" dxfId="1378" priority="67"/>
  </conditionalFormatting>
  <conditionalFormatting sqref="AR87 AP87">
    <cfRule type="duplicateValues" dxfId="1377" priority="68"/>
  </conditionalFormatting>
  <conditionalFormatting sqref="AR88 AP88">
    <cfRule type="duplicateValues" dxfId="1376" priority="69"/>
  </conditionalFormatting>
  <conditionalFormatting sqref="AR89 AP89">
    <cfRule type="duplicateValues" dxfId="1375" priority="70"/>
  </conditionalFormatting>
  <conditionalFormatting sqref="AR90 AP90">
    <cfRule type="duplicateValues" dxfId="1374" priority="71"/>
  </conditionalFormatting>
  <conditionalFormatting sqref="AR91 AP91">
    <cfRule type="duplicateValues" dxfId="1373" priority="72"/>
  </conditionalFormatting>
  <conditionalFormatting sqref="AR93 AP93">
    <cfRule type="duplicateValues" dxfId="1372" priority="73"/>
  </conditionalFormatting>
  <conditionalFormatting sqref="AT72:AU72 AX72 AZ72 AH72:AR73">
    <cfRule type="duplicateValues" dxfId="1371" priority="52"/>
  </conditionalFormatting>
  <conditionalFormatting sqref="AT103:AU103 AX103 AZ103 AH103:AR103">
    <cfRule type="duplicateValues" dxfId="1370" priority="85"/>
  </conditionalFormatting>
  <conditionalFormatting sqref="AT48:AV50">
    <cfRule type="duplicateValues" dxfId="1369" priority="140"/>
  </conditionalFormatting>
  <conditionalFormatting sqref="AT51:AV51">
    <cfRule type="duplicateValues" dxfId="1368" priority="137"/>
  </conditionalFormatting>
  <conditionalFormatting sqref="AT59:BC59">
    <cfRule type="duplicateValues" dxfId="1367" priority="34"/>
  </conditionalFormatting>
  <conditionalFormatting sqref="AT60:BC60">
    <cfRule type="duplicateValues" dxfId="1366" priority="27"/>
  </conditionalFormatting>
  <conditionalFormatting sqref="AT61:BC61">
    <cfRule type="duplicateValues" dxfId="1365" priority="33"/>
  </conditionalFormatting>
  <conditionalFormatting sqref="AT55:BD55">
    <cfRule type="duplicateValues" dxfId="1364" priority="135"/>
  </conditionalFormatting>
  <conditionalFormatting sqref="AT56:BD56">
    <cfRule type="duplicateValues" dxfId="1363" priority="133"/>
  </conditionalFormatting>
  <conditionalFormatting sqref="AT57:BD57">
    <cfRule type="duplicateValues" dxfId="1362" priority="86"/>
  </conditionalFormatting>
  <conditionalFormatting sqref="AT73:BD73">
    <cfRule type="duplicateValues" dxfId="1361" priority="46"/>
  </conditionalFormatting>
  <conditionalFormatting sqref="AV72:AW72 AY72 BA72:BC72">
    <cfRule type="duplicateValues" dxfId="1360" priority="51"/>
  </conditionalFormatting>
  <conditionalFormatting sqref="AV78:AW78 AY78 BA78:BD78">
    <cfRule type="duplicateValues" dxfId="1359" priority="22"/>
  </conditionalFormatting>
  <conditionalFormatting sqref="AV103:AW103 AY103 BA103:BD103">
    <cfRule type="duplicateValues" dxfId="1358" priority="84"/>
  </conditionalFormatting>
  <conditionalFormatting sqref="AY31:AY32 AV31:AW32 BA31:BC32">
    <cfRule type="duplicateValues" dxfId="1357" priority="165"/>
  </conditionalFormatting>
  <conditionalFormatting sqref="AY41:AY47 BA41:BD47 AV41:AW47">
    <cfRule type="duplicateValues" dxfId="1356" priority="148"/>
  </conditionalFormatting>
  <conditionalFormatting sqref="AZ31:AZ32 AX31:AX32 AT31:AU32 AH32 AI31:AQ32">
    <cfRule type="duplicateValues" dxfId="1355" priority="2476"/>
  </conditionalFormatting>
  <conditionalFormatting sqref="AZ41:AZ47 AT41:AU47 AX41:AX47 AH41:AR47">
    <cfRule type="duplicateValues" dxfId="1354" priority="147"/>
  </conditionalFormatting>
  <conditionalFormatting sqref="BB62:BB65 BC62 AT62:BA62">
    <cfRule type="duplicateValues" dxfId="1353" priority="32"/>
  </conditionalFormatting>
  <conditionalFormatting sqref="BB63">
    <cfRule type="duplicateValues" dxfId="1352" priority="30"/>
  </conditionalFormatting>
  <conditionalFormatting sqref="BB64">
    <cfRule type="duplicateValues" dxfId="1351" priority="28"/>
  </conditionalFormatting>
  <conditionalFormatting sqref="BB65">
    <cfRule type="duplicateValues" dxfId="1350" priority="25"/>
  </conditionalFormatting>
  <conditionalFormatting sqref="BC63 AT63:BA63">
    <cfRule type="duplicateValues" dxfId="1349" priority="31"/>
  </conditionalFormatting>
  <conditionalFormatting sqref="BC64 AT64:BA64">
    <cfRule type="duplicateValues" dxfId="1348" priority="29"/>
  </conditionalFormatting>
  <conditionalFormatting sqref="BC65 AT65:BA65">
    <cfRule type="duplicateValues" dxfId="1347" priority="26"/>
  </conditionalFormatting>
  <conditionalFormatting sqref="BC58:BK58 BM58:BV58">
    <cfRule type="duplicateValues" dxfId="1346" priority="249"/>
  </conditionalFormatting>
  <conditionalFormatting sqref="BD31:BD32">
    <cfRule type="duplicateValues" dxfId="1345" priority="2538"/>
  </conditionalFormatting>
  <conditionalFormatting sqref="BD72">
    <cfRule type="duplicateValues" dxfId="1344" priority="47"/>
  </conditionalFormatting>
  <conditionalFormatting sqref="BT56:CD57">
    <cfRule type="duplicateValues" dxfId="1343" priority="103"/>
  </conditionalFormatting>
  <conditionalFormatting sqref="BX58:CF58 CH58:CQ58">
    <cfRule type="duplicateValues" dxfId="1342" priority="248"/>
  </conditionalFormatting>
  <conditionalFormatting sqref="CH56:CR57 BH56:BR57">
    <cfRule type="duplicateValues" dxfId="1341" priority="102"/>
  </conditionalFormatting>
  <conditionalFormatting sqref="CS58:DA58 DX58:EG58">
    <cfRule type="duplicateValues" dxfId="1340" priority="247"/>
  </conditionalFormatting>
  <conditionalFormatting sqref="CU56:DD57">
    <cfRule type="duplicateValues" dxfId="1339" priority="101"/>
  </conditionalFormatting>
  <conditionalFormatting sqref="DC58:DL58">
    <cfRule type="duplicateValues" dxfId="1338" priority="245"/>
  </conditionalFormatting>
  <conditionalFormatting sqref="DH56:DR57">
    <cfRule type="duplicateValues" dxfId="1337" priority="100"/>
  </conditionalFormatting>
  <conditionalFormatting sqref="DU56:ED57">
    <cfRule type="duplicateValues" dxfId="1336" priority="99"/>
  </conditionalFormatting>
  <conditionalFormatting sqref="EH56:ER57">
    <cfRule type="duplicateValues" dxfId="1335" priority="98"/>
  </conditionalFormatting>
  <conditionalFormatting sqref="EI58:EQ58 ES58:FB58">
    <cfRule type="duplicateValues" dxfId="1334" priority="246"/>
  </conditionalFormatting>
  <conditionalFormatting sqref="EU56:FD57">
    <cfRule type="duplicateValues" dxfId="1333" priority="97"/>
  </conditionalFormatting>
  <conditionalFormatting sqref="FH56:FR57">
    <cfRule type="duplicateValues" dxfId="1332" priority="96"/>
  </conditionalFormatting>
  <conditionalFormatting sqref="FU56:GD57">
    <cfRule type="duplicateValues" dxfId="1331" priority="95"/>
  </conditionalFormatting>
  <conditionalFormatting sqref="GH56:GR57">
    <cfRule type="duplicateValues" dxfId="1330" priority="94"/>
  </conditionalFormatting>
  <conditionalFormatting sqref="GU56:HD57">
    <cfRule type="duplicateValues" dxfId="1329" priority="93"/>
  </conditionalFormatting>
  <conditionalFormatting sqref="HH56:HR57">
    <cfRule type="duplicateValues" dxfId="1328" priority="92"/>
  </conditionalFormatting>
  <conditionalFormatting sqref="HU56:ID57">
    <cfRule type="duplicateValues" dxfId="1327" priority="91"/>
  </conditionalFormatting>
  <conditionalFormatting sqref="IH56:IR57">
    <cfRule type="duplicateValues" dxfId="1326" priority="90"/>
  </conditionalFormatting>
  <conditionalFormatting sqref="IU56:JD57">
    <cfRule type="duplicateValues" dxfId="1325" priority="89"/>
  </conditionalFormatting>
  <conditionalFormatting sqref="JH56:JR57">
    <cfRule type="duplicateValues" dxfId="1324" priority="88"/>
  </conditionalFormatting>
  <conditionalFormatting sqref="JU56:KD57">
    <cfRule type="duplicateValues" dxfId="1323" priority="87"/>
  </conditionalFormatting>
  <conditionalFormatting sqref="KF56:KM56">
    <cfRule type="duplicateValues" dxfId="1322" priority="132"/>
  </conditionalFormatting>
  <conditionalFormatting sqref="KN56">
    <cfRule type="duplicateValues" dxfId="1321" priority="107"/>
  </conditionalFormatting>
  <conditionalFormatting sqref="KP56">
    <cfRule type="duplicateValues" dxfId="1320" priority="119"/>
  </conditionalFormatting>
  <conditionalFormatting sqref="KQ56:KX56">
    <cfRule type="duplicateValues" dxfId="1319" priority="131"/>
  </conditionalFormatting>
  <conditionalFormatting sqref="KZ56:LH56">
    <cfRule type="duplicateValues" dxfId="1318" priority="130"/>
  </conditionalFormatting>
  <conditionalFormatting sqref="LI56">
    <cfRule type="duplicateValues" dxfId="1317" priority="108"/>
  </conditionalFormatting>
  <conditionalFormatting sqref="LK56">
    <cfRule type="duplicateValues" dxfId="1316" priority="118"/>
  </conditionalFormatting>
  <conditionalFormatting sqref="LL56:LS56">
    <cfRule type="duplicateValues" dxfId="1315" priority="129"/>
  </conditionalFormatting>
  <conditionalFormatting sqref="LU56:MC56">
    <cfRule type="duplicateValues" dxfId="1314" priority="128"/>
  </conditionalFormatting>
  <conditionalFormatting sqref="MD56">
    <cfRule type="duplicateValues" dxfId="1313" priority="109"/>
  </conditionalFormatting>
  <conditionalFormatting sqref="MF56">
    <cfRule type="duplicateValues" dxfId="1312" priority="117"/>
  </conditionalFormatting>
  <conditionalFormatting sqref="MG56:MN56">
    <cfRule type="duplicateValues" dxfId="1311" priority="127"/>
  </conditionalFormatting>
  <conditionalFormatting sqref="MP56:MX56">
    <cfRule type="duplicateValues" dxfId="1310" priority="126"/>
  </conditionalFormatting>
  <conditionalFormatting sqref="MY56">
    <cfRule type="duplicateValues" dxfId="1309" priority="110"/>
  </conditionalFormatting>
  <conditionalFormatting sqref="NA56">
    <cfRule type="duplicateValues" dxfId="1308" priority="116"/>
  </conditionalFormatting>
  <conditionalFormatting sqref="NB56:NI56">
    <cfRule type="duplicateValues" dxfId="1307" priority="125"/>
  </conditionalFormatting>
  <conditionalFormatting sqref="NK56:NS56">
    <cfRule type="duplicateValues" dxfId="1306" priority="124"/>
  </conditionalFormatting>
  <conditionalFormatting sqref="NT56">
    <cfRule type="duplicateValues" dxfId="1305" priority="111"/>
  </conditionalFormatting>
  <conditionalFormatting sqref="NV56">
    <cfRule type="duplicateValues" dxfId="1304" priority="115"/>
  </conditionalFormatting>
  <conditionalFormatting sqref="NW56:OD56">
    <cfRule type="duplicateValues" dxfId="1303" priority="123"/>
  </conditionalFormatting>
  <conditionalFormatting sqref="OF56:ON56">
    <cfRule type="duplicateValues" dxfId="1302" priority="122"/>
  </conditionalFormatting>
  <conditionalFormatting sqref="OO56">
    <cfRule type="duplicateValues" dxfId="1301" priority="112"/>
  </conditionalFormatting>
  <conditionalFormatting sqref="OQ56">
    <cfRule type="duplicateValues" dxfId="1300" priority="114"/>
  </conditionalFormatting>
  <conditionalFormatting sqref="OR56:OY56">
    <cfRule type="duplicateValues" dxfId="1299" priority="121"/>
  </conditionalFormatting>
  <conditionalFormatting sqref="PA56:PJ56">
    <cfRule type="duplicateValues" dxfId="1298" priority="120"/>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ignoredErrors>
    <ignoredError sqref="AD65" 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25618" r:id="rId6"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25619" r:id="rId7" name="Option Button 1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25620" r:id="rId8" name="Option Button 20">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25624" r:id="rId9"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25625" r:id="rId10"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25632" r:id="rId11" name="Group Box 32">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25633" r:id="rId12" name="Option Button 3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25634" r:id="rId13" name="Option Button 3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25661" r:id="rId14" name="Option Button 61">
              <controlPr defaultSize="0" autoFill="0" autoLine="0" autoPict="0" altText="">
                <anchor moveWithCells="1">
                  <from>
                    <xdr:col>5</xdr:col>
                    <xdr:colOff>556260</xdr:colOff>
                    <xdr:row>14</xdr:row>
                    <xdr:rowOff>182880</xdr:rowOff>
                  </from>
                  <to>
                    <xdr:col>7</xdr:col>
                    <xdr:colOff>784860</xdr:colOff>
                    <xdr:row>15</xdr:row>
                    <xdr:rowOff>175260</xdr:rowOff>
                  </to>
                </anchor>
              </controlPr>
            </control>
          </mc:Choice>
        </mc:AlternateContent>
        <mc:AlternateContent xmlns:mc="http://schemas.openxmlformats.org/markup-compatibility/2006">
          <mc:Choice Requires="x14">
            <control shapeId="25662" r:id="rId15" name="Option Button 62">
              <controlPr defaultSize="0" autoFill="0" autoLine="0" autoPict="0" altText="">
                <anchor moveWithCells="1">
                  <from>
                    <xdr:col>5</xdr:col>
                    <xdr:colOff>556260</xdr:colOff>
                    <xdr:row>15</xdr:row>
                    <xdr:rowOff>182880</xdr:rowOff>
                  </from>
                  <to>
                    <xdr:col>7</xdr:col>
                    <xdr:colOff>784860</xdr:colOff>
                    <xdr:row>16</xdr:row>
                    <xdr:rowOff>175260</xdr:rowOff>
                  </to>
                </anchor>
              </controlPr>
            </control>
          </mc:Choice>
        </mc:AlternateContent>
        <mc:AlternateContent xmlns:mc="http://schemas.openxmlformats.org/markup-compatibility/2006">
          <mc:Choice Requires="x14">
            <control shapeId="25663" r:id="rId16" name="Option Button 63">
              <controlPr defaultSize="0" autoFill="0" autoLine="0" autoPict="0" altText="">
                <anchor moveWithCells="1">
                  <from>
                    <xdr:col>5</xdr:col>
                    <xdr:colOff>556260</xdr:colOff>
                    <xdr:row>16</xdr:row>
                    <xdr:rowOff>182880</xdr:rowOff>
                  </from>
                  <to>
                    <xdr:col>7</xdr:col>
                    <xdr:colOff>784860</xdr:colOff>
                    <xdr:row>17</xdr:row>
                    <xdr:rowOff>175260</xdr:rowOff>
                  </to>
                </anchor>
              </controlPr>
            </control>
          </mc:Choice>
        </mc:AlternateContent>
        <mc:AlternateContent xmlns:mc="http://schemas.openxmlformats.org/markup-compatibility/2006">
          <mc:Choice Requires="x14">
            <control shapeId="25664" r:id="rId17" name="Option Button 64">
              <controlPr defaultSize="0" autoFill="0" autoLine="0" autoPict="0" altText="">
                <anchor moveWithCells="1">
                  <from>
                    <xdr:col>5</xdr:col>
                    <xdr:colOff>556260</xdr:colOff>
                    <xdr:row>17</xdr:row>
                    <xdr:rowOff>182880</xdr:rowOff>
                  </from>
                  <to>
                    <xdr:col>7</xdr:col>
                    <xdr:colOff>784860</xdr:colOff>
                    <xdr:row>18</xdr:row>
                    <xdr:rowOff>175260</xdr:rowOff>
                  </to>
                </anchor>
              </controlPr>
            </control>
          </mc:Choice>
        </mc:AlternateContent>
        <mc:AlternateContent xmlns:mc="http://schemas.openxmlformats.org/markup-compatibility/2006">
          <mc:Choice Requires="x14">
            <control shapeId="25665" r:id="rId18" name="Option Button 65">
              <controlPr defaultSize="0" autoFill="0" autoLine="0" autoPict="0" altText="">
                <anchor moveWithCells="1">
                  <from>
                    <xdr:col>5</xdr:col>
                    <xdr:colOff>571500</xdr:colOff>
                    <xdr:row>19</xdr:row>
                    <xdr:rowOff>22860</xdr:rowOff>
                  </from>
                  <to>
                    <xdr:col>7</xdr:col>
                    <xdr:colOff>800100</xdr:colOff>
                    <xdr:row>20</xdr:row>
                    <xdr:rowOff>0</xdr:rowOff>
                  </to>
                </anchor>
              </controlPr>
            </control>
          </mc:Choice>
        </mc:AlternateContent>
        <mc:AlternateContent xmlns:mc="http://schemas.openxmlformats.org/markup-compatibility/2006">
          <mc:Choice Requires="x14">
            <control shapeId="25666" r:id="rId19" name="Option Button 66">
              <controlPr defaultSize="0" autoFill="0" autoLine="0" autoPict="0" altText="">
                <anchor moveWithCells="1">
                  <from>
                    <xdr:col>5</xdr:col>
                    <xdr:colOff>571500</xdr:colOff>
                    <xdr:row>19</xdr:row>
                    <xdr:rowOff>182880</xdr:rowOff>
                  </from>
                  <to>
                    <xdr:col>7</xdr:col>
                    <xdr:colOff>800100</xdr:colOff>
                    <xdr:row>21</xdr:row>
                    <xdr:rowOff>0</xdr:rowOff>
                  </to>
                </anchor>
              </controlPr>
            </control>
          </mc:Choice>
        </mc:AlternateContent>
        <mc:AlternateContent xmlns:mc="http://schemas.openxmlformats.org/markup-compatibility/2006">
          <mc:Choice Requires="x14">
            <control shapeId="25667" r:id="rId20" name="Option Button 67">
              <controlPr defaultSize="0" autoFill="0" autoLine="0" autoPict="0" altText="">
                <anchor moveWithCells="1">
                  <from>
                    <xdr:col>8</xdr:col>
                    <xdr:colOff>754380</xdr:colOff>
                    <xdr:row>14</xdr:row>
                    <xdr:rowOff>175260</xdr:rowOff>
                  </from>
                  <to>
                    <xdr:col>11</xdr:col>
                    <xdr:colOff>45720</xdr:colOff>
                    <xdr:row>15</xdr:row>
                    <xdr:rowOff>175260</xdr:rowOff>
                  </to>
                </anchor>
              </controlPr>
            </control>
          </mc:Choice>
        </mc:AlternateContent>
        <mc:AlternateContent xmlns:mc="http://schemas.openxmlformats.org/markup-compatibility/2006">
          <mc:Choice Requires="x14">
            <control shapeId="25668" r:id="rId21" name="Option Button 68">
              <controlPr defaultSize="0" autoFill="0" autoLine="0" autoPict="0" altText="">
                <anchor moveWithCells="1">
                  <from>
                    <xdr:col>8</xdr:col>
                    <xdr:colOff>754380</xdr:colOff>
                    <xdr:row>15</xdr:row>
                    <xdr:rowOff>190500</xdr:rowOff>
                  </from>
                  <to>
                    <xdr:col>10</xdr:col>
                    <xdr:colOff>723900</xdr:colOff>
                    <xdr:row>17</xdr:row>
                    <xdr:rowOff>0</xdr:rowOff>
                  </to>
                </anchor>
              </controlPr>
            </control>
          </mc:Choice>
        </mc:AlternateContent>
        <mc:AlternateContent xmlns:mc="http://schemas.openxmlformats.org/markup-compatibility/2006">
          <mc:Choice Requires="x14">
            <control shapeId="25669" r:id="rId22" name="Option Button 69">
              <controlPr defaultSize="0" autoFill="0" autoLine="0" autoPict="0" altText="">
                <anchor moveWithCells="1">
                  <from>
                    <xdr:col>8</xdr:col>
                    <xdr:colOff>754380</xdr:colOff>
                    <xdr:row>17</xdr:row>
                    <xdr:rowOff>22860</xdr:rowOff>
                  </from>
                  <to>
                    <xdr:col>11</xdr:col>
                    <xdr:colOff>60960</xdr:colOff>
                    <xdr:row>18</xdr:row>
                    <xdr:rowOff>0</xdr:rowOff>
                  </to>
                </anchor>
              </controlPr>
            </control>
          </mc:Choice>
        </mc:AlternateContent>
        <mc:AlternateContent xmlns:mc="http://schemas.openxmlformats.org/markup-compatibility/2006">
          <mc:Choice Requires="x14">
            <control shapeId="25671" r:id="rId23" name="Option Button 71">
              <controlPr defaultSize="0" autoFill="0" autoLine="0" autoPict="0" altText="">
                <anchor moveWithCells="1">
                  <from>
                    <xdr:col>8</xdr:col>
                    <xdr:colOff>754380</xdr:colOff>
                    <xdr:row>18</xdr:row>
                    <xdr:rowOff>22860</xdr:rowOff>
                  </from>
                  <to>
                    <xdr:col>11</xdr:col>
                    <xdr:colOff>60960</xdr:colOff>
                    <xdr:row>18</xdr:row>
                    <xdr:rowOff>175260</xdr:rowOff>
                  </to>
                </anchor>
              </controlPr>
            </control>
          </mc:Choice>
        </mc:AlternateContent>
        <mc:AlternateContent xmlns:mc="http://schemas.openxmlformats.org/markup-compatibility/2006">
          <mc:Choice Requires="x14">
            <control shapeId="25672" r:id="rId24" name="Option Button 72">
              <controlPr defaultSize="0" autoFill="0" autoLine="0" autoPict="0" altText="">
                <anchor moveWithCells="1">
                  <from>
                    <xdr:col>8</xdr:col>
                    <xdr:colOff>754380</xdr:colOff>
                    <xdr:row>19</xdr:row>
                    <xdr:rowOff>0</xdr:rowOff>
                  </from>
                  <to>
                    <xdr:col>11</xdr:col>
                    <xdr:colOff>60960</xdr:colOff>
                    <xdr:row>19</xdr:row>
                    <xdr:rowOff>175260</xdr:rowOff>
                  </to>
                </anchor>
              </controlPr>
            </control>
          </mc:Choice>
        </mc:AlternateContent>
        <mc:AlternateContent xmlns:mc="http://schemas.openxmlformats.org/markup-compatibility/2006">
          <mc:Choice Requires="x14">
            <control shapeId="25674" r:id="rId25" name="Group Box 74">
              <controlPr defaultSize="0" autoFill="0" autoPict="0">
                <anchor moveWithCells="1">
                  <from>
                    <xdr:col>5</xdr:col>
                    <xdr:colOff>541020</xdr:colOff>
                    <xdr:row>13</xdr:row>
                    <xdr:rowOff>182880</xdr:rowOff>
                  </from>
                  <to>
                    <xdr:col>13</xdr:col>
                    <xdr:colOff>670560</xdr:colOff>
                    <xdr:row>21</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9" id="{84DA7574-023B-4D77-8099-87A9FA6D6D72}">
            <xm:f>Info!$V$7=2</xm:f>
            <x14:dxf>
              <font>
                <color theme="0" tint="-4.9989318521683403E-2"/>
              </font>
              <fill>
                <patternFill>
                  <bgColor theme="0"/>
                </patternFill>
              </fill>
              <border>
                <vertical/>
                <horizontal/>
              </border>
            </x14:dxf>
          </x14:cfRule>
          <xm:sqref>B100:N100</xm:sqref>
        </x14:conditionalFormatting>
        <x14:conditionalFormatting xmlns:xm="http://schemas.microsoft.com/office/excel/2006/main">
          <x14:cfRule type="expression" priority="17" id="{34DA9E0C-D85B-4D5D-BEFC-9EC6548992B6}">
            <xm:f>$H$48=Formeln!$B$1</xm:f>
            <x14:dxf>
              <fill>
                <patternFill>
                  <bgColor theme="0" tint="-0.14996795556505021"/>
                </patternFill>
              </fill>
            </x14:dxf>
          </x14:cfRule>
          <xm:sqref>H48</xm:sqref>
        </x14:conditionalFormatting>
        <x14:conditionalFormatting xmlns:xm="http://schemas.microsoft.com/office/excel/2006/main">
          <x14:cfRule type="expression" priority="18" id="{ABF72ED1-4A76-4FF8-B6BE-71CF9389F13C}">
            <xm:f>$H$49=Formeln!$A$1</xm:f>
            <x14:dxf>
              <fill>
                <patternFill>
                  <bgColor theme="0" tint="-0.14996795556505021"/>
                </patternFill>
              </fill>
            </x14:dxf>
          </x14:cfRule>
          <xm:sqref>H49</xm:sqref>
        </x14:conditionalFormatting>
        <x14:conditionalFormatting xmlns:xm="http://schemas.microsoft.com/office/excel/2006/main">
          <x14:cfRule type="expression" priority="1" id="{AC655538-FC0F-47FC-A65F-FEA5A0B6B429}">
            <xm:f>$H$57=Formeln!$G$63</xm:f>
            <x14:dxf>
              <fill>
                <patternFill>
                  <bgColor theme="0" tint="-0.14996795556505021"/>
                </patternFill>
              </fill>
            </x14:dxf>
          </x14:cfRule>
          <xm:sqref>H57</xm:sqref>
        </x14:conditionalFormatting>
        <x14:conditionalFormatting xmlns:xm="http://schemas.microsoft.com/office/excel/2006/main">
          <x14:cfRule type="expression" priority="2" id="{714C68FA-F26F-4836-83A4-0B6CACAD7623}">
            <xm:f>$H$58=Formeln!$G$63</xm:f>
            <x14:dxf>
              <fill>
                <patternFill>
                  <bgColor theme="0" tint="-0.14996795556505021"/>
                </patternFill>
              </fill>
            </x14:dxf>
          </x14:cfRule>
          <xm:sqref>H58</xm:sqref>
        </x14:conditionalFormatting>
        <x14:conditionalFormatting xmlns:xm="http://schemas.microsoft.com/office/excel/2006/main">
          <x14:cfRule type="expression" priority="766" id="{DF8230CE-ADD9-4E9A-AA40-D631286C717F}">
            <xm:f>$H$36=Formeln!$A$1</xm:f>
            <x14:dxf>
              <fill>
                <patternFill>
                  <bgColor theme="0" tint="-0.14996795556505021"/>
                </patternFill>
              </fill>
            </x14:dxf>
          </x14:cfRule>
          <xm:sqref>H36:K36</xm:sqref>
        </x14:conditionalFormatting>
        <x14:conditionalFormatting xmlns:xm="http://schemas.microsoft.com/office/excel/2006/main">
          <x14:cfRule type="expression" priority="764" id="{FDEA581F-A08F-4CF0-935D-29003DC6FFDC}">
            <xm:f>$H$39=Formeln!$A$1</xm:f>
            <x14:dxf>
              <fill>
                <patternFill>
                  <bgColor theme="0" tint="-0.14996795556505021"/>
                </patternFill>
              </fill>
            </x14:dxf>
          </x14:cfRule>
          <xm:sqref>H39:K39</xm:sqref>
        </x14:conditionalFormatting>
        <x14:conditionalFormatting xmlns:xm="http://schemas.microsoft.com/office/excel/2006/main">
          <x14:cfRule type="expression" priority="146" id="{70C8552C-D813-4E3A-A432-BF1013549CC1}">
            <xm:f>$H$50=Formeln!$A$1</xm:f>
            <x14:dxf>
              <fill>
                <patternFill>
                  <bgColor theme="0" tint="-0.14996795556505021"/>
                </patternFill>
              </fill>
            </x14:dxf>
          </x14:cfRule>
          <xm:sqref>H50:K50</xm:sqref>
        </x14:conditionalFormatting>
        <x14:conditionalFormatting xmlns:xm="http://schemas.microsoft.com/office/excel/2006/main">
          <x14:cfRule type="expression" priority="415" id="{04CB2AD0-E621-4AA4-BD27-2132A7C05134}">
            <xm:f>DP!$P$21=10</xm:f>
            <x14:dxf>
              <font>
                <color auto="1"/>
              </font>
            </x14:dxf>
          </x14:cfRule>
          <xm:sqref>I22</xm:sqref>
        </x14:conditionalFormatting>
        <x14:conditionalFormatting xmlns:xm="http://schemas.microsoft.com/office/excel/2006/main">
          <x14:cfRule type="expression" priority="16" id="{153D0BF8-982D-42A4-AC40-CD73CC4D76BD}">
            <xm:f>$I$102=Formeln!$Y$290</xm:f>
            <x14:dxf>
              <fill>
                <patternFill>
                  <bgColor theme="0" tint="-0.14996795556505021"/>
                </patternFill>
              </fill>
            </x14:dxf>
          </x14:cfRule>
          <xm:sqref>I102:K102</xm:sqref>
        </x14:conditionalFormatting>
        <x14:conditionalFormatting xmlns:xm="http://schemas.microsoft.com/office/excel/2006/main">
          <x14:cfRule type="expression" priority="113" id="{B4E02C16-930F-4367-BBAC-E2FD25FED385}">
            <xm:f>$J56=Formeln!$A$1</xm:f>
            <x14:dxf>
              <fill>
                <patternFill>
                  <bgColor theme="0" tint="-0.14996795556505021"/>
                </patternFill>
              </fill>
            </x14:dxf>
          </x14:cfRule>
          <xm:sqref>J56:K58</xm:sqref>
        </x14:conditionalFormatting>
        <x14:conditionalFormatting xmlns:xm="http://schemas.microsoft.com/office/excel/2006/main">
          <x14:cfRule type="expression" priority="3" id="{E664EE65-6ACC-44CA-943E-9F9DC2659C1D}">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179" id="{2582223C-998F-4B4C-8859-4CE5E36A523A}">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7A1B69B9-F3F5-4610-961C-090487790472}">
          <x14:formula1>
            <xm:f>Formeln!$A$30:$A$51</xm:f>
          </x14:formula1>
          <xm:sqref>J56:K56</xm:sqref>
        </x14:dataValidation>
        <x14:dataValidation type="list" allowBlank="1" showInputMessage="1" showErrorMessage="1" xr:uid="{3C728D28-9B4D-4DFA-B57E-D2DE020BC53E}">
          <x14:formula1>
            <xm:f>Formeln!$A$20:$A$22</xm:f>
          </x14:formula1>
          <xm:sqref>H50:K50</xm:sqref>
        </x14:dataValidation>
        <x14:dataValidation type="list" allowBlank="1" showInputMessage="1" showErrorMessage="1" xr:uid="{207EC0C1-40BC-4035-A669-5AB6E896E8EE}">
          <x14:formula1>
            <xm:f>Formeln!$A$17:$A$19</xm:f>
          </x14:formula1>
          <xm:sqref>H49:K49</xm:sqref>
        </x14:dataValidation>
        <x14:dataValidation type="list" allowBlank="1" showInputMessage="1" showErrorMessage="1" xr:uid="{00000000-0002-0000-0200-000004000000}">
          <x14:formula1>
            <xm:f>Formeln!$A$9:$A$15</xm:f>
          </x14:formula1>
          <xm:sqref>H39:K39</xm:sqref>
        </x14:dataValidation>
        <x14:dataValidation type="list" allowBlank="1" showInputMessage="1" showErrorMessage="1" xr:uid="{C30A6439-98D5-43D6-BF50-B372991A2854}">
          <x14:formula1>
            <xm:f>Formeln!$A$5:$A$8</xm:f>
          </x14:formula1>
          <xm:sqref>H37:K37</xm:sqref>
        </x14:dataValidation>
        <x14:dataValidation type="list" allowBlank="1" showInputMessage="1" showErrorMessage="1" xr:uid="{00000000-0002-0000-0200-000006000000}">
          <x14:formula1>
            <xm:f>Formeln!$A$1:$A$4</xm:f>
          </x14:formula1>
          <xm:sqref>H36:K36</xm:sqref>
        </x14:dataValidation>
        <x14:dataValidation type="list" allowBlank="1" showInputMessage="1" showErrorMessage="1" xr:uid="{58194E29-9533-46B6-B74F-14CBC3AE0CC1}">
          <x14:formula1>
            <xm:f>Formeln!$A$52:$A$103</xm:f>
          </x14:formula1>
          <xm:sqref>J57:K57</xm:sqref>
        </x14:dataValidation>
        <x14:dataValidation type="list" allowBlank="1" showInputMessage="1" showErrorMessage="1" xr:uid="{00000000-0002-0000-0200-000009000000}">
          <x14:formula1>
            <xm:f>Formeln!$C$52:$C$111</xm:f>
          </x14:formula1>
          <xm:sqref>J58:K58</xm:sqref>
        </x14:dataValidation>
        <x14:dataValidation type="list" allowBlank="1" showInputMessage="1" showErrorMessage="1" xr:uid="{53D5DD6C-0D65-4AF8-9A0E-ECE4B6C97B04}">
          <x14:formula1>
            <xm:f>Formeln!$B$17:$B$19</xm:f>
          </x14:formula1>
          <xm:sqref>H48:K48</xm:sqref>
        </x14:dataValidation>
        <x14:dataValidation type="list" allowBlank="1" showInputMessage="1" showErrorMessage="1" xr:uid="{BB23DCD0-2C9F-40E8-BD69-A809866CF3EE}">
          <x14:formula1>
            <xm:f>Formeln!$A$106:$A$110</xm:f>
          </x14:formula1>
          <xm:sqref>I102:K102</xm:sqref>
        </x14:dataValidation>
        <x14:dataValidation type="list" allowBlank="1" showInputMessage="1" showErrorMessage="1" xr:uid="{D9043B2A-2AFD-4572-92B7-21B024236929}">
          <x14:formula1>
            <xm:f>Formeln!$G$63:$G$65</xm:f>
          </x14:formula1>
          <xm:sqref>H57:H58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RH129"/>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5546875" style="1" customWidth="1"/>
    <col min="15" max="15" width="14.6640625" style="5" customWidth="1"/>
    <col min="16" max="16" width="3.109375" style="9" customWidth="1"/>
    <col min="17" max="17" width="20.6640625" style="9" hidden="1" customWidth="1"/>
    <col min="18" max="23" width="8.33203125" style="1" hidden="1" customWidth="1"/>
    <col min="24" max="27" width="7.109375" style="1" hidden="1" customWidth="1"/>
    <col min="28" max="77" width="11.6640625" style="1" hidden="1" customWidth="1"/>
    <col min="78" max="16384" width="8.6640625" style="1" hidden="1"/>
  </cols>
  <sheetData>
    <row r="1" spans="1:18" ht="28.2">
      <c r="N1" s="2" t="str">
        <f>VLOOKUP(279,Sprachindex!$A:$Z,Info!$O$7,FALSE)</f>
        <v>Dachsysteme</v>
      </c>
    </row>
    <row r="2" spans="1:18" ht="28.2">
      <c r="D2" s="18"/>
      <c r="N2" s="2" t="str">
        <f>VLOOKUP(276,Sprachindex!$A:$Z,Info!$O$7,FALSE)</f>
        <v>Dachschindel DS.19</v>
      </c>
    </row>
    <row r="3" spans="1:18" ht="15" customHeight="1"/>
    <row r="4" spans="1:18" ht="17.25" customHeight="1">
      <c r="N4" s="186"/>
      <c r="R4" s="3"/>
    </row>
    <row r="5" spans="1:18" ht="17.25" customHeight="1">
      <c r="N5" s="186"/>
      <c r="R5" s="3"/>
    </row>
    <row r="6" spans="1:18" ht="17.25" customHeight="1">
      <c r="N6" s="186"/>
      <c r="O6" s="551"/>
      <c r="R6" s="3"/>
    </row>
    <row r="7" spans="1:18" ht="17.25" customHeight="1">
      <c r="N7" s="186"/>
      <c r="O7" s="551"/>
      <c r="R7" s="3"/>
    </row>
    <row r="8" spans="1:18" ht="17.25" customHeight="1">
      <c r="A8" s="83" t="str">
        <f>VLOOKUP(393,Sprachindex!$A:$Z,Info!$O$7,FALSE)</f>
        <v>Firma / Besteller:</v>
      </c>
      <c r="B8" s="67"/>
      <c r="C8" s="67"/>
      <c r="D8" s="67"/>
      <c r="E8" s="67"/>
      <c r="F8" s="67"/>
      <c r="G8" s="67"/>
      <c r="H8" s="67"/>
      <c r="I8" s="67"/>
      <c r="J8" s="67"/>
      <c r="K8" s="67"/>
      <c r="L8" s="67"/>
      <c r="O8" s="267"/>
      <c r="Q8" s="10"/>
    </row>
    <row r="9" spans="1:18" ht="15" customHeight="1">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O9" s="51">
        <v>0</v>
      </c>
      <c r="R9" s="4"/>
    </row>
    <row r="10" spans="1:18" ht="15" customHeight="1">
      <c r="B10" s="71" t="str">
        <f>VLOOKUP(884,Sprachindex!$A:$Z,Info!$O$7,FALSE)</f>
        <v>Straße:</v>
      </c>
      <c r="C10" s="615"/>
      <c r="D10" s="616"/>
      <c r="E10" s="617"/>
      <c r="F10" s="67"/>
      <c r="G10" s="67"/>
      <c r="H10" s="67"/>
      <c r="I10" s="88"/>
      <c r="J10" s="68"/>
      <c r="K10" s="67"/>
      <c r="L10" s="67"/>
      <c r="R10" s="4"/>
    </row>
    <row r="11" spans="1:18" ht="15" customHeight="1">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O11" s="51">
        <v>0</v>
      </c>
      <c r="R11" s="4"/>
    </row>
    <row r="12" spans="1:18" ht="15" customHeight="1">
      <c r="B12" s="67"/>
      <c r="C12" s="67"/>
      <c r="D12" s="67"/>
      <c r="E12" s="67"/>
      <c r="F12" s="67"/>
      <c r="G12" s="67"/>
      <c r="H12" s="67"/>
      <c r="I12" s="84"/>
      <c r="J12" s="68"/>
      <c r="K12" s="67"/>
      <c r="L12" s="67"/>
    </row>
    <row r="13" spans="1:18" ht="15" customHeight="1">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O13" s="50">
        <v>0</v>
      </c>
      <c r="R13" s="4"/>
    </row>
    <row r="14" spans="1:18" ht="15" customHeight="1">
      <c r="B14" s="71" t="str">
        <f>VLOOKUP(901,Sprachindex!$A:$Z,Info!$O$7,FALSE)</f>
        <v>Telefon:</v>
      </c>
      <c r="C14" s="615"/>
      <c r="D14" s="616"/>
      <c r="E14" s="617"/>
      <c r="F14" s="67"/>
      <c r="G14" s="67"/>
      <c r="H14" s="67"/>
      <c r="I14" s="67"/>
      <c r="J14" s="67"/>
      <c r="K14" s="67"/>
      <c r="L14" s="67"/>
      <c r="O14" s="576"/>
      <c r="R14" s="4"/>
    </row>
    <row r="15" spans="1:18" ht="15" customHeight="1">
      <c r="B15" s="71" t="str">
        <f>VLOOKUP(1698,Sprachindex!$A:$Z,Info!$O$7,FALSE)</f>
        <v>eMail:</v>
      </c>
      <c r="C15" s="615"/>
      <c r="D15" s="616"/>
      <c r="E15" s="617"/>
      <c r="F15" s="67"/>
      <c r="G15" s="89" t="str">
        <f>VLOOKUP(385,Sprachindex!$A:$Z,Info!$O$7,FALSE)</f>
        <v>Farbe:</v>
      </c>
      <c r="H15" s="67"/>
      <c r="I15" s="67"/>
      <c r="J15" s="67"/>
      <c r="K15" s="67"/>
      <c r="L15" s="67"/>
      <c r="O15" s="576"/>
      <c r="R15" s="4"/>
    </row>
    <row r="16" spans="1:18" ht="15" customHeight="1">
      <c r="B16" s="67"/>
      <c r="C16" s="67"/>
      <c r="D16" s="67"/>
      <c r="E16" s="67"/>
      <c r="F16" s="67"/>
      <c r="G16" s="67" t="str">
        <f>VLOOKUP(25,Sprachindex!$A:$Z,Info!$O$7,FALSE)</f>
        <v>01 P.10 Braun</v>
      </c>
      <c r="H16" s="67"/>
      <c r="I16" s="67"/>
      <c r="J16" s="66" t="str">
        <f>VLOOKUP(37,Sprachindex!$A:$Z,Info!$O$7,FALSE)</f>
        <v>07 P.10 Hellgrau</v>
      </c>
      <c r="K16" s="67"/>
      <c r="L16" s="67"/>
      <c r="O16" s="576"/>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O17" s="576"/>
      <c r="Q17" s="10"/>
    </row>
    <row r="18" spans="1:57" ht="15" customHeight="1">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O18" s="14"/>
      <c r="P18" s="52"/>
      <c r="R18" s="4"/>
    </row>
    <row r="19" spans="1:57" ht="15" customHeight="1">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P19" s="52"/>
      <c r="R19" s="4"/>
    </row>
    <row r="20" spans="1:57" ht="15" customHeight="1">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P20" s="52"/>
      <c r="R20" s="4"/>
      <c r="T20" s="35"/>
      <c r="U20" s="35"/>
    </row>
    <row r="21" spans="1:57" ht="15" customHeight="1">
      <c r="B21" s="71" t="str">
        <f>VLOOKUP(641,Sprachindex!$A:$Z,Info!$O$7,FALSE)</f>
        <v>Ort:</v>
      </c>
      <c r="C21" s="615"/>
      <c r="D21" s="616"/>
      <c r="E21" s="617"/>
      <c r="F21" s="67"/>
      <c r="G21" s="67" t="str">
        <f>VLOOKUP(35,Sprachindex!$A:$Z,Info!$O$7,FALSE)</f>
        <v>06 P.10 Moosgrün</v>
      </c>
      <c r="H21" s="67"/>
      <c r="I21" s="90"/>
      <c r="J21" s="91"/>
      <c r="K21" s="91"/>
      <c r="L21" s="67"/>
      <c r="O21" s="50">
        <v>0</v>
      </c>
      <c r="P21" s="52"/>
      <c r="R21" s="4"/>
    </row>
    <row r="22" spans="1:57" ht="15" customHeight="1">
      <c r="B22" s="71"/>
      <c r="C22" s="67"/>
      <c r="D22" s="67"/>
      <c r="E22" s="67"/>
      <c r="F22" s="67"/>
      <c r="G22" s="67"/>
      <c r="H22" s="67"/>
      <c r="I22" s="90"/>
      <c r="J22" s="91"/>
      <c r="K22" s="91"/>
      <c r="L22" s="67"/>
      <c r="O22" s="50"/>
      <c r="P22" s="52"/>
      <c r="R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50"/>
      <c r="P23" s="52"/>
      <c r="R23" s="4"/>
    </row>
    <row r="24" spans="1:57" ht="15" customHeight="1">
      <c r="B24" s="640" t="str">
        <f>VLOOKUP(1430,Sprachindex!$A:$Z,Info!$O$7,FALSE)</f>
        <v>Beschreibung</v>
      </c>
      <c r="C24" s="615"/>
      <c r="D24" s="616"/>
      <c r="E24" s="617"/>
      <c r="F24" s="67"/>
      <c r="G24" s="83"/>
      <c r="H24" s="71" t="str">
        <f>VLOOKUP(1429,Sprachindex!$A:$Z,Info!$O$7,FALSE)</f>
        <v>Bearbeiter:</v>
      </c>
      <c r="I24" s="415"/>
      <c r="J24" s="67"/>
      <c r="K24" s="67"/>
      <c r="L24" s="67"/>
      <c r="M24" s="67"/>
      <c r="N24" s="67"/>
      <c r="O24" s="50"/>
      <c r="P24" s="52"/>
      <c r="R24" s="4"/>
    </row>
    <row r="25" spans="1:57" ht="15" customHeight="1">
      <c r="B25" s="640"/>
      <c r="C25" s="615"/>
      <c r="D25" s="616"/>
      <c r="E25" s="617"/>
      <c r="F25" s="67"/>
      <c r="G25" s="83"/>
      <c r="H25" s="71" t="str">
        <f>VLOOKUP(2243,Sprachindex!$A:$Z,Info!$O$7,FALSE)</f>
        <v>Projekt-ID:</v>
      </c>
      <c r="I25" s="415"/>
      <c r="J25" s="67"/>
      <c r="K25" s="67"/>
      <c r="L25" s="67"/>
      <c r="M25" s="67"/>
      <c r="N25" s="67"/>
      <c r="O25" s="50"/>
      <c r="R25" s="4"/>
    </row>
    <row r="26" spans="1:57" ht="15" customHeight="1">
      <c r="B26" s="640"/>
      <c r="C26" s="615"/>
      <c r="D26" s="616"/>
      <c r="E26" s="617"/>
      <c r="F26" s="67"/>
      <c r="G26" s="83"/>
      <c r="H26" s="71" t="str">
        <f>VLOOKUP(286,Sprachindex!$A:$Z,Info!$O$7,FALSE)</f>
        <v>Datum:</v>
      </c>
      <c r="I26" s="483">
        <f ca="1">TODAY()</f>
        <v>45770</v>
      </c>
      <c r="J26" s="67"/>
      <c r="K26" s="67"/>
      <c r="L26" s="67"/>
      <c r="M26" s="67"/>
      <c r="N26" s="67"/>
      <c r="O26" s="50"/>
      <c r="R26" s="4"/>
      <c r="W26" s="1">
        <f>2/16</f>
        <v>0.125</v>
      </c>
      <c r="X26" s="1">
        <f>ROUNDUP(W26,0)</f>
        <v>1</v>
      </c>
    </row>
    <row r="27" spans="1:57" ht="15" customHeight="1">
      <c r="B27" s="640"/>
      <c r="C27" s="615"/>
      <c r="D27" s="616"/>
      <c r="E27" s="617"/>
      <c r="F27" s="67"/>
      <c r="G27" s="5"/>
      <c r="H27" s="5"/>
      <c r="I27" s="5"/>
      <c r="J27" s="5"/>
      <c r="K27" s="5"/>
      <c r="L27" s="67"/>
      <c r="M27" s="67"/>
      <c r="N27" s="67"/>
      <c r="O27" s="50"/>
      <c r="R27" s="4"/>
    </row>
    <row r="28" spans="1:57" ht="15" customHeight="1">
      <c r="B28" s="71"/>
      <c r="C28" s="67"/>
      <c r="D28" s="67"/>
      <c r="E28" s="67"/>
      <c r="F28" s="67"/>
      <c r="G28" s="67"/>
      <c r="H28" s="67"/>
      <c r="I28" s="90"/>
      <c r="J28" s="67"/>
      <c r="K28" s="67"/>
      <c r="L28" s="67"/>
      <c r="R28" s="4"/>
    </row>
    <row r="29" spans="1:57" s="67" customFormat="1" ht="15" customHeight="1" thickBot="1">
      <c r="A29" s="95" t="str">
        <f>VLOOKUP(392,Sprachindex!$A:$Z,Info!$O$7,FALSE)</f>
        <v>Filter:</v>
      </c>
      <c r="B29" s="633"/>
      <c r="C29" s="633"/>
      <c r="D29" s="633"/>
      <c r="E29" s="633"/>
      <c r="O29" s="68"/>
      <c r="AD29" s="663" t="s">
        <v>25</v>
      </c>
      <c r="AE29" s="664"/>
      <c r="AF29" s="434"/>
      <c r="AH29" s="45" t="s">
        <v>26</v>
      </c>
      <c r="AI29" s="13"/>
      <c r="AJ29" s="13"/>
      <c r="AK29" s="13"/>
      <c r="AL29" s="13"/>
      <c r="AM29" s="13"/>
      <c r="AN29" s="1"/>
      <c r="AO29" s="13"/>
      <c r="AP29" s="13"/>
      <c r="AQ29" s="13"/>
      <c r="AR29" s="13"/>
      <c r="AS29" s="13"/>
      <c r="AT29" s="45" t="s">
        <v>27</v>
      </c>
      <c r="AU29" s="13"/>
      <c r="AV29" s="13"/>
      <c r="AW29" s="13"/>
      <c r="AX29" s="13"/>
      <c r="AY29" s="13"/>
      <c r="AZ29" s="13"/>
      <c r="BA29" s="13"/>
      <c r="BB29" s="13"/>
      <c r="BC29" s="46"/>
      <c r="BD29" s="46"/>
      <c r="BE29" s="294"/>
    </row>
    <row r="30" spans="1:57" s="67" customFormat="1"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D30" s="153" t="s">
        <v>30</v>
      </c>
      <c r="AE30" s="153" t="s">
        <v>31</v>
      </c>
      <c r="AF30" s="435"/>
      <c r="AG30" s="68"/>
      <c r="AH30" s="47" t="s">
        <v>35</v>
      </c>
      <c r="AI30" s="47" t="s">
        <v>32</v>
      </c>
      <c r="AJ30" s="47" t="s">
        <v>40</v>
      </c>
      <c r="AK30" s="47" t="s">
        <v>37</v>
      </c>
      <c r="AL30" s="47" t="s">
        <v>33</v>
      </c>
      <c r="AM30" s="47" t="s">
        <v>39</v>
      </c>
      <c r="AN30" s="47"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20" t="s">
        <v>38962</v>
      </c>
      <c r="BE30" s="503" t="s">
        <v>39049</v>
      </c>
    </row>
    <row r="31" spans="1:57" ht="32.1" customHeight="1">
      <c r="A31" s="93"/>
      <c r="B31" s="74" t="str">
        <f>VLOOKUP(588,Sprachindex!$A:$Z,Info!$O$7,FALSE)</f>
        <v>m²</v>
      </c>
      <c r="C31" s="97" t="e" vm="91">
        <v>#VALUE!</v>
      </c>
      <c r="D31" s="75" t="str">
        <f>IF($O$9=1,BE31,IF($O$9=2,AS31,""))</f>
        <v/>
      </c>
      <c r="E31" s="665" t="str">
        <f>VLOOKUP(276,Sprachindex!$A:$Z,Info!$O$7,FALSE)</f>
        <v>Dachschindel DS.19</v>
      </c>
      <c r="F31" s="666"/>
      <c r="G31" s="666"/>
      <c r="H31" s="666"/>
      <c r="I31" s="666"/>
      <c r="J31" s="666"/>
      <c r="K31" s="667"/>
      <c r="L31" s="74" t="str">
        <f>IF(A31=0,"",IF($O$11=1,AD31,AE31))</f>
        <v/>
      </c>
      <c r="M31" s="398" t="str">
        <f>B31</f>
        <v>m²</v>
      </c>
      <c r="N31" s="403"/>
      <c r="O31" s="184" t="str">
        <f>IF(ISNUMBER(L31), IF(O21=7, $L31*S31, $L31*R31), "")</f>
        <v/>
      </c>
      <c r="P31" s="5"/>
      <c r="Q31" s="5"/>
      <c r="R31" s="182">
        <v>40.630000000000003</v>
      </c>
      <c r="S31" s="182">
        <v>41.68</v>
      </c>
      <c r="T31" s="5"/>
      <c r="U31" s="5"/>
      <c r="V31" s="5"/>
      <c r="W31" s="5"/>
      <c r="X31" s="5"/>
      <c r="Y31" s="5"/>
      <c r="Z31" s="5"/>
      <c r="AA31" s="5"/>
      <c r="AB31" s="5"/>
      <c r="AD31" s="137">
        <f>ROUNDUP($A31/5,0)*5</f>
        <v>0</v>
      </c>
      <c r="AE31" s="136">
        <f>ROUNDUP($A31/1,0)*1</f>
        <v>0</v>
      </c>
      <c r="AF31" s="436"/>
      <c r="AG31" s="5"/>
      <c r="AH31" s="433">
        <v>112623</v>
      </c>
      <c r="AI31" s="433">
        <v>112620</v>
      </c>
      <c r="AJ31" s="433">
        <v>112628</v>
      </c>
      <c r="AK31" s="433">
        <v>112625</v>
      </c>
      <c r="AL31" s="433">
        <v>112621</v>
      </c>
      <c r="AM31" s="433">
        <v>112627</v>
      </c>
      <c r="AN31" s="433">
        <v>112622</v>
      </c>
      <c r="AO31" s="433">
        <v>112626</v>
      </c>
      <c r="AP31" s="433">
        <v>112629</v>
      </c>
      <c r="AQ31" s="433">
        <v>112624</v>
      </c>
      <c r="AR31" s="433">
        <v>11321028</v>
      </c>
      <c r="AS31" s="504" t="e" vm="2">
        <f>VLOOKUP(AH31,AH31:AR31,$O$21,FALSE)</f>
        <v>#VALUE!</v>
      </c>
      <c r="AT31" s="432">
        <v>112603</v>
      </c>
      <c r="AU31" s="432">
        <v>112600</v>
      </c>
      <c r="AV31" s="432">
        <v>112608</v>
      </c>
      <c r="AW31" s="432">
        <v>112605</v>
      </c>
      <c r="AX31" s="432">
        <v>112601</v>
      </c>
      <c r="AY31" s="432">
        <v>112607</v>
      </c>
      <c r="AZ31" s="432">
        <v>112602</v>
      </c>
      <c r="BA31" s="432">
        <v>112606</v>
      </c>
      <c r="BB31" s="432">
        <v>112609</v>
      </c>
      <c r="BC31" s="432">
        <v>112604</v>
      </c>
      <c r="BD31" s="432">
        <v>11311028</v>
      </c>
      <c r="BE31" s="504" t="e" vm="2">
        <f>VLOOKUP(AT31,AT31:BD31,$O$21,FALSE)</f>
        <v>#VALUE!</v>
      </c>
    </row>
    <row r="32" spans="1:57" ht="32.1" customHeight="1">
      <c r="A32" s="93"/>
      <c r="B32" s="76" t="str">
        <f>VLOOKUP(878,Sprachindex!$A:$Z,Info!$O$7,FALSE)</f>
        <v>Stk.</v>
      </c>
      <c r="C32" s="75" t="e" vm="92">
        <v>#VALUE!</v>
      </c>
      <c r="D32" s="75" t="str">
        <f>IF($O$9=1,BE32,IF($O$9=2,AS32,""))</f>
        <v/>
      </c>
      <c r="E32" s="618" t="str">
        <f>VLOOKUP(649,Sprachindex!$A:$Z,Info!$O$7,FALSE)</f>
        <v>Passschindel DS.19</v>
      </c>
      <c r="F32" s="619"/>
      <c r="G32" s="619"/>
      <c r="H32" s="619"/>
      <c r="I32" s="619"/>
      <c r="J32" s="619"/>
      <c r="K32" s="620"/>
      <c r="L32" s="76" t="str">
        <f>IF(A32=0,"",IF($O$11=1,AD32,AE32))</f>
        <v/>
      </c>
      <c r="M32" s="399" t="str">
        <f>B32</f>
        <v>Stk.</v>
      </c>
      <c r="N32" s="77"/>
      <c r="O32" s="184" t="str">
        <f>IF(ISNUMBER(A32), IF(O21=7, $L32*S32, $L32*R32), "")</f>
        <v/>
      </c>
      <c r="P32" s="5"/>
      <c r="Q32" s="5"/>
      <c r="R32" s="182">
        <v>12.02</v>
      </c>
      <c r="S32" s="179">
        <v>12.45</v>
      </c>
      <c r="T32" s="5"/>
      <c r="U32" s="5"/>
      <c r="V32" s="5"/>
      <c r="W32" s="5"/>
      <c r="X32" s="5"/>
      <c r="Y32" s="5"/>
      <c r="Z32" s="5"/>
      <c r="AA32" s="5"/>
      <c r="AB32" s="5"/>
      <c r="AD32" s="137">
        <f>ROUNDUP($A33/16,0)*16</f>
        <v>0</v>
      </c>
      <c r="AE32" s="136">
        <f>ROUNDUP($A32/1,0)*1</f>
        <v>0</v>
      </c>
      <c r="AF32" s="436"/>
      <c r="AG32" s="5"/>
      <c r="AH32" s="433">
        <v>112663</v>
      </c>
      <c r="AI32" s="433">
        <v>112660</v>
      </c>
      <c r="AJ32" s="433">
        <v>112668</v>
      </c>
      <c r="AK32" s="433">
        <v>112665</v>
      </c>
      <c r="AL32" s="433">
        <v>112661</v>
      </c>
      <c r="AM32" s="433">
        <v>112667</v>
      </c>
      <c r="AN32" s="433">
        <v>112662</v>
      </c>
      <c r="AO32" s="433">
        <v>112666</v>
      </c>
      <c r="AP32" s="433">
        <v>112669</v>
      </c>
      <c r="AQ32" s="433">
        <v>112664</v>
      </c>
      <c r="AR32" s="433">
        <v>11361028</v>
      </c>
      <c r="AS32" s="504" t="e" vm="2">
        <f>VLOOKUP(AH32,AH32:AR32,$O$21,FALSE)</f>
        <v>#VALUE!</v>
      </c>
      <c r="AT32" s="432">
        <v>112643</v>
      </c>
      <c r="AU32" s="432">
        <v>112640</v>
      </c>
      <c r="AV32" s="432">
        <v>112648</v>
      </c>
      <c r="AW32" s="432">
        <v>112645</v>
      </c>
      <c r="AX32" s="432">
        <v>112641</v>
      </c>
      <c r="AY32" s="432">
        <v>112647</v>
      </c>
      <c r="AZ32" s="432">
        <v>112642</v>
      </c>
      <c r="BA32" s="432">
        <v>112646</v>
      </c>
      <c r="BB32" s="432">
        <v>112649</v>
      </c>
      <c r="BC32" s="432">
        <v>112644</v>
      </c>
      <c r="BD32" s="432">
        <v>11371028</v>
      </c>
      <c r="BE32" s="504" t="e" vm="2">
        <f>VLOOKUP(AT32,AT32:BD32,$O$21,FALSE)</f>
        <v>#VALUE!</v>
      </c>
    </row>
    <row r="33" spans="1:57" ht="32.1" customHeight="1">
      <c r="A33" s="93"/>
      <c r="B33" s="76" t="str">
        <f>VLOOKUP(878,Sprachindex!$A:$Z,Info!$O$7,FALSE)</f>
        <v>Stk.</v>
      </c>
      <c r="C33" s="75" t="e" vm="78">
        <v>#VALUE!</v>
      </c>
      <c r="D33" s="75">
        <v>505001</v>
      </c>
      <c r="E33" s="618" t="str">
        <f>VLOOKUP(652,Sprachindex!$A:$Z,Info!$O$7,FALSE)</f>
        <v>Patenthaft für Dachplatte und Dachschindel</v>
      </c>
      <c r="F33" s="619"/>
      <c r="G33" s="619"/>
      <c r="H33" s="619"/>
      <c r="I33" s="619"/>
      <c r="J33" s="619"/>
      <c r="K33" s="620"/>
      <c r="L33" s="76" t="str">
        <f>IF(A33=0,"",IF($O$11=1,AD33,AE33))</f>
        <v/>
      </c>
      <c r="M33" s="399" t="str">
        <f t="shared" ref="M33:M80" si="0">B33</f>
        <v>Stk.</v>
      </c>
      <c r="N33" s="77"/>
      <c r="O33" s="184" t="str">
        <f>IF(ISNUMBER(A33),$L33*R33, "")</f>
        <v/>
      </c>
      <c r="P33" s="5"/>
      <c r="Q33" s="5"/>
      <c r="R33" s="182">
        <v>0.03</v>
      </c>
      <c r="S33" s="179"/>
      <c r="T33" s="5"/>
      <c r="U33" s="5"/>
      <c r="V33" s="5"/>
      <c r="W33" s="5"/>
      <c r="X33" s="5"/>
      <c r="Y33" s="5"/>
      <c r="Z33" s="5"/>
      <c r="AA33" s="5"/>
      <c r="AB33" s="5"/>
      <c r="AD33" s="139">
        <f>ROUNDUP($A33/840,0)*840</f>
        <v>0</v>
      </c>
      <c r="AE33" s="139">
        <f>ROUNDUP($A33,0)</f>
        <v>0</v>
      </c>
      <c r="AF33" s="8"/>
      <c r="AG33" s="5"/>
    </row>
    <row r="34" spans="1:57" ht="32.1" customHeight="1">
      <c r="A34" s="93"/>
      <c r="B34" s="76" t="str">
        <f>VLOOKUP(1433,Sprachindex!$A:$Z,Info!$O$7,FALSE)</f>
        <v>Magazin</v>
      </c>
      <c r="C34" s="75" t="e" vm="6">
        <v>#VALUE!</v>
      </c>
      <c r="D34" s="75">
        <v>505004</v>
      </c>
      <c r="E34" s="618" t="str">
        <f>VLOOKUP(449,Sprachindex!$A:$Z,Info!$O$7,FALSE)</f>
        <v>Haftemagazin zum Nachladen für Bull-Tack-Nagler 80 Stk./Haftemagazin; 30 Mag./Karton</v>
      </c>
      <c r="F34" s="619"/>
      <c r="G34" s="619"/>
      <c r="H34" s="619"/>
      <c r="I34" s="619"/>
      <c r="J34" s="619"/>
      <c r="K34" s="620"/>
      <c r="L34" s="76" t="str">
        <f>IF(A34=0,"",IF($P$11=1,AD34, AE34))</f>
        <v/>
      </c>
      <c r="M34" s="161" t="str">
        <f>VLOOKUP(1433,Sprachindex!$A:$Z,Info!$O$7,FALSE)</f>
        <v>Magazin</v>
      </c>
      <c r="N34" s="77"/>
      <c r="O34" s="184" t="str">
        <f>IF(ISNUMBER(A34),$L34*R34, "")</f>
        <v/>
      </c>
      <c r="P34" s="267"/>
      <c r="Q34" s="5"/>
      <c r="R34" s="182">
        <v>5.54</v>
      </c>
      <c r="S34" s="179"/>
      <c r="T34" s="179"/>
      <c r="U34" s="179"/>
      <c r="V34" s="179"/>
      <c r="W34" s="179"/>
      <c r="X34" s="179"/>
      <c r="Y34" s="179"/>
      <c r="Z34" s="179"/>
      <c r="AA34" s="179"/>
      <c r="AB34" s="179"/>
      <c r="AC34" s="129"/>
      <c r="AD34" s="138">
        <f>ROUNDUP($A34/30,0)*30</f>
        <v>0</v>
      </c>
      <c r="AE34" s="138">
        <f>ROUNDUP($A34,0)</f>
        <v>0</v>
      </c>
      <c r="AF34" s="135" t="str">
        <f>IF(A34&gt;1,Formeln!A119,IF(A34=1,Formeln!A120,""))</f>
        <v/>
      </c>
    </row>
    <row r="35" spans="1:57" ht="32.1" customHeight="1">
      <c r="A35" s="93"/>
      <c r="B35" s="76" t="str">
        <f>VLOOKUP(1512,Sprachindex!$A:$Z,Info!$O$7,FALSE)</f>
        <v>lfm</v>
      </c>
      <c r="C35" s="75" t="e" vm="79">
        <v>#VALUE!</v>
      </c>
      <c r="D35" s="79">
        <v>562005</v>
      </c>
      <c r="E35" s="618" t="str">
        <f>VLOOKUP(768,Sprachindex!$A:$Z,Info!$O$7,FALSE)</f>
        <v>Saumstreifen (1.800 × 158 × 1,00 mm)</v>
      </c>
      <c r="F35" s="619"/>
      <c r="G35" s="619"/>
      <c r="H35" s="619"/>
      <c r="I35" s="619"/>
      <c r="J35" s="619"/>
      <c r="K35" s="620"/>
      <c r="L35" s="76" t="str">
        <f>IF(A35=0,"",IF($O$11=1,AD35,AE35))</f>
        <v/>
      </c>
      <c r="M35" s="399" t="str">
        <f t="shared" si="0"/>
        <v>lfm</v>
      </c>
      <c r="N35" s="77"/>
      <c r="O35" s="184" t="str">
        <f>IF(ISNUMBER(A35),$L35*R35, "")</f>
        <v/>
      </c>
      <c r="P35" s="5"/>
      <c r="Q35" s="5"/>
      <c r="R35" s="182">
        <v>6.74</v>
      </c>
      <c r="S35" s="179"/>
      <c r="T35" s="5"/>
      <c r="U35" s="5"/>
      <c r="V35" s="5"/>
      <c r="W35" s="5"/>
      <c r="X35" s="5"/>
      <c r="Y35" s="5"/>
      <c r="Z35" s="5"/>
      <c r="AA35" s="5"/>
      <c r="AB35" s="5"/>
      <c r="AD35" s="138">
        <f>ROUNDUP($A35/2,0)*2</f>
        <v>0</v>
      </c>
      <c r="AE35" s="138">
        <f>ROUNDUP($A35/2,0)*2</f>
        <v>0</v>
      </c>
      <c r="AF35" s="437"/>
      <c r="AG35" s="5"/>
    </row>
    <row r="36" spans="1:57" ht="32.1" customHeight="1">
      <c r="A36" s="93"/>
      <c r="B36" s="76" t="str">
        <f>VLOOKUP(531,Sprachindex!$A:$Z,Info!$O$7,FALSE)</f>
        <v>kg</v>
      </c>
      <c r="C36" s="75" t="e" vm="80">
        <v>#VALUE!</v>
      </c>
      <c r="D36" s="75" t="str">
        <f>IF(H36=Formeln!A2,340392,IF(H36=Formeln!A3,340394,IF(H36=Formeln!A4,341392,"")))</f>
        <v/>
      </c>
      <c r="E36" s="618" t="str">
        <f>VLOOKUP(707,Sprachindex!$A:$Z,Info!$O$7,FALSE)</f>
        <v>Rillennagel (verzinkt)</v>
      </c>
      <c r="F36" s="619"/>
      <c r="G36" s="619"/>
      <c r="H36" s="624"/>
      <c r="I36" s="625"/>
      <c r="J36" s="625"/>
      <c r="K36" s="626"/>
      <c r="L36" s="76" t="str">
        <f>IF(A36=0,"",IF($O$11=1,AD36,AE36))</f>
        <v/>
      </c>
      <c r="M36" s="399" t="str">
        <f t="shared" si="0"/>
        <v>kg</v>
      </c>
      <c r="N36" s="77"/>
      <c r="O36" s="184" t="str">
        <f>IF(ISNUMBER(A36),$L36*R36, "")</f>
        <v/>
      </c>
      <c r="P36" s="5"/>
      <c r="Q36" s="5"/>
      <c r="R36" s="182">
        <v>9.6300000000000008</v>
      </c>
      <c r="S36" s="179"/>
      <c r="T36" s="179"/>
      <c r="U36" s="5"/>
      <c r="V36" s="5"/>
      <c r="W36" s="5"/>
      <c r="X36" s="5"/>
      <c r="Y36" s="5"/>
      <c r="Z36" s="5"/>
      <c r="AA36" s="5"/>
      <c r="AB36" s="5"/>
      <c r="AD36" s="138">
        <f>IF(OR($H36=Formeln!$A$2,$H36=Formeln!$A$3),ROUNDUP($A36/2.5,0)*2.5,ROUNDUP($A36/2,0)*2)</f>
        <v>0</v>
      </c>
      <c r="AE36" s="138">
        <f>ROUNDUP($A36,2)</f>
        <v>0</v>
      </c>
      <c r="AF36" s="437"/>
      <c r="AG36" s="5"/>
    </row>
    <row r="37" spans="1:57" ht="32.1" customHeight="1">
      <c r="A37" s="93"/>
      <c r="B37" s="76" t="str">
        <f>IF(A37&lt;2,VLOOKUP(748,Sprachindex!$A:$Z,Info!$O$7,FALSE),VLOOKUP(749,Sprachindex!$A:$Z,Info!$O$7,FALSE))</f>
        <v>Rolle</v>
      </c>
      <c r="C37" s="75" t="e" vm="8">
        <v>#VALUE!</v>
      </c>
      <c r="D37" s="78" t="str">
        <f>IF(H37=Formeln!$A$6,341395,IF(H37=Formeln!$A$7,341396,IF(H37=Formeln!$A$8,341398,"")))</f>
        <v/>
      </c>
      <c r="E37" s="618" t="str">
        <f>VLOOKUP(2186,Sprachindex!$A:$Z,Info!$O$7,FALSE)</f>
        <v>Rillennägel gebunden</v>
      </c>
      <c r="F37" s="619"/>
      <c r="G37" s="619"/>
      <c r="H37" s="624"/>
      <c r="I37" s="625"/>
      <c r="J37" s="625"/>
      <c r="K37" s="626"/>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P37" s="267"/>
      <c r="Q37" s="5"/>
      <c r="R37" s="182">
        <v>31.5</v>
      </c>
      <c r="S37" s="182">
        <v>47.3</v>
      </c>
      <c r="T37" s="582">
        <v>66.3</v>
      </c>
      <c r="U37" s="179"/>
      <c r="V37" s="179"/>
      <c r="W37" s="179"/>
      <c r="X37" s="179"/>
      <c r="Y37" s="179"/>
      <c r="Z37" s="179"/>
      <c r="AA37" s="179"/>
      <c r="AB37" s="179"/>
      <c r="AC37" s="179" t="b">
        <f>IF(OR(H37=Formeln!$A$6,H37=Formeln!$A$8),A37*3200,IF(H37=Formeln!$A$7,A37*2400))</f>
        <v>0</v>
      </c>
      <c r="AD37" s="138">
        <f>IF(OR($H37=Formeln!$A$6,$H37=Formeln!$A$8),ROUNDUP($A37/3200,0)*3200,ROUNDUP($A37/2400,0)*2400)</f>
        <v>0</v>
      </c>
      <c r="AE37" s="139">
        <f>ROUNDUP($A37/1000,0)*1000</f>
        <v>0</v>
      </c>
      <c r="AF37" s="140">
        <f>IF($H37=Formeln!$A$7,2400,3200)</f>
        <v>3200</v>
      </c>
      <c r="AH37" s="47" t="s">
        <v>35</v>
      </c>
      <c r="AI37" s="47" t="s">
        <v>32</v>
      </c>
      <c r="AJ37" s="47" t="s">
        <v>40</v>
      </c>
      <c r="AK37" s="47" t="s">
        <v>37</v>
      </c>
      <c r="AL37" s="47" t="s">
        <v>33</v>
      </c>
      <c r="AM37" s="47" t="s">
        <v>39</v>
      </c>
      <c r="AN37" s="47" t="s">
        <v>34</v>
      </c>
      <c r="AO37" s="47" t="s">
        <v>38</v>
      </c>
      <c r="AP37" s="47" t="s">
        <v>41</v>
      </c>
      <c r="AQ37" s="47" t="s">
        <v>36</v>
      </c>
      <c r="AR37" s="47" t="s">
        <v>38962</v>
      </c>
      <c r="AS37" s="503" t="s">
        <v>39049</v>
      </c>
    </row>
    <row r="38" spans="1:57" ht="32.1" customHeight="1">
      <c r="A38" s="93"/>
      <c r="B38" s="76" t="str">
        <f>VLOOKUP(1512,Sprachindex!$A:$Z,Info!$O$7,FALSE)</f>
        <v>lfm</v>
      </c>
      <c r="C38" s="75" t="e" vm="81">
        <v>#VALUE!</v>
      </c>
      <c r="D38" s="75" t="str">
        <f>IF(ISNUMBER(A38),AS38,"")</f>
        <v/>
      </c>
      <c r="E38" s="618" t="str">
        <f>VLOOKUP(333,Sprachindex!$A:$Z,Info!$O$7,FALSE)</f>
        <v>Einlaufblech</v>
      </c>
      <c r="F38" s="619"/>
      <c r="G38" s="619"/>
      <c r="H38" s="619"/>
      <c r="I38" s="619"/>
      <c r="J38" s="619"/>
      <c r="K38" s="620"/>
      <c r="L38" s="76" t="str">
        <f>IF(A38=0,"",IF($O$11=1,AD38,AE38))</f>
        <v/>
      </c>
      <c r="M38" s="399" t="str">
        <f t="shared" si="0"/>
        <v>lfm</v>
      </c>
      <c r="N38" s="77"/>
      <c r="O38" s="184" t="str">
        <f>IF(ISNUMBER(A38),$L38*R38, "")</f>
        <v/>
      </c>
      <c r="P38" s="5"/>
      <c r="Q38" s="5"/>
      <c r="R38" s="182">
        <v>8.91</v>
      </c>
      <c r="S38" s="179"/>
      <c r="T38" s="179"/>
      <c r="U38" s="5"/>
      <c r="V38" s="5"/>
      <c r="W38" s="5"/>
      <c r="X38" s="5"/>
      <c r="Y38" s="5"/>
      <c r="Z38" s="5"/>
      <c r="AA38" s="5"/>
      <c r="AB38" s="5"/>
      <c r="AC38" s="129"/>
      <c r="AD38" s="139">
        <f>ROUNDUP($A38/2,0)*2</f>
        <v>0</v>
      </c>
      <c r="AE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VLOOKUP(AH38,AH38:AR38,$O$21,FALSE)</f>
        <v>#VALUE!</v>
      </c>
    </row>
    <row r="39" spans="1:57" ht="32.1" customHeight="1">
      <c r="A39" s="93"/>
      <c r="B39" s="76" t="str">
        <f>VLOOKUP(1512,Sprachindex!$A:$Z,Info!$O$7,FALSE)</f>
        <v>lfm</v>
      </c>
      <c r="C39" s="79"/>
      <c r="D39" s="79" t="str">
        <f>IF(H39=Formeln!A10,507403,IF(H39=Formeln!A11,507404,IF(H39=Formeln!A12,507402,IF(H39=Formeln!A13,507405,IF(H39=Formeln!A14,507412,IF(H39=Formeln!A15,507413,""))))))</f>
        <v/>
      </c>
      <c r="E39" s="618" t="str">
        <f>VLOOKUP(586,Sprachindex!$A:$Z,Info!$O$7,FALSE)</f>
        <v>Lüftungsband</v>
      </c>
      <c r="F39" s="619"/>
      <c r="G39" s="619"/>
      <c r="H39" s="624"/>
      <c r="I39" s="625"/>
      <c r="J39" s="625"/>
      <c r="K39" s="626"/>
      <c r="L39" s="76" t="str">
        <f>IF(A39=0,"",IF($O$11=1,AD39,AE39))</f>
        <v/>
      </c>
      <c r="M39" s="399" t="str">
        <f t="shared" si="0"/>
        <v>lfm</v>
      </c>
      <c r="N39" s="77"/>
      <c r="O39" s="184" t="str">
        <f>IF(ISNUMBER(A39), IF(OR(H39=Formeln!$A$10,H39=Formeln!$A$11), $L39*R39, $L39*S39), "")</f>
        <v/>
      </c>
      <c r="P39" s="5"/>
      <c r="Q39" s="5"/>
      <c r="R39" s="182">
        <v>13.63</v>
      </c>
      <c r="S39" s="182">
        <v>21.91</v>
      </c>
      <c r="T39" s="179"/>
      <c r="U39" s="5"/>
      <c r="V39" s="5"/>
      <c r="W39" s="5"/>
      <c r="X39" s="5"/>
      <c r="Y39" s="5"/>
      <c r="Z39" s="5"/>
      <c r="AA39" s="5"/>
      <c r="AB39" s="5"/>
      <c r="AD39" s="139">
        <f>ROUNDUP($A39/40,0)*40</f>
        <v>0</v>
      </c>
      <c r="AE39" s="139">
        <f t="shared" ref="AE39:AE40" si="1">ROUNDUP($A39,0)</f>
        <v>0</v>
      </c>
      <c r="AF39" s="8"/>
      <c r="AG39" s="5"/>
      <c r="AH39" s="45" t="s">
        <v>26</v>
      </c>
      <c r="AI39" s="13"/>
      <c r="AJ39" s="13"/>
      <c r="AK39" s="13"/>
      <c r="AL39" s="13"/>
      <c r="AM39" s="13"/>
      <c r="AO39" s="13"/>
      <c r="AP39" s="13"/>
      <c r="AQ39" s="13"/>
      <c r="AR39" s="13"/>
      <c r="AS39" s="13"/>
      <c r="AT39" s="45" t="s">
        <v>27</v>
      </c>
      <c r="AU39" s="13"/>
      <c r="AV39" s="13"/>
      <c r="AW39" s="13"/>
      <c r="AX39" s="13"/>
      <c r="AY39" s="13"/>
      <c r="AZ39" s="13"/>
      <c r="BA39" s="13"/>
      <c r="BB39" s="13"/>
      <c r="BC39" s="46"/>
      <c r="BD39" s="46"/>
      <c r="BE39" s="294"/>
    </row>
    <row r="40" spans="1:57" ht="32.1" customHeight="1">
      <c r="A40" s="93"/>
      <c r="B40" s="76" t="str">
        <f>VLOOKUP(1512,Sprachindex!$A:$Z,Info!$O$7,FALSE)</f>
        <v>lfm</v>
      </c>
      <c r="C40" s="75"/>
      <c r="D40" s="75">
        <v>507300</v>
      </c>
      <c r="E40" s="618" t="str">
        <f>VLOOKUP(986,Sprachindex!$A:$Z,Info!$O$7,FALSE)</f>
        <v>Vogelschutzgitter (Braun/Anthrazit; 125 × 2.000 × 0,7 mm)</v>
      </c>
      <c r="F40" s="619"/>
      <c r="G40" s="619"/>
      <c r="H40" s="619"/>
      <c r="I40" s="619"/>
      <c r="J40" s="619"/>
      <c r="K40" s="620"/>
      <c r="L40" s="76" t="str">
        <f>IF(A40=0,"",IF($O$11=1,AD40,AE40))</f>
        <v/>
      </c>
      <c r="M40" s="399" t="str">
        <f t="shared" si="0"/>
        <v>lfm</v>
      </c>
      <c r="N40" s="77"/>
      <c r="O40" s="184" t="str">
        <f t="shared" ref="O40:O47" si="2">IF(ISNUMBER(A40),$L40*R40, "")</f>
        <v/>
      </c>
      <c r="P40" s="5"/>
      <c r="Q40" s="5"/>
      <c r="R40" s="182">
        <v>4.13</v>
      </c>
      <c r="S40" s="179"/>
      <c r="T40" s="179"/>
      <c r="U40" s="5"/>
      <c r="V40" s="5"/>
      <c r="W40" s="5"/>
      <c r="X40" s="5"/>
      <c r="Y40" s="5"/>
      <c r="Z40" s="5"/>
      <c r="AA40" s="5"/>
      <c r="AB40" s="5"/>
      <c r="AD40" s="139">
        <f>ROUNDUP($A40/2,0)*2</f>
        <v>0</v>
      </c>
      <c r="AE40" s="139">
        <f t="shared" si="1"/>
        <v>0</v>
      </c>
      <c r="AF40" s="8"/>
      <c r="AG40" s="5"/>
      <c r="AH40" s="47" t="s">
        <v>35</v>
      </c>
      <c r="AI40" s="47" t="s">
        <v>32</v>
      </c>
      <c r="AJ40" s="47" t="s">
        <v>40</v>
      </c>
      <c r="AK40" s="47" t="s">
        <v>37</v>
      </c>
      <c r="AL40" s="47" t="s">
        <v>33</v>
      </c>
      <c r="AM40" s="47" t="s">
        <v>39</v>
      </c>
      <c r="AN40" s="47" t="s">
        <v>34</v>
      </c>
      <c r="AO40" s="47" t="s">
        <v>38</v>
      </c>
      <c r="AP40" s="47" t="s">
        <v>41</v>
      </c>
      <c r="AQ40" s="47" t="s">
        <v>36</v>
      </c>
      <c r="AR40" s="47" t="s">
        <v>38962</v>
      </c>
      <c r="AS40" s="503" t="s">
        <v>39049</v>
      </c>
      <c r="AT40" s="47" t="s">
        <v>35</v>
      </c>
      <c r="AU40" s="47" t="s">
        <v>32</v>
      </c>
      <c r="AV40" s="47" t="s">
        <v>40</v>
      </c>
      <c r="AW40" s="47" t="s">
        <v>37</v>
      </c>
      <c r="AX40" s="47" t="s">
        <v>33</v>
      </c>
      <c r="AY40" s="47" t="s">
        <v>39</v>
      </c>
      <c r="AZ40" s="47" t="s">
        <v>34</v>
      </c>
      <c r="BA40" s="47" t="s">
        <v>38</v>
      </c>
      <c r="BB40" s="47" t="s">
        <v>41</v>
      </c>
      <c r="BC40" s="47" t="s">
        <v>36</v>
      </c>
      <c r="BD40" s="20" t="s">
        <v>38962</v>
      </c>
      <c r="BE40" s="503" t="s">
        <v>39049</v>
      </c>
    </row>
    <row r="41" spans="1:57" ht="32.1" customHeight="1">
      <c r="A41" s="93"/>
      <c r="B41" s="76" t="str">
        <f>VLOOKUP(1512,Sprachindex!$A:$Z,Info!$O$7,FALSE)</f>
        <v>lfm</v>
      </c>
      <c r="C41" s="75" t="e" vm="84">
        <v>#VALUE!</v>
      </c>
      <c r="D41" s="75" t="str">
        <f t="shared" ref="D41:D47" si="3">IF($O$9=1,BE41,IF($O$9=2,AS41,""))</f>
        <v/>
      </c>
      <c r="E41" s="618" t="str">
        <f>VLOOKUP(647,Sprachindex!$A:$Z,Info!$O$7,FALSE)</f>
        <v>Ortgangstreifen (95 × 2.000 × 0,70 mm)</v>
      </c>
      <c r="F41" s="619"/>
      <c r="G41" s="619"/>
      <c r="H41" s="619"/>
      <c r="I41" s="619"/>
      <c r="J41" s="619"/>
      <c r="K41" s="620"/>
      <c r="L41" s="76" t="str">
        <f t="shared" ref="L41:L47" si="4">IF(A41=0,"",IF($O$11=1,AD41,AE41))</f>
        <v/>
      </c>
      <c r="M41" s="399" t="str">
        <f t="shared" si="0"/>
        <v>lfm</v>
      </c>
      <c r="N41" s="77"/>
      <c r="O41" s="184" t="str">
        <f t="shared" si="2"/>
        <v/>
      </c>
      <c r="P41" s="5"/>
      <c r="Q41" s="5"/>
      <c r="R41" s="182">
        <v>9.86</v>
      </c>
      <c r="S41" s="179"/>
      <c r="T41" s="179"/>
      <c r="U41" s="5"/>
      <c r="V41" s="5"/>
      <c r="W41" s="5"/>
      <c r="X41" s="5"/>
      <c r="Y41" s="5"/>
      <c r="Z41" s="5"/>
      <c r="AA41" s="5"/>
      <c r="AB41" s="5"/>
      <c r="AD41" s="139">
        <f>ROUNDUP($A41/2,0)*2</f>
        <v>0</v>
      </c>
      <c r="AE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 t="shared" ref="AS41:AS51" si="5">VLOOKUP(AH41,AH41:AR41,$O$21,FALSE)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 t="shared" ref="BE41:BE47" si="6">VLOOKUP(AT41,AT41:BD41,$O$21,FALSE)</f>
        <v>#VALUE!</v>
      </c>
    </row>
    <row r="42" spans="1:57" ht="32.1" customHeight="1">
      <c r="A42" s="93"/>
      <c r="B42" s="76" t="str">
        <f>VLOOKUP(1512,Sprachindex!$A:$Z,Info!$O$7,FALSE)</f>
        <v>lfm</v>
      </c>
      <c r="C42" s="75" t="e" vm="85">
        <v>#VALUE!</v>
      </c>
      <c r="D42" s="75" t="str">
        <f t="shared" si="3"/>
        <v/>
      </c>
      <c r="E42" s="618" t="str">
        <f>VLOOKUP(825,Sprachindex!$A:$Z,Info!$O$7,FALSE)</f>
        <v>Sicherheitskehle (stucco; Länge: 3.000 mm)</v>
      </c>
      <c r="F42" s="619"/>
      <c r="G42" s="619"/>
      <c r="H42" s="619"/>
      <c r="I42" s="619"/>
      <c r="J42" s="619"/>
      <c r="K42" s="620"/>
      <c r="L42" s="76" t="str">
        <f t="shared" si="4"/>
        <v/>
      </c>
      <c r="M42" s="399" t="str">
        <f t="shared" si="0"/>
        <v>lfm</v>
      </c>
      <c r="N42" s="77"/>
      <c r="O42" s="184" t="str">
        <f t="shared" si="2"/>
        <v/>
      </c>
      <c r="P42" s="5"/>
      <c r="Q42" s="5"/>
      <c r="R42" s="182">
        <v>33.1</v>
      </c>
      <c r="S42" s="179"/>
      <c r="T42" s="5"/>
      <c r="U42" s="5"/>
      <c r="V42" s="5"/>
      <c r="W42" s="5"/>
      <c r="X42" s="5"/>
      <c r="Y42" s="5"/>
      <c r="Z42" s="5"/>
      <c r="AA42" s="5"/>
      <c r="AB42" s="5"/>
      <c r="AD42" s="139">
        <f>ROUNDUP($A42/3,0)*3</f>
        <v>0</v>
      </c>
      <c r="AE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si="5"/>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si="6"/>
        <v>#VALUE!</v>
      </c>
    </row>
    <row r="43" spans="1:57" ht="32.1" customHeight="1">
      <c r="A43" s="93"/>
      <c r="B43" s="76" t="str">
        <f>VLOOKUP(1512,Sprachindex!$A:$Z,Info!$O$7,FALSE)</f>
        <v>lfm</v>
      </c>
      <c r="C43" s="75" t="e" vm="86">
        <v>#VALUE!</v>
      </c>
      <c r="D43" s="75" t="str">
        <f t="shared" si="3"/>
        <v/>
      </c>
      <c r="E43" s="618" t="str">
        <f>VLOOKUP(440,Sprachindex!$A:$Z,Info!$O$7,FALSE)</f>
        <v>Grat- und Firstreiter (500 × 1,00 mm; stucco) inkl. Niro-Schraube 4,5 × 45 mm und Dichtscheibe</v>
      </c>
      <c r="F43" s="619"/>
      <c r="G43" s="619"/>
      <c r="H43" s="619"/>
      <c r="I43" s="619"/>
      <c r="J43" s="619"/>
      <c r="K43" s="620"/>
      <c r="L43" s="76" t="str">
        <f t="shared" si="4"/>
        <v/>
      </c>
      <c r="M43" s="399" t="str">
        <f t="shared" si="0"/>
        <v>lfm</v>
      </c>
      <c r="N43" s="77"/>
      <c r="O43" s="184" t="str">
        <f t="shared" si="2"/>
        <v/>
      </c>
      <c r="P43" s="5"/>
      <c r="Q43" s="5"/>
      <c r="R43" s="182">
        <v>15.21</v>
      </c>
      <c r="S43" s="179"/>
      <c r="T43" s="5"/>
      <c r="U43" s="5"/>
      <c r="V43" s="5"/>
      <c r="W43" s="5"/>
      <c r="X43" s="5"/>
      <c r="Y43" s="5"/>
      <c r="Z43" s="5"/>
      <c r="AA43" s="5"/>
      <c r="AB43" s="5"/>
      <c r="AD43" s="139">
        <f>ROUNDUP($A43/10,0)*10</f>
        <v>0</v>
      </c>
      <c r="AE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5"/>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6"/>
        <v>#VALUE!</v>
      </c>
    </row>
    <row r="44" spans="1:57" ht="32.1" customHeight="1">
      <c r="A44" s="93"/>
      <c r="B44" s="76" t="str">
        <f>VLOOKUP(878,Sprachindex!$A:$Z,Info!$O$7,FALSE)</f>
        <v>Stk.</v>
      </c>
      <c r="C44" s="75" t="e" vm="93">
        <v>#VALUE!</v>
      </c>
      <c r="D44" s="75" t="str">
        <f t="shared" si="3"/>
        <v/>
      </c>
      <c r="E44" s="618" t="str">
        <f>VLOOKUP(441,Sprachindex!$A:$Z,Info!$O$7,FALSE)</f>
        <v>Gratreitervorkopf (stucco)</v>
      </c>
      <c r="F44" s="619"/>
      <c r="G44" s="619"/>
      <c r="H44" s="619"/>
      <c r="I44" s="619"/>
      <c r="J44" s="619"/>
      <c r="K44" s="620"/>
      <c r="L44" s="76" t="str">
        <f t="shared" si="4"/>
        <v/>
      </c>
      <c r="M44" s="399" t="str">
        <f t="shared" si="0"/>
        <v>Stk.</v>
      </c>
      <c r="N44" s="77"/>
      <c r="O44" s="184" t="str">
        <f t="shared" si="2"/>
        <v/>
      </c>
      <c r="P44" s="5"/>
      <c r="Q44" s="5"/>
      <c r="R44" s="182">
        <v>8.26</v>
      </c>
      <c r="S44" s="179"/>
      <c r="T44" s="5"/>
      <c r="U44" s="5"/>
      <c r="V44" s="5"/>
      <c r="W44" s="5"/>
      <c r="X44" s="5"/>
      <c r="Y44" s="5"/>
      <c r="Z44" s="5"/>
      <c r="AA44" s="5"/>
      <c r="AB44" s="5"/>
      <c r="AD44" s="139">
        <f>ROUNDUP($A44/10,0)*10</f>
        <v>0</v>
      </c>
      <c r="AE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5"/>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6"/>
        <v>#VALUE!</v>
      </c>
    </row>
    <row r="45" spans="1:57" ht="32.1" customHeight="1">
      <c r="A45" s="93"/>
      <c r="B45" s="76" t="str">
        <f>VLOOKUP(1512,Sprachindex!$A:$Z,Info!$O$7,FALSE)</f>
        <v>lfm</v>
      </c>
      <c r="C45" s="75" t="e" vm="87">
        <v>#VALUE!</v>
      </c>
      <c r="D45" s="75" t="str">
        <f t="shared" si="3"/>
        <v/>
      </c>
      <c r="E45" s="618" t="str">
        <f>VLOOKUP(501,Sprachindex!$A:$Z,Info!$O$7,FALSE)</f>
        <v>Jet-Lüfter (stucco; 1.200 mm); inkl. Niro-Schraube und Dichtscheibe</v>
      </c>
      <c r="F45" s="619"/>
      <c r="G45" s="619"/>
      <c r="H45" s="619"/>
      <c r="I45" s="619"/>
      <c r="J45" s="619"/>
      <c r="K45" s="620"/>
      <c r="L45" s="76" t="str">
        <f t="shared" si="4"/>
        <v/>
      </c>
      <c r="M45" s="399" t="str">
        <f t="shared" si="0"/>
        <v>lfm</v>
      </c>
      <c r="N45" s="77"/>
      <c r="O45" s="184" t="str">
        <f t="shared" si="2"/>
        <v/>
      </c>
      <c r="P45" s="5"/>
      <c r="Q45" s="5"/>
      <c r="R45" s="182">
        <v>69.22</v>
      </c>
      <c r="S45" s="179"/>
      <c r="T45" s="5"/>
      <c r="U45" s="5"/>
      <c r="V45" s="5"/>
      <c r="W45" s="5"/>
      <c r="X45" s="5"/>
      <c r="Y45" s="5"/>
      <c r="Z45" s="5"/>
      <c r="AA45" s="5"/>
      <c r="AB45" s="5"/>
      <c r="AD45" s="139">
        <f>ROUNDUP($A45/1.2,0)*1.2</f>
        <v>0</v>
      </c>
      <c r="AE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5"/>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6"/>
        <v>#VALUE!</v>
      </c>
    </row>
    <row r="46" spans="1:57" ht="32.1" customHeight="1">
      <c r="A46" s="93"/>
      <c r="B46" s="76" t="str">
        <f>VLOOKUP(1512,Sprachindex!$A:$Z,Info!$O$7,FALSE)</f>
        <v>lfm</v>
      </c>
      <c r="C46" s="75" t="e" vm="87">
        <v>#VALUE!</v>
      </c>
      <c r="D46" s="75" t="str">
        <f t="shared" si="3"/>
        <v/>
      </c>
      <c r="E46" s="618" t="str">
        <f>VLOOKUP(502,Sprachindex!$A:$Z,Info!$O$7,FALSE)</f>
        <v>Jet-Lüfter (stucco; 3.000 mm); inkl. Niro-Schraube und Dichtscheibe</v>
      </c>
      <c r="F46" s="619"/>
      <c r="G46" s="619"/>
      <c r="H46" s="619"/>
      <c r="I46" s="619"/>
      <c r="J46" s="619"/>
      <c r="K46" s="620"/>
      <c r="L46" s="76" t="str">
        <f t="shared" si="4"/>
        <v/>
      </c>
      <c r="M46" s="399" t="str">
        <f t="shared" si="0"/>
        <v>lfm</v>
      </c>
      <c r="N46" s="77"/>
      <c r="O46" s="184" t="str">
        <f t="shared" si="2"/>
        <v/>
      </c>
      <c r="P46" s="5"/>
      <c r="Q46" s="5"/>
      <c r="R46" s="182">
        <v>62.51</v>
      </c>
      <c r="S46" s="179"/>
      <c r="T46" s="5"/>
      <c r="U46" s="5"/>
      <c r="V46" s="5"/>
      <c r="W46" s="5"/>
      <c r="X46" s="5"/>
      <c r="Y46" s="5"/>
      <c r="Z46" s="5"/>
      <c r="AA46" s="5"/>
      <c r="AB46" s="5"/>
      <c r="AD46" s="139">
        <f>ROUNDUP($A46/9,0)*9</f>
        <v>0</v>
      </c>
      <c r="AE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5"/>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6"/>
        <v>#VALUE!</v>
      </c>
    </row>
    <row r="47" spans="1:57" ht="32.1" customHeight="1">
      <c r="A47" s="93"/>
      <c r="B47" s="76" t="str">
        <f>VLOOKUP(878,Sprachindex!$A:$Z,Info!$O$7,FALSE)</f>
        <v>Stk.</v>
      </c>
      <c r="C47" s="75" t="e" vm="88">
        <v>#VALUE!</v>
      </c>
      <c r="D47" s="75" t="str">
        <f t="shared" si="3"/>
        <v/>
      </c>
      <c r="E47" s="618" t="str">
        <f>VLOOKUP(503,Sprachindex!$A:$Z,Info!$O$7,FALSE)</f>
        <v>Jet-Lüfter-Vorkopf (stucco)</v>
      </c>
      <c r="F47" s="619"/>
      <c r="G47" s="619"/>
      <c r="H47" s="619"/>
      <c r="I47" s="619"/>
      <c r="J47" s="619"/>
      <c r="K47" s="620"/>
      <c r="L47" s="76" t="str">
        <f t="shared" si="4"/>
        <v/>
      </c>
      <c r="M47" s="399" t="str">
        <f t="shared" si="0"/>
        <v>Stk.</v>
      </c>
      <c r="N47" s="77"/>
      <c r="O47" s="184" t="str">
        <f t="shared" si="2"/>
        <v/>
      </c>
      <c r="P47" s="5"/>
      <c r="Q47" s="5"/>
      <c r="R47" s="182">
        <v>8.9700000000000006</v>
      </c>
      <c r="S47" s="179"/>
      <c r="T47" s="5"/>
      <c r="U47" s="5"/>
      <c r="V47" s="5"/>
      <c r="W47" s="5"/>
      <c r="X47" s="5"/>
      <c r="Y47" s="5"/>
      <c r="Z47" s="5"/>
      <c r="AA47" s="5"/>
      <c r="AB47" s="5"/>
      <c r="AD47" s="139">
        <f>ROUNDUP($A47/2,0)*2</f>
        <v>0</v>
      </c>
      <c r="AE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5"/>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6"/>
        <v>#VALUE!</v>
      </c>
    </row>
    <row r="48" spans="1:57" ht="32.1" customHeight="1">
      <c r="A48" s="93"/>
      <c r="B48" s="76" t="str">
        <f>VLOOKUP(878,Sprachindex!$A:$Z,Info!$O$7,FALSE)</f>
        <v>Stk.</v>
      </c>
      <c r="C48" s="75" t="e" vm="19">
        <v>#VALUE!</v>
      </c>
      <c r="D48" s="75" t="str">
        <f>IF(H48=Formeln!B18,AS48,IF(H48=Formeln!B19,AT48,""))</f>
        <v/>
      </c>
      <c r="E48" s="618" t="str">
        <f>VLOOKUP(2187,Sprachindex!$A:$Z,Info!$O$7,FALSE)</f>
        <v>Dichtschraube NIRO, 4,5x25</v>
      </c>
      <c r="F48" s="619"/>
      <c r="G48" s="619"/>
      <c r="H48" s="624"/>
      <c r="I48" s="625"/>
      <c r="J48" s="625"/>
      <c r="K48" s="626"/>
      <c r="L48" s="76" t="str">
        <f t="shared" ref="L48" si="7">IF(A48=0,"",IF($P$11=1,AD48,AE48))</f>
        <v/>
      </c>
      <c r="M48" s="161" t="str">
        <f>VLOOKUP(878,Sprachindex!$A:$Z,Info!$O$7,FALSE)</f>
        <v>Stk.</v>
      </c>
      <c r="N48" s="77"/>
      <c r="O48" s="204" t="str">
        <f>IF(ISNUMBER(L48),IF(H48=Formeln!$B$19,L48*S48,$L48*R48), "")</f>
        <v/>
      </c>
      <c r="P48" s="267"/>
      <c r="Q48" s="5"/>
      <c r="R48" s="182">
        <v>0.47</v>
      </c>
      <c r="S48" s="179">
        <v>0.36</v>
      </c>
      <c r="T48" s="179"/>
      <c r="U48" s="179"/>
      <c r="V48" s="179"/>
      <c r="W48" s="209"/>
      <c r="X48" s="209"/>
      <c r="Y48" s="209"/>
      <c r="Z48" s="209"/>
      <c r="AA48" s="209"/>
      <c r="AB48" s="209"/>
      <c r="AC48" s="129"/>
      <c r="AD48" s="139">
        <f>ROUNDUP($A48/200,0)*200</f>
        <v>0</v>
      </c>
      <c r="AE48" s="139">
        <f t="shared" ref="AE48:AE51" si="8">ROUNDUP($A48,0)</f>
        <v>0</v>
      </c>
      <c r="AH48" s="433">
        <v>340044</v>
      </c>
      <c r="AI48" s="433">
        <v>340041</v>
      </c>
      <c r="AJ48" s="433">
        <v>340048</v>
      </c>
      <c r="AK48" s="433">
        <v>340045</v>
      </c>
      <c r="AL48" s="433">
        <v>340042</v>
      </c>
      <c r="AM48" s="433">
        <v>340047</v>
      </c>
      <c r="AN48" s="433">
        <v>340043</v>
      </c>
      <c r="AO48" s="433">
        <v>340046</v>
      </c>
      <c r="AP48" s="433">
        <v>340049</v>
      </c>
      <c r="AQ48" s="433" t="s">
        <v>2349</v>
      </c>
      <c r="AR48" s="498" t="s">
        <v>2349</v>
      </c>
      <c r="AS48" s="507" t="e" vm="2">
        <f t="shared" si="5"/>
        <v>#VALUE!</v>
      </c>
      <c r="AT48" s="505">
        <v>340040</v>
      </c>
      <c r="AU48" s="505"/>
      <c r="AV48" s="505"/>
    </row>
    <row r="49" spans="1:426" ht="32.1" customHeight="1">
      <c r="A49" s="93"/>
      <c r="B49" s="76" t="str">
        <f>VLOOKUP(878,Sprachindex!$A:$Z,Info!$O$7,FALSE)</f>
        <v>Stk.</v>
      </c>
      <c r="C49" s="75" t="e" vm="20">
        <v>#VALUE!</v>
      </c>
      <c r="D49" s="75" t="str">
        <f>IF(H49=Formeln!A18,AS49,IF(H49=Formeln!A19,AT49,""))</f>
        <v/>
      </c>
      <c r="E49" s="618" t="str">
        <f>VLOOKUP(2188,Sprachindex!$A:$Z,Info!$O$7,FALSE)</f>
        <v>Dichtschraube NIRO 4,5 x 45 mm, für Grat- und Firstreiter</v>
      </c>
      <c r="F49" s="619"/>
      <c r="G49" s="619"/>
      <c r="H49" s="624"/>
      <c r="I49" s="625"/>
      <c r="J49" s="625"/>
      <c r="K49" s="626"/>
      <c r="L49" s="76" t="str">
        <f>IF(A49=0,"",IF(H49=Formeln!$A$17," ",IF($P$11=1,AD49,AE49)))</f>
        <v/>
      </c>
      <c r="M49" s="161" t="str">
        <f>VLOOKUP(878,Sprachindex!$A:$Z,Info!$O$7,FALSE)</f>
        <v>Stk.</v>
      </c>
      <c r="N49" s="77"/>
      <c r="O49" s="204" t="str">
        <f>IF(ISNUMBER(L49),IF(H49=Formeln!$A$19,L49*S49,$L49*R49), "")</f>
        <v/>
      </c>
      <c r="P49" s="267"/>
      <c r="Q49" s="5"/>
      <c r="R49" s="182">
        <v>0.7</v>
      </c>
      <c r="S49" s="179">
        <v>0.62</v>
      </c>
      <c r="T49" s="179"/>
      <c r="U49" s="179"/>
      <c r="V49" s="179"/>
      <c r="W49" s="209"/>
      <c r="X49" s="209"/>
      <c r="Y49" s="209"/>
      <c r="Z49" s="209"/>
      <c r="AA49" s="209"/>
      <c r="AB49" s="209"/>
      <c r="AC49" s="129"/>
      <c r="AD49" s="139">
        <f>ROUNDUP($A49/250,0)*250</f>
        <v>0</v>
      </c>
      <c r="AE49" s="139">
        <f t="shared" si="8"/>
        <v>0</v>
      </c>
      <c r="AH49" s="433">
        <v>340104</v>
      </c>
      <c r="AI49" s="433">
        <v>340001</v>
      </c>
      <c r="AJ49" s="433">
        <v>340014</v>
      </c>
      <c r="AK49" s="433">
        <v>340002</v>
      </c>
      <c r="AL49" s="433">
        <v>340004</v>
      </c>
      <c r="AM49" s="433">
        <v>340011</v>
      </c>
      <c r="AN49" s="433">
        <v>340003</v>
      </c>
      <c r="AO49" s="433">
        <v>340016</v>
      </c>
      <c r="AP49" s="433">
        <v>340013</v>
      </c>
      <c r="AQ49" s="433" t="s">
        <v>2349</v>
      </c>
      <c r="AR49" s="433">
        <v>340012</v>
      </c>
      <c r="AS49" s="507" t="e" vm="2">
        <f t="shared" si="5"/>
        <v>#VALUE!</v>
      </c>
      <c r="AT49" s="505">
        <v>340103</v>
      </c>
      <c r="AU49" s="505">
        <v>340017</v>
      </c>
      <c r="AV49" s="505">
        <v>340010</v>
      </c>
    </row>
    <row r="50" spans="1:426" ht="32.1" customHeight="1">
      <c r="A50" s="93"/>
      <c r="B50" s="76" t="str">
        <f>VLOOKUP(878,Sprachindex!$A:$Z,Info!$O$7,FALSE)</f>
        <v>Stk.</v>
      </c>
      <c r="C50" s="75" t="e" vm="21">
        <v>#VALUE!</v>
      </c>
      <c r="D50" s="75" t="str">
        <f>IF(H50=Formeln!A21,AS50,IF(H50=Formeln!A22,AT50,""))</f>
        <v/>
      </c>
      <c r="E50" s="618" t="str">
        <f>VLOOKUP(2189,Sprachindex!$A:$Z,Info!$O$7,FALSE)</f>
        <v>Dichtschraube NIRO 4,5 x 60 mm, für Jet-Lüfter</v>
      </c>
      <c r="F50" s="619"/>
      <c r="G50" s="619"/>
      <c r="H50" s="624"/>
      <c r="I50" s="625"/>
      <c r="J50" s="625"/>
      <c r="K50" s="626"/>
      <c r="L50" s="76" t="str">
        <f>IF(A50=0,"",IF(H50=Formeln!$A$17," ",IF($P$11=1,AD50,AE50)))</f>
        <v/>
      </c>
      <c r="M50" s="161" t="str">
        <f>VLOOKUP(878,Sprachindex!$A:$Z,Info!$O$7,FALSE)</f>
        <v>Stk.</v>
      </c>
      <c r="N50" s="77"/>
      <c r="O50" s="204" t="str">
        <f>IF(ISNUMBER(L50),IF(H50=Formeln!$A$22,L50*S50,$L50*R50), "")</f>
        <v/>
      </c>
      <c r="P50" s="267"/>
      <c r="Q50" s="5"/>
      <c r="R50" s="182">
        <v>0.89</v>
      </c>
      <c r="S50" s="179">
        <v>0.7</v>
      </c>
      <c r="T50" s="179"/>
      <c r="U50" s="179"/>
      <c r="V50" s="179"/>
      <c r="W50" s="209"/>
      <c r="X50" s="209"/>
      <c r="Y50" s="209"/>
      <c r="Z50" s="209"/>
      <c r="AA50" s="209"/>
      <c r="AB50" s="209"/>
      <c r="AC50" s="129"/>
      <c r="AD50" s="139">
        <f>ROUNDUP($A50/100,0)*100</f>
        <v>0</v>
      </c>
      <c r="AE50" s="139">
        <f t="shared" si="8"/>
        <v>0</v>
      </c>
      <c r="AH50" s="433">
        <v>340021</v>
      </c>
      <c r="AI50" s="433">
        <v>340020</v>
      </c>
      <c r="AJ50" s="433">
        <v>340030</v>
      </c>
      <c r="AK50" s="433">
        <v>340025</v>
      </c>
      <c r="AL50" s="433">
        <v>340024</v>
      </c>
      <c r="AM50" s="433">
        <v>340027</v>
      </c>
      <c r="AN50" s="433">
        <v>340022</v>
      </c>
      <c r="AO50" s="433">
        <v>340032</v>
      </c>
      <c r="AP50" s="433">
        <v>340036</v>
      </c>
      <c r="AQ50" s="433" t="s">
        <v>2349</v>
      </c>
      <c r="AR50" s="433">
        <v>340035</v>
      </c>
      <c r="AS50" s="507" t="e" vm="2">
        <f t="shared" si="5"/>
        <v>#VALUE!</v>
      </c>
      <c r="AT50" s="505">
        <v>340106</v>
      </c>
      <c r="AU50" s="505">
        <v>340037</v>
      </c>
      <c r="AV50" s="505">
        <v>340034</v>
      </c>
    </row>
    <row r="51" spans="1:426" ht="32.1" customHeight="1">
      <c r="A51" s="93"/>
      <c r="B51" s="76" t="str">
        <f>VLOOKUP(878,Sprachindex!$A:$Z,Info!$O$7,FALSE)</f>
        <v>Stk.</v>
      </c>
      <c r="C51" s="75" t="e" vm="94">
        <v>#VALUE!</v>
      </c>
      <c r="D51" s="75" t="str">
        <f>IF(ISNUMBER(A51),AS51,"")</f>
        <v/>
      </c>
      <c r="E51" s="618" t="str">
        <f>VLOOKUP(409,Sprachindex!$A:$Z,Info!$O$7,FALSE)</f>
        <v>Froschmaullukenhaube</v>
      </c>
      <c r="F51" s="619"/>
      <c r="G51" s="619"/>
      <c r="H51" s="619"/>
      <c r="I51" s="619"/>
      <c r="J51" s="619"/>
      <c r="K51" s="620"/>
      <c r="L51" s="76" t="str">
        <f t="shared" ref="L51" si="9">IF(A51=0,"",IF($O$11=1,AD51,AE51))</f>
        <v/>
      </c>
      <c r="M51" s="399" t="str">
        <f t="shared" ref="M51" si="10">B51</f>
        <v>Stk.</v>
      </c>
      <c r="N51" s="77"/>
      <c r="O51" s="184" t="str">
        <f>IF(ISNUMBER(A51),$L51*R51, "")</f>
        <v/>
      </c>
      <c r="P51" s="5"/>
      <c r="Q51" s="5"/>
      <c r="R51" s="182">
        <v>25.39</v>
      </c>
      <c r="S51" s="179"/>
      <c r="T51" s="5"/>
      <c r="U51" s="5"/>
      <c r="V51" s="5"/>
      <c r="W51" s="5"/>
      <c r="X51" s="5"/>
      <c r="Y51" s="5"/>
      <c r="Z51" s="5"/>
      <c r="AA51" s="5"/>
      <c r="AB51" s="5"/>
      <c r="AD51" s="139">
        <f>ROUNDUP($A51/20,0)*20</f>
        <v>0</v>
      </c>
      <c r="AE51" s="139">
        <f t="shared" si="8"/>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 t="shared" si="5"/>
        <v>#VALUE!</v>
      </c>
      <c r="AT51" s="506" t="s">
        <v>28580</v>
      </c>
      <c r="AU51" s="506" t="s">
        <v>39050</v>
      </c>
      <c r="AV51" s="506" t="s">
        <v>39051</v>
      </c>
    </row>
    <row r="52" spans="1:426" ht="32.1" customHeight="1">
      <c r="A52" s="93"/>
      <c r="B52" s="76" t="str">
        <f>VLOOKUP(878,Sprachindex!$A:$Z,Info!$O$7,FALSE)</f>
        <v>Stk.</v>
      </c>
      <c r="C52" s="75"/>
      <c r="D52" s="75" t="str">
        <f>IF($O$9=1,BE52,IF($O$9=2,AS52,""))</f>
        <v/>
      </c>
      <c r="E52" s="618" t="str">
        <f>VLOOKUP(2218,Sprachindex!$A:$Z,Info!$O$7,FALSE)</f>
        <v>Froschmaulluke stucco für DS.19</v>
      </c>
      <c r="F52" s="619"/>
      <c r="G52" s="619"/>
      <c r="H52" s="619"/>
      <c r="I52" s="619"/>
      <c r="J52" s="619"/>
      <c r="K52" s="620"/>
      <c r="L52" s="76" t="str">
        <f>IF(A52=0,"",IF($O$11=1,AD52,AE52))</f>
        <v/>
      </c>
      <c r="M52" s="399" t="str">
        <f t="shared" si="0"/>
        <v>Stk.</v>
      </c>
      <c r="N52" s="77"/>
      <c r="O52" s="184" t="str">
        <f>IF(ISNUMBER(A52),$L52*R52, "")</f>
        <v/>
      </c>
      <c r="P52" s="5"/>
      <c r="Q52" s="5"/>
      <c r="R52" s="182">
        <v>58.5</v>
      </c>
      <c r="S52" s="179"/>
      <c r="T52" s="5"/>
      <c r="U52" s="5"/>
      <c r="V52" s="5"/>
      <c r="W52" s="5"/>
      <c r="X52" s="5"/>
      <c r="Y52" s="5"/>
      <c r="Z52" s="5"/>
      <c r="AA52" s="5"/>
      <c r="AB52" s="5"/>
      <c r="AD52" s="139">
        <f>ROUNDUP($A52/4,0)*4</f>
        <v>0</v>
      </c>
      <c r="AE52" s="139">
        <f t="shared" ref="AD52:AE61" si="11">ROUNDUP($A52,0)</f>
        <v>0</v>
      </c>
      <c r="AF52" s="8"/>
      <c r="AG52" s="5"/>
      <c r="AH52" s="433">
        <v>112723</v>
      </c>
      <c r="AI52" s="433">
        <v>112720</v>
      </c>
      <c r="AJ52" s="433">
        <v>112728</v>
      </c>
      <c r="AK52" s="433">
        <v>112725</v>
      </c>
      <c r="AL52" s="433">
        <v>112721</v>
      </c>
      <c r="AM52" s="433">
        <v>112727</v>
      </c>
      <c r="AN52" s="433">
        <v>112722</v>
      </c>
      <c r="AO52" s="433">
        <v>112726</v>
      </c>
      <c r="AP52" s="433">
        <v>112729</v>
      </c>
      <c r="AQ52" s="433">
        <v>112724</v>
      </c>
      <c r="AR52" s="433">
        <v>11351028</v>
      </c>
      <c r="AS52" s="507" t="e" vm="2">
        <f t="shared" ref="AS52" si="12">VLOOKUP(AH52,AH52:AR52,$O$21,FALSE)</f>
        <v>#VALUE!</v>
      </c>
      <c r="AT52" s="438">
        <v>112703</v>
      </c>
      <c r="AU52" s="438">
        <v>112700</v>
      </c>
      <c r="AV52" s="432">
        <v>112708</v>
      </c>
      <c r="AW52" s="432">
        <v>112705</v>
      </c>
      <c r="AX52" s="432">
        <v>112701</v>
      </c>
      <c r="AY52" s="432">
        <v>112707</v>
      </c>
      <c r="AZ52" s="432">
        <v>112702</v>
      </c>
      <c r="BA52" s="432">
        <v>112706</v>
      </c>
      <c r="BB52" s="432">
        <v>112709</v>
      </c>
      <c r="BC52" s="432">
        <v>112704</v>
      </c>
      <c r="BD52" s="432">
        <v>11341028</v>
      </c>
      <c r="BE52" s="507" t="e" vm="2">
        <f t="shared" ref="BE52" si="13">VLOOKUP(AT52,AT52:BD52,$O$21,FALSE)</f>
        <v>#VALUE!</v>
      </c>
    </row>
    <row r="53" spans="1:426" ht="32.1" customHeight="1">
      <c r="A53" s="93"/>
      <c r="B53" s="76" t="str">
        <f>VLOOKUP(878,Sprachindex!$A:$Z,Info!$O$7,FALSE)</f>
        <v>Stk.</v>
      </c>
      <c r="C53" s="75"/>
      <c r="D53" s="75">
        <v>545106</v>
      </c>
      <c r="E53" s="628" t="str">
        <f>VLOOKUP(1874,Sprachindex!$A:$Z,Info!$O$7,FALSE)</f>
        <v>Einfassung Vario, 120-600 mm, stucco</v>
      </c>
      <c r="F53" s="629"/>
      <c r="G53" s="629"/>
      <c r="H53" s="629"/>
      <c r="I53" s="629"/>
      <c r="J53" s="629"/>
      <c r="K53" s="630"/>
      <c r="L53" s="76" t="str">
        <f>IF(A53=0,"",IF($O$11=1,AD53,AE53))</f>
        <v/>
      </c>
      <c r="M53" s="399" t="str">
        <f t="shared" si="0"/>
        <v>Stk.</v>
      </c>
      <c r="N53" s="77"/>
      <c r="O53" s="184" t="str">
        <f>IF(ISNUMBER(A53),$L53*R53, " ")</f>
        <v xml:space="preserve"> </v>
      </c>
      <c r="P53" s="5"/>
      <c r="Q53" s="5"/>
      <c r="R53" s="182">
        <v>0</v>
      </c>
      <c r="S53" s="179"/>
      <c r="T53" s="179"/>
      <c r="U53" s="179"/>
      <c r="V53" s="179"/>
      <c r="W53" s="179"/>
      <c r="X53" s="179"/>
      <c r="Y53" s="179"/>
      <c r="Z53" s="179"/>
      <c r="AA53" s="179"/>
      <c r="AB53" s="5"/>
      <c r="AD53" s="139">
        <f t="shared" ref="AD53:AD54" si="14">ROUNDUP($A53,0)</f>
        <v>0</v>
      </c>
      <c r="AE53" s="139">
        <f t="shared" si="11"/>
        <v>0</v>
      </c>
      <c r="AF53" s="8"/>
      <c r="AG53" s="5"/>
      <c r="AH53" s="44"/>
      <c r="AI53" s="44"/>
      <c r="AJ53" s="44"/>
      <c r="AK53" s="44"/>
      <c r="AL53" s="44"/>
      <c r="AM53" s="44"/>
      <c r="AN53" s="44"/>
      <c r="AO53" s="44"/>
      <c r="AP53" s="44"/>
      <c r="AQ53" s="44"/>
    </row>
    <row r="54" spans="1:426" ht="32.1" customHeight="1" thickBot="1">
      <c r="A54" s="93"/>
      <c r="B54" s="76" t="str">
        <f>VLOOKUP(878,Sprachindex!$A:$Z,Info!$O$7,FALSE)</f>
        <v>Stk.</v>
      </c>
      <c r="C54" s="75"/>
      <c r="D54" s="75">
        <v>545106</v>
      </c>
      <c r="E54" s="628" t="str">
        <f>VLOOKUP(1875,Sprachindex!$A:$Z,Info!$O$7,FALSE)</f>
        <v>Einfassung Vario, 600-1.020 mm, stucco</v>
      </c>
      <c r="F54" s="629"/>
      <c r="G54" s="629"/>
      <c r="H54" s="629"/>
      <c r="I54" s="629"/>
      <c r="J54" s="629"/>
      <c r="K54" s="630"/>
      <c r="L54" s="76" t="str">
        <f>IF(A54=0,"",IF($O$11=1,AD54,AE54))</f>
        <v/>
      </c>
      <c r="M54" s="399" t="str">
        <f t="shared" si="0"/>
        <v>Stk.</v>
      </c>
      <c r="N54" s="77"/>
      <c r="O54" s="204" t="str">
        <f>IF(ISNUMBER(A54),$L54*R54, "")</f>
        <v/>
      </c>
      <c r="P54" s="5"/>
      <c r="Q54" s="5"/>
      <c r="R54" s="182">
        <v>0</v>
      </c>
      <c r="S54" s="179"/>
      <c r="T54" s="179"/>
      <c r="U54" s="179"/>
      <c r="V54" s="179"/>
      <c r="W54" s="179"/>
      <c r="X54" s="179"/>
      <c r="Y54" s="179"/>
      <c r="Z54" s="179"/>
      <c r="AA54" s="179"/>
      <c r="AB54" s="5"/>
      <c r="AD54" s="139">
        <f t="shared" si="14"/>
        <v>0</v>
      </c>
      <c r="AE54" s="139">
        <f t="shared" si="11"/>
        <v>0</v>
      </c>
      <c r="AF54" s="8"/>
      <c r="AG54" s="5"/>
      <c r="AH54" s="44"/>
      <c r="AI54" s="44"/>
      <c r="AJ54" s="44"/>
      <c r="AK54" s="44"/>
      <c r="AL54" s="44"/>
      <c r="AM54" s="44"/>
      <c r="AN54" s="44"/>
      <c r="AO54" s="44"/>
      <c r="AP54" s="44"/>
      <c r="AQ54" s="44"/>
    </row>
    <row r="55" spans="1:426" ht="32.1" customHeight="1" thickBot="1">
      <c r="A55" s="93"/>
      <c r="B55" s="76" t="str">
        <f>VLOOKUP(878,Sprachindex!$A:$Z,Info!$O$7,FALSE)</f>
        <v>Stk.</v>
      </c>
      <c r="C55" s="75" t="e" vm="26">
        <v>#VALUE!</v>
      </c>
      <c r="D55" s="75" t="str">
        <f>IF($O$9=1,BE55,IF($O$9=2,AS55,""))</f>
        <v/>
      </c>
      <c r="E55" s="628" t="str">
        <f>VLOOKUP(254,Sprachindex!$A:$Z,Info!$O$7,FALSE)</f>
        <v>Dachluke (600 × 600 mm); komplett mit Holzrahmen</v>
      </c>
      <c r="F55" s="629"/>
      <c r="G55" s="629"/>
      <c r="H55" s="629"/>
      <c r="I55" s="629"/>
      <c r="J55" s="629"/>
      <c r="K55" s="630"/>
      <c r="L55" s="76" t="str">
        <f>IF(A55=0,"",IF($P$11=1,AD55,AE55))</f>
        <v/>
      </c>
      <c r="M55" s="161" t="str">
        <f>VLOOKUP(878,Sprachindex!$A:$Z,Info!$O$7,FALSE)</f>
        <v>Stk.</v>
      </c>
      <c r="N55" s="77"/>
      <c r="O55" s="204" t="str">
        <f>IF(ISNUMBER(A55),$L55*R55, "")</f>
        <v/>
      </c>
      <c r="P55" s="267"/>
      <c r="Q55" s="5"/>
      <c r="R55" s="182">
        <v>254.93</v>
      </c>
      <c r="S55" s="179"/>
      <c r="T55" s="179"/>
      <c r="U55" s="179"/>
      <c r="V55" s="179"/>
      <c r="W55" s="179"/>
      <c r="X55" s="179"/>
      <c r="Y55" s="179"/>
      <c r="Z55" s="179"/>
      <c r="AA55" s="179"/>
      <c r="AB55" s="179"/>
      <c r="AC55" s="129"/>
      <c r="AD55" s="139">
        <f t="shared" si="11"/>
        <v>0</v>
      </c>
      <c r="AE55" s="139">
        <f t="shared" si="11"/>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VLOOKUP(AH55,AH55:AR55,$O$21,FALSE)</f>
        <v>#VALUE!</v>
      </c>
      <c r="AT55" s="438">
        <v>110033</v>
      </c>
      <c r="AU55" s="438">
        <v>110030</v>
      </c>
      <c r="AV55" s="438">
        <v>110038</v>
      </c>
      <c r="AW55" s="438">
        <v>110035</v>
      </c>
      <c r="AX55" s="438">
        <v>110031</v>
      </c>
      <c r="AY55" s="438">
        <v>110037</v>
      </c>
      <c r="AZ55" s="438">
        <v>110032</v>
      </c>
      <c r="BA55" s="438">
        <v>110036</v>
      </c>
      <c r="BB55" s="508">
        <v>110039</v>
      </c>
      <c r="BC55" s="438">
        <v>110034</v>
      </c>
      <c r="BD55" s="438">
        <v>16761028</v>
      </c>
      <c r="BE55" s="524" t="e" vm="2">
        <f>VLOOKUP(AT55,AT55:BD55,$O$21,FALSE)</f>
        <v>#VALUE!</v>
      </c>
      <c r="BF55" s="525" t="s">
        <v>39079</v>
      </c>
      <c r="BG55" s="523" t="s">
        <v>39080</v>
      </c>
      <c r="BH55" s="519" t="s">
        <v>35</v>
      </c>
      <c r="BI55" s="519" t="s">
        <v>32</v>
      </c>
      <c r="BJ55" s="519" t="s">
        <v>40</v>
      </c>
      <c r="BK55" s="519" t="s">
        <v>37</v>
      </c>
      <c r="BL55" s="519" t="s">
        <v>33</v>
      </c>
      <c r="BM55" s="519" t="s">
        <v>39</v>
      </c>
      <c r="BN55" s="519" t="s">
        <v>34</v>
      </c>
      <c r="BO55" s="519" t="s">
        <v>38</v>
      </c>
      <c r="BP55" s="519" t="s">
        <v>41</v>
      </c>
      <c r="BQ55" s="519" t="s">
        <v>36</v>
      </c>
      <c r="BR55" s="519" t="s">
        <v>38962</v>
      </c>
      <c r="BS55" s="520" t="s">
        <v>39049</v>
      </c>
      <c r="BT55" s="519" t="s">
        <v>35</v>
      </c>
      <c r="BU55" s="519" t="s">
        <v>32</v>
      </c>
      <c r="BV55" s="519" t="s">
        <v>40</v>
      </c>
      <c r="BW55" s="519" t="s">
        <v>37</v>
      </c>
      <c r="BX55" s="519" t="s">
        <v>33</v>
      </c>
      <c r="BY55" s="519" t="s">
        <v>39</v>
      </c>
      <c r="BZ55" s="519" t="s">
        <v>34</v>
      </c>
      <c r="CA55" s="519" t="s">
        <v>38</v>
      </c>
      <c r="CB55" s="519" t="s">
        <v>41</v>
      </c>
      <c r="CC55" s="519" t="s">
        <v>36</v>
      </c>
      <c r="CD55" s="519" t="s">
        <v>38962</v>
      </c>
      <c r="CE55" s="516" t="s">
        <v>39049</v>
      </c>
      <c r="CF55" s="535" t="s">
        <v>39079</v>
      </c>
      <c r="CG55" s="523" t="s">
        <v>39080</v>
      </c>
      <c r="CH55" s="519" t="s">
        <v>35</v>
      </c>
      <c r="CI55" s="519" t="s">
        <v>32</v>
      </c>
      <c r="CJ55" s="519" t="s">
        <v>40</v>
      </c>
      <c r="CK55" s="519" t="s">
        <v>37</v>
      </c>
      <c r="CL55" s="519" t="s">
        <v>33</v>
      </c>
      <c r="CM55" s="519" t="s">
        <v>39</v>
      </c>
      <c r="CN55" s="519" t="s">
        <v>34</v>
      </c>
      <c r="CO55" s="519" t="s">
        <v>38</v>
      </c>
      <c r="CP55" s="519" t="s">
        <v>41</v>
      </c>
      <c r="CQ55" s="519" t="s">
        <v>36</v>
      </c>
      <c r="CR55" s="519" t="s">
        <v>38962</v>
      </c>
      <c r="CS55" s="520" t="s">
        <v>39049</v>
      </c>
      <c r="CT55" s="519" t="s">
        <v>35</v>
      </c>
      <c r="CU55" s="519" t="s">
        <v>32</v>
      </c>
      <c r="CV55" s="519" t="s">
        <v>40</v>
      </c>
      <c r="CW55" s="519" t="s">
        <v>37</v>
      </c>
      <c r="CX55" s="519" t="s">
        <v>33</v>
      </c>
      <c r="CY55" s="519" t="s">
        <v>39</v>
      </c>
      <c r="CZ55" s="519" t="s">
        <v>34</v>
      </c>
      <c r="DA55" s="519" t="s">
        <v>38</v>
      </c>
      <c r="DB55" s="519" t="s">
        <v>41</v>
      </c>
      <c r="DC55" s="519" t="s">
        <v>36</v>
      </c>
      <c r="DD55" s="519" t="s">
        <v>38962</v>
      </c>
      <c r="DE55" s="520" t="s">
        <v>39049</v>
      </c>
      <c r="DF55" s="521" t="s">
        <v>39079</v>
      </c>
      <c r="DG55" s="523" t="s">
        <v>39080</v>
      </c>
      <c r="DH55" s="519" t="s">
        <v>35</v>
      </c>
      <c r="DI55" s="519" t="s">
        <v>32</v>
      </c>
      <c r="DJ55" s="519" t="s">
        <v>40</v>
      </c>
      <c r="DK55" s="519" t="s">
        <v>37</v>
      </c>
      <c r="DL55" s="519" t="s">
        <v>33</v>
      </c>
      <c r="DM55" s="519" t="s">
        <v>39</v>
      </c>
      <c r="DN55" s="519" t="s">
        <v>34</v>
      </c>
      <c r="DO55" s="519" t="s">
        <v>38</v>
      </c>
      <c r="DP55" s="519" t="s">
        <v>41</v>
      </c>
      <c r="DQ55" s="519" t="s">
        <v>36</v>
      </c>
      <c r="DR55" s="519" t="s">
        <v>38962</v>
      </c>
      <c r="DS55" s="520" t="s">
        <v>39049</v>
      </c>
      <c r="DT55" s="519" t="s">
        <v>35</v>
      </c>
      <c r="DU55" s="519" t="s">
        <v>32</v>
      </c>
      <c r="DV55" s="519" t="s">
        <v>40</v>
      </c>
      <c r="DW55" s="519" t="s">
        <v>37</v>
      </c>
      <c r="DX55" s="519" t="s">
        <v>33</v>
      </c>
      <c r="DY55" s="519" t="s">
        <v>39</v>
      </c>
      <c r="DZ55" s="519" t="s">
        <v>34</v>
      </c>
      <c r="EA55" s="519" t="s">
        <v>38</v>
      </c>
      <c r="EB55" s="519" t="s">
        <v>41</v>
      </c>
      <c r="EC55" s="519" t="s">
        <v>36</v>
      </c>
      <c r="ED55" s="519" t="s">
        <v>38962</v>
      </c>
      <c r="EE55" s="520" t="s">
        <v>39049</v>
      </c>
      <c r="EF55" s="521" t="s">
        <v>39079</v>
      </c>
      <c r="EG55" s="523" t="s">
        <v>39080</v>
      </c>
      <c r="EH55" s="519" t="s">
        <v>35</v>
      </c>
      <c r="EI55" s="519" t="s">
        <v>32</v>
      </c>
      <c r="EJ55" s="519" t="s">
        <v>40</v>
      </c>
      <c r="EK55" s="519" t="s">
        <v>37</v>
      </c>
      <c r="EL55" s="519" t="s">
        <v>33</v>
      </c>
      <c r="EM55" s="519" t="s">
        <v>39</v>
      </c>
      <c r="EN55" s="519" t="s">
        <v>34</v>
      </c>
      <c r="EO55" s="519" t="s">
        <v>38</v>
      </c>
      <c r="EP55" s="519" t="s">
        <v>41</v>
      </c>
      <c r="EQ55" s="519" t="s">
        <v>36</v>
      </c>
      <c r="ER55" s="519" t="s">
        <v>38962</v>
      </c>
      <c r="ES55" s="520" t="s">
        <v>39049</v>
      </c>
      <c r="ET55" s="519" t="s">
        <v>35</v>
      </c>
      <c r="EU55" s="519" t="s">
        <v>32</v>
      </c>
      <c r="EV55" s="519" t="s">
        <v>40</v>
      </c>
      <c r="EW55" s="519" t="s">
        <v>37</v>
      </c>
      <c r="EX55" s="519" t="s">
        <v>33</v>
      </c>
      <c r="EY55" s="519" t="s">
        <v>39</v>
      </c>
      <c r="EZ55" s="519" t="s">
        <v>34</v>
      </c>
      <c r="FA55" s="519" t="s">
        <v>38</v>
      </c>
      <c r="FB55" s="519" t="s">
        <v>41</v>
      </c>
      <c r="FC55" s="519" t="s">
        <v>36</v>
      </c>
      <c r="FD55" s="519" t="s">
        <v>38962</v>
      </c>
      <c r="FE55" s="520" t="s">
        <v>39049</v>
      </c>
      <c r="FF55" s="521" t="s">
        <v>39079</v>
      </c>
      <c r="FG55" s="523" t="s">
        <v>39080</v>
      </c>
      <c r="FH55" s="519" t="s">
        <v>35</v>
      </c>
      <c r="FI55" s="519" t="s">
        <v>32</v>
      </c>
      <c r="FJ55" s="519" t="s">
        <v>40</v>
      </c>
      <c r="FK55" s="519" t="s">
        <v>37</v>
      </c>
      <c r="FL55" s="519" t="s">
        <v>33</v>
      </c>
      <c r="FM55" s="519" t="s">
        <v>39</v>
      </c>
      <c r="FN55" s="519" t="s">
        <v>34</v>
      </c>
      <c r="FO55" s="519" t="s">
        <v>38</v>
      </c>
      <c r="FP55" s="519" t="s">
        <v>41</v>
      </c>
      <c r="FQ55" s="519" t="s">
        <v>36</v>
      </c>
      <c r="FR55" s="519" t="s">
        <v>38962</v>
      </c>
      <c r="FS55" s="520" t="s">
        <v>39049</v>
      </c>
      <c r="FT55" s="519" t="s">
        <v>35</v>
      </c>
      <c r="FU55" s="519" t="s">
        <v>32</v>
      </c>
      <c r="FV55" s="519" t="s">
        <v>40</v>
      </c>
      <c r="FW55" s="519" t="s">
        <v>37</v>
      </c>
      <c r="FX55" s="519" t="s">
        <v>33</v>
      </c>
      <c r="FY55" s="519" t="s">
        <v>39</v>
      </c>
      <c r="FZ55" s="519" t="s">
        <v>34</v>
      </c>
      <c r="GA55" s="519" t="s">
        <v>38</v>
      </c>
      <c r="GB55" s="519" t="s">
        <v>41</v>
      </c>
      <c r="GC55" s="519" t="s">
        <v>36</v>
      </c>
      <c r="GD55" s="519" t="s">
        <v>38962</v>
      </c>
      <c r="GE55" s="520" t="s">
        <v>39049</v>
      </c>
      <c r="GF55" s="521" t="s">
        <v>39079</v>
      </c>
      <c r="GG55" s="523" t="s">
        <v>39080</v>
      </c>
      <c r="GH55" s="519" t="s">
        <v>35</v>
      </c>
      <c r="GI55" s="519" t="s">
        <v>32</v>
      </c>
      <c r="GJ55" s="519" t="s">
        <v>40</v>
      </c>
      <c r="GK55" s="519" t="s">
        <v>37</v>
      </c>
      <c r="GL55" s="519" t="s">
        <v>33</v>
      </c>
      <c r="GM55" s="519" t="s">
        <v>39</v>
      </c>
      <c r="GN55" s="519" t="s">
        <v>34</v>
      </c>
      <c r="GO55" s="519" t="s">
        <v>38</v>
      </c>
      <c r="GP55" s="519" t="s">
        <v>41</v>
      </c>
      <c r="GQ55" s="519" t="s">
        <v>36</v>
      </c>
      <c r="GR55" s="519" t="s">
        <v>38962</v>
      </c>
      <c r="GS55" s="520" t="s">
        <v>39049</v>
      </c>
      <c r="GT55" s="519" t="s">
        <v>35</v>
      </c>
      <c r="GU55" s="519" t="s">
        <v>32</v>
      </c>
      <c r="GV55" s="519" t="s">
        <v>40</v>
      </c>
      <c r="GW55" s="519" t="s">
        <v>37</v>
      </c>
      <c r="GX55" s="519" t="s">
        <v>33</v>
      </c>
      <c r="GY55" s="519" t="s">
        <v>39</v>
      </c>
      <c r="GZ55" s="519" t="s">
        <v>34</v>
      </c>
      <c r="HA55" s="519" t="s">
        <v>38</v>
      </c>
      <c r="HB55" s="519" t="s">
        <v>41</v>
      </c>
      <c r="HC55" s="519" t="s">
        <v>36</v>
      </c>
      <c r="HD55" s="519" t="s">
        <v>38962</v>
      </c>
      <c r="HE55" s="520" t="s">
        <v>39049</v>
      </c>
      <c r="HF55" s="521" t="s">
        <v>39079</v>
      </c>
      <c r="HG55" s="523" t="s">
        <v>39080</v>
      </c>
      <c r="HH55" s="519" t="s">
        <v>35</v>
      </c>
      <c r="HI55" s="519" t="s">
        <v>32</v>
      </c>
      <c r="HJ55" s="519" t="s">
        <v>40</v>
      </c>
      <c r="HK55" s="519" t="s">
        <v>37</v>
      </c>
      <c r="HL55" s="519" t="s">
        <v>33</v>
      </c>
      <c r="HM55" s="519" t="s">
        <v>39</v>
      </c>
      <c r="HN55" s="519" t="s">
        <v>34</v>
      </c>
      <c r="HO55" s="519" t="s">
        <v>38</v>
      </c>
      <c r="HP55" s="519" t="s">
        <v>41</v>
      </c>
      <c r="HQ55" s="519" t="s">
        <v>36</v>
      </c>
      <c r="HR55" s="519" t="s">
        <v>38962</v>
      </c>
      <c r="HS55" s="520" t="s">
        <v>39049</v>
      </c>
      <c r="HT55" s="519" t="s">
        <v>35</v>
      </c>
      <c r="HU55" s="519" t="s">
        <v>32</v>
      </c>
      <c r="HV55" s="519" t="s">
        <v>40</v>
      </c>
      <c r="HW55" s="519" t="s">
        <v>37</v>
      </c>
      <c r="HX55" s="519" t="s">
        <v>33</v>
      </c>
      <c r="HY55" s="519" t="s">
        <v>39</v>
      </c>
      <c r="HZ55" s="519" t="s">
        <v>34</v>
      </c>
      <c r="IA55" s="519" t="s">
        <v>38</v>
      </c>
      <c r="IB55" s="519" t="s">
        <v>41</v>
      </c>
      <c r="IC55" s="519" t="s">
        <v>36</v>
      </c>
      <c r="ID55" s="519" t="s">
        <v>38962</v>
      </c>
      <c r="IE55" s="520" t="s">
        <v>39049</v>
      </c>
      <c r="IF55" s="535" t="s">
        <v>39079</v>
      </c>
      <c r="IG55" s="523" t="s">
        <v>39080</v>
      </c>
      <c r="IH55" s="519" t="s">
        <v>35</v>
      </c>
      <c r="II55" s="519" t="s">
        <v>32</v>
      </c>
      <c r="IJ55" s="519" t="s">
        <v>40</v>
      </c>
      <c r="IK55" s="519" t="s">
        <v>37</v>
      </c>
      <c r="IL55" s="519" t="s">
        <v>33</v>
      </c>
      <c r="IM55" s="519" t="s">
        <v>39</v>
      </c>
      <c r="IN55" s="519" t="s">
        <v>34</v>
      </c>
      <c r="IO55" s="519" t="s">
        <v>38</v>
      </c>
      <c r="IP55" s="519" t="s">
        <v>41</v>
      </c>
      <c r="IQ55" s="519" t="s">
        <v>36</v>
      </c>
      <c r="IR55" s="519" t="s">
        <v>38962</v>
      </c>
      <c r="IS55" s="520" t="s">
        <v>39049</v>
      </c>
      <c r="IT55" s="519" t="s">
        <v>35</v>
      </c>
      <c r="IU55" s="519" t="s">
        <v>32</v>
      </c>
      <c r="IV55" s="519" t="s">
        <v>40</v>
      </c>
      <c r="IW55" s="519" t="s">
        <v>37</v>
      </c>
      <c r="IX55" s="519" t="s">
        <v>33</v>
      </c>
      <c r="IY55" s="519" t="s">
        <v>39</v>
      </c>
      <c r="IZ55" s="519" t="s">
        <v>34</v>
      </c>
      <c r="JA55" s="519" t="s">
        <v>38</v>
      </c>
      <c r="JB55" s="519" t="s">
        <v>41</v>
      </c>
      <c r="JC55" s="519" t="s">
        <v>36</v>
      </c>
      <c r="JD55" s="519" t="s">
        <v>38962</v>
      </c>
      <c r="JE55" s="520" t="s">
        <v>39049</v>
      </c>
      <c r="JF55" s="521" t="s">
        <v>39079</v>
      </c>
      <c r="JG55" s="523" t="s">
        <v>39080</v>
      </c>
      <c r="JH55" s="519" t="s">
        <v>35</v>
      </c>
      <c r="JI55" s="519" t="s">
        <v>32</v>
      </c>
      <c r="JJ55" s="519" t="s">
        <v>40</v>
      </c>
      <c r="JK55" s="519" t="s">
        <v>37</v>
      </c>
      <c r="JL55" s="519" t="s">
        <v>33</v>
      </c>
      <c r="JM55" s="519" t="s">
        <v>39</v>
      </c>
      <c r="JN55" s="519" t="s">
        <v>34</v>
      </c>
      <c r="JO55" s="519" t="s">
        <v>38</v>
      </c>
      <c r="JP55" s="519" t="s">
        <v>41</v>
      </c>
      <c r="JQ55" s="519" t="s">
        <v>36</v>
      </c>
      <c r="JR55" s="519" t="s">
        <v>38962</v>
      </c>
      <c r="JS55" s="520" t="s">
        <v>39049</v>
      </c>
      <c r="JT55" s="519" t="s">
        <v>35</v>
      </c>
      <c r="JU55" s="519" t="s">
        <v>32</v>
      </c>
      <c r="JV55" s="519" t="s">
        <v>40</v>
      </c>
      <c r="JW55" s="519" t="s">
        <v>37</v>
      </c>
      <c r="JX55" s="519" t="s">
        <v>33</v>
      </c>
      <c r="JY55" s="519" t="s">
        <v>39</v>
      </c>
      <c r="JZ55" s="519" t="s">
        <v>34</v>
      </c>
      <c r="KA55" s="519" t="s">
        <v>38</v>
      </c>
      <c r="KB55" s="519" t="s">
        <v>41</v>
      </c>
      <c r="KC55" s="519" t="s">
        <v>36</v>
      </c>
      <c r="KD55" s="519" t="s">
        <v>38962</v>
      </c>
      <c r="KE55" s="520" t="s">
        <v>39049</v>
      </c>
    </row>
    <row r="56" spans="1:426" ht="32.1" customHeight="1" thickBot="1">
      <c r="A56" s="93"/>
      <c r="B56" s="76" t="str">
        <f>VLOOKUP(878,Sprachindex!$A:$Z,Info!$O$7,FALSE)</f>
        <v>Stk.</v>
      </c>
      <c r="C56" s="75" t="e" vm="27">
        <v>#VALUE!</v>
      </c>
      <c r="D56" s="75" t="str">
        <f>IF(ISNUMBER(A56),IF(Info!V6=2,'Velux DE Artikelnummern'!C27,Q56),"")</f>
        <v/>
      </c>
      <c r="E56" s="618" t="str">
        <f>VLOOKUP(324,Sprachindex!$A:$Z,Info!$O$7,FALSE)</f>
        <v>Einfassung für Velux-Dachflächenfenster (stucco)</v>
      </c>
      <c r="F56" s="619"/>
      <c r="G56" s="619"/>
      <c r="H56" s="619"/>
      <c r="I56" s="81" t="str">
        <f>VLOOKUP(591,Sprachindex!$A:$Z,Info!$O$7,FALSE)</f>
        <v>Maße:</v>
      </c>
      <c r="J56" s="624"/>
      <c r="K56" s="626"/>
      <c r="L56" s="76" t="str">
        <f>IF($A56=0,"",IF($J56=Formeln!$A$30," ",IF($P$11=1,AD56,AE56)))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7"/>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B56" s="179"/>
      <c r="AC56" s="129"/>
      <c r="AD56" s="139">
        <f t="shared" si="11"/>
        <v>0</v>
      </c>
      <c r="AE56" s="141">
        <f t="shared" si="11"/>
        <v>0</v>
      </c>
      <c r="AF56" s="513" t="s">
        <v>51</v>
      </c>
      <c r="AG56" s="517" t="str">
        <f>IF($O$9=1,BE56,IF($O$9=2,AS56,""))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VLOOKUP(AH56,AH56:AR56,$O$21,FALSE)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VLOOKUP(AT56,AT56:BD56,$O$21,FALSE)</f>
        <v>#VALUE!</v>
      </c>
      <c r="BF56" s="521" t="s">
        <v>52</v>
      </c>
      <c r="BG56" s="522" t="str">
        <f>IF($O$9=1,CE56,IF($O$9=2,BS56,""))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VLOOKUP(BH56,BH56:BR56,$O$21,FALSE)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VLOOKUP(BT56,BT56:CD56,$O$21,FALSE)</f>
        <v>#VALUE!</v>
      </c>
      <c r="CF56" s="521" t="s">
        <v>53</v>
      </c>
      <c r="CG56" s="522" t="str">
        <f>IF($O$9=1,DE56,IF($O$9=2,CS56,""))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VLOOKUP(CH56,CH56:CR56,$O$21,FALSE)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VLOOKUP(CT56,CT56:DD56,$O$21,FALSE)</f>
        <v>#VALUE!</v>
      </c>
      <c r="DF56" s="521" t="s">
        <v>54</v>
      </c>
      <c r="DG56" s="522" t="str">
        <f>IF($O$9=1,EE56,IF($O$9=2,DS56,""))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VLOOKUP(DH56,DH56:DR56,$O$21,FALSE)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VLOOKUP(DT56,DT56:ED56,$O$21,FALSE)</f>
        <v>#VALUE!</v>
      </c>
      <c r="EF56" s="521" t="s">
        <v>55</v>
      </c>
      <c r="EG56" s="522" t="str">
        <f>IF($O$9=1,FE56,IF($O$9=2,ES56,""))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VLOOKUP(EH56,EH56:ER56,$O$21,FALSE)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VLOOKUP(ET56,ET56:FD56,$O$21,FALSE)</f>
        <v>#VALUE!</v>
      </c>
      <c r="FF56" s="521" t="s">
        <v>56</v>
      </c>
      <c r="FG56" s="522" t="str">
        <f>IF($O$9=1,GE56,IF($O$9=2,FS56,""))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VLOOKUP(FH56,FH56:FR56,$O$21,FALSE)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VLOOKUP(FT56,FT56:GD56,$O$21,FALSE)</f>
        <v>#VALUE!</v>
      </c>
      <c r="GF56" s="521" t="s">
        <v>57</v>
      </c>
      <c r="GG56" s="522" t="str">
        <f>IF($O$9=1,HE56,IF($O$9=2,GS56,""))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VLOOKUP(GH56,GH56:GR56,$O$21,FALSE)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VLOOKUP(GT56,GT56:HD56,$O$21,FALSE)</f>
        <v>#VALUE!</v>
      </c>
      <c r="HF56" s="521" t="s">
        <v>58</v>
      </c>
      <c r="HG56" s="522" t="str">
        <f>IF($O$9=1,IE56,IF($O$9=2,HS56,""))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VLOOKUP(HH56,HH56:HR56,$O$21,FALSE)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VLOOKUP(HT56,HT56:ID56,$O$21,FALSE)</f>
        <v>#VALUE!</v>
      </c>
      <c r="IF56" s="528" t="s">
        <v>59</v>
      </c>
      <c r="IG56" s="529" t="str">
        <f>IF($O$9=1,JE56,IF($O$9=2,IS56,""))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VLOOKUP(IH56,IH56:IR56,$O$21,FALSE)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VLOOKUP(IT56,IT56:JD56,$O$21,FALSE)</f>
        <v>#VALUE!</v>
      </c>
      <c r="JF56" s="528" t="s">
        <v>60</v>
      </c>
      <c r="JG56" s="529" t="str">
        <f>IF($O$9=1,KE56,IF($O$9=2,JS56,""))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VLOOKUP(JH56,JH56:JR56,$O$21,FALSE)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VLOOKUP(JT56,JT56:KD56,$O$21,FALSE)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18" t="str">
        <f>VLOOKUP(321,Sprachindex!$A:$Z,Info!$O$7,FALSE)</f>
        <v>Einfassung für Roto-Dachflächenfenster (stucco)</v>
      </c>
      <c r="F57" s="619"/>
      <c r="G57" s="619"/>
      <c r="H57" s="594" t="s">
        <v>39284</v>
      </c>
      <c r="I57" s="81" t="str">
        <f>VLOOKUP(591,Sprachindex!$A:$Z,Info!$O$7,FALSE)</f>
        <v>Maße:</v>
      </c>
      <c r="J57" s="624"/>
      <c r="K57" s="626"/>
      <c r="L57" s="76" t="str">
        <f>IF($A57=0,"",IF($J57=Formeln!$A$52," ",IF($P$11=1,AD57,AE57)))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7"/>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Z57" s="179"/>
      <c r="AA57" s="179"/>
      <c r="AB57" s="179"/>
      <c r="AC57" s="129"/>
      <c r="AD57" s="139">
        <f t="shared" si="11"/>
        <v>0</v>
      </c>
      <c r="AE57" s="139">
        <f t="shared" si="11"/>
        <v>0</v>
      </c>
      <c r="AF57" s="549" t="s">
        <v>61</v>
      </c>
      <c r="AG57" s="550" t="str">
        <f>IF($O$9=1,BE57,IF($O$9=2,AS57,""))</f>
        <v/>
      </c>
      <c r="AH57" s="530">
        <v>111313</v>
      </c>
      <c r="AI57" s="530">
        <v>111310</v>
      </c>
      <c r="AJ57" s="530">
        <v>111318</v>
      </c>
      <c r="AK57" s="530">
        <v>111315</v>
      </c>
      <c r="AL57" s="530">
        <v>111311</v>
      </c>
      <c r="AM57" s="530">
        <v>111317</v>
      </c>
      <c r="AN57" s="530">
        <v>111312</v>
      </c>
      <c r="AO57" s="530">
        <v>111316</v>
      </c>
      <c r="AP57" s="530">
        <v>111319</v>
      </c>
      <c r="AQ57" s="530">
        <v>111314</v>
      </c>
      <c r="AR57" s="530">
        <v>16011028</v>
      </c>
      <c r="AS57" s="531" t="e" vm="2">
        <f>VLOOKUP(AH57,AH57:AR57,$O$21,FALSE)</f>
        <v>#VALUE!</v>
      </c>
      <c r="AT57" s="533">
        <v>111303</v>
      </c>
      <c r="AU57" s="533">
        <v>111300</v>
      </c>
      <c r="AV57" s="533">
        <v>111308</v>
      </c>
      <c r="AW57" s="533">
        <v>111305</v>
      </c>
      <c r="AX57" s="533">
        <v>111301</v>
      </c>
      <c r="AY57" s="533">
        <v>111307</v>
      </c>
      <c r="AZ57" s="533">
        <v>111302</v>
      </c>
      <c r="BA57" s="533">
        <v>111306</v>
      </c>
      <c r="BB57" s="533">
        <v>111309</v>
      </c>
      <c r="BC57" s="533">
        <v>111304</v>
      </c>
      <c r="BD57" s="533">
        <v>16021028</v>
      </c>
      <c r="BE57" s="534" t="e" vm="2">
        <f>VLOOKUP(AT57,AT57:BD57,$O$21,FALSE)</f>
        <v>#VALUE!</v>
      </c>
      <c r="BF57" s="549" t="s">
        <v>62</v>
      </c>
      <c r="BG57" s="550" t="str">
        <f>IF($O$9=1,CE57,IF($O$9=2,BS57,""))</f>
        <v/>
      </c>
      <c r="BH57" s="530">
        <v>111333</v>
      </c>
      <c r="BI57" s="530">
        <v>111330</v>
      </c>
      <c r="BJ57" s="530">
        <v>111338</v>
      </c>
      <c r="BK57" s="530">
        <v>111335</v>
      </c>
      <c r="BL57" s="530">
        <v>111331</v>
      </c>
      <c r="BM57" s="530">
        <v>111337</v>
      </c>
      <c r="BN57" s="530">
        <v>111332</v>
      </c>
      <c r="BO57" s="530">
        <v>111336</v>
      </c>
      <c r="BP57" s="530">
        <v>111339</v>
      </c>
      <c r="BQ57" s="530">
        <v>111334</v>
      </c>
      <c r="BR57" s="530">
        <v>16041028</v>
      </c>
      <c r="BS57" s="531" t="e" vm="2">
        <f>VLOOKUP(BH57,BH57:BR57,$O$21,FALSE)</f>
        <v>#VALUE!</v>
      </c>
      <c r="BT57" s="533">
        <v>111323</v>
      </c>
      <c r="BU57" s="533">
        <v>111320</v>
      </c>
      <c r="BV57" s="533">
        <v>111328</v>
      </c>
      <c r="BW57" s="533">
        <v>111325</v>
      </c>
      <c r="BX57" s="533">
        <v>111321</v>
      </c>
      <c r="BY57" s="533">
        <v>111327</v>
      </c>
      <c r="BZ57" s="533">
        <v>111322</v>
      </c>
      <c r="CA57" s="533">
        <v>111326</v>
      </c>
      <c r="CB57" s="533">
        <v>111329</v>
      </c>
      <c r="CC57" s="533">
        <v>111324</v>
      </c>
      <c r="CD57" s="533">
        <v>16031028</v>
      </c>
      <c r="CE57" s="534" t="e" vm="2">
        <f>VLOOKUP(BT57,BT57:CD57,$O$21,FALSE)</f>
        <v>#VALUE!</v>
      </c>
      <c r="CF57" s="549" t="s">
        <v>39081</v>
      </c>
      <c r="CG57" s="550" t="str">
        <f>IF($O$9=1,DE57,IF($O$9=2,CS57,""))</f>
        <v/>
      </c>
      <c r="CH57" s="530">
        <v>111353</v>
      </c>
      <c r="CI57" s="530">
        <v>111350</v>
      </c>
      <c r="CJ57" s="530">
        <v>111358</v>
      </c>
      <c r="CK57" s="530">
        <v>111355</v>
      </c>
      <c r="CL57" s="530">
        <v>111351</v>
      </c>
      <c r="CM57" s="530">
        <v>111357</v>
      </c>
      <c r="CN57" s="530">
        <v>111352</v>
      </c>
      <c r="CO57" s="530">
        <v>111356</v>
      </c>
      <c r="CP57" s="530">
        <v>111359</v>
      </c>
      <c r="CQ57" s="530">
        <v>111354</v>
      </c>
      <c r="CR57" s="530">
        <v>16061028</v>
      </c>
      <c r="CS57" s="531" t="e" vm="2">
        <f>VLOOKUP(CH57,CH57:CR57,$O$21,FALSE)</f>
        <v>#VALUE!</v>
      </c>
      <c r="CT57" s="532">
        <v>111343</v>
      </c>
      <c r="CU57" s="533">
        <v>111340</v>
      </c>
      <c r="CV57" s="533">
        <v>111348</v>
      </c>
      <c r="CW57" s="533">
        <v>111345</v>
      </c>
      <c r="CX57" s="533">
        <v>111341</v>
      </c>
      <c r="CY57" s="533">
        <v>111347</v>
      </c>
      <c r="CZ57" s="533">
        <v>111342</v>
      </c>
      <c r="DA57" s="533">
        <v>111346</v>
      </c>
      <c r="DB57" s="533">
        <v>111349</v>
      </c>
      <c r="DC57" s="533">
        <v>111344</v>
      </c>
      <c r="DD57" s="533">
        <v>16051028</v>
      </c>
      <c r="DE57" s="534" t="e" vm="2">
        <f>VLOOKUP(CT57,CT57:DD57,$O$21,FALSE)</f>
        <v>#VALUE!</v>
      </c>
      <c r="DF57" s="549" t="s">
        <v>39082</v>
      </c>
      <c r="DG57" s="550" t="str">
        <f>IF($O$9=1,EE57,IF($O$9=2,DS57,""))</f>
        <v/>
      </c>
      <c r="DH57" s="530">
        <v>111373</v>
      </c>
      <c r="DI57" s="530">
        <v>111370</v>
      </c>
      <c r="DJ57" s="530">
        <v>111378</v>
      </c>
      <c r="DK57" s="530">
        <v>111375</v>
      </c>
      <c r="DL57" s="530">
        <v>111371</v>
      </c>
      <c r="DM57" s="530">
        <v>111377</v>
      </c>
      <c r="DN57" s="530">
        <v>111372</v>
      </c>
      <c r="DO57" s="530">
        <v>111376</v>
      </c>
      <c r="DP57" s="530">
        <v>111379</v>
      </c>
      <c r="DQ57" s="530">
        <v>111374</v>
      </c>
      <c r="DR57" s="530">
        <v>16081028</v>
      </c>
      <c r="DS57" s="531" t="e" vm="2">
        <f>VLOOKUP(DH57,DH57:DR57,$O$21,FALSE)</f>
        <v>#VALUE!</v>
      </c>
      <c r="DT57" s="532">
        <v>111363</v>
      </c>
      <c r="DU57" s="533">
        <v>111360</v>
      </c>
      <c r="DV57" s="533">
        <v>111368</v>
      </c>
      <c r="DW57" s="533">
        <v>111365</v>
      </c>
      <c r="DX57" s="533">
        <v>111361</v>
      </c>
      <c r="DY57" s="533">
        <v>111367</v>
      </c>
      <c r="DZ57" s="533">
        <v>111362</v>
      </c>
      <c r="EA57" s="533">
        <v>111366</v>
      </c>
      <c r="EB57" s="533">
        <v>111369</v>
      </c>
      <c r="EC57" s="533">
        <v>111364</v>
      </c>
      <c r="ED57" s="533">
        <v>16071028</v>
      </c>
      <c r="EE57" s="534" t="e" vm="2">
        <f>VLOOKUP(DT57,DT57:ED57,$O$21,FALSE)</f>
        <v>#VALUE!</v>
      </c>
      <c r="EF57" s="549" t="s">
        <v>39083</v>
      </c>
      <c r="EG57" s="550" t="str">
        <f>IF($O$9=1,FE57,IF($O$9=2,ES57,""))</f>
        <v/>
      </c>
      <c r="EH57" s="530">
        <v>111393</v>
      </c>
      <c r="EI57" s="530">
        <v>111390</v>
      </c>
      <c r="EJ57" s="530">
        <v>111398</v>
      </c>
      <c r="EK57" s="530">
        <v>111395</v>
      </c>
      <c r="EL57" s="530">
        <v>111391</v>
      </c>
      <c r="EM57" s="530">
        <v>111397</v>
      </c>
      <c r="EN57" s="530">
        <v>111392</v>
      </c>
      <c r="EO57" s="530">
        <v>111396</v>
      </c>
      <c r="EP57" s="530">
        <v>111399</v>
      </c>
      <c r="EQ57" s="530">
        <v>111394</v>
      </c>
      <c r="ER57" s="530">
        <v>16101028</v>
      </c>
      <c r="ES57" s="531" t="e" vm="2">
        <f>VLOOKUP(EH57,EH57:ER57,$O$21,FALSE)</f>
        <v>#VALUE!</v>
      </c>
      <c r="ET57" s="532">
        <v>111383</v>
      </c>
      <c r="EU57" s="533">
        <v>111380</v>
      </c>
      <c r="EV57" s="533">
        <v>111388</v>
      </c>
      <c r="EW57" s="533">
        <v>111385</v>
      </c>
      <c r="EX57" s="533">
        <v>111381</v>
      </c>
      <c r="EY57" s="533">
        <v>111387</v>
      </c>
      <c r="EZ57" s="533">
        <v>111382</v>
      </c>
      <c r="FA57" s="533">
        <v>111386</v>
      </c>
      <c r="FB57" s="533">
        <v>111389</v>
      </c>
      <c r="FC57" s="533">
        <v>111384</v>
      </c>
      <c r="FD57" s="533">
        <v>16091028</v>
      </c>
      <c r="FE57" s="534" t="e" vm="2">
        <f>VLOOKUP(ET57,ET57:FD57,$O$21,FALSE)</f>
        <v>#VALUE!</v>
      </c>
      <c r="FF57" s="549" t="s">
        <v>39084</v>
      </c>
      <c r="FG57" s="550" t="str">
        <f>IF($O$9=1,GE57,IF($O$9=2,FS57,""))</f>
        <v/>
      </c>
      <c r="FH57" s="530">
        <v>111413</v>
      </c>
      <c r="FI57" s="530">
        <v>111410</v>
      </c>
      <c r="FJ57" s="530">
        <v>111418</v>
      </c>
      <c r="FK57" s="530">
        <v>111415</v>
      </c>
      <c r="FL57" s="530">
        <v>111411</v>
      </c>
      <c r="FM57" s="530">
        <v>111417</v>
      </c>
      <c r="FN57" s="530">
        <v>111412</v>
      </c>
      <c r="FO57" s="530">
        <v>111416</v>
      </c>
      <c r="FP57" s="530">
        <v>111419</v>
      </c>
      <c r="FQ57" s="530">
        <v>111414</v>
      </c>
      <c r="FR57" s="530">
        <v>16121028</v>
      </c>
      <c r="FS57" s="531" t="e" vm="2">
        <f>VLOOKUP(FH57,FH57:FR57,$O$21,FALSE)</f>
        <v>#VALUE!</v>
      </c>
      <c r="FT57" s="532">
        <v>111403</v>
      </c>
      <c r="FU57" s="533">
        <v>111400</v>
      </c>
      <c r="FV57" s="533">
        <v>111408</v>
      </c>
      <c r="FW57" s="533">
        <v>111405</v>
      </c>
      <c r="FX57" s="533">
        <v>111401</v>
      </c>
      <c r="FY57" s="533">
        <v>111407</v>
      </c>
      <c r="FZ57" s="533">
        <v>111402</v>
      </c>
      <c r="GA57" s="533">
        <v>111406</v>
      </c>
      <c r="GB57" s="533">
        <v>111409</v>
      </c>
      <c r="GC57" s="533">
        <v>111404</v>
      </c>
      <c r="GD57" s="533">
        <v>16111028</v>
      </c>
      <c r="GE57" s="534" t="e" vm="2">
        <f>VLOOKUP(FT57,FT57:GD57,$O$21,FALSE)</f>
        <v>#VALUE!</v>
      </c>
      <c r="GF57" s="549" t="s">
        <v>39085</v>
      </c>
      <c r="GG57" s="550" t="str">
        <f>IF($O$9=1,HE57,IF($O$9=2,GS57,""))</f>
        <v/>
      </c>
      <c r="GH57" s="530">
        <v>111433</v>
      </c>
      <c r="GI57" s="530">
        <v>111430</v>
      </c>
      <c r="GJ57" s="530">
        <v>111438</v>
      </c>
      <c r="GK57" s="530">
        <v>111435</v>
      </c>
      <c r="GL57" s="530">
        <v>111431</v>
      </c>
      <c r="GM57" s="530">
        <v>111437</v>
      </c>
      <c r="GN57" s="530">
        <v>111432</v>
      </c>
      <c r="GO57" s="530">
        <v>111436</v>
      </c>
      <c r="GP57" s="530">
        <v>111439</v>
      </c>
      <c r="GQ57" s="530">
        <v>111434</v>
      </c>
      <c r="GR57" s="530">
        <v>16141028</v>
      </c>
      <c r="GS57" s="531" t="e" vm="2">
        <f>VLOOKUP(GH57,GH57:GR57,$O$21,FALSE)</f>
        <v>#VALUE!</v>
      </c>
      <c r="GT57" s="532">
        <v>111423</v>
      </c>
      <c r="GU57" s="533">
        <v>111420</v>
      </c>
      <c r="GV57" s="533">
        <v>111428</v>
      </c>
      <c r="GW57" s="533">
        <v>111425</v>
      </c>
      <c r="GX57" s="533">
        <v>111421</v>
      </c>
      <c r="GY57" s="533">
        <v>111427</v>
      </c>
      <c r="GZ57" s="533">
        <v>111422</v>
      </c>
      <c r="HA57" s="533">
        <v>111426</v>
      </c>
      <c r="HB57" s="533">
        <v>111429</v>
      </c>
      <c r="HC57" s="533">
        <v>111424</v>
      </c>
      <c r="HD57" s="533">
        <v>16131028</v>
      </c>
      <c r="HE57" s="534" t="e" vm="2">
        <f>VLOOKUP(GT57,GT57:HD57,$O$21,FALSE)</f>
        <v>#VALUE!</v>
      </c>
      <c r="HF57" s="549" t="s">
        <v>39086</v>
      </c>
      <c r="HG57" s="550" t="str">
        <f>IF($O$9=1,IE57,IF($O$9=2,HS57,""))</f>
        <v/>
      </c>
      <c r="HH57" s="530">
        <v>111453</v>
      </c>
      <c r="HI57" s="530">
        <v>111450</v>
      </c>
      <c r="HJ57" s="530">
        <v>111458</v>
      </c>
      <c r="HK57" s="530">
        <v>111455</v>
      </c>
      <c r="HL57" s="530">
        <v>111451</v>
      </c>
      <c r="HM57" s="530">
        <v>111457</v>
      </c>
      <c r="HN57" s="530">
        <v>111452</v>
      </c>
      <c r="HO57" s="530">
        <v>111456</v>
      </c>
      <c r="HP57" s="530">
        <v>111459</v>
      </c>
      <c r="HQ57" s="530">
        <v>111454</v>
      </c>
      <c r="HR57" s="530">
        <v>16161028</v>
      </c>
      <c r="HS57" s="531" t="e" vm="2">
        <f>VLOOKUP(HH57,HH57:HR57,$O$21,FALSE)</f>
        <v>#VALUE!</v>
      </c>
      <c r="HT57" s="532">
        <v>111443</v>
      </c>
      <c r="HU57" s="533">
        <v>111440</v>
      </c>
      <c r="HV57" s="533">
        <v>111448</v>
      </c>
      <c r="HW57" s="533">
        <v>111445</v>
      </c>
      <c r="HX57" s="533">
        <v>111441</v>
      </c>
      <c r="HY57" s="533">
        <v>111447</v>
      </c>
      <c r="HZ57" s="533">
        <v>111442</v>
      </c>
      <c r="IA57" s="533">
        <v>111446</v>
      </c>
      <c r="IB57" s="533">
        <v>111449</v>
      </c>
      <c r="IC57" s="533">
        <v>111444</v>
      </c>
      <c r="ID57" s="533">
        <v>16151028</v>
      </c>
      <c r="IE57" s="534" t="e" vm="2">
        <f>VLOOKUP(HT57,HT57:ID57,$O$21,FALSE)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thickTop="1">
      <c r="A58" s="93"/>
      <c r="B58" s="76" t="str">
        <f>VLOOKUP(878,Sprachindex!$A:$Z,Info!$O$7,FALSE)</f>
        <v>Stk.</v>
      </c>
      <c r="C58" s="75" t="e" vm="90">
        <v>#VALUE!</v>
      </c>
      <c r="D58" s="75">
        <v>111700</v>
      </c>
      <c r="E58" s="618" t="str">
        <f>VLOOKUP(322,Sprachindex!$A:$Z,Info!$O$7,FALSE)</f>
        <v>Einfassung für Roto-Q-Serie (stucco)</v>
      </c>
      <c r="F58" s="619"/>
      <c r="G58" s="619"/>
      <c r="H58" s="594" t="s">
        <v>39284</v>
      </c>
      <c r="I58" s="81" t="str">
        <f>VLOOKUP(591,Sprachindex!$A:$Z,Info!$O$7,FALSE)</f>
        <v>Maße:</v>
      </c>
      <c r="J58" s="624"/>
      <c r="K58" s="626"/>
      <c r="L58" s="76" t="str">
        <f>IF($A58=0,"",IF($J58=Formeln!$A$52," ",IF($O$11=1,AD58,AE58)))</f>
        <v/>
      </c>
      <c r="M58" s="399" t="str">
        <f t="shared" ref="M58" si="15">B58</f>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P58" s="5"/>
      <c r="Q58" s="5"/>
      <c r="R58" s="182">
        <v>299.99</v>
      </c>
      <c r="S58" s="182">
        <v>307.95</v>
      </c>
      <c r="T58" s="182">
        <v>307.95</v>
      </c>
      <c r="U58" s="182">
        <v>371.6</v>
      </c>
      <c r="V58" s="182">
        <v>379.7</v>
      </c>
      <c r="W58" s="182">
        <v>382.31</v>
      </c>
      <c r="X58" s="179"/>
      <c r="Y58" s="179"/>
      <c r="Z58" s="179"/>
      <c r="AA58" s="179"/>
      <c r="AB58" s="5"/>
      <c r="AD58" s="139">
        <f t="shared" si="11"/>
        <v>0</v>
      </c>
      <c r="AE58" s="139">
        <f t="shared" si="11"/>
        <v>0</v>
      </c>
      <c r="BC58" s="119"/>
      <c r="BD58" s="119"/>
      <c r="BE58" s="119"/>
      <c r="BF58" s="119"/>
      <c r="BG58" s="119"/>
      <c r="BH58" s="119"/>
      <c r="BI58" s="119"/>
      <c r="BJ58" s="119"/>
      <c r="BK58" s="119"/>
      <c r="BM58" s="119"/>
      <c r="BN58" s="119"/>
      <c r="BO58" s="119"/>
      <c r="BP58" s="119"/>
      <c r="BQ58" s="119"/>
      <c r="BR58" s="119"/>
      <c r="BS58" s="119"/>
      <c r="BT58" s="119"/>
      <c r="BU58" s="119"/>
      <c r="BV58" s="119"/>
      <c r="BX58" s="119"/>
      <c r="BY58" s="119"/>
      <c r="BZ58" s="119"/>
      <c r="CA58" s="119"/>
      <c r="CB58" s="119"/>
      <c r="CC58" s="119"/>
      <c r="CD58" s="119"/>
      <c r="CE58" s="119"/>
      <c r="CF58" s="119"/>
      <c r="CH58" s="119"/>
      <c r="CI58" s="119"/>
      <c r="CJ58" s="119"/>
      <c r="CK58" s="119"/>
      <c r="CL58" s="119"/>
      <c r="CM58" s="119"/>
      <c r="CN58" s="119"/>
      <c r="CO58" s="119"/>
      <c r="CP58" s="119"/>
      <c r="CQ58" s="119"/>
      <c r="CS58" s="119"/>
      <c r="CT58" s="119"/>
      <c r="CU58" s="119"/>
      <c r="CV58" s="119"/>
      <c r="CW58" s="119"/>
      <c r="CX58" s="119"/>
      <c r="CY58" s="119"/>
      <c r="CZ58" s="119"/>
      <c r="DA58" s="119"/>
      <c r="DC58" s="119"/>
      <c r="DD58" s="119"/>
      <c r="DE58" s="119"/>
      <c r="DF58" s="119"/>
      <c r="DG58" s="119"/>
      <c r="DH58" s="119"/>
      <c r="DI58" s="119"/>
      <c r="DJ58" s="119"/>
      <c r="DK58" s="119"/>
      <c r="DL58" s="119"/>
      <c r="DX58" s="119"/>
      <c r="DY58" s="119"/>
      <c r="DZ58" s="119"/>
      <c r="EA58" s="119"/>
      <c r="EB58" s="119"/>
      <c r="EC58" s="119"/>
      <c r="ED58" s="119"/>
      <c r="EE58" s="119"/>
      <c r="EF58" s="119"/>
      <c r="EG58" s="119"/>
      <c r="EI58" s="119"/>
      <c r="EJ58" s="119"/>
      <c r="EK58" s="119"/>
      <c r="EL58" s="119"/>
      <c r="EM58" s="119"/>
      <c r="EN58" s="119"/>
      <c r="EO58" s="119"/>
      <c r="EP58" s="119"/>
      <c r="EQ58" s="119"/>
      <c r="ES58" s="119"/>
      <c r="ET58" s="119"/>
      <c r="EU58" s="119"/>
      <c r="EV58" s="119"/>
      <c r="EW58" s="119"/>
      <c r="EX58" s="119"/>
      <c r="EY58" s="119"/>
      <c r="EZ58" s="119"/>
      <c r="FA58" s="119"/>
      <c r="FB58" s="119"/>
    </row>
    <row r="59" spans="1:426" ht="32.1" customHeight="1">
      <c r="A59" s="93"/>
      <c r="B59" s="76" t="str">
        <f>VLOOKUP(878,Sprachindex!$A:$Z,Info!$O$7,FALSE)</f>
        <v>Stk.</v>
      </c>
      <c r="C59" s="75" t="e" vm="30">
        <v>#VALUE!</v>
      </c>
      <c r="D59" s="75" t="str">
        <f>IF(ISNUMBER(A59),AS59,"")</f>
        <v/>
      </c>
      <c r="E59" s="618" t="str">
        <f>VLOOKUP(345,Sprachindex!$A:$Z,Info!$O$7,FALSE)</f>
        <v>Einzeltritt (inkl. zwei Fußteile)</v>
      </c>
      <c r="F59" s="619"/>
      <c r="G59" s="619"/>
      <c r="H59" s="619"/>
      <c r="I59" s="619"/>
      <c r="J59" s="619"/>
      <c r="K59" s="620"/>
      <c r="L59" s="76" t="str">
        <f t="shared" ref="L59:L71" si="16">IF(A59=0,"",IF($P$11=1,AD59,AE59))</f>
        <v/>
      </c>
      <c r="M59" s="161" t="str">
        <f>VLOOKUP(878,Sprachindex!$A:$Z,Info!$O$7,FALSE)</f>
        <v>Stk.</v>
      </c>
      <c r="N59" s="77"/>
      <c r="O59" s="204" t="str">
        <f t="shared" ref="O59:O71" si="17">IF(ISNUMBER(A59),$L59*R59, "")</f>
        <v/>
      </c>
      <c r="P59" s="267"/>
      <c r="Q59" s="5"/>
      <c r="R59" s="182">
        <v>72.87</v>
      </c>
      <c r="S59" s="179"/>
      <c r="T59" s="179"/>
      <c r="U59" s="179"/>
      <c r="V59" s="179"/>
      <c r="W59" s="179"/>
      <c r="X59" s="179"/>
      <c r="Y59" s="179"/>
      <c r="Z59" s="179"/>
      <c r="AA59" s="179"/>
      <c r="AB59" s="179"/>
      <c r="AC59" s="129"/>
      <c r="AD59" s="139">
        <f t="shared" si="11"/>
        <v>0</v>
      </c>
      <c r="AE59" s="139">
        <f t="shared" si="11"/>
        <v>0</v>
      </c>
      <c r="AF59" s="135"/>
      <c r="AH59" s="548">
        <v>120073</v>
      </c>
      <c r="AI59" s="548">
        <v>120070</v>
      </c>
      <c r="AJ59" s="548">
        <v>120078</v>
      </c>
      <c r="AK59" s="548">
        <v>120075</v>
      </c>
      <c r="AL59" s="548">
        <v>120071</v>
      </c>
      <c r="AM59" s="548">
        <v>120077</v>
      </c>
      <c r="AN59" s="548">
        <v>120072</v>
      </c>
      <c r="AO59" s="548">
        <v>120076</v>
      </c>
      <c r="AP59" s="548">
        <v>120079</v>
      </c>
      <c r="AQ59" s="548">
        <v>120074</v>
      </c>
      <c r="AR59" s="548">
        <v>15061028</v>
      </c>
      <c r="AS59" s="509" t="e" vm="2">
        <f>VLOOKUP(AH59,AH59:AR59,$O$21,FALSE)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18" t="str">
        <f>VLOOKUP(567,Sprachindex!$A:$Z,Info!$O$7,FALSE)</f>
        <v>Laufstegstütze auf einem Fußteil</v>
      </c>
      <c r="F60" s="619"/>
      <c r="G60" s="619"/>
      <c r="H60" s="619"/>
      <c r="I60" s="619"/>
      <c r="J60" s="619"/>
      <c r="K60" s="620"/>
      <c r="L60" s="76" t="str">
        <f t="shared" si="16"/>
        <v/>
      </c>
      <c r="M60" s="161" t="str">
        <f>VLOOKUP(878,Sprachindex!$A:$Z,Info!$O$7,FALSE)</f>
        <v>Stk.</v>
      </c>
      <c r="N60" s="77"/>
      <c r="O60" s="204" t="str">
        <f t="shared" si="17"/>
        <v/>
      </c>
      <c r="P60" s="267"/>
      <c r="Q60" s="5"/>
      <c r="R60" s="182">
        <v>53.89</v>
      </c>
      <c r="S60" s="179"/>
      <c r="T60" s="179"/>
      <c r="U60" s="179"/>
      <c r="V60" s="179"/>
      <c r="W60" s="179"/>
      <c r="X60" s="179"/>
      <c r="Y60" s="179"/>
      <c r="Z60" s="179"/>
      <c r="AA60" s="179"/>
      <c r="AB60" s="179"/>
      <c r="AC60" s="129"/>
      <c r="AD60" s="139">
        <f t="shared" si="11"/>
        <v>0</v>
      </c>
      <c r="AE60" s="139">
        <f t="shared" si="11"/>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VLOOKUP(AH60,AH60:AR60,$O$21,FALSE)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18" t="str">
        <f>VLOOKUP(568,Sprachindex!$A:$Z,Info!$O$7,FALSE)</f>
        <v>Laufstegstütze auf zwei Fußteilen</v>
      </c>
      <c r="F61" s="619"/>
      <c r="G61" s="619"/>
      <c r="H61" s="619"/>
      <c r="I61" s="619"/>
      <c r="J61" s="619"/>
      <c r="K61" s="620"/>
      <c r="L61" s="76" t="str">
        <f t="shared" si="16"/>
        <v/>
      </c>
      <c r="M61" s="161" t="str">
        <f>VLOOKUP(878,Sprachindex!$A:$Z,Info!$O$7,FALSE)</f>
        <v>Stk.</v>
      </c>
      <c r="N61" s="77"/>
      <c r="O61" s="184" t="str">
        <f t="shared" si="17"/>
        <v/>
      </c>
      <c r="P61" s="267"/>
      <c r="Q61" s="5"/>
      <c r="R61" s="182">
        <v>76.349999999999994</v>
      </c>
      <c r="S61" s="179"/>
      <c r="T61" s="179"/>
      <c r="U61" s="179"/>
      <c r="V61" s="179"/>
      <c r="W61" s="179"/>
      <c r="X61" s="179"/>
      <c r="Y61" s="179"/>
      <c r="Z61" s="179"/>
      <c r="AA61" s="179"/>
      <c r="AB61" s="179"/>
      <c r="AC61" s="129"/>
      <c r="AD61" s="139">
        <f t="shared" si="11"/>
        <v>0</v>
      </c>
      <c r="AE61" s="139">
        <f t="shared" si="11"/>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18" t="str">
        <f>VLOOKUP(560,Sprachindex!$A:$Z,Info!$O$7,FALSE)</f>
        <v>Laufsteg (250 × 1.200 mm)</v>
      </c>
      <c r="F62" s="619"/>
      <c r="G62" s="619"/>
      <c r="H62" s="619"/>
      <c r="I62" s="619"/>
      <c r="J62" s="619"/>
      <c r="K62" s="620"/>
      <c r="L62" s="76" t="str">
        <f t="shared" si="16"/>
        <v/>
      </c>
      <c r="M62" s="161" t="str">
        <f>VLOOKUP(878,Sprachindex!$A:$Z,Info!$O$7,FALSE)</f>
        <v>Stk.</v>
      </c>
      <c r="N62" s="77"/>
      <c r="O62" s="184" t="str">
        <f t="shared" si="17"/>
        <v/>
      </c>
      <c r="P62" s="267"/>
      <c r="Q62" s="5"/>
      <c r="R62" s="182">
        <v>76.66</v>
      </c>
      <c r="S62" s="179"/>
      <c r="T62" s="179"/>
      <c r="U62" s="179"/>
      <c r="V62" s="179"/>
      <c r="W62" s="179"/>
      <c r="X62" s="179"/>
      <c r="Y62" s="179"/>
      <c r="Z62" s="179"/>
      <c r="AA62" s="179"/>
      <c r="AB62" s="179"/>
      <c r="AC62" s="129"/>
      <c r="AD62" s="139">
        <f t="shared" ref="AD62:AE71" si="18">ROUNDUP($A62,0)</f>
        <v>0</v>
      </c>
      <c r="AE62" s="139">
        <f t="shared" si="18"/>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VLOOKUP(AH62,AH62:AR62,$O$21,FALSE)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9">IF(ISNUMBER(A63),AS63,"")</f>
        <v/>
      </c>
      <c r="E63" s="618" t="str">
        <f>VLOOKUP(563,Sprachindex!$A:$Z,Info!$O$7,FALSE)</f>
        <v>Laufsteg (250 × 800 mm)</v>
      </c>
      <c r="F63" s="619"/>
      <c r="G63" s="619"/>
      <c r="H63" s="619"/>
      <c r="I63" s="619"/>
      <c r="J63" s="619"/>
      <c r="K63" s="620"/>
      <c r="L63" s="76" t="str">
        <f t="shared" si="16"/>
        <v/>
      </c>
      <c r="M63" s="161" t="str">
        <f>VLOOKUP(878,Sprachindex!$A:$Z,Info!$O$7,FALSE)</f>
        <v>Stk.</v>
      </c>
      <c r="N63" s="77"/>
      <c r="O63" s="184" t="str">
        <f t="shared" si="17"/>
        <v/>
      </c>
      <c r="P63" s="267"/>
      <c r="Q63" s="5"/>
      <c r="R63" s="182">
        <v>56.6</v>
      </c>
      <c r="S63" s="179"/>
      <c r="T63" s="179"/>
      <c r="U63" s="179"/>
      <c r="V63" s="179"/>
      <c r="W63" s="179"/>
      <c r="X63" s="179"/>
      <c r="Y63" s="179"/>
      <c r="Z63" s="179"/>
      <c r="AA63" s="179"/>
      <c r="AB63" s="179"/>
      <c r="AC63" s="129"/>
      <c r="AD63" s="139">
        <f t="shared" si="18"/>
        <v>0</v>
      </c>
      <c r="AE63" s="139">
        <f t="shared" si="18"/>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VLOOKUP(AH63,AH63:AR63,$O$21,FALSE)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9"/>
        <v/>
      </c>
      <c r="E64" s="618" t="str">
        <f>VLOOKUP(562,Sprachindex!$A:$Z,Info!$O$7,FALSE)</f>
        <v>Laufsteg (250 × 600 mm)</v>
      </c>
      <c r="F64" s="619"/>
      <c r="G64" s="619"/>
      <c r="H64" s="619"/>
      <c r="I64" s="619"/>
      <c r="J64" s="619"/>
      <c r="K64" s="620"/>
      <c r="L64" s="76" t="str">
        <f t="shared" si="16"/>
        <v/>
      </c>
      <c r="M64" s="161" t="str">
        <f>VLOOKUP(878,Sprachindex!$A:$Z,Info!$O$7,FALSE)</f>
        <v>Stk.</v>
      </c>
      <c r="N64" s="77"/>
      <c r="O64" s="184" t="str">
        <f t="shared" si="17"/>
        <v/>
      </c>
      <c r="P64" s="267"/>
      <c r="Q64" s="5"/>
      <c r="R64" s="182">
        <v>54.1</v>
      </c>
      <c r="S64" s="179"/>
      <c r="T64" s="179"/>
      <c r="U64" s="179"/>
      <c r="V64" s="179"/>
      <c r="W64" s="179"/>
      <c r="X64" s="179"/>
      <c r="Y64" s="179"/>
      <c r="Z64" s="179"/>
      <c r="AA64" s="179"/>
      <c r="AB64" s="179"/>
      <c r="AC64" s="129"/>
      <c r="AD64" s="139">
        <f t="shared" si="18"/>
        <v>0</v>
      </c>
      <c r="AE64" s="139">
        <f t="shared" si="18"/>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VLOOKUP(AH64,AH64:AR64,$O$21,FALSE)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9"/>
        <v/>
      </c>
      <c r="E65" s="618" t="str">
        <f>VLOOKUP(561,Sprachindex!$A:$Z,Info!$O$7,FALSE)</f>
        <v>Laufsteg (250 × 420 mm)</v>
      </c>
      <c r="F65" s="619"/>
      <c r="G65" s="619"/>
      <c r="H65" s="619"/>
      <c r="I65" s="619"/>
      <c r="J65" s="619"/>
      <c r="K65" s="620"/>
      <c r="L65" s="76" t="str">
        <f t="shared" si="16"/>
        <v/>
      </c>
      <c r="M65" s="161" t="str">
        <f>VLOOKUP(878,Sprachindex!$A:$Z,Info!$O$7,FALSE)</f>
        <v>Stk.</v>
      </c>
      <c r="N65" s="77"/>
      <c r="O65" s="184" t="str">
        <f t="shared" si="17"/>
        <v/>
      </c>
      <c r="P65" s="267"/>
      <c r="Q65" s="5"/>
      <c r="R65" s="182">
        <v>40.14</v>
      </c>
      <c r="S65" s="179"/>
      <c r="T65" s="179"/>
      <c r="U65" s="179"/>
      <c r="V65" s="179"/>
      <c r="W65" s="179"/>
      <c r="X65" s="179"/>
      <c r="Y65" s="179"/>
      <c r="Z65" s="179"/>
      <c r="AA65" s="179"/>
      <c r="AB65" s="179"/>
      <c r="AC65" s="129"/>
      <c r="AD65" s="139">
        <f>ROUNDUP($A65/4,0)*4</f>
        <v>0</v>
      </c>
      <c r="AE65" s="139">
        <f t="shared" si="18"/>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VLOOKUP(AH65,AH65:AR65,$O$21,FALSE)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18" t="str">
        <f>VLOOKUP(565,Sprachindex!$A:$Z,Info!$O$7,FALSE)</f>
        <v>Laufsteg (360 × 800 mm)</v>
      </c>
      <c r="F66" s="619"/>
      <c r="G66" s="619"/>
      <c r="H66" s="619"/>
      <c r="I66" s="619"/>
      <c r="J66" s="619"/>
      <c r="K66" s="620"/>
      <c r="L66" s="76" t="str">
        <f t="shared" si="16"/>
        <v/>
      </c>
      <c r="M66" s="161" t="str">
        <f>VLOOKUP(878,Sprachindex!$A:$Z,Info!$O$7,FALSE)</f>
        <v>Stk.</v>
      </c>
      <c r="N66" s="77"/>
      <c r="O66" s="184" t="str">
        <f t="shared" si="17"/>
        <v/>
      </c>
      <c r="P66" s="267"/>
      <c r="Q66" s="5"/>
      <c r="R66" s="182">
        <v>83.23</v>
      </c>
      <c r="S66" s="179"/>
      <c r="T66" s="179"/>
      <c r="U66" s="179"/>
      <c r="V66" s="179"/>
      <c r="W66" s="179"/>
      <c r="X66" s="179"/>
      <c r="Y66" s="179"/>
      <c r="Z66" s="179"/>
      <c r="AA66" s="179"/>
      <c r="AB66" s="179"/>
      <c r="AC66" s="129"/>
      <c r="AD66" s="139">
        <f>ROUNDUP($A66,0)</f>
        <v>0</v>
      </c>
      <c r="AE66" s="139">
        <f t="shared" si="18"/>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18" t="str">
        <f>VLOOKUP(564,Sprachindex!$A:$Z,Info!$O$7,FALSE)</f>
        <v>Laufsteg (360 × 1.200 mm)</v>
      </c>
      <c r="F67" s="619"/>
      <c r="G67" s="619"/>
      <c r="H67" s="619"/>
      <c r="I67" s="619"/>
      <c r="J67" s="619"/>
      <c r="K67" s="620"/>
      <c r="L67" s="76" t="str">
        <f t="shared" si="16"/>
        <v/>
      </c>
      <c r="M67" s="161" t="str">
        <f>VLOOKUP(878,Sprachindex!$A:$Z,Info!$O$7,FALSE)</f>
        <v>Stk.</v>
      </c>
      <c r="N67" s="77"/>
      <c r="O67" s="184" t="str">
        <f t="shared" si="17"/>
        <v/>
      </c>
      <c r="P67" s="267"/>
      <c r="Q67" s="5"/>
      <c r="R67" s="182">
        <v>123.29</v>
      </c>
      <c r="S67" s="179"/>
      <c r="T67" s="179"/>
      <c r="U67" s="179"/>
      <c r="V67" s="179"/>
      <c r="W67" s="179"/>
      <c r="X67" s="179"/>
      <c r="Y67" s="179"/>
      <c r="Z67" s="179"/>
      <c r="AA67" s="179"/>
      <c r="AB67" s="179"/>
      <c r="AC67" s="129"/>
      <c r="AD67" s="139">
        <f>ROUNDUP($A67,0)</f>
        <v>0</v>
      </c>
      <c r="AE67" s="139">
        <f t="shared" si="18"/>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18" t="str">
        <f>VLOOKUP(955,Sprachindex!$A:$Z,Info!$O$7,FALSE)</f>
        <v>Verbinder (verzinkt; für Laufsteg; Breite: 250 mm)</v>
      </c>
      <c r="F68" s="619"/>
      <c r="G68" s="619"/>
      <c r="H68" s="619"/>
      <c r="I68" s="619"/>
      <c r="J68" s="619"/>
      <c r="K68" s="620"/>
      <c r="L68" s="76" t="str">
        <f t="shared" si="16"/>
        <v/>
      </c>
      <c r="M68" s="161" t="str">
        <f>VLOOKUP(878,Sprachindex!$A:$Z,Info!$O$7,FALSE)</f>
        <v>Stk.</v>
      </c>
      <c r="N68" s="77"/>
      <c r="O68" s="184" t="str">
        <f t="shared" si="17"/>
        <v/>
      </c>
      <c r="P68" s="267"/>
      <c r="Q68" s="5"/>
      <c r="R68" s="182">
        <v>24.74</v>
      </c>
      <c r="S68" s="179"/>
      <c r="T68" s="179"/>
      <c r="U68" s="179"/>
      <c r="V68" s="179"/>
      <c r="W68" s="179"/>
      <c r="X68" s="179"/>
      <c r="Y68" s="179"/>
      <c r="Z68" s="179"/>
      <c r="AA68" s="179"/>
      <c r="AB68" s="179"/>
      <c r="AC68" s="129"/>
      <c r="AD68" s="139">
        <f>ROUNDUP($A68,0)</f>
        <v>0</v>
      </c>
      <c r="AE68" s="139">
        <f t="shared" si="18"/>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18" t="str">
        <f>VLOOKUP(956,Sprachindex!$A:$Z,Info!$O$7,FALSE)</f>
        <v>Verbinder (verzinkt; für Laufsteg; Breite: 360 mm)</v>
      </c>
      <c r="F69" s="619"/>
      <c r="G69" s="619"/>
      <c r="H69" s="619"/>
      <c r="I69" s="619"/>
      <c r="J69" s="619"/>
      <c r="K69" s="620"/>
      <c r="L69" s="76" t="str">
        <f t="shared" si="16"/>
        <v/>
      </c>
      <c r="M69" s="161" t="str">
        <f>VLOOKUP(878,Sprachindex!$A:$Z,Info!$O$7,FALSE)</f>
        <v>Stk.</v>
      </c>
      <c r="N69" s="77"/>
      <c r="O69" s="184" t="str">
        <f t="shared" si="17"/>
        <v/>
      </c>
      <c r="P69" s="267"/>
      <c r="Q69" s="5"/>
      <c r="R69" s="182">
        <v>54.66</v>
      </c>
      <c r="S69" s="179"/>
      <c r="T69" s="179"/>
      <c r="U69" s="179"/>
      <c r="V69" s="179"/>
      <c r="W69" s="179"/>
      <c r="X69" s="179"/>
      <c r="Y69" s="179"/>
      <c r="Z69" s="179"/>
      <c r="AA69" s="179"/>
      <c r="AB69" s="179"/>
      <c r="AC69" s="129"/>
      <c r="AD69" s="139">
        <f>ROUNDUP($A69,0)</f>
        <v>0</v>
      </c>
      <c r="AE69" s="139">
        <f t="shared" si="18"/>
        <v>0</v>
      </c>
      <c r="AF69" s="135"/>
      <c r="AH69" s="621" t="s">
        <v>26</v>
      </c>
      <c r="AI69" s="622"/>
      <c r="AJ69" s="622"/>
      <c r="AK69" s="622"/>
      <c r="AL69" s="622"/>
      <c r="AM69" s="622"/>
      <c r="AN69" s="622"/>
      <c r="AO69" s="622"/>
      <c r="AP69" s="622"/>
      <c r="AQ69" s="622"/>
      <c r="AR69" s="622"/>
      <c r="AS69" s="623"/>
      <c r="AT69" s="621" t="s">
        <v>27</v>
      </c>
      <c r="AU69" s="622"/>
      <c r="AV69" s="622"/>
      <c r="AW69" s="622"/>
      <c r="AX69" s="622"/>
      <c r="AY69" s="622"/>
      <c r="AZ69" s="622"/>
      <c r="BA69" s="622"/>
      <c r="BB69" s="622"/>
      <c r="BC69" s="622"/>
      <c r="BD69" s="623"/>
    </row>
    <row r="70" spans="1:58" ht="32.1" customHeight="1">
      <c r="A70" s="93"/>
      <c r="B70" s="76" t="str">
        <f>VLOOKUP(878,Sprachindex!$A:$Z,Info!$O$7,FALSE)</f>
        <v>Stk.</v>
      </c>
      <c r="C70" s="78" t="e" vm="40">
        <v>#VALUE!</v>
      </c>
      <c r="D70" s="80">
        <v>635661</v>
      </c>
      <c r="E70" s="618" t="str">
        <f>VLOOKUP(277,Sprachindex!$A:$Z,Info!$O$7,FALSE)</f>
        <v>Sicherheitsdachhaken auf Fußteilen</v>
      </c>
      <c r="F70" s="619"/>
      <c r="G70" s="619"/>
      <c r="H70" s="619"/>
      <c r="I70" s="619"/>
      <c r="J70" s="619"/>
      <c r="K70" s="620"/>
      <c r="L70" s="76" t="str">
        <f t="shared" si="16"/>
        <v/>
      </c>
      <c r="M70" s="161" t="str">
        <f>VLOOKUP(878,Sprachindex!$A:$Z,Info!$O$7,FALSE)</f>
        <v>Stk.</v>
      </c>
      <c r="N70" s="77"/>
      <c r="O70" s="184" t="str">
        <f t="shared" si="17"/>
        <v/>
      </c>
      <c r="P70" s="267"/>
      <c r="Q70" s="5"/>
      <c r="R70" s="182">
        <v>123.39</v>
      </c>
      <c r="S70" s="179"/>
      <c r="T70" s="179"/>
      <c r="U70" s="179"/>
      <c r="V70" s="179"/>
      <c r="W70" s="179"/>
      <c r="X70" s="179"/>
      <c r="Y70" s="179"/>
      <c r="Z70" s="179"/>
      <c r="AA70" s="179"/>
      <c r="AB70" s="179"/>
      <c r="AC70" s="129"/>
      <c r="AD70" s="139">
        <f>ROUNDUP($A70,0)</f>
        <v>0</v>
      </c>
      <c r="AE70" s="139">
        <f t="shared" si="18"/>
        <v>0</v>
      </c>
      <c r="AF70" s="135"/>
      <c r="AH70" s="47" t="s">
        <v>35</v>
      </c>
      <c r="AI70" s="47" t="s">
        <v>32</v>
      </c>
      <c r="AJ70" s="47" t="s">
        <v>40</v>
      </c>
      <c r="AK70" s="47" t="s">
        <v>37</v>
      </c>
      <c r="AL70" s="47" t="s">
        <v>33</v>
      </c>
      <c r="AM70" s="47" t="s">
        <v>39</v>
      </c>
      <c r="AN70" s="47" t="s">
        <v>34</v>
      </c>
      <c r="AO70" s="47" t="s">
        <v>38</v>
      </c>
      <c r="AP70" s="47" t="s">
        <v>41</v>
      </c>
      <c r="AQ70" s="47" t="s">
        <v>36</v>
      </c>
      <c r="AR70" s="47" t="s">
        <v>38962</v>
      </c>
      <c r="AS70" s="503" t="s">
        <v>39049</v>
      </c>
      <c r="AT70" s="47" t="s">
        <v>35</v>
      </c>
      <c r="AU70" s="47" t="s">
        <v>32</v>
      </c>
      <c r="AV70" s="47" t="s">
        <v>40</v>
      </c>
      <c r="AW70" s="47" t="s">
        <v>37</v>
      </c>
      <c r="AX70" s="47" t="s">
        <v>33</v>
      </c>
      <c r="AY70" s="47" t="s">
        <v>39</v>
      </c>
      <c r="AZ70" s="47" t="s">
        <v>34</v>
      </c>
      <c r="BA70" s="47" t="s">
        <v>38</v>
      </c>
      <c r="BB70" s="47" t="s">
        <v>41</v>
      </c>
      <c r="BC70" s="47" t="s">
        <v>36</v>
      </c>
      <c r="BD70" s="47" t="s">
        <v>38962</v>
      </c>
      <c r="BE70" s="503" t="s">
        <v>39049</v>
      </c>
      <c r="BF70" s="543"/>
    </row>
    <row r="71" spans="1:58" ht="32.1" customHeight="1">
      <c r="A71" s="93"/>
      <c r="B71" s="76" t="str">
        <f>VLOOKUP(878,Sprachindex!$A:$Z,Info!$O$7,FALSE)</f>
        <v>Stk.</v>
      </c>
      <c r="C71" s="78" t="e" vm="41">
        <v>#VALUE!</v>
      </c>
      <c r="D71" s="75" t="str">
        <f t="shared" ref="D71" si="20">IF(ISNUMBER(A71),AS71,"")</f>
        <v/>
      </c>
      <c r="E71" s="618" t="str">
        <f>VLOOKUP(822,Sprachindex!$A:$Z,Info!$O$7,FALSE)</f>
        <v>Sicherheitsdachhaken</v>
      </c>
      <c r="F71" s="619"/>
      <c r="G71" s="619"/>
      <c r="H71" s="619"/>
      <c r="I71" s="619"/>
      <c r="J71" s="619"/>
      <c r="K71" s="620"/>
      <c r="L71" s="76" t="str">
        <f t="shared" si="16"/>
        <v/>
      </c>
      <c r="M71" s="161" t="str">
        <f>VLOOKUP(878,Sprachindex!$A:$Z,Info!$O$7,FALSE)</f>
        <v>Stk.</v>
      </c>
      <c r="N71" s="77"/>
      <c r="O71" s="184" t="str">
        <f t="shared" si="17"/>
        <v/>
      </c>
      <c r="P71" s="267"/>
      <c r="Q71" s="5"/>
      <c r="R71" s="182">
        <v>32.479999999999997</v>
      </c>
      <c r="S71" s="179"/>
      <c r="T71" s="179"/>
      <c r="U71" s="179"/>
      <c r="V71" s="179"/>
      <c r="W71" s="179"/>
      <c r="X71" s="179"/>
      <c r="Y71" s="179"/>
      <c r="Z71" s="179"/>
      <c r="AA71" s="179"/>
      <c r="AB71" s="179"/>
      <c r="AC71" s="129"/>
      <c r="AD71" s="139">
        <f>ROUNDUP($A71/12,0)*12</f>
        <v>0</v>
      </c>
      <c r="AE71" s="139">
        <f t="shared" si="18"/>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VLOOKUP(AH71,AH71:AR71,$O$21,FALSE)</f>
        <v>#VALUE!</v>
      </c>
      <c r="BE71" s="132"/>
      <c r="BF71" s="132"/>
    </row>
    <row r="72" spans="1:58" ht="32.1" customHeight="1">
      <c r="A72" s="93"/>
      <c r="B72" s="76" t="str">
        <f>VLOOKUP(878,Sprachindex!$A:$Z,Info!$O$7,FALSE)</f>
        <v>Stk.</v>
      </c>
      <c r="C72" s="78" t="e" vm="95">
        <v>#VALUE!</v>
      </c>
      <c r="D72" s="75" t="str">
        <f>IF(ISNUMBER(A72),AS72,"")</f>
        <v/>
      </c>
      <c r="E72" s="618" t="str">
        <f>VLOOKUP(1424,Sprachindex!$A:$Z,Info!$O$7,FALSE)</f>
        <v>Einfassungsplatte für Dachschindel DS.19</v>
      </c>
      <c r="F72" s="619"/>
      <c r="G72" s="619"/>
      <c r="H72" s="619"/>
      <c r="I72" s="619"/>
      <c r="J72" s="619"/>
      <c r="K72" s="620"/>
      <c r="L72" s="76" t="str">
        <f>IF(A72=0,"",IF($O$11=1,AD72,AE72))</f>
        <v/>
      </c>
      <c r="M72" s="399" t="str">
        <f t="shared" si="0"/>
        <v>Stk.</v>
      </c>
      <c r="N72" s="77"/>
      <c r="O72" s="184" t="str">
        <f t="shared" ref="O72:O79" si="21">IF(ISNUMBER(A72),$L72*R72, "")</f>
        <v/>
      </c>
      <c r="P72" s="5"/>
      <c r="Q72" s="5"/>
      <c r="R72" s="182">
        <v>122.36</v>
      </c>
      <c r="S72" s="179"/>
      <c r="T72" s="5"/>
      <c r="U72" s="5"/>
      <c r="V72" s="5"/>
      <c r="W72" s="5"/>
      <c r="X72" s="5"/>
      <c r="Y72" s="5"/>
      <c r="Z72" s="5"/>
      <c r="AA72" s="5"/>
      <c r="AB72" s="5"/>
      <c r="AD72" s="139">
        <f>ROUNDUP($A72,0)</f>
        <v>0</v>
      </c>
      <c r="AE72" s="139">
        <f t="shared" ref="AE72:AE80" si="22">ROUNDUP($A72,0)</f>
        <v>0</v>
      </c>
      <c r="AF72" s="8"/>
      <c r="AG72" s="5"/>
      <c r="AH72" s="498">
        <v>112683</v>
      </c>
      <c r="AI72" s="498">
        <v>112680</v>
      </c>
      <c r="AJ72" s="498">
        <v>112688</v>
      </c>
      <c r="AK72" s="498">
        <v>112685</v>
      </c>
      <c r="AL72" s="498">
        <v>112681</v>
      </c>
      <c r="AM72" s="498">
        <v>112687</v>
      </c>
      <c r="AN72" s="498">
        <v>112682</v>
      </c>
      <c r="AO72" s="498">
        <v>112686</v>
      </c>
      <c r="AP72" s="498">
        <v>112689</v>
      </c>
      <c r="AQ72" s="498">
        <v>112684</v>
      </c>
      <c r="AR72" s="498">
        <v>11331028</v>
      </c>
      <c r="AS72" s="512" t="e" vm="2">
        <f>VLOOKUP(AH72,AH72:AR72,$O$21,FALSE)</f>
        <v>#VALUE!</v>
      </c>
    </row>
    <row r="73" spans="1:58" ht="32.1" customHeight="1">
      <c r="A73" s="93"/>
      <c r="B73" s="76" t="str">
        <f>VLOOKUP(878,Sprachindex!$A:$Z,Info!$O$7,FALSE)</f>
        <v>Stk.</v>
      </c>
      <c r="C73" s="78" t="e" vm="43">
        <v>#VALUE!</v>
      </c>
      <c r="D73" s="75" t="str">
        <f>IF(ISNUMBER(A73),BE73,"")</f>
        <v/>
      </c>
      <c r="E73" s="618" t="str">
        <f>VLOOKUP(2942,Sprachindex!$A:$Z,Info!$O$7,FALSE)</f>
        <v>Einfassungsplatte, zum Einfalzen; Stucco</v>
      </c>
      <c r="F73" s="619"/>
      <c r="G73" s="619"/>
      <c r="H73" s="619"/>
      <c r="I73" s="619"/>
      <c r="J73" s="619"/>
      <c r="K73" s="620"/>
      <c r="L73" s="76" t="str">
        <f t="shared" ref="L73:L78" si="23">IF(A73=0,"",IF($P$11=1,AD73,AE73))</f>
        <v/>
      </c>
      <c r="M73" s="161" t="str">
        <f>VLOOKUP(878,Sprachindex!$A:$Z,Info!$O$7,FALSE)</f>
        <v>Stk.</v>
      </c>
      <c r="N73" s="77"/>
      <c r="O73" s="184" t="str">
        <f t="shared" si="21"/>
        <v/>
      </c>
      <c r="P73" s="267"/>
      <c r="Q73" s="5"/>
      <c r="R73" s="182">
        <v>115.36</v>
      </c>
      <c r="S73" s="179"/>
      <c r="T73" s="179"/>
      <c r="U73" s="179"/>
      <c r="V73" s="179"/>
      <c r="W73" s="179"/>
      <c r="X73" s="179"/>
      <c r="Y73" s="179"/>
      <c r="Z73" s="179"/>
      <c r="AA73" s="179"/>
      <c r="AB73" s="179"/>
      <c r="AC73" s="129"/>
      <c r="AD73" s="139">
        <f>ROUNDUP($A73/5,0)*5</f>
        <v>0</v>
      </c>
      <c r="AE73" s="139">
        <f t="shared" ref="AE73:AE78" si="24">ROUNDUP($A73,0)</f>
        <v>0</v>
      </c>
      <c r="AF73" s="135"/>
      <c r="AH73" s="542">
        <v>110233</v>
      </c>
      <c r="AI73" s="542">
        <v>110230</v>
      </c>
      <c r="AJ73" s="542">
        <v>110238</v>
      </c>
      <c r="AK73" s="542">
        <v>110235</v>
      </c>
      <c r="AL73" s="542">
        <v>110231</v>
      </c>
      <c r="AM73" s="542">
        <v>110237</v>
      </c>
      <c r="AN73" s="542">
        <v>110232</v>
      </c>
      <c r="AO73" s="542">
        <v>110236</v>
      </c>
      <c r="AP73" s="542">
        <v>110239</v>
      </c>
      <c r="AQ73" s="542">
        <v>110234</v>
      </c>
      <c r="AR73" s="542"/>
      <c r="AS73" s="512"/>
      <c r="AT73" s="432">
        <v>112883</v>
      </c>
      <c r="AU73" s="541">
        <v>112880</v>
      </c>
      <c r="AV73" s="432">
        <v>112888</v>
      </c>
      <c r="AW73" s="432">
        <v>112885</v>
      </c>
      <c r="AX73" s="432">
        <v>112881</v>
      </c>
      <c r="AY73" s="432">
        <v>112887</v>
      </c>
      <c r="AZ73" s="432">
        <v>112882</v>
      </c>
      <c r="BA73" s="432">
        <v>112886</v>
      </c>
      <c r="BB73" s="432">
        <v>112889</v>
      </c>
      <c r="BC73" s="432">
        <v>112884</v>
      </c>
      <c r="BD73" s="432">
        <v>15011028</v>
      </c>
      <c r="BE73" s="512" t="e" vm="2">
        <f>VLOOKUP(AT73,AT73:BD73,$O$21,FALSE)</f>
        <v>#VALUE!</v>
      </c>
      <c r="BF73" s="544"/>
    </row>
    <row r="74" spans="1:58" ht="32.1" customHeight="1">
      <c r="A74" s="93"/>
      <c r="B74" s="76" t="str">
        <f>VLOOKUP(878,Sprachindex!$A:$Z,Info!$O$7,FALSE)</f>
        <v>Stk.</v>
      </c>
      <c r="C74" s="78" t="e" vm="44">
        <v>#VALUE!</v>
      </c>
      <c r="D74" s="75" t="str">
        <f>IF(ISNUMBER(A74),BE74,"")</f>
        <v/>
      </c>
      <c r="E74" s="618" t="str">
        <f>VLOOKUP(926,Sprachindex!$A:$Z,Info!$O$7,FALSE)</f>
        <v>Universaleinfassung (2-teilig); stucco; ⌀ 40–120 mm</v>
      </c>
      <c r="F74" s="619"/>
      <c r="G74" s="619"/>
      <c r="H74" s="619"/>
      <c r="I74" s="619"/>
      <c r="J74" s="619"/>
      <c r="K74" s="620"/>
      <c r="L74" s="76" t="str">
        <f t="shared" si="23"/>
        <v/>
      </c>
      <c r="M74" s="161" t="str">
        <f>VLOOKUP(878,Sprachindex!$A:$Z,Info!$O$7,FALSE)</f>
        <v>Stk.</v>
      </c>
      <c r="N74" s="77"/>
      <c r="O74" s="184" t="str">
        <f t="shared" si="21"/>
        <v/>
      </c>
      <c r="P74" s="267"/>
      <c r="Q74" s="5"/>
      <c r="R74" s="182">
        <v>122.16</v>
      </c>
      <c r="S74" s="179"/>
      <c r="T74" s="179"/>
      <c r="U74" s="179"/>
      <c r="V74" s="179"/>
      <c r="W74" s="179"/>
      <c r="X74" s="179"/>
      <c r="Y74" s="179"/>
      <c r="Z74" s="179"/>
      <c r="AA74" s="179"/>
      <c r="AB74" s="179"/>
      <c r="AC74" s="129"/>
      <c r="AD74" s="139">
        <f>ROUNDUP($A74,0)</f>
        <v>0</v>
      </c>
      <c r="AE74" s="139">
        <f t="shared" si="24"/>
        <v>0</v>
      </c>
      <c r="AF74" s="135"/>
      <c r="AH74" s="542"/>
      <c r="AI74" s="542"/>
      <c r="AJ74" s="542"/>
      <c r="AK74" s="542"/>
      <c r="AL74" s="542"/>
      <c r="AM74" s="542"/>
      <c r="AN74" s="542"/>
      <c r="AO74" s="542"/>
      <c r="AP74" s="542"/>
      <c r="AQ74" s="542"/>
      <c r="AR74" s="542"/>
      <c r="AS74" s="512"/>
      <c r="AT74" s="432">
        <v>110243</v>
      </c>
      <c r="AU74" s="432">
        <v>110240</v>
      </c>
      <c r="AV74" s="432">
        <v>110248</v>
      </c>
      <c r="AW74" s="432">
        <v>110245</v>
      </c>
      <c r="AX74" s="432">
        <v>110241</v>
      </c>
      <c r="AY74" s="432">
        <v>110247</v>
      </c>
      <c r="AZ74" s="432">
        <v>110242</v>
      </c>
      <c r="BA74" s="432">
        <v>110246</v>
      </c>
      <c r="BB74" s="432">
        <v>110249</v>
      </c>
      <c r="BC74" s="432">
        <v>110244</v>
      </c>
      <c r="BD74" s="432">
        <v>15031028</v>
      </c>
      <c r="BE74" s="512" t="e" vm="2">
        <f>VLOOKUP(AT74,AT74:BD74,$O$21,FALSE)</f>
        <v>#VALUE!</v>
      </c>
    </row>
    <row r="75" spans="1:58" ht="32.1" customHeight="1">
      <c r="A75" s="93"/>
      <c r="B75" s="76" t="str">
        <f>VLOOKUP(878,Sprachindex!$A:$Z,Info!$O$7,FALSE)</f>
        <v>Stk.</v>
      </c>
      <c r="C75" s="78" t="e" vm="45">
        <v>#VALUE!</v>
      </c>
      <c r="D75" s="75" t="str">
        <f t="shared" ref="D75:D77" si="25">IF(ISNUMBER(A75),AS75,"")</f>
        <v/>
      </c>
      <c r="E75" s="618" t="str">
        <f>VLOOKUP(364,Sprachindex!$A:$Z,Info!$O$7,FALSE)</f>
        <v>Entlüftungshaube (⌀ 100; glatt)</v>
      </c>
      <c r="F75" s="619"/>
      <c r="G75" s="619"/>
      <c r="H75" s="619"/>
      <c r="I75" s="619"/>
      <c r="J75" s="619"/>
      <c r="K75" s="620"/>
      <c r="L75" s="76" t="str">
        <f t="shared" si="23"/>
        <v/>
      </c>
      <c r="M75" s="161" t="str">
        <f>VLOOKUP(878,Sprachindex!$A:$Z,Info!$O$7,FALSE)</f>
        <v>Stk.</v>
      </c>
      <c r="N75" s="77"/>
      <c r="O75" s="184" t="str">
        <f t="shared" si="21"/>
        <v/>
      </c>
      <c r="P75" s="267"/>
      <c r="Q75" s="5"/>
      <c r="R75" s="182">
        <v>192.1</v>
      </c>
      <c r="S75" s="179"/>
      <c r="T75" s="179"/>
      <c r="U75" s="179"/>
      <c r="V75" s="179"/>
      <c r="W75" s="179"/>
      <c r="X75" s="179"/>
      <c r="Y75" s="179"/>
      <c r="Z75" s="179"/>
      <c r="AA75" s="179"/>
      <c r="AB75" s="179"/>
      <c r="AC75" s="129"/>
      <c r="AD75" s="139">
        <f>ROUNDUP($A75,0)</f>
        <v>0</v>
      </c>
      <c r="AE75" s="139">
        <f t="shared" si="24"/>
        <v>0</v>
      </c>
      <c r="AF75" s="135"/>
      <c r="AH75" s="433">
        <v>110283</v>
      </c>
      <c r="AI75" s="433">
        <v>110280</v>
      </c>
      <c r="AJ75" s="433">
        <v>110288</v>
      </c>
      <c r="AK75" s="433">
        <v>110285</v>
      </c>
      <c r="AL75" s="433">
        <v>110281</v>
      </c>
      <c r="AM75" s="433">
        <v>110287</v>
      </c>
      <c r="AN75" s="433">
        <v>110282</v>
      </c>
      <c r="AO75" s="433">
        <v>110286</v>
      </c>
      <c r="AP75" s="433">
        <v>110289</v>
      </c>
      <c r="AQ75" s="433">
        <v>110284</v>
      </c>
      <c r="AR75" s="433">
        <v>15071028</v>
      </c>
      <c r="AS75" s="512" t="e" vm="2">
        <f>VLOOKUP(AH75,AH75:AR75,$O$21,FALSE)</f>
        <v>#VALUE!</v>
      </c>
    </row>
    <row r="76" spans="1:58" ht="32.1" customHeight="1">
      <c r="A76" s="93"/>
      <c r="B76" s="76" t="str">
        <f>VLOOKUP(878,Sprachindex!$A:$Z,Info!$O$7,FALSE)</f>
        <v>Stk.</v>
      </c>
      <c r="C76" s="78" t="e" vm="46">
        <v>#VALUE!</v>
      </c>
      <c r="D76" s="75" t="str">
        <f t="shared" si="25"/>
        <v/>
      </c>
      <c r="E76" s="618" t="str">
        <f>VLOOKUP(366,Sprachindex!$A:$Z,Info!$O$7,FALSE)</f>
        <v>Entlüftungsrohr (⌀ 100; passend für HT-Rohr [NW 110])</v>
      </c>
      <c r="F76" s="619"/>
      <c r="G76" s="619"/>
      <c r="H76" s="619"/>
      <c r="I76" s="619"/>
      <c r="J76" s="619"/>
      <c r="K76" s="620"/>
      <c r="L76" s="76" t="str">
        <f t="shared" si="23"/>
        <v/>
      </c>
      <c r="M76" s="161" t="str">
        <f>VLOOKUP(878,Sprachindex!$A:$Z,Info!$O$7,FALSE)</f>
        <v>Stk.</v>
      </c>
      <c r="N76" s="77"/>
      <c r="O76" s="184" t="str">
        <f t="shared" si="21"/>
        <v/>
      </c>
      <c r="P76" s="267"/>
      <c r="Q76" s="5"/>
      <c r="R76" s="182">
        <v>79.069999999999993</v>
      </c>
      <c r="S76" s="179"/>
      <c r="T76" s="179"/>
      <c r="U76" s="179"/>
      <c r="V76" s="179"/>
      <c r="W76" s="179"/>
      <c r="X76" s="179"/>
      <c r="Y76" s="179"/>
      <c r="Z76" s="179"/>
      <c r="AA76" s="179"/>
      <c r="AB76" s="179"/>
      <c r="AC76" s="129"/>
      <c r="AD76" s="139">
        <f>ROUNDUP($A76,0)</f>
        <v>0</v>
      </c>
      <c r="AE76" s="139">
        <f t="shared" si="24"/>
        <v>0</v>
      </c>
      <c r="AF76" s="135"/>
      <c r="AH76" s="433">
        <v>110203</v>
      </c>
      <c r="AI76" s="433">
        <v>110200</v>
      </c>
      <c r="AJ76" s="433">
        <v>110208</v>
      </c>
      <c r="AK76" s="433">
        <v>110205</v>
      </c>
      <c r="AL76" s="433">
        <v>110201</v>
      </c>
      <c r="AM76" s="433">
        <v>110207</v>
      </c>
      <c r="AN76" s="433">
        <v>110202</v>
      </c>
      <c r="AO76" s="433">
        <v>110206</v>
      </c>
      <c r="AP76" s="433">
        <v>121015</v>
      </c>
      <c r="AQ76" s="433">
        <v>110204</v>
      </c>
      <c r="AR76" s="433">
        <v>15081028</v>
      </c>
      <c r="AS76" s="512" t="e" vm="2">
        <f>VLOOKUP(AH76,AH76:AR76,$O$21,FALSE)</f>
        <v>#VALUE!</v>
      </c>
    </row>
    <row r="77" spans="1:58" ht="32.1" customHeight="1">
      <c r="A77" s="93"/>
      <c r="B77" s="76" t="str">
        <f>VLOOKUP(878,Sprachindex!$A:$Z,Info!$O$7,FALSE)</f>
        <v>Stk.</v>
      </c>
      <c r="C77" s="78" t="e" vm="47">
        <v>#VALUE!</v>
      </c>
      <c r="D77" s="75" t="str">
        <f t="shared" si="25"/>
        <v/>
      </c>
      <c r="E77" s="618" t="str">
        <f>VLOOKUP(368,Sprachindex!$A:$Z,Info!$O$7,FALSE)</f>
        <v>Entlüftungsrohr (⌀ 120; passend für HT-Rohr [NW 125])</v>
      </c>
      <c r="F77" s="619"/>
      <c r="G77" s="619"/>
      <c r="H77" s="619"/>
      <c r="I77" s="619"/>
      <c r="J77" s="619"/>
      <c r="K77" s="620"/>
      <c r="L77" s="76" t="str">
        <f t="shared" si="23"/>
        <v/>
      </c>
      <c r="M77" s="161" t="str">
        <f>VLOOKUP(878,Sprachindex!$A:$Z,Info!$O$7,FALSE)</f>
        <v>Stk.</v>
      </c>
      <c r="N77" s="77"/>
      <c r="O77" s="184" t="str">
        <f t="shared" si="21"/>
        <v/>
      </c>
      <c r="P77" s="267"/>
      <c r="Q77" s="5"/>
      <c r="R77" s="182">
        <v>83.85</v>
      </c>
      <c r="S77" s="179"/>
      <c r="T77" s="179"/>
      <c r="U77" s="179"/>
      <c r="V77" s="179"/>
      <c r="W77" s="179"/>
      <c r="X77" s="179"/>
      <c r="Y77" s="179"/>
      <c r="Z77" s="179"/>
      <c r="AA77" s="179"/>
      <c r="AB77" s="179"/>
      <c r="AC77" s="129"/>
      <c r="AD77" s="139">
        <f>ROUNDUP($A77,0)</f>
        <v>0</v>
      </c>
      <c r="AE77" s="139">
        <f t="shared" si="24"/>
        <v>0</v>
      </c>
      <c r="AF77" s="135"/>
      <c r="AH77" s="433">
        <v>110213</v>
      </c>
      <c r="AI77" s="433">
        <v>110210</v>
      </c>
      <c r="AJ77" s="433">
        <v>110218</v>
      </c>
      <c r="AK77" s="433">
        <v>110215</v>
      </c>
      <c r="AL77" s="433">
        <v>110211</v>
      </c>
      <c r="AM77" s="433">
        <v>110217</v>
      </c>
      <c r="AN77" s="433">
        <v>110212</v>
      </c>
      <c r="AO77" s="433">
        <v>110216</v>
      </c>
      <c r="AP77" s="433">
        <v>121025</v>
      </c>
      <c r="AQ77" s="433">
        <v>110214</v>
      </c>
      <c r="AR77" s="433">
        <v>15091028</v>
      </c>
      <c r="AS77" s="512" t="e" vm="2">
        <f>VLOOKUP(AH77,AH77:AR77,$O$21,FALSE)</f>
        <v>#VALUE!</v>
      </c>
    </row>
    <row r="78" spans="1:58" ht="32.1" customHeight="1">
      <c r="A78" s="93"/>
      <c r="B78" s="76" t="str">
        <f>VLOOKUP(878,Sprachindex!$A:$Z,Info!$O$7,FALSE)</f>
        <v>Stk.</v>
      </c>
      <c r="C78" s="78" t="e" vm="48">
        <v>#VALUE!</v>
      </c>
      <c r="D78" s="80">
        <v>340943</v>
      </c>
      <c r="E78" s="618" t="str">
        <f>VLOOKUP(379,Sprachindex!$A:$Z,Info!$O$7,FALSE)</f>
        <v>Faltmanschette (Ø 100–130)</v>
      </c>
      <c r="F78" s="619"/>
      <c r="G78" s="619"/>
      <c r="H78" s="619"/>
      <c r="I78" s="619"/>
      <c r="J78" s="619"/>
      <c r="K78" s="620"/>
      <c r="L78" s="76" t="str">
        <f t="shared" si="23"/>
        <v/>
      </c>
      <c r="M78" s="161" t="str">
        <f>VLOOKUP(878,Sprachindex!$A:$Z,Info!$O$7,FALSE)</f>
        <v>Stk.</v>
      </c>
      <c r="N78" s="77"/>
      <c r="O78" s="184" t="str">
        <f t="shared" si="21"/>
        <v/>
      </c>
      <c r="P78" s="267"/>
      <c r="Q78" s="5"/>
      <c r="R78" s="182">
        <v>38.86</v>
      </c>
      <c r="S78" s="179"/>
      <c r="T78" s="179"/>
      <c r="U78" s="179"/>
      <c r="V78" s="179"/>
      <c r="W78" s="179"/>
      <c r="X78" s="179"/>
      <c r="Y78" s="179"/>
      <c r="Z78" s="179"/>
      <c r="AA78" s="179"/>
      <c r="AB78" s="179"/>
      <c r="AC78" s="129"/>
      <c r="AD78" s="139">
        <f>ROUNDUP($A78,0)</f>
        <v>0</v>
      </c>
      <c r="AE78" s="139">
        <f t="shared" si="24"/>
        <v>0</v>
      </c>
      <c r="AF78" s="135"/>
      <c r="AS78" s="503" t="s">
        <v>39049</v>
      </c>
      <c r="AT78" s="47" t="s">
        <v>35</v>
      </c>
      <c r="AU78" s="47" t="s">
        <v>32</v>
      </c>
      <c r="AV78" s="47" t="s">
        <v>40</v>
      </c>
      <c r="AW78" s="47" t="s">
        <v>37</v>
      </c>
      <c r="AX78" s="47" t="s">
        <v>33</v>
      </c>
      <c r="AY78" s="47" t="s">
        <v>39</v>
      </c>
      <c r="AZ78" s="47" t="s">
        <v>34</v>
      </c>
      <c r="BA78" s="47" t="s">
        <v>38</v>
      </c>
      <c r="BB78" s="47" t="s">
        <v>41</v>
      </c>
      <c r="BC78" s="47" t="s">
        <v>36</v>
      </c>
      <c r="BD78" s="47" t="s">
        <v>38962</v>
      </c>
      <c r="BE78" s="503" t="s">
        <v>39049</v>
      </c>
      <c r="BF78" s="132"/>
    </row>
    <row r="79" spans="1:58" ht="32.1" customHeight="1">
      <c r="A79" s="93"/>
      <c r="B79" s="76" t="str">
        <f>VLOOKUP(878,Sprachindex!$A:$Z,Info!$O$7,FALSE)</f>
        <v>Stk.</v>
      </c>
      <c r="C79" s="78"/>
      <c r="D79" s="75" t="str">
        <f>IF($O$9=1,BE79,IF($O$9=2,AS79,""))</f>
        <v/>
      </c>
      <c r="E79" s="618" t="str">
        <f>IF($O$9=1,VLOOKUP(2945,Sprachindex!$A:$Z,Info!$O$7,FALSE),VLOOKUP(1421,Sprachindex!$A:$Z,Info!$O$7,FALSE))</f>
        <v>Unterlagsplatte für DR44, DS.19; glatt</v>
      </c>
      <c r="F79" s="619"/>
      <c r="G79" s="619"/>
      <c r="H79" s="619"/>
      <c r="I79" s="619"/>
      <c r="J79" s="619"/>
      <c r="K79" s="620"/>
      <c r="L79" s="76" t="str">
        <f>IF(A79=0,"",IF($O$11=1,AD79,AE79))</f>
        <v/>
      </c>
      <c r="M79" s="399" t="str">
        <f t="shared" si="0"/>
        <v>Stk.</v>
      </c>
      <c r="N79" s="77"/>
      <c r="O79" s="184" t="str">
        <f t="shared" si="21"/>
        <v/>
      </c>
      <c r="P79" s="5"/>
      <c r="Q79" s="5"/>
      <c r="R79" s="182">
        <v>13</v>
      </c>
      <c r="S79" s="179"/>
      <c r="T79" s="5"/>
      <c r="U79" s="5"/>
      <c r="V79" s="5"/>
      <c r="W79" s="5"/>
      <c r="X79" s="5"/>
      <c r="Y79" s="5"/>
      <c r="Z79" s="5"/>
      <c r="AA79" s="5"/>
      <c r="AB79" s="5"/>
      <c r="AD79" s="139">
        <f>ROUNDUP($A79/10,0)*10</f>
        <v>0</v>
      </c>
      <c r="AE79" s="139">
        <f t="shared" si="22"/>
        <v>0</v>
      </c>
      <c r="AF79" s="8"/>
      <c r="AG79" s="5"/>
      <c r="AH79" s="433">
        <v>112384</v>
      </c>
      <c r="AI79" s="433">
        <v>112381</v>
      </c>
      <c r="AJ79" s="433">
        <v>112389</v>
      </c>
      <c r="AK79" s="433">
        <v>112386</v>
      </c>
      <c r="AL79" s="433">
        <v>112382</v>
      </c>
      <c r="AM79" s="433">
        <v>112387</v>
      </c>
      <c r="AN79" s="433">
        <v>112383</v>
      </c>
      <c r="AO79" s="433">
        <v>112388</v>
      </c>
      <c r="AP79" s="433">
        <v>112390</v>
      </c>
      <c r="AQ79" s="433">
        <v>112385</v>
      </c>
      <c r="AR79" s="433">
        <v>15561028</v>
      </c>
      <c r="AS79" s="512" t="e" vm="2">
        <f t="shared" ref="AS79" si="26">VLOOKUP(AH79,AH79:AR79,$O$21,FALSE)</f>
        <v>#VALUE!</v>
      </c>
      <c r="AT79" s="432">
        <v>112364</v>
      </c>
      <c r="AU79" s="432">
        <v>112361</v>
      </c>
      <c r="AV79" s="432">
        <v>112369</v>
      </c>
      <c r="AW79" s="432">
        <v>112366</v>
      </c>
      <c r="AX79" s="432">
        <v>1112362</v>
      </c>
      <c r="AY79" s="432">
        <v>112367</v>
      </c>
      <c r="AZ79" s="432">
        <v>112363</v>
      </c>
      <c r="BA79" s="432">
        <v>112368</v>
      </c>
      <c r="BB79" s="432">
        <v>112370</v>
      </c>
      <c r="BC79" s="432">
        <v>112365</v>
      </c>
      <c r="BD79" s="432">
        <v>15551028</v>
      </c>
      <c r="BE79" s="512" t="e" vm="2">
        <f>VLOOKUP(AT79,AT79:BD79,$O$21,FALSE)</f>
        <v>#VALUE!</v>
      </c>
    </row>
    <row r="80" spans="1:58" ht="32.1" customHeight="1">
      <c r="A80" s="93"/>
      <c r="B80" s="76" t="str">
        <f>VLOOKUP(878,Sprachindex!$A:$Z,Info!$O$7,FALSE)</f>
        <v>Stk.</v>
      </c>
      <c r="C80" s="78"/>
      <c r="D80" s="75" t="str">
        <f>IF(ISNUMBER(A80),AS80,"")</f>
        <v/>
      </c>
      <c r="E80" s="618" t="str">
        <f>VLOOKUP(798,Sprachindex!$A:$Z,Info!$O$7,FALSE)</f>
        <v>Schneestopper für Dachplatte R.16, FX.12 und DS.19</v>
      </c>
      <c r="F80" s="619"/>
      <c r="G80" s="619"/>
      <c r="H80" s="619"/>
      <c r="I80" s="619"/>
      <c r="J80" s="619"/>
      <c r="K80" s="620"/>
      <c r="L80" s="76" t="str">
        <f>IF(A80=0,"",IF($O$11=1,AD80,AE80))</f>
        <v/>
      </c>
      <c r="M80" s="399" t="str">
        <f t="shared" si="0"/>
        <v>Stk.</v>
      </c>
      <c r="N80" s="77"/>
      <c r="O80" s="184" t="str">
        <f t="shared" ref="O80:O104" si="27">IF(ISNUMBER(A80),$L80*R80, "")</f>
        <v/>
      </c>
      <c r="P80" s="5"/>
      <c r="Q80" s="5"/>
      <c r="R80" s="182">
        <v>1.79</v>
      </c>
      <c r="S80" s="179"/>
      <c r="T80" s="5"/>
      <c r="U80" s="5"/>
      <c r="V80" s="5"/>
      <c r="W80" s="5"/>
      <c r="X80" s="5"/>
      <c r="Y80" s="5"/>
      <c r="Z80" s="5"/>
      <c r="AA80" s="5"/>
      <c r="AB80" s="5"/>
      <c r="AD80" s="139">
        <f>ROUNDUP($A80/100,0)*100</f>
        <v>0</v>
      </c>
      <c r="AE80" s="139">
        <f t="shared" si="22"/>
        <v>0</v>
      </c>
      <c r="AF80" s="8"/>
      <c r="AG80" s="5"/>
      <c r="AH80" s="44">
        <v>112044</v>
      </c>
      <c r="AI80" s="44">
        <v>112041</v>
      </c>
      <c r="AJ80" s="44">
        <v>112049</v>
      </c>
      <c r="AK80" s="44">
        <v>112046</v>
      </c>
      <c r="AL80" s="44">
        <v>112042</v>
      </c>
      <c r="AM80" s="44">
        <v>112047</v>
      </c>
      <c r="AN80" s="44">
        <v>112043</v>
      </c>
      <c r="AO80" s="44">
        <v>112048</v>
      </c>
      <c r="AP80" s="44">
        <v>112050</v>
      </c>
      <c r="AQ80" s="44">
        <v>112045</v>
      </c>
      <c r="AR80" s="1">
        <v>15481028</v>
      </c>
      <c r="AS80" s="512" t="e" vm="2">
        <f>VLOOKUP(AH80,AH80:AR80,$O$21,FALSE)</f>
        <v>#VALUE!</v>
      </c>
    </row>
    <row r="81" spans="1:45" ht="32.1" customHeight="1">
      <c r="A81" s="93"/>
      <c r="B81" s="76" t="str">
        <f>VLOOKUP(878,Sprachindex!$A:$Z,Info!$O$7,FALSE)</f>
        <v>Stk.</v>
      </c>
      <c r="C81" s="78" t="e" vm="51">
        <v>#VALUE!</v>
      </c>
      <c r="D81" s="75" t="str">
        <f>IF(ISNUMBER(A81),AS81,"")</f>
        <v/>
      </c>
      <c r="E81" s="618" t="str">
        <f>VLOOKUP(2190,Sprachindex!$A:$Z,Info!$O$7,FALSE)</f>
        <v>Haken für Schneerechensystem, inkl. Befestigungsmaterial</v>
      </c>
      <c r="F81" s="619"/>
      <c r="G81" s="619"/>
      <c r="H81" s="619"/>
      <c r="I81" s="619"/>
      <c r="J81" s="619"/>
      <c r="K81" s="620"/>
      <c r="L81" s="76" t="str">
        <f t="shared" ref="L81:L98" si="28">IF(A81=0,"",IF($P$11=1,AD81,AE81))</f>
        <v/>
      </c>
      <c r="M81" s="161" t="str">
        <f>VLOOKUP(878,Sprachindex!$A:$Z,Info!$O$7,FALSE)</f>
        <v>Stk.</v>
      </c>
      <c r="N81" s="77"/>
      <c r="O81" s="184" t="str">
        <f t="shared" si="27"/>
        <v/>
      </c>
      <c r="P81" s="267"/>
      <c r="Q81" s="5"/>
      <c r="R81" s="182">
        <v>57.49</v>
      </c>
      <c r="S81" s="179"/>
      <c r="T81" s="179"/>
      <c r="U81" s="179"/>
      <c r="V81" s="179"/>
      <c r="W81" s="179"/>
      <c r="X81" s="179"/>
      <c r="Y81" s="179"/>
      <c r="Z81" s="179"/>
      <c r="AA81" s="179"/>
      <c r="AB81" s="179"/>
      <c r="AC81" s="129"/>
      <c r="AD81" s="139">
        <f>ROUNDUP($A81/10,0)*10</f>
        <v>0</v>
      </c>
      <c r="AE81" s="139">
        <f t="shared" ref="AE81:AE82" si="29">ROUNDUP($A81,0)</f>
        <v>0</v>
      </c>
      <c r="AF81" s="135"/>
      <c r="AH81" s="44">
        <v>120183</v>
      </c>
      <c r="AI81" s="44">
        <v>120180</v>
      </c>
      <c r="AJ81" s="44">
        <v>120188</v>
      </c>
      <c r="AK81" s="44">
        <v>120185</v>
      </c>
      <c r="AL81" s="44">
        <v>120181</v>
      </c>
      <c r="AM81" s="44">
        <v>120187</v>
      </c>
      <c r="AN81" s="44">
        <v>120182</v>
      </c>
      <c r="AO81" s="44">
        <v>120186</v>
      </c>
      <c r="AP81" s="44">
        <v>120189</v>
      </c>
      <c r="AQ81" s="44">
        <v>120184</v>
      </c>
      <c r="AR81" s="44">
        <v>14121028</v>
      </c>
      <c r="AS81" s="512" t="e" vm="2">
        <f t="shared" ref="AS81:AS95" si="30">VLOOKUP(AH81,AH81:AR81,$O$21,FALSE)</f>
        <v>#VALUE!</v>
      </c>
    </row>
    <row r="82" spans="1:45" ht="32.1" customHeight="1">
      <c r="A82" s="93"/>
      <c r="B82" s="76" t="str">
        <f>VLOOKUP(878,Sprachindex!$A:$Z,Info!$O$7,FALSE)</f>
        <v>Stk.</v>
      </c>
      <c r="C82" s="78" t="e" vm="52">
        <v>#VALUE!</v>
      </c>
      <c r="D82" s="75" t="str">
        <f t="shared" ref="D82:D95" si="31">IF(ISNUMBER(A82),AS82,"")</f>
        <v/>
      </c>
      <c r="E82" s="618" t="str">
        <f>VLOOKUP(2191,Sprachindex!$A:$Z,Info!$O$7,FALSE)</f>
        <v>Haken für Schneerechensystem XL, inkl. Befestigungsmaterial</v>
      </c>
      <c r="F82" s="619"/>
      <c r="G82" s="619"/>
      <c r="H82" s="619"/>
      <c r="I82" s="619"/>
      <c r="J82" s="619"/>
      <c r="K82" s="620"/>
      <c r="L82" s="76" t="str">
        <f t="shared" si="28"/>
        <v/>
      </c>
      <c r="M82" s="161" t="str">
        <f>VLOOKUP(878,Sprachindex!$A:$Z,Info!$O$7,FALSE)</f>
        <v>Stk.</v>
      </c>
      <c r="N82" s="77"/>
      <c r="O82" s="184" t="str">
        <f t="shared" si="27"/>
        <v/>
      </c>
      <c r="P82" s="267"/>
      <c r="Q82" s="5"/>
      <c r="R82" s="182">
        <v>100.84</v>
      </c>
      <c r="S82" s="179"/>
      <c r="T82" s="179"/>
      <c r="U82" s="179"/>
      <c r="V82" s="179"/>
      <c r="W82" s="179"/>
      <c r="X82" s="179"/>
      <c r="Y82" s="179"/>
      <c r="Z82" s="179"/>
      <c r="AA82" s="179"/>
      <c r="AB82" s="179"/>
      <c r="AC82" s="129"/>
      <c r="AD82" s="139">
        <f>ROUNDUP($A82/18,0)*18</f>
        <v>0</v>
      </c>
      <c r="AE82" s="139">
        <f t="shared" si="29"/>
        <v>0</v>
      </c>
      <c r="AF82" s="135"/>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512" t="e" vm="2">
        <f t="shared" si="30"/>
        <v>#VALUE!</v>
      </c>
    </row>
    <row r="83" spans="1:45" ht="32.1" customHeight="1">
      <c r="A83" s="93"/>
      <c r="B83" s="76" t="str">
        <f>VLOOKUP(1512,Sprachindex!$A:$Z,Info!$O$7,FALSE)</f>
        <v>lfm</v>
      </c>
      <c r="C83" s="78" t="e" vm="53">
        <v>#VALUE!</v>
      </c>
      <c r="D83" s="75" t="str">
        <f t="shared" si="31"/>
        <v/>
      </c>
      <c r="E83" s="618" t="str">
        <f>VLOOKUP(793,Sprachindex!$A:$Z,Info!$O$7,FALSE)</f>
        <v>Einlegeprofil (3.000 mm)</v>
      </c>
      <c r="F83" s="619"/>
      <c r="G83" s="619"/>
      <c r="H83" s="619"/>
      <c r="I83" s="619"/>
      <c r="J83" s="619"/>
      <c r="K83" s="620"/>
      <c r="L83" s="76" t="str">
        <f t="shared" si="28"/>
        <v/>
      </c>
      <c r="M83" s="161" t="str">
        <f>VLOOKUP(1512,Sprachindex!$A:$Z,Info!$O$7,FALSE)</f>
        <v>lfm</v>
      </c>
      <c r="N83" s="77"/>
      <c r="O83" s="184" t="str">
        <f t="shared" si="27"/>
        <v/>
      </c>
      <c r="P83" s="267"/>
      <c r="Q83" s="5"/>
      <c r="R83" s="182">
        <v>11.03</v>
      </c>
      <c r="S83" s="179"/>
      <c r="T83" s="179"/>
      <c r="U83" s="179"/>
      <c r="V83" s="179"/>
      <c r="W83" s="179"/>
      <c r="X83" s="179"/>
      <c r="Y83" s="179"/>
      <c r="Z83" s="179"/>
      <c r="AA83" s="179"/>
      <c r="AB83" s="179"/>
      <c r="AC83" s="129"/>
      <c r="AD83" s="139">
        <f>ROUNDUP($A83/3,0)*3</f>
        <v>0</v>
      </c>
      <c r="AE83" s="139">
        <f>ROUNDUP($A83/3,0)*3</f>
        <v>0</v>
      </c>
      <c r="AF83" s="135"/>
      <c r="AH83" s="44">
        <v>120353</v>
      </c>
      <c r="AI83" s="44">
        <v>120350</v>
      </c>
      <c r="AJ83" s="44">
        <v>120358</v>
      </c>
      <c r="AK83" s="44">
        <v>120355</v>
      </c>
      <c r="AL83" s="44">
        <v>120351</v>
      </c>
      <c r="AM83" s="44">
        <v>120357</v>
      </c>
      <c r="AN83" s="44">
        <v>120352</v>
      </c>
      <c r="AO83" s="44">
        <v>120356</v>
      </c>
      <c r="AP83" s="44">
        <v>120359</v>
      </c>
      <c r="AQ83" s="44">
        <v>120354</v>
      </c>
      <c r="AR83" s="44">
        <v>14231028</v>
      </c>
      <c r="AS83" s="512" t="e" vm="2">
        <f t="shared" si="30"/>
        <v>#VALUE!</v>
      </c>
    </row>
    <row r="84" spans="1:45" ht="32.1" customHeight="1">
      <c r="A84" s="93"/>
      <c r="B84" s="76" t="str">
        <f>VLOOKUP(878,Sprachindex!$A:$Z,Info!$O$7,FALSE)</f>
        <v>Stk.</v>
      </c>
      <c r="C84" s="78" t="e" vm="54">
        <v>#VALUE!</v>
      </c>
      <c r="D84" s="75" t="str">
        <f t="shared" si="31"/>
        <v/>
      </c>
      <c r="E84" s="618" t="str">
        <f>VLOOKUP(794,Sprachindex!$A:$Z,Info!$O$7,FALSE)</f>
        <v>Eiskralle</v>
      </c>
      <c r="F84" s="619"/>
      <c r="G84" s="619"/>
      <c r="H84" s="619"/>
      <c r="I84" s="619"/>
      <c r="J84" s="619"/>
      <c r="K84" s="620"/>
      <c r="L84" s="76" t="str">
        <f t="shared" si="28"/>
        <v/>
      </c>
      <c r="M84" s="161" t="str">
        <f>VLOOKUP(878,Sprachindex!$A:$Z,Info!$O$7,FALSE)</f>
        <v>Stk.</v>
      </c>
      <c r="N84" s="77"/>
      <c r="O84" s="184" t="str">
        <f t="shared" si="27"/>
        <v/>
      </c>
      <c r="P84" s="267"/>
      <c r="Q84" s="5"/>
      <c r="R84" s="182">
        <v>4.78</v>
      </c>
      <c r="S84" s="179"/>
      <c r="T84" s="179"/>
      <c r="U84" s="179"/>
      <c r="V84" s="179"/>
      <c r="W84" s="179"/>
      <c r="X84" s="179"/>
      <c r="Y84" s="179"/>
      <c r="Z84" s="179"/>
      <c r="AA84" s="179"/>
      <c r="AB84" s="179"/>
      <c r="AC84" s="129"/>
      <c r="AD84" s="139">
        <f>ROUNDUP($A84/100,0)*100</f>
        <v>0</v>
      </c>
      <c r="AE84" s="139">
        <f t="shared" ref="AE84:AE93" si="32">ROUNDUP($A84,0)</f>
        <v>0</v>
      </c>
      <c r="AF84" s="135"/>
      <c r="AH84" s="44">
        <v>120703</v>
      </c>
      <c r="AI84" s="44">
        <v>120700</v>
      </c>
      <c r="AJ84" s="44">
        <v>120708</v>
      </c>
      <c r="AK84" s="44">
        <v>120705</v>
      </c>
      <c r="AL84" s="44">
        <v>120701</v>
      </c>
      <c r="AM84" s="44">
        <v>120707</v>
      </c>
      <c r="AN84" s="44">
        <v>120702</v>
      </c>
      <c r="AO84" s="44">
        <v>120706</v>
      </c>
      <c r="AP84" s="44">
        <v>120709</v>
      </c>
      <c r="AQ84" s="44">
        <v>120704</v>
      </c>
      <c r="AR84" s="44">
        <v>14111028</v>
      </c>
      <c r="AS84" s="512" t="e" vm="2">
        <f t="shared" si="30"/>
        <v>#VALUE!</v>
      </c>
    </row>
    <row r="85" spans="1:45" ht="32.1" customHeight="1">
      <c r="A85" s="93"/>
      <c r="B85" s="76" t="str">
        <f>VLOOKUP(878,Sprachindex!$A:$Z,Info!$O$7,FALSE)</f>
        <v>Stk.</v>
      </c>
      <c r="C85" s="78" t="e" vm="55">
        <v>#VALUE!</v>
      </c>
      <c r="D85" s="75" t="str">
        <f t="shared" si="31"/>
        <v/>
      </c>
      <c r="E85" s="618" t="str">
        <f>VLOOKUP(791,Sprachindex!$A:$Z,Info!$O$7,FALSE)</f>
        <v>Abschluss für Schneerechensystem</v>
      </c>
      <c r="F85" s="619"/>
      <c r="G85" s="619"/>
      <c r="H85" s="619"/>
      <c r="I85" s="619"/>
      <c r="J85" s="619"/>
      <c r="K85" s="620"/>
      <c r="L85" s="76" t="str">
        <f t="shared" si="28"/>
        <v/>
      </c>
      <c r="M85" s="161" t="str">
        <f>VLOOKUP(878,Sprachindex!$A:$Z,Info!$O$7,FALSE)</f>
        <v>Stk.</v>
      </c>
      <c r="N85" s="77"/>
      <c r="O85" s="184" t="str">
        <f t="shared" si="27"/>
        <v/>
      </c>
      <c r="P85" s="267"/>
      <c r="Q85" s="5"/>
      <c r="R85" s="182">
        <v>6.52</v>
      </c>
      <c r="S85" s="179"/>
      <c r="T85" s="179"/>
      <c r="U85" s="179"/>
      <c r="V85" s="179"/>
      <c r="W85" s="179"/>
      <c r="X85" s="179"/>
      <c r="Y85" s="179"/>
      <c r="Z85" s="179"/>
      <c r="AA85" s="179"/>
      <c r="AB85" s="179"/>
      <c r="AC85" s="129"/>
      <c r="AD85" s="139">
        <f>ROUNDUP($A85/2,0)*2</f>
        <v>0</v>
      </c>
      <c r="AE85" s="139">
        <f t="shared" si="32"/>
        <v>0</v>
      </c>
      <c r="AF85" s="135"/>
      <c r="AH85" s="44">
        <v>120393</v>
      </c>
      <c r="AI85" s="44">
        <v>120390</v>
      </c>
      <c r="AJ85" s="44">
        <v>120398</v>
      </c>
      <c r="AK85" s="44">
        <v>120395</v>
      </c>
      <c r="AL85" s="44">
        <v>120391</v>
      </c>
      <c r="AM85" s="44">
        <v>120397</v>
      </c>
      <c r="AN85" s="44">
        <v>120392</v>
      </c>
      <c r="AO85" s="44">
        <v>120396</v>
      </c>
      <c r="AP85" s="44">
        <v>120399</v>
      </c>
      <c r="AQ85" s="44">
        <v>120394</v>
      </c>
      <c r="AR85" s="44">
        <v>14101028</v>
      </c>
      <c r="AS85" s="512" t="e" vm="2">
        <f t="shared" si="30"/>
        <v>#VALUE!</v>
      </c>
    </row>
    <row r="86" spans="1:45" ht="32.1" customHeight="1">
      <c r="A86" s="93"/>
      <c r="B86" s="76" t="str">
        <f>VLOOKUP(878,Sprachindex!$A:$Z,Info!$O$7,FALSE)</f>
        <v>Stk.</v>
      </c>
      <c r="C86" s="78" t="e" vm="56">
        <v>#VALUE!</v>
      </c>
      <c r="D86" s="75" t="str">
        <f t="shared" si="31"/>
        <v/>
      </c>
      <c r="E86" s="618" t="str">
        <f>VLOOKUP(2192,Sprachindex!$A:$Z,Info!$O$7,FALSE)</f>
        <v>Abschluss für Schneerechensystem XL</v>
      </c>
      <c r="F86" s="619"/>
      <c r="G86" s="619"/>
      <c r="H86" s="619"/>
      <c r="I86" s="619"/>
      <c r="J86" s="619"/>
      <c r="K86" s="620"/>
      <c r="L86" s="76" t="str">
        <f t="shared" si="28"/>
        <v/>
      </c>
      <c r="M86" s="161" t="str">
        <f>VLOOKUP(878,Sprachindex!$A:$Z,Info!$O$7,FALSE)</f>
        <v>Stk.</v>
      </c>
      <c r="N86" s="77"/>
      <c r="O86" s="184" t="str">
        <f t="shared" si="27"/>
        <v/>
      </c>
      <c r="P86" s="267"/>
      <c r="Q86" s="5"/>
      <c r="R86" s="182">
        <v>8.5500000000000007</v>
      </c>
      <c r="S86" s="179"/>
      <c r="T86" s="179"/>
      <c r="U86" s="179"/>
      <c r="V86" s="179"/>
      <c r="W86" s="179"/>
      <c r="X86" s="179"/>
      <c r="Y86" s="179"/>
      <c r="Z86" s="179"/>
      <c r="AA86" s="179"/>
      <c r="AB86" s="179"/>
      <c r="AC86" s="129"/>
      <c r="AD86" s="139">
        <f>ROUNDUP($A86/18,0)*18</f>
        <v>0</v>
      </c>
      <c r="AE86" s="139">
        <f t="shared" si="32"/>
        <v>0</v>
      </c>
      <c r="AF86" s="135"/>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512" t="e" vm="2">
        <f t="shared" si="30"/>
        <v>#VALUE!</v>
      </c>
    </row>
    <row r="87" spans="1:45" ht="32.1" customHeight="1">
      <c r="A87" s="93"/>
      <c r="B87" s="76" t="str">
        <f>VLOOKUP(878,Sprachindex!$A:$Z,Info!$O$7,FALSE)</f>
        <v>Stk.</v>
      </c>
      <c r="C87" s="78" t="e" vm="57">
        <v>#VALUE!</v>
      </c>
      <c r="D87" s="75" t="str">
        <f t="shared" si="31"/>
        <v/>
      </c>
      <c r="E87" s="618" t="str">
        <f>VLOOKUP(424,Sprachindex!$A:$Z,Info!$O$7,FALSE)</f>
        <v>Gebirgsschneefangstütze</v>
      </c>
      <c r="F87" s="619"/>
      <c r="G87" s="619"/>
      <c r="H87" s="619"/>
      <c r="I87" s="619"/>
      <c r="J87" s="619"/>
      <c r="K87" s="620"/>
      <c r="L87" s="76" t="str">
        <f t="shared" si="28"/>
        <v/>
      </c>
      <c r="M87" s="161" t="str">
        <f>VLOOKUP(878,Sprachindex!$A:$Z,Info!$O$7,FALSE)</f>
        <v>Stk.</v>
      </c>
      <c r="N87" s="77"/>
      <c r="O87" s="184" t="str">
        <f t="shared" si="27"/>
        <v/>
      </c>
      <c r="P87" s="267"/>
      <c r="Q87" s="5"/>
      <c r="R87" s="182">
        <v>57.49</v>
      </c>
      <c r="S87" s="179"/>
      <c r="T87" s="179"/>
      <c r="U87" s="179"/>
      <c r="V87" s="179"/>
      <c r="W87" s="179"/>
      <c r="X87" s="179"/>
      <c r="Y87" s="179"/>
      <c r="Z87" s="179"/>
      <c r="AA87" s="179"/>
      <c r="AB87" s="179"/>
      <c r="AC87" s="129"/>
      <c r="AD87" s="139">
        <f>ROUNDUP($A87/2,0)*2</f>
        <v>0</v>
      </c>
      <c r="AE87" s="139">
        <f t="shared" si="32"/>
        <v>0</v>
      </c>
      <c r="AF87" s="135"/>
      <c r="AH87" s="44">
        <v>120153</v>
      </c>
      <c r="AI87" s="44">
        <v>120150</v>
      </c>
      <c r="AJ87" s="44">
        <v>120158</v>
      </c>
      <c r="AK87" s="44">
        <v>120155</v>
      </c>
      <c r="AL87" s="44">
        <v>120151</v>
      </c>
      <c r="AM87" s="44">
        <v>120157</v>
      </c>
      <c r="AN87" s="44">
        <v>120152</v>
      </c>
      <c r="AO87" s="44">
        <v>120156</v>
      </c>
      <c r="AP87" s="44">
        <v>120159</v>
      </c>
      <c r="AQ87" s="44">
        <v>120154</v>
      </c>
      <c r="AR87" s="119">
        <v>14061028</v>
      </c>
      <c r="AS87" s="512" t="e" vm="2">
        <f t="shared" si="30"/>
        <v>#VALUE!</v>
      </c>
    </row>
    <row r="88" spans="1:45" ht="32.1" customHeight="1">
      <c r="A88" s="93"/>
      <c r="B88" s="76" t="str">
        <f>VLOOKUP(878,Sprachindex!$A:$Z,Info!$O$7,FALSE)</f>
        <v>Stk.</v>
      </c>
      <c r="C88" s="78" t="e" vm="58">
        <v>#VALUE!</v>
      </c>
      <c r="D88" s="75" t="str">
        <f t="shared" si="31"/>
        <v/>
      </c>
      <c r="E88" s="618" t="str">
        <f>VLOOKUP(510,Sprachindex!$A:$Z,Info!$O$7,FALSE)</f>
        <v>Kaminhut (700 × 700 mm)</v>
      </c>
      <c r="F88" s="619"/>
      <c r="G88" s="619"/>
      <c r="H88" s="619"/>
      <c r="I88" s="619"/>
      <c r="J88" s="619"/>
      <c r="K88" s="620"/>
      <c r="L88" s="76" t="str">
        <f t="shared" si="28"/>
        <v/>
      </c>
      <c r="M88" s="161" t="str">
        <f>VLOOKUP(878,Sprachindex!$A:$Z,Info!$O$7,FALSE)</f>
        <v>Stk.</v>
      </c>
      <c r="N88" s="77"/>
      <c r="O88" s="184" t="str">
        <f t="shared" si="27"/>
        <v/>
      </c>
      <c r="P88" s="267"/>
      <c r="Q88" s="5"/>
      <c r="R88" s="182">
        <v>157.28</v>
      </c>
      <c r="S88" s="179"/>
      <c r="T88" s="179"/>
      <c r="U88" s="179"/>
      <c r="V88" s="179"/>
      <c r="W88" s="179"/>
      <c r="X88" s="179"/>
      <c r="Y88" s="179"/>
      <c r="Z88" s="179"/>
      <c r="AA88" s="179"/>
      <c r="AB88" s="179"/>
      <c r="AC88" s="129"/>
      <c r="AD88" s="139">
        <f>ROUNDUP($A88,0)</f>
        <v>0</v>
      </c>
      <c r="AE88" s="139">
        <f t="shared" si="32"/>
        <v>0</v>
      </c>
      <c r="AF88" s="135"/>
      <c r="AH88" s="44">
        <v>110423</v>
      </c>
      <c r="AI88" s="44">
        <v>110420</v>
      </c>
      <c r="AJ88" s="44">
        <v>110428</v>
      </c>
      <c r="AK88" s="44">
        <v>110425</v>
      </c>
      <c r="AL88" s="44">
        <v>110421</v>
      </c>
      <c r="AM88" s="44">
        <v>110427</v>
      </c>
      <c r="AN88" s="44">
        <v>110422</v>
      </c>
      <c r="AO88" s="44">
        <v>110426</v>
      </c>
      <c r="AP88" s="44">
        <v>110429</v>
      </c>
      <c r="AQ88" s="44">
        <v>110424</v>
      </c>
      <c r="AR88" s="44">
        <v>15261028</v>
      </c>
      <c r="AS88" s="512" t="e" vm="2">
        <f t="shared" si="30"/>
        <v>#VALUE!</v>
      </c>
    </row>
    <row r="89" spans="1:45" ht="32.1" customHeight="1">
      <c r="A89" s="93"/>
      <c r="B89" s="76" t="str">
        <f>VLOOKUP(878,Sprachindex!$A:$Z,Info!$O$7,FALSE)</f>
        <v>Stk.</v>
      </c>
      <c r="C89" s="78" t="e" vm="59">
        <v>#VALUE!</v>
      </c>
      <c r="D89" s="75" t="str">
        <f t="shared" si="31"/>
        <v/>
      </c>
      <c r="E89" s="618" t="str">
        <f>VLOOKUP(511,Sprachindex!$A:$Z,Info!$O$7,FALSE)</f>
        <v>Kaminhut (800 × 800 mm)</v>
      </c>
      <c r="F89" s="619"/>
      <c r="G89" s="619"/>
      <c r="H89" s="619"/>
      <c r="I89" s="619"/>
      <c r="J89" s="619"/>
      <c r="K89" s="620"/>
      <c r="L89" s="76" t="str">
        <f t="shared" si="28"/>
        <v/>
      </c>
      <c r="M89" s="161" t="str">
        <f>VLOOKUP(878,Sprachindex!$A:$Z,Info!$O$7,FALSE)</f>
        <v>Stk.</v>
      </c>
      <c r="N89" s="77"/>
      <c r="O89" s="184" t="str">
        <f t="shared" si="27"/>
        <v/>
      </c>
      <c r="P89" s="267"/>
      <c r="Q89" s="5"/>
      <c r="R89" s="182">
        <v>169.95</v>
      </c>
      <c r="S89" s="179"/>
      <c r="T89" s="179"/>
      <c r="U89" s="179"/>
      <c r="V89" s="179"/>
      <c r="W89" s="179"/>
      <c r="X89" s="179"/>
      <c r="Y89" s="179"/>
      <c r="Z89" s="179"/>
      <c r="AA89" s="179"/>
      <c r="AB89" s="179"/>
      <c r="AC89" s="129"/>
      <c r="AD89" s="139">
        <f>ROUNDUP($A89,0)</f>
        <v>0</v>
      </c>
      <c r="AE89" s="139">
        <f t="shared" si="32"/>
        <v>0</v>
      </c>
      <c r="AF89" s="135"/>
      <c r="AH89" s="44">
        <v>110433</v>
      </c>
      <c r="AI89" s="44">
        <v>110430</v>
      </c>
      <c r="AJ89" s="44">
        <v>110438</v>
      </c>
      <c r="AK89" s="44">
        <v>110435</v>
      </c>
      <c r="AL89" s="44">
        <v>110431</v>
      </c>
      <c r="AM89" s="44">
        <v>110437</v>
      </c>
      <c r="AN89" s="44">
        <v>110432</v>
      </c>
      <c r="AO89" s="44">
        <v>110436</v>
      </c>
      <c r="AP89" s="44">
        <v>110439</v>
      </c>
      <c r="AQ89" s="44">
        <v>110434</v>
      </c>
      <c r="AR89" s="44">
        <v>15271028</v>
      </c>
      <c r="AS89" s="512" t="e" vm="2">
        <f t="shared" si="30"/>
        <v>#VALUE!</v>
      </c>
    </row>
    <row r="90" spans="1:45" ht="32.1" customHeight="1">
      <c r="A90" s="93"/>
      <c r="B90" s="76" t="str">
        <f>VLOOKUP(878,Sprachindex!$A:$Z,Info!$O$7,FALSE)</f>
        <v>Stk.</v>
      </c>
      <c r="C90" s="78" t="e" vm="60">
        <v>#VALUE!</v>
      </c>
      <c r="D90" s="75" t="str">
        <f t="shared" si="31"/>
        <v/>
      </c>
      <c r="E90" s="618" t="str">
        <f>VLOOKUP(507,Sprachindex!$A:$Z,Info!$O$7,FALSE)</f>
        <v>Kaminhut (1.000 × 700 mm)</v>
      </c>
      <c r="F90" s="619"/>
      <c r="G90" s="619"/>
      <c r="H90" s="619"/>
      <c r="I90" s="619"/>
      <c r="J90" s="619"/>
      <c r="K90" s="620"/>
      <c r="L90" s="76" t="str">
        <f t="shared" si="28"/>
        <v/>
      </c>
      <c r="M90" s="161" t="str">
        <f>VLOOKUP(878,Sprachindex!$A:$Z,Info!$O$7,FALSE)</f>
        <v>Stk.</v>
      </c>
      <c r="N90" s="77"/>
      <c r="O90" s="184" t="str">
        <f t="shared" si="27"/>
        <v/>
      </c>
      <c r="P90" s="267"/>
      <c r="Q90" s="5"/>
      <c r="R90" s="182">
        <v>170.57</v>
      </c>
      <c r="S90" s="179"/>
      <c r="T90" s="179"/>
      <c r="U90" s="179"/>
      <c r="V90" s="179"/>
      <c r="W90" s="179"/>
      <c r="X90" s="179"/>
      <c r="Y90" s="179"/>
      <c r="Z90" s="179"/>
      <c r="AA90" s="179"/>
      <c r="AB90" s="179"/>
      <c r="AC90" s="129"/>
      <c r="AD90" s="139">
        <f>ROUNDUP($A90,0)</f>
        <v>0</v>
      </c>
      <c r="AE90" s="139">
        <f t="shared" si="32"/>
        <v>0</v>
      </c>
      <c r="AF90" s="135"/>
      <c r="AH90" s="44">
        <v>110443</v>
      </c>
      <c r="AI90" s="44">
        <v>110440</v>
      </c>
      <c r="AJ90" s="44">
        <v>110448</v>
      </c>
      <c r="AK90" s="44">
        <v>110445</v>
      </c>
      <c r="AL90" s="44">
        <v>110441</v>
      </c>
      <c r="AM90" s="44">
        <v>110447</v>
      </c>
      <c r="AN90" s="44">
        <v>110442</v>
      </c>
      <c r="AO90" s="44">
        <v>110446</v>
      </c>
      <c r="AP90" s="44">
        <v>110449</v>
      </c>
      <c r="AQ90" s="44">
        <v>110444</v>
      </c>
      <c r="AR90" s="44">
        <v>15281028</v>
      </c>
      <c r="AS90" s="512" t="e" vm="2">
        <f t="shared" si="30"/>
        <v>#VALUE!</v>
      </c>
    </row>
    <row r="91" spans="1:45" ht="32.1" customHeight="1">
      <c r="A91" s="93"/>
      <c r="B91" s="76" t="str">
        <f>VLOOKUP(878,Sprachindex!$A:$Z,Info!$O$7,FALSE)</f>
        <v>Stk.</v>
      </c>
      <c r="C91" s="78" t="e" vm="61">
        <v>#VALUE!</v>
      </c>
      <c r="D91" s="75" t="str">
        <f t="shared" si="31"/>
        <v/>
      </c>
      <c r="E91" s="618" t="str">
        <f>VLOOKUP(508,Sprachindex!$A:$Z,Info!$O$7,FALSE)</f>
        <v>Kaminhut (1.100 × 800 mm)</v>
      </c>
      <c r="F91" s="619"/>
      <c r="G91" s="619"/>
      <c r="H91" s="619"/>
      <c r="I91" s="619"/>
      <c r="J91" s="619"/>
      <c r="K91" s="620"/>
      <c r="L91" s="76" t="str">
        <f t="shared" si="28"/>
        <v/>
      </c>
      <c r="M91" s="161" t="str">
        <f>VLOOKUP(878,Sprachindex!$A:$Z,Info!$O$7,FALSE)</f>
        <v>Stk.</v>
      </c>
      <c r="N91" s="77"/>
      <c r="O91" s="184" t="str">
        <f t="shared" si="27"/>
        <v/>
      </c>
      <c r="P91" s="267"/>
      <c r="Q91" s="5"/>
      <c r="R91" s="182">
        <v>204.46</v>
      </c>
      <c r="S91" s="179"/>
      <c r="T91" s="179"/>
      <c r="U91" s="179"/>
      <c r="V91" s="179"/>
      <c r="W91" s="179"/>
      <c r="X91" s="179"/>
      <c r="Y91" s="179"/>
      <c r="Z91" s="179"/>
      <c r="AA91" s="179"/>
      <c r="AB91" s="179"/>
      <c r="AC91" s="129"/>
      <c r="AD91" s="139">
        <f>ROUNDUP($A91,0)</f>
        <v>0</v>
      </c>
      <c r="AE91" s="139">
        <f t="shared" si="32"/>
        <v>0</v>
      </c>
      <c r="AF91" s="135"/>
      <c r="AH91" s="44">
        <v>110453</v>
      </c>
      <c r="AI91" s="44">
        <v>110450</v>
      </c>
      <c r="AJ91" s="44">
        <v>110458</v>
      </c>
      <c r="AK91" s="44">
        <v>110455</v>
      </c>
      <c r="AL91" s="44">
        <v>110451</v>
      </c>
      <c r="AM91" s="44">
        <v>110457</v>
      </c>
      <c r="AN91" s="44">
        <v>110452</v>
      </c>
      <c r="AO91" s="44">
        <v>110456</v>
      </c>
      <c r="AP91" s="44">
        <v>110459</v>
      </c>
      <c r="AQ91" s="44">
        <v>110454</v>
      </c>
      <c r="AR91" s="44">
        <v>15291028</v>
      </c>
      <c r="AS91" s="512" t="e" vm="2">
        <f t="shared" si="30"/>
        <v>#VALUE!</v>
      </c>
    </row>
    <row r="92" spans="1:45" ht="32.1" customHeight="1">
      <c r="A92" s="93"/>
      <c r="B92" s="76" t="str">
        <f>VLOOKUP(878,Sprachindex!$A:$Z,Info!$O$7,FALSE)</f>
        <v>Stk.</v>
      </c>
      <c r="C92" s="78" t="e" vm="59">
        <v>#VALUE!</v>
      </c>
      <c r="D92" s="75" t="str">
        <f t="shared" si="31"/>
        <v/>
      </c>
      <c r="E92" s="618" t="str">
        <f>VLOOKUP(509,Sprachindex!$A:$Z,Info!$O$7,FALSE)</f>
        <v>Kaminhut (1.500 × 800 mm)</v>
      </c>
      <c r="F92" s="619"/>
      <c r="G92" s="619"/>
      <c r="H92" s="619"/>
      <c r="I92" s="619"/>
      <c r="J92" s="619"/>
      <c r="K92" s="620"/>
      <c r="L92" s="76" t="str">
        <f t="shared" si="28"/>
        <v/>
      </c>
      <c r="M92" s="161" t="str">
        <f>VLOOKUP(878,Sprachindex!$A:$Z,Info!$O$7,FALSE)</f>
        <v>Stk.</v>
      </c>
      <c r="N92" s="77"/>
      <c r="O92" s="184" t="str">
        <f t="shared" si="27"/>
        <v/>
      </c>
      <c r="P92" s="267"/>
      <c r="Q92" s="5"/>
      <c r="R92" s="182">
        <v>279.54000000000002</v>
      </c>
      <c r="S92" s="179"/>
      <c r="T92" s="179"/>
      <c r="U92" s="179"/>
      <c r="V92" s="179"/>
      <c r="W92" s="179"/>
      <c r="X92" s="179"/>
      <c r="Y92" s="179"/>
      <c r="Z92" s="179"/>
      <c r="AA92" s="179"/>
      <c r="AB92" s="179"/>
      <c r="AC92" s="129"/>
      <c r="AD92" s="139">
        <f>ROUNDUP($A92,0)</f>
        <v>0</v>
      </c>
      <c r="AE92" s="139">
        <f t="shared" si="32"/>
        <v>0</v>
      </c>
      <c r="AF92" s="135"/>
      <c r="AH92" s="44">
        <v>110463</v>
      </c>
      <c r="AI92" s="44">
        <v>110460</v>
      </c>
      <c r="AJ92" s="44">
        <v>110468</v>
      </c>
      <c r="AK92" s="44">
        <v>110465</v>
      </c>
      <c r="AL92" s="44">
        <v>110461</v>
      </c>
      <c r="AM92" s="44">
        <v>110467</v>
      </c>
      <c r="AN92" s="44">
        <v>110462</v>
      </c>
      <c r="AO92" s="44">
        <v>110466</v>
      </c>
      <c r="AP92" s="44">
        <v>110469</v>
      </c>
      <c r="AQ92" s="44">
        <v>110464</v>
      </c>
      <c r="AR92" s="44">
        <v>15301028</v>
      </c>
      <c r="AS92" s="512" t="e" vm="2">
        <f t="shared" si="30"/>
        <v>#VALUE!</v>
      </c>
    </row>
    <row r="93" spans="1:45" ht="32.1" customHeight="1">
      <c r="A93" s="93"/>
      <c r="B93" s="76" t="str">
        <f>VLOOKUP(878,Sprachindex!$A:$Z,Info!$O$7,FALSE)</f>
        <v>Stk.</v>
      </c>
      <c r="C93" s="78" t="e" vm="62">
        <v>#VALUE!</v>
      </c>
      <c r="D93" s="75" t="str">
        <f t="shared" si="31"/>
        <v/>
      </c>
      <c r="E93" s="618" t="str">
        <f>VLOOKUP(512,Sprachindex!$A:$Z,Info!$O$7,FALSE)</f>
        <v>Kaminstrebe gebogen</v>
      </c>
      <c r="F93" s="619"/>
      <c r="G93" s="619"/>
      <c r="H93" s="619"/>
      <c r="I93" s="619"/>
      <c r="J93" s="619"/>
      <c r="K93" s="620"/>
      <c r="L93" s="76" t="str">
        <f t="shared" si="28"/>
        <v/>
      </c>
      <c r="M93" s="161" t="str">
        <f>VLOOKUP(878,Sprachindex!$A:$Z,Info!$O$7,FALSE)</f>
        <v>Stk.</v>
      </c>
      <c r="N93" s="77"/>
      <c r="O93" s="184" t="str">
        <f t="shared" si="27"/>
        <v/>
      </c>
      <c r="P93" s="267"/>
      <c r="Q93" s="5"/>
      <c r="R93" s="182">
        <v>17.27</v>
      </c>
      <c r="S93" s="179"/>
      <c r="T93" s="179"/>
      <c r="U93" s="179"/>
      <c r="V93" s="179"/>
      <c r="W93" s="179"/>
      <c r="X93" s="179"/>
      <c r="Y93" s="179"/>
      <c r="Z93" s="179"/>
      <c r="AA93" s="179"/>
      <c r="AB93" s="179"/>
      <c r="AC93" s="129"/>
      <c r="AD93" s="139">
        <f>ROUNDUP($A93/10,0)*10</f>
        <v>0</v>
      </c>
      <c r="AE93" s="139">
        <f t="shared" si="32"/>
        <v>0</v>
      </c>
      <c r="AF93" s="135"/>
      <c r="AH93" s="44">
        <v>110413</v>
      </c>
      <c r="AI93" s="44">
        <v>110410</v>
      </c>
      <c r="AJ93" s="44">
        <v>110418</v>
      </c>
      <c r="AK93" s="44">
        <v>110415</v>
      </c>
      <c r="AL93" s="44">
        <v>110411</v>
      </c>
      <c r="AM93" s="44">
        <v>110417</v>
      </c>
      <c r="AN93" s="44">
        <v>110412</v>
      </c>
      <c r="AO93" s="44">
        <v>110416</v>
      </c>
      <c r="AP93" s="44">
        <v>110419</v>
      </c>
      <c r="AQ93" s="44">
        <v>110414</v>
      </c>
      <c r="AR93" s="44">
        <v>15331028</v>
      </c>
      <c r="AS93" s="512" t="e" vm="2">
        <f t="shared" si="30"/>
        <v>#VALUE!</v>
      </c>
    </row>
    <row r="94" spans="1:45" ht="32.1" customHeight="1">
      <c r="A94" s="93"/>
      <c r="B94" s="76" t="str">
        <f>VLOOKUP(1512,Sprachindex!$A:$Z,Info!$O$7,FALSE)</f>
        <v>lfm</v>
      </c>
      <c r="C94" s="78" t="e" vm="63">
        <v>#VALUE!</v>
      </c>
      <c r="D94" s="75" t="str">
        <f t="shared" si="31"/>
        <v/>
      </c>
      <c r="E94" s="618" t="str">
        <f>VLOOKUP(402,Sprachindex!$A:$Z,Info!$O$7,FALSE)</f>
        <v>Flachprofil (35 × 7 × 3.000 mm)</v>
      </c>
      <c r="F94" s="619"/>
      <c r="G94" s="619"/>
      <c r="H94" s="619"/>
      <c r="I94" s="619"/>
      <c r="J94" s="619"/>
      <c r="K94" s="620"/>
      <c r="L94" s="76" t="str">
        <f t="shared" si="28"/>
        <v/>
      </c>
      <c r="M94" s="161" t="str">
        <f>VLOOKUP(1512,Sprachindex!$A:$Z,Info!$O$7,FALSE)</f>
        <v>lfm</v>
      </c>
      <c r="N94" s="77"/>
      <c r="O94" s="184" t="str">
        <f t="shared" si="27"/>
        <v/>
      </c>
      <c r="P94" s="267"/>
      <c r="Q94" s="5"/>
      <c r="R94" s="182">
        <v>11.66</v>
      </c>
      <c r="S94" s="179"/>
      <c r="T94" s="179"/>
      <c r="U94" s="179"/>
      <c r="V94" s="179"/>
      <c r="W94" s="179"/>
      <c r="X94" s="179"/>
      <c r="Y94" s="179"/>
      <c r="Z94" s="179"/>
      <c r="AA94" s="179"/>
      <c r="AB94" s="179"/>
      <c r="AC94" s="129"/>
      <c r="AD94" s="139">
        <f>ROUNDUP($A94/3,0)*3</f>
        <v>0</v>
      </c>
      <c r="AE94" s="139">
        <f>ROUNDUP($A94/3,0)*3</f>
        <v>0</v>
      </c>
      <c r="AF94" s="135"/>
      <c r="AH94" s="44">
        <v>110403</v>
      </c>
      <c r="AI94" s="44">
        <v>110400</v>
      </c>
      <c r="AJ94" s="44">
        <v>110408</v>
      </c>
      <c r="AK94" s="44">
        <v>110405</v>
      </c>
      <c r="AL94" s="44">
        <v>110401</v>
      </c>
      <c r="AM94" s="44">
        <v>110407</v>
      </c>
      <c r="AN94" s="44">
        <v>110402</v>
      </c>
      <c r="AO94" s="44">
        <v>110406</v>
      </c>
      <c r="AP94" s="111" t="s">
        <v>63</v>
      </c>
      <c r="AQ94" s="44">
        <v>110404</v>
      </c>
      <c r="AR94" s="111">
        <v>15321028</v>
      </c>
      <c r="AS94" s="512" t="e" vm="2">
        <f t="shared" si="30"/>
        <v>#VALUE!</v>
      </c>
    </row>
    <row r="95" spans="1:45" ht="32.1" customHeight="1">
      <c r="A95" s="93"/>
      <c r="B95" s="76" t="str">
        <f>VLOOKUP(878,Sprachindex!$A:$Z,Info!$O$7,FALSE)</f>
        <v>Stk.</v>
      </c>
      <c r="C95" s="78" t="e" vm="64">
        <v>#VALUE!</v>
      </c>
      <c r="D95" s="75" t="str">
        <f t="shared" si="31"/>
        <v/>
      </c>
      <c r="E95" s="618" t="str">
        <f>VLOOKUP(459,Sprachindex!$A:$Z,Info!$O$7,FALSE)</f>
        <v>Hauerbuckel; zum Abdecken von Befestigungsmitteln</v>
      </c>
      <c r="F95" s="619"/>
      <c r="G95" s="619"/>
      <c r="H95" s="619"/>
      <c r="I95" s="619"/>
      <c r="J95" s="619"/>
      <c r="K95" s="620"/>
      <c r="L95" s="76" t="str">
        <f t="shared" si="28"/>
        <v/>
      </c>
      <c r="M95" s="161" t="str">
        <f>VLOOKUP(878,Sprachindex!$A:$Z,Info!$O$7,FALSE)</f>
        <v>Stk.</v>
      </c>
      <c r="N95" s="77"/>
      <c r="O95" s="184" t="str">
        <f t="shared" si="27"/>
        <v/>
      </c>
      <c r="P95" s="267"/>
      <c r="Q95" s="5"/>
      <c r="R95" s="182">
        <v>2.12</v>
      </c>
      <c r="S95" s="179"/>
      <c r="T95" s="179"/>
      <c r="U95" s="179"/>
      <c r="V95" s="179"/>
      <c r="W95" s="179"/>
      <c r="X95" s="179"/>
      <c r="Y95" s="179"/>
      <c r="Z95" s="179"/>
      <c r="AA95" s="179"/>
      <c r="AB95" s="179"/>
      <c r="AC95" s="129"/>
      <c r="AD95" s="139">
        <f>ROUNDUP($A95,0)</f>
        <v>0</v>
      </c>
      <c r="AE95" s="139">
        <f>ROUNDUP($A95,0)</f>
        <v>0</v>
      </c>
      <c r="AF95" s="135"/>
      <c r="AH95" s="44">
        <v>112404</v>
      </c>
      <c r="AI95" s="44">
        <v>112401</v>
      </c>
      <c r="AJ95" s="44">
        <v>112409</v>
      </c>
      <c r="AK95" s="44">
        <v>112406</v>
      </c>
      <c r="AL95" s="44">
        <v>112402</v>
      </c>
      <c r="AM95" s="44">
        <v>112408</v>
      </c>
      <c r="AN95" s="44">
        <v>112403</v>
      </c>
      <c r="AO95" s="44">
        <v>112407</v>
      </c>
      <c r="AP95" s="44">
        <v>112410</v>
      </c>
      <c r="AQ95" s="44">
        <v>112405</v>
      </c>
      <c r="AR95" s="44">
        <v>58581028</v>
      </c>
      <c r="AS95" s="512" t="e" vm="2">
        <f t="shared" si="30"/>
        <v>#VALUE!</v>
      </c>
    </row>
    <row r="96" spans="1:45" ht="32.1" customHeight="1">
      <c r="A96" s="93"/>
      <c r="B96" s="76" t="s">
        <v>31</v>
      </c>
      <c r="C96" s="78" t="e" vm="65">
        <v>#VALUE!</v>
      </c>
      <c r="D96" s="75">
        <v>340404</v>
      </c>
      <c r="E96" s="618" t="str">
        <f>VLOOKUP(1422,Sprachindex!$A:$Z,Info!$O$7,FALSE)</f>
        <v>Dachleitungshalter für Blitzschutzdraht</v>
      </c>
      <c r="F96" s="619"/>
      <c r="G96" s="619"/>
      <c r="H96" s="619"/>
      <c r="I96" s="619"/>
      <c r="J96" s="619"/>
      <c r="K96" s="620"/>
      <c r="L96" s="76" t="str">
        <f t="shared" si="28"/>
        <v/>
      </c>
      <c r="M96" s="161" t="s">
        <v>31</v>
      </c>
      <c r="N96" s="77"/>
      <c r="O96" s="184" t="str">
        <f t="shared" si="27"/>
        <v/>
      </c>
      <c r="P96" s="267"/>
      <c r="Q96" s="5"/>
      <c r="R96" s="182">
        <v>7.37</v>
      </c>
      <c r="S96" s="179"/>
      <c r="T96" s="179"/>
      <c r="U96" s="179"/>
      <c r="V96" s="179"/>
      <c r="W96" s="179"/>
      <c r="X96" s="179"/>
      <c r="Y96" s="179"/>
      <c r="Z96" s="179"/>
      <c r="AA96" s="179"/>
      <c r="AB96" s="179"/>
      <c r="AC96" s="129"/>
      <c r="AD96" s="139">
        <f>ROUNDUP($A96/50,0)*50</f>
        <v>0</v>
      </c>
      <c r="AE96" s="139">
        <f t="shared" ref="AE96:AE104" si="33">ROUNDUP($A96,0)</f>
        <v>0</v>
      </c>
      <c r="AF96" s="135"/>
      <c r="AH96" s="119"/>
      <c r="AI96" s="119"/>
      <c r="AJ96" s="119"/>
      <c r="AK96" s="119"/>
      <c r="AL96" s="119"/>
      <c r="AM96" s="119"/>
      <c r="AN96" s="119"/>
      <c r="AO96" s="119"/>
      <c r="AP96" s="119"/>
      <c r="AQ96" s="119"/>
      <c r="AR96" s="119"/>
      <c r="AS96" s="547"/>
    </row>
    <row r="97" spans="1:476" ht="32.1" customHeight="1">
      <c r="A97" s="93"/>
      <c r="B97" s="76" t="str">
        <f>VLOOKUP(878,Sprachindex!$A:$Z,Info!$O$7,FALSE)</f>
        <v>Stk.</v>
      </c>
      <c r="C97" s="75" t="e" vm="66">
        <v>#VALUE!</v>
      </c>
      <c r="D97" s="75">
        <v>420501</v>
      </c>
      <c r="E97" s="654" t="str">
        <f>VLOOKUP(851,Sprachindex!$A:$Z,Info!$O$7,FALSE)</f>
        <v>Spezialkleber</v>
      </c>
      <c r="F97" s="655"/>
      <c r="G97" s="655"/>
      <c r="H97" s="655"/>
      <c r="I97" s="655"/>
      <c r="J97" s="655"/>
      <c r="K97" s="656"/>
      <c r="L97" s="76" t="str">
        <f t="shared" si="28"/>
        <v/>
      </c>
      <c r="M97" s="161" t="str">
        <f>VLOOKUP(878,Sprachindex!$A:$Z,Info!$O$7,FALSE)</f>
        <v>Stk.</v>
      </c>
      <c r="N97" s="77"/>
      <c r="O97" s="184" t="str">
        <f t="shared" si="27"/>
        <v/>
      </c>
      <c r="P97" s="267"/>
      <c r="Q97" s="5"/>
      <c r="R97" s="182">
        <v>40.299999999999997</v>
      </c>
      <c r="S97" s="179"/>
      <c r="T97" s="179"/>
      <c r="U97" s="179"/>
      <c r="V97" s="179"/>
      <c r="W97" s="179"/>
      <c r="X97" s="179"/>
      <c r="Y97" s="179"/>
      <c r="Z97" s="179"/>
      <c r="AA97" s="179"/>
      <c r="AB97" s="179"/>
      <c r="AC97" s="129"/>
      <c r="AD97" s="139">
        <f>ROUNDUP($A97/24,0)*24</f>
        <v>0</v>
      </c>
      <c r="AE97" s="139">
        <f t="shared" si="33"/>
        <v>0</v>
      </c>
      <c r="AF97" s="140"/>
      <c r="AS97" s="20"/>
    </row>
    <row r="98" spans="1:476" ht="32.1" customHeight="1">
      <c r="A98" s="93"/>
      <c r="B98" s="76" t="str">
        <f>VLOOKUP(821,Sprachindex!$A:$Z,Info!$O$7,FALSE)</f>
        <v>Set</v>
      </c>
      <c r="C98" s="75" t="e" vm="67">
        <v>#VALUE!</v>
      </c>
      <c r="D98" s="75">
        <v>420500</v>
      </c>
      <c r="E98" s="618" t="str">
        <f>VLOOKUP(852,Sprachindex!$A:$Z,Info!$O$7,FALSE)</f>
        <v>Spezialkleberset</v>
      </c>
      <c r="F98" s="619"/>
      <c r="G98" s="619"/>
      <c r="H98" s="619"/>
      <c r="I98" s="619"/>
      <c r="J98" s="619"/>
      <c r="K98" s="620"/>
      <c r="L98" s="76" t="str">
        <f t="shared" si="28"/>
        <v/>
      </c>
      <c r="M98" s="161" t="str">
        <f>VLOOKUP(821,Sprachindex!$A:$Z,Info!$O$7,FALSE)</f>
        <v>Set</v>
      </c>
      <c r="N98" s="77"/>
      <c r="O98" s="184" t="str">
        <f t="shared" si="27"/>
        <v/>
      </c>
      <c r="P98" s="267"/>
      <c r="Q98" s="5"/>
      <c r="R98" s="182">
        <v>55.18</v>
      </c>
      <c r="S98" s="179"/>
      <c r="T98" s="179"/>
      <c r="U98" s="179"/>
      <c r="V98" s="179"/>
      <c r="W98" s="179"/>
      <c r="X98" s="179"/>
      <c r="Y98" s="179"/>
      <c r="Z98" s="179"/>
      <c r="AA98" s="179"/>
      <c r="AB98" s="179"/>
      <c r="AC98" s="129"/>
      <c r="AD98" s="139">
        <f t="shared" ref="AD98:AD103" si="34">ROUNDUP($A98,0)</f>
        <v>0</v>
      </c>
      <c r="AE98" s="139">
        <f t="shared" si="33"/>
        <v>0</v>
      </c>
      <c r="AF98" s="135"/>
      <c r="AH98" s="47" t="s">
        <v>35</v>
      </c>
      <c r="AI98" s="47" t="s">
        <v>32</v>
      </c>
      <c r="AJ98" s="47" t="s">
        <v>40</v>
      </c>
      <c r="AK98" s="47" t="s">
        <v>37</v>
      </c>
      <c r="AL98" s="47" t="s">
        <v>33</v>
      </c>
      <c r="AM98" s="47" t="s">
        <v>39</v>
      </c>
      <c r="AN98" s="47" t="s">
        <v>34</v>
      </c>
      <c r="AO98" s="47" t="s">
        <v>38</v>
      </c>
      <c r="AP98" s="47" t="s">
        <v>41</v>
      </c>
      <c r="AQ98" s="47" t="s">
        <v>36</v>
      </c>
      <c r="AR98" s="439" t="s">
        <v>38962</v>
      </c>
      <c r="AS98" s="20"/>
      <c r="AT98" s="149" t="s">
        <v>35</v>
      </c>
      <c r="AU98" s="47" t="s">
        <v>32</v>
      </c>
      <c r="AV98" s="47" t="s">
        <v>40</v>
      </c>
      <c r="AW98" s="47" t="s">
        <v>37</v>
      </c>
      <c r="AX98" s="47" t="s">
        <v>33</v>
      </c>
      <c r="AY98" s="47" t="s">
        <v>39</v>
      </c>
      <c r="AZ98" s="47" t="s">
        <v>34</v>
      </c>
      <c r="BA98" s="47" t="s">
        <v>38</v>
      </c>
      <c r="BB98" s="47" t="s">
        <v>41</v>
      </c>
      <c r="BC98" s="47" t="s">
        <v>36</v>
      </c>
      <c r="BD98" s="47" t="s">
        <v>38962</v>
      </c>
    </row>
    <row r="99" spans="1:476" ht="32.1" customHeight="1">
      <c r="A99" s="93"/>
      <c r="B99" s="76" t="str">
        <f>VLOOKUP(878,Sprachindex!$A:$Z,Info!$O$7,FALSE)</f>
        <v>Stk.</v>
      </c>
      <c r="C99" s="78" t="e" vm="70">
        <v>#VALUE!</v>
      </c>
      <c r="D99" s="75">
        <v>340415</v>
      </c>
      <c r="E99" s="618" t="str">
        <f>VLOOKUP(184,Sprachindex!$A:$Z,Info!$O$7,FALSE)</f>
        <v>Aufsparrenschraubenpaket</v>
      </c>
      <c r="F99" s="619"/>
      <c r="G99" s="619"/>
      <c r="H99" s="619"/>
      <c r="I99" s="619"/>
      <c r="J99" s="619"/>
      <c r="K99" s="620"/>
      <c r="L99" s="76" t="str">
        <f>IF($A99=0,"",IF($P$11=1,AD99,AE99))</f>
        <v/>
      </c>
      <c r="M99" s="161" t="str">
        <f>VLOOKUP(878,Sprachindex!$A:$Z,Info!$O$7,FALSE)</f>
        <v>Stk.</v>
      </c>
      <c r="N99" s="77"/>
      <c r="O99" s="184" t="str">
        <f t="shared" si="27"/>
        <v/>
      </c>
      <c r="P99" s="267"/>
      <c r="Q99" s="5"/>
      <c r="R99" s="182">
        <v>26.8</v>
      </c>
      <c r="S99" s="179"/>
      <c r="T99" s="179"/>
      <c r="U99" s="179"/>
      <c r="V99" s="179"/>
      <c r="W99" s="179"/>
      <c r="X99" s="179"/>
      <c r="Y99" s="179"/>
      <c r="Z99" s="179"/>
      <c r="AA99" s="179"/>
      <c r="AB99" s="179"/>
      <c r="AC99" s="129"/>
      <c r="AD99" s="139">
        <f t="shared" si="34"/>
        <v>0</v>
      </c>
      <c r="AE99" s="139">
        <f t="shared" si="33"/>
        <v>0</v>
      </c>
      <c r="AF99" s="135"/>
      <c r="AS99" s="20"/>
    </row>
    <row r="100" spans="1:476" ht="32.1" customHeight="1">
      <c r="A100" s="93"/>
      <c r="B100" s="76" t="str">
        <f>VLOOKUP(878,Sprachindex!$A:$Z,Info!$O$7,FALSE)</f>
        <v>Stk.</v>
      </c>
      <c r="C100" s="78" t="e" vm="71">
        <v>#VALUE!</v>
      </c>
      <c r="D100" s="75">
        <v>340416</v>
      </c>
      <c r="E100" s="618" t="str">
        <f>VLOOKUP(183,Sprachindex!$A:$Z,Info!$O$7,FALSE)</f>
        <v>Aufsparrenmontagepaket</v>
      </c>
      <c r="F100" s="619"/>
      <c r="G100" s="619"/>
      <c r="H100" s="619"/>
      <c r="I100" s="619"/>
      <c r="J100" s="619"/>
      <c r="K100" s="620"/>
      <c r="L100" s="76" t="str">
        <f>IF($A100=0,"",IF($P$11=1,AD100,AE100))</f>
        <v/>
      </c>
      <c r="M100" s="161" t="str">
        <f>VLOOKUP(878,Sprachindex!$A:$Z,Info!$O$7,FALSE)</f>
        <v>Stk.</v>
      </c>
      <c r="N100" s="77"/>
      <c r="O100" s="184" t="str">
        <f t="shared" si="27"/>
        <v/>
      </c>
      <c r="P100" s="267"/>
      <c r="Q100" s="5"/>
      <c r="R100" s="182">
        <v>44.93</v>
      </c>
      <c r="S100" s="179"/>
      <c r="T100" s="179"/>
      <c r="U100" s="179"/>
      <c r="V100" s="179"/>
      <c r="W100" s="179"/>
      <c r="X100" s="179"/>
      <c r="Y100" s="179"/>
      <c r="Z100" s="179"/>
      <c r="AA100" s="179"/>
      <c r="AB100" s="179"/>
      <c r="AC100" s="129"/>
      <c r="AD100" s="139">
        <f t="shared" si="34"/>
        <v>0</v>
      </c>
      <c r="AE100" s="139">
        <f t="shared" si="33"/>
        <v>0</v>
      </c>
      <c r="AF100" s="135"/>
      <c r="AS100" s="20"/>
    </row>
    <row r="101" spans="1:476" ht="32.1" customHeight="1">
      <c r="A101" s="93"/>
      <c r="B101" s="76" t="str">
        <f>VLOOKUP(878,Sprachindex!$A:$Z,Info!$O$7,FALSE)</f>
        <v>Stk.</v>
      </c>
      <c r="C101" s="78" t="e" vm="72">
        <v>#VALUE!</v>
      </c>
      <c r="D101" s="75">
        <v>119008</v>
      </c>
      <c r="E101" s="618" t="str">
        <f>VLOOKUP(2237,Sprachindex!$A:$Z,Info!$O$7,FALSE) &amp; " (" &amp; VLOOKUP(2668,Sprachindex!$A:$Z,Info!$O$7,FALSE) &amp; ")"</f>
        <v>Taurus-BEF-10 auf Fußteilen (P.10 Schwarz)</v>
      </c>
      <c r="F101" s="619"/>
      <c r="G101" s="619"/>
      <c r="H101" s="619"/>
      <c r="I101" s="619"/>
      <c r="J101" s="619"/>
      <c r="K101" s="620"/>
      <c r="L101" s="76" t="str">
        <f t="shared" ref="L101:L102" si="35">IF($A101=0,"",IF($P$11=1,AD101,AE101))</f>
        <v/>
      </c>
      <c r="M101" s="161" t="str">
        <f>VLOOKUP(878,Sprachindex!$A:$Z,Info!$O$7,FALSE)</f>
        <v>Stk.</v>
      </c>
      <c r="N101" s="77"/>
      <c r="O101" s="184" t="str">
        <f t="shared" si="27"/>
        <v/>
      </c>
      <c r="P101" s="267"/>
      <c r="Q101" s="5"/>
      <c r="R101" s="182">
        <v>142.76</v>
      </c>
      <c r="S101" s="179"/>
      <c r="T101" s="179"/>
      <c r="U101" s="179"/>
      <c r="V101" s="179"/>
      <c r="W101" s="179"/>
      <c r="X101" s="179"/>
      <c r="Y101" s="179"/>
      <c r="Z101" s="179"/>
      <c r="AA101" s="179"/>
      <c r="AB101" s="179"/>
      <c r="AC101" s="129"/>
      <c r="AD101" s="139">
        <f t="shared" si="34"/>
        <v>0</v>
      </c>
      <c r="AE101" s="139">
        <f t="shared" si="33"/>
        <v>0</v>
      </c>
      <c r="AF101" s="135"/>
      <c r="AS101" s="20"/>
    </row>
    <row r="102" spans="1:476" ht="32.1" customHeight="1">
      <c r="A102" s="93"/>
      <c r="B102" s="76" t="str">
        <f>VLOOKUP(878,Sprachindex!$A:$Z,Info!$O$7,FALSE)</f>
        <v>Stk.</v>
      </c>
      <c r="C102" s="78" t="e" vm="73">
        <v>#VALUE!</v>
      </c>
      <c r="D102" s="75">
        <v>120268</v>
      </c>
      <c r="E102" s="618" t="str">
        <f>VLOOKUP(2238,Sprachindex!$A:$Z,Info!$O$7,FALSE) &amp; " (" &amp; VLOOKUP(2668,Sprachindex!$A:$Z,Info!$O$7,FALSE) &amp; ")"</f>
        <v>Einzelanschlagspunkt auf Fußteilen (P.10 Schwarz)</v>
      </c>
      <c r="F102" s="619"/>
      <c r="G102" s="619"/>
      <c r="H102" s="619"/>
      <c r="I102" s="619"/>
      <c r="J102" s="619"/>
      <c r="K102" s="620"/>
      <c r="L102" s="76" t="str">
        <f t="shared" si="35"/>
        <v/>
      </c>
      <c r="M102" s="161" t="str">
        <f>VLOOKUP(878,Sprachindex!$A:$Z,Info!$O$7,FALSE)</f>
        <v>Stk.</v>
      </c>
      <c r="N102" s="77"/>
      <c r="O102" s="184" t="str">
        <f t="shared" si="27"/>
        <v/>
      </c>
      <c r="P102" s="267"/>
      <c r="Q102" s="5"/>
      <c r="R102" s="182">
        <v>139.66999999999999</v>
      </c>
      <c r="S102" s="179"/>
      <c r="T102" s="179"/>
      <c r="U102" s="179"/>
      <c r="V102" s="179"/>
      <c r="W102" s="179"/>
      <c r="X102" s="179"/>
      <c r="Y102" s="179"/>
      <c r="Z102" s="179"/>
      <c r="AA102" s="179"/>
      <c r="AB102" s="179"/>
      <c r="AC102" s="129"/>
      <c r="AD102" s="139">
        <f t="shared" si="34"/>
        <v>0</v>
      </c>
      <c r="AE102" s="139">
        <f t="shared" si="33"/>
        <v>0</v>
      </c>
      <c r="AF102" s="135"/>
      <c r="AS102" s="20"/>
    </row>
    <row r="103" spans="1:476" ht="32.1" customHeight="1">
      <c r="A103" s="93"/>
      <c r="B103" s="76" t="str">
        <f>VLOOKUP(531,Sprachindex!$A:$Z,Info!$O$7,FALSE)</f>
        <v>kg</v>
      </c>
      <c r="C103" s="78" t="e" vm="74">
        <v>#VALUE!</v>
      </c>
      <c r="D103" s="75" t="str" cm="1">
        <f t="array" ref="D103">_xlfn.IFS(I103=Formeln!$A$107,AI103,I103=Formeln!$A$108,AH103,I103=Formeln!$A$109,AK103,I103=Formeln!$A$110,AJ103,TRUE,"")</f>
        <v/>
      </c>
      <c r="E103" s="618" t="str">
        <f>VLOOKUP(583,Sprachindex!$A:$Z,Info!$O$7,FALSE)</f>
        <v>Lochblech (⌀ 5 mm) ca. 24 kg/Rolle (0,7 × 1.000 mm)</v>
      </c>
      <c r="F103" s="619"/>
      <c r="G103" s="619"/>
      <c r="H103" s="647"/>
      <c r="I103" s="624"/>
      <c r="J103" s="625"/>
      <c r="K103" s="626"/>
      <c r="L103" s="76" t="str">
        <f>IF($A103=0,"",IF($I103=Formeln!$A$106," ",IF($P$11=1,AC103,AD103)))</f>
        <v/>
      </c>
      <c r="M103" s="161" t="str">
        <f>VLOOKUP(531,Sprachindex!$A:$Z,Info!$O$7,FALSE)</f>
        <v>kg</v>
      </c>
      <c r="N103" s="77"/>
      <c r="O103" s="204" t="str">
        <f t="shared" si="27"/>
        <v/>
      </c>
      <c r="P103" s="267"/>
      <c r="Q103" s="5"/>
      <c r="R103" s="182">
        <v>0</v>
      </c>
      <c r="S103" s="179"/>
      <c r="T103" s="179"/>
      <c r="U103" s="179"/>
      <c r="V103" s="179"/>
      <c r="W103" s="179"/>
      <c r="X103" s="179"/>
      <c r="Y103" s="179"/>
      <c r="Z103" s="179"/>
      <c r="AA103" s="179"/>
      <c r="AB103" s="179"/>
      <c r="AC103" s="139">
        <f>ROUNDUP($A103/24,0)*24</f>
        <v>0</v>
      </c>
      <c r="AD103" s="139">
        <f t="shared" si="34"/>
        <v>0</v>
      </c>
      <c r="AF103" s="141" t="str">
        <f>IF(A103&gt;24, Formeln!$A$119, Formeln!$A$118)</f>
        <v>Rolle</v>
      </c>
      <c r="AH103" s="44">
        <v>507202</v>
      </c>
      <c r="AI103" s="44">
        <v>507206</v>
      </c>
      <c r="AJ103" s="44">
        <v>507205</v>
      </c>
      <c r="AK103" s="163">
        <v>507203</v>
      </c>
      <c r="AL103" s="559"/>
      <c r="AS103" s="510"/>
    </row>
    <row r="104" spans="1:476" ht="32.1" customHeight="1">
      <c r="A104" s="93"/>
      <c r="B104" s="76" t="str">
        <f>VLOOKUP(531,Sprachindex!$A:$Z,Info!$O$7,FALSE)</f>
        <v>kg</v>
      </c>
      <c r="C104" s="78" t="e" vm="75">
        <v>#VALUE!</v>
      </c>
      <c r="D104" s="75" t="str">
        <f>IF($O$9=1,BE104,IF($O$9=2,AS104,""))</f>
        <v/>
      </c>
      <c r="E104" s="618" t="str">
        <f>VLOOKUP(669,Sprachindex!$A:$Z,Info!$O$7,FALSE)</f>
        <v>PREFALZ Ergänzungsband; 0,7 × 1.000 mm (für Zusatzverblechungen)</v>
      </c>
      <c r="F104" s="619"/>
      <c r="G104" s="619"/>
      <c r="H104" s="619"/>
      <c r="I104" s="619"/>
      <c r="J104" s="619"/>
      <c r="K104" s="620"/>
      <c r="L104" s="76" t="str">
        <f>IF($A104=0,"",IF($P$11=1,AD104,AE104))</f>
        <v/>
      </c>
      <c r="M104" s="161" t="str">
        <f>VLOOKUP(531,Sprachindex!$A:$Z,Info!$O$7,FALSE)</f>
        <v>kg</v>
      </c>
      <c r="N104" s="77"/>
      <c r="O104" s="204" t="str">
        <f t="shared" si="27"/>
        <v/>
      </c>
      <c r="P104" s="267"/>
      <c r="Q104" s="5"/>
      <c r="R104" s="182">
        <v>0</v>
      </c>
      <c r="S104" s="179"/>
      <c r="T104" s="179"/>
      <c r="U104" s="179"/>
      <c r="V104" s="179"/>
      <c r="W104" s="179"/>
      <c r="X104" s="179"/>
      <c r="Y104" s="179"/>
      <c r="Z104" s="179"/>
      <c r="AA104" s="179"/>
      <c r="AB104" s="179"/>
      <c r="AC104" s="129"/>
      <c r="AD104" s="139">
        <f>ROUNDUP($A104/30,0)*30</f>
        <v>0</v>
      </c>
      <c r="AE104" s="139">
        <f t="shared" si="33"/>
        <v>0</v>
      </c>
      <c r="AF104" s="141" t="str">
        <f>IF(A104&gt;60, Formeln!$A$119, Formeln!$A$118)</f>
        <v>Rolle</v>
      </c>
      <c r="AH104" s="545" t="s">
        <v>85</v>
      </c>
      <c r="AI104" s="433" t="s">
        <v>65</v>
      </c>
      <c r="AJ104" s="433" t="s">
        <v>72</v>
      </c>
      <c r="AK104" s="433" t="s">
        <v>69</v>
      </c>
      <c r="AL104" s="433" t="s">
        <v>66</v>
      </c>
      <c r="AM104" s="433" t="s">
        <v>71</v>
      </c>
      <c r="AN104" s="433" t="s">
        <v>67</v>
      </c>
      <c r="AO104" s="433" t="s">
        <v>70</v>
      </c>
      <c r="AP104" s="433" t="s">
        <v>73</v>
      </c>
      <c r="AQ104" s="433" t="s">
        <v>68</v>
      </c>
      <c r="AR104" s="545" t="s">
        <v>277</v>
      </c>
      <c r="AS104" s="512" t="e" vm="2">
        <f>VLOOKUP(AH104,AH104:AR104,$O$21,FALSE)</f>
        <v>#VALUE!</v>
      </c>
      <c r="AT104" s="432" t="s">
        <v>77</v>
      </c>
      <c r="AU104" s="432" t="s">
        <v>74</v>
      </c>
      <c r="AV104" s="432" t="s">
        <v>82</v>
      </c>
      <c r="AW104" s="432" t="s">
        <v>79</v>
      </c>
      <c r="AX104" s="432" t="s">
        <v>75</v>
      </c>
      <c r="AY104" s="432" t="s">
        <v>81</v>
      </c>
      <c r="AZ104" s="432" t="s">
        <v>76</v>
      </c>
      <c r="BA104" s="432" t="s">
        <v>80</v>
      </c>
      <c r="BB104" s="432" t="s">
        <v>83</v>
      </c>
      <c r="BC104" s="432" t="s">
        <v>78</v>
      </c>
      <c r="BD104" s="546" t="s">
        <v>293</v>
      </c>
      <c r="BE104" s="512" t="e" vm="2">
        <f>VLOOKUP(AT104,AT104:BD104,$O$21,FALSE)</f>
        <v>#VALUE!</v>
      </c>
    </row>
    <row r="105" spans="1:476" ht="32.1" customHeight="1">
      <c r="A105" s="93"/>
      <c r="B105" s="98"/>
      <c r="C105" s="98"/>
      <c r="D105" s="98"/>
      <c r="E105" s="648"/>
      <c r="F105" s="649"/>
      <c r="G105" s="649"/>
      <c r="H105" s="649"/>
      <c r="I105" s="649"/>
      <c r="J105" s="649"/>
      <c r="K105" s="650"/>
      <c r="L105" s="98"/>
      <c r="M105" s="399"/>
      <c r="N105" s="412"/>
      <c r="O105" s="184" t="str">
        <f t="shared" ref="O105:O106" si="36">IF(ISNUMBER(A105),$L105*R105, "")</f>
        <v/>
      </c>
      <c r="P105" s="1"/>
      <c r="Q105" s="8"/>
      <c r="AC105" s="8"/>
      <c r="AD105" s="8"/>
      <c r="AE105" s="8"/>
      <c r="AF105" s="8"/>
      <c r="AH105" s="47" t="s">
        <v>32</v>
      </c>
      <c r="AI105" s="47" t="s">
        <v>33</v>
      </c>
      <c r="AJ105" s="47" t="s">
        <v>34</v>
      </c>
      <c r="AK105" s="47" t="s">
        <v>35</v>
      </c>
      <c r="AL105" s="47" t="s">
        <v>36</v>
      </c>
      <c r="AM105" s="47" t="s">
        <v>37</v>
      </c>
      <c r="AN105" s="47" t="s">
        <v>38</v>
      </c>
      <c r="AO105" s="47" t="s">
        <v>39</v>
      </c>
      <c r="AP105" s="47" t="s">
        <v>40</v>
      </c>
      <c r="AQ105" s="439" t="s">
        <v>41</v>
      </c>
      <c r="AR105" s="578"/>
      <c r="AS105" s="578"/>
      <c r="AT105" s="440" t="s">
        <v>32</v>
      </c>
      <c r="AU105" s="47" t="s">
        <v>33</v>
      </c>
      <c r="AV105" s="47" t="s">
        <v>34</v>
      </c>
      <c r="AW105" s="47" t="s">
        <v>35</v>
      </c>
      <c r="AX105" s="47" t="s">
        <v>36</v>
      </c>
      <c r="AY105" s="47" t="s">
        <v>37</v>
      </c>
      <c r="AZ105" s="47" t="s">
        <v>38</v>
      </c>
      <c r="BA105" s="47" t="s">
        <v>39</v>
      </c>
      <c r="BB105" s="47" t="s">
        <v>40</v>
      </c>
      <c r="BC105" s="47" t="s">
        <v>41</v>
      </c>
    </row>
    <row r="106" spans="1:476" ht="32.1" customHeight="1">
      <c r="A106" s="93"/>
      <c r="B106" s="98"/>
      <c r="C106" s="98"/>
      <c r="D106" s="98"/>
      <c r="E106" s="648"/>
      <c r="F106" s="649"/>
      <c r="G106" s="649"/>
      <c r="H106" s="649"/>
      <c r="I106" s="649"/>
      <c r="J106" s="649"/>
      <c r="K106" s="650"/>
      <c r="L106" s="98"/>
      <c r="M106" s="399"/>
      <c r="N106" s="412"/>
      <c r="O106" s="184" t="str">
        <f t="shared" si="36"/>
        <v/>
      </c>
      <c r="P106" s="1"/>
      <c r="Q106" s="8"/>
      <c r="R106" s="8"/>
      <c r="AC106" s="8"/>
      <c r="AD106" s="8"/>
      <c r="AE106" s="8"/>
      <c r="AF106" s="8"/>
    </row>
    <row r="107" spans="1:476" ht="32.1" customHeight="1" thickBot="1">
      <c r="A107" s="143"/>
      <c r="B107" s="144"/>
      <c r="C107" s="144"/>
      <c r="D107" s="144"/>
      <c r="E107" s="651"/>
      <c r="F107" s="652"/>
      <c r="G107" s="652"/>
      <c r="H107" s="652"/>
      <c r="I107" s="652"/>
      <c r="J107" s="652"/>
      <c r="K107" s="653"/>
      <c r="L107" s="144"/>
      <c r="M107" s="400"/>
      <c r="N107" s="413"/>
      <c r="O107" s="184" t="str">
        <f>IF(ISNUMBER(A107),$L107*R107, "")</f>
        <v/>
      </c>
      <c r="P107" s="1"/>
      <c r="Q107" s="8"/>
      <c r="R107" s="8"/>
    </row>
    <row r="108" spans="1:476" ht="17.399999999999999">
      <c r="A108" s="67"/>
      <c r="B108" s="67"/>
      <c r="C108" s="67"/>
      <c r="D108" s="641"/>
      <c r="E108" s="641"/>
      <c r="F108" s="641"/>
      <c r="G108" s="641"/>
      <c r="H108" s="641"/>
      <c r="I108" s="641"/>
      <c r="J108" s="641"/>
      <c r="K108" s="641"/>
      <c r="L108" s="641"/>
      <c r="M108" s="641"/>
      <c r="N108" s="641"/>
      <c r="O108" s="202"/>
      <c r="R108" s="8"/>
      <c r="QL108" s="9"/>
      <c r="QM108" s="9"/>
      <c r="QN108" s="9"/>
      <c r="QO108" s="9"/>
      <c r="QP108" s="9"/>
      <c r="QQ108" s="9"/>
      <c r="QR108" s="9"/>
      <c r="QS108" s="9"/>
      <c r="QT108" s="9"/>
      <c r="QU108" s="9"/>
      <c r="QV108" s="9"/>
      <c r="QW108" s="9"/>
      <c r="QX108" s="9"/>
      <c r="QY108" s="9"/>
      <c r="QZ108" s="9"/>
      <c r="RA108" s="9"/>
      <c r="RB108" s="9"/>
      <c r="RC108" s="9"/>
      <c r="RD108" s="9"/>
      <c r="RE108" s="9"/>
      <c r="RF108" s="9"/>
      <c r="RG108" s="9"/>
      <c r="RH108" s="9"/>
    </row>
    <row r="109" spans="1:476" ht="17.399999999999999">
      <c r="A109" s="67"/>
      <c r="B109" s="67"/>
      <c r="C109" s="84" t="str">
        <f>VLOOKUP(1035,Sprachindex!$A:$Z,Info!$O$7,FALSE)</f>
        <v>Zusatzvermerk:</v>
      </c>
      <c r="D109" s="642"/>
      <c r="E109" s="642"/>
      <c r="F109" s="642"/>
      <c r="G109" s="642"/>
      <c r="H109" s="642"/>
      <c r="I109" s="642"/>
      <c r="J109" s="642"/>
      <c r="K109" s="642"/>
      <c r="L109" s="642"/>
      <c r="M109" s="642"/>
      <c r="N109" s="642"/>
      <c r="O109" s="180">
        <f>SUM(O28:O108)</f>
        <v>0</v>
      </c>
      <c r="QL109" s="9"/>
      <c r="QM109" s="9"/>
      <c r="QN109" s="9"/>
      <c r="QO109" s="9"/>
      <c r="QP109" s="9"/>
      <c r="QQ109" s="9"/>
      <c r="QR109" s="9"/>
      <c r="QS109" s="9"/>
      <c r="QT109" s="9"/>
      <c r="QU109" s="9"/>
      <c r="QV109" s="9"/>
      <c r="QW109" s="9"/>
      <c r="QX109" s="9"/>
      <c r="QY109" s="9"/>
      <c r="QZ109" s="9"/>
      <c r="RA109" s="9"/>
      <c r="RB109" s="9"/>
      <c r="RC109" s="9"/>
      <c r="RD109" s="9"/>
      <c r="RE109" s="9"/>
      <c r="RF109" s="9"/>
      <c r="RG109" s="9"/>
      <c r="RH109" s="9"/>
    </row>
    <row r="110" spans="1:476" s="9" customFormat="1" ht="17.399999999999999">
      <c r="A110" s="67"/>
      <c r="B110" s="67"/>
      <c r="C110" s="67"/>
      <c r="D110" s="643"/>
      <c r="E110" s="643"/>
      <c r="F110" s="643"/>
      <c r="G110" s="643"/>
      <c r="H110" s="643"/>
      <c r="I110" s="643"/>
      <c r="J110" s="643"/>
      <c r="K110" s="643"/>
      <c r="L110" s="643"/>
      <c r="M110" s="643"/>
      <c r="N110" s="643"/>
      <c r="O110" s="5"/>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row>
    <row r="111" spans="1:476" s="9" customFormat="1" ht="17.399999999999999">
      <c r="A111" s="67"/>
      <c r="B111" s="67"/>
      <c r="C111" s="67"/>
      <c r="D111" s="642"/>
      <c r="E111" s="642"/>
      <c r="F111" s="642"/>
      <c r="G111" s="642"/>
      <c r="H111" s="642"/>
      <c r="I111" s="642"/>
      <c r="J111" s="642"/>
      <c r="K111" s="642"/>
      <c r="L111" s="642"/>
      <c r="M111" s="642"/>
      <c r="N111" s="642"/>
      <c r="O111" s="5"/>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row>
    <row r="112" spans="1:476" s="9" customFormat="1" ht="17.399999999999999">
      <c r="A112" s="67"/>
      <c r="B112" s="67"/>
      <c r="C112" s="67"/>
      <c r="D112" s="643"/>
      <c r="E112" s="643"/>
      <c r="F112" s="643"/>
      <c r="G112" s="643"/>
      <c r="H112" s="643"/>
      <c r="I112" s="643"/>
      <c r="J112" s="643"/>
      <c r="K112" s="643"/>
      <c r="L112" s="643"/>
      <c r="M112" s="643"/>
      <c r="N112" s="643"/>
      <c r="O112" s="5"/>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row>
    <row r="113" spans="1:476" s="9" customFormat="1" ht="17.399999999999999">
      <c r="A113" s="67"/>
      <c r="B113" s="67"/>
      <c r="C113" s="67"/>
      <c r="D113" s="642"/>
      <c r="E113" s="642"/>
      <c r="F113" s="642"/>
      <c r="G113" s="642"/>
      <c r="H113" s="642"/>
      <c r="I113" s="642"/>
      <c r="J113" s="642"/>
      <c r="K113" s="642"/>
      <c r="L113" s="642"/>
      <c r="M113" s="642"/>
      <c r="N113" s="642"/>
      <c r="O113" s="5"/>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row>
    <row r="114" spans="1:476" s="9" customFormat="1" ht="13.8">
      <c r="A114" s="1"/>
      <c r="B114" s="1"/>
      <c r="C114" s="1"/>
      <c r="D114" s="1"/>
      <c r="E114" s="1"/>
      <c r="F114" s="1"/>
      <c r="G114" s="1"/>
      <c r="H114" s="1"/>
      <c r="I114" s="1"/>
      <c r="J114" s="1"/>
      <c r="K114" s="1"/>
      <c r="L114" s="1"/>
      <c r="M114" s="1"/>
      <c r="N114" s="1"/>
      <c r="O114" s="5"/>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row>
    <row r="115" spans="1:476" s="9" customFormat="1" ht="13.8">
      <c r="A115" s="1"/>
      <c r="B115" s="1"/>
      <c r="C115" s="1"/>
      <c r="D115" s="1"/>
      <c r="E115" s="1"/>
      <c r="F115" s="1"/>
      <c r="G115" s="1"/>
      <c r="H115" s="1"/>
      <c r="I115" s="1"/>
      <c r="J115" s="1"/>
      <c r="K115" s="1"/>
      <c r="L115" s="1"/>
      <c r="M115" s="1"/>
      <c r="N115" s="1"/>
      <c r="O115" s="5"/>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row>
    <row r="116" spans="1:476" s="9" customFormat="1" ht="17.399999999999999">
      <c r="A116" s="85" t="str">
        <f>VLOOKUP(2097,Sprachindex!$A:$Z,Info!$O$7,FALSE)</f>
        <v>Produkttechnik</v>
      </c>
      <c r="B116" s="86"/>
      <c r="C116" s="86"/>
      <c r="D116" s="646"/>
      <c r="E116" s="646"/>
      <c r="F116" s="646"/>
      <c r="G116" s="646"/>
      <c r="H116" s="646"/>
      <c r="I116" s="646"/>
      <c r="J116" s="646"/>
      <c r="K116" s="87" t="str">
        <f>VLOOKUP(856,Sprachindex!$A:$Z,Info!$O$7,FALSE)</f>
        <v>Stand:</v>
      </c>
      <c r="L116" s="644">
        <f>Info!M59</f>
        <v>45728</v>
      </c>
      <c r="M116" s="644"/>
      <c r="N116" s="645"/>
      <c r="O116" s="5"/>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row>
    <row r="117" spans="1:476" s="9" customFormat="1" ht="13.8">
      <c r="A117" s="1"/>
      <c r="B117" s="1"/>
      <c r="C117" s="1"/>
      <c r="D117" s="1"/>
      <c r="E117" s="1"/>
      <c r="F117" s="1"/>
      <c r="G117" s="1"/>
      <c r="H117" s="1"/>
      <c r="I117" s="1"/>
      <c r="J117" s="1"/>
      <c r="K117" s="1"/>
      <c r="L117" s="1"/>
      <c r="M117" s="1"/>
      <c r="N117" s="1"/>
      <c r="O117" s="5"/>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row>
    <row r="118" spans="1:476" s="9" customFormat="1" ht="13.8" hidden="1">
      <c r="A118" s="1"/>
      <c r="B118" s="1"/>
      <c r="C118" s="1"/>
      <c r="D118" s="1"/>
      <c r="E118" s="1"/>
      <c r="F118" s="1"/>
      <c r="G118" s="1"/>
      <c r="H118" s="1"/>
      <c r="I118" s="1"/>
      <c r="J118" s="1"/>
      <c r="K118" s="1"/>
      <c r="L118" s="1"/>
      <c r="M118" s="1"/>
      <c r="N118" s="1"/>
      <c r="O118" s="5"/>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row>
    <row r="119" spans="1:476" s="9" customFormat="1" ht="13.8" hidden="1">
      <c r="A119" s="1"/>
      <c r="B119" s="1"/>
      <c r="C119" s="1"/>
      <c r="D119" s="1"/>
      <c r="E119" s="1"/>
      <c r="F119" s="1"/>
      <c r="G119" s="1"/>
      <c r="H119" s="1"/>
      <c r="I119" s="1"/>
      <c r="J119" s="1"/>
      <c r="K119" s="1"/>
      <c r="L119" s="1"/>
      <c r="M119" s="1"/>
      <c r="N119" s="1"/>
      <c r="O119" s="5"/>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row>
    <row r="120" spans="1:476" s="9" customFormat="1" ht="13.8" hidden="1">
      <c r="A120" s="1"/>
      <c r="B120" s="1"/>
      <c r="C120" s="1"/>
      <c r="D120" s="1"/>
      <c r="E120" s="1"/>
      <c r="F120" s="1"/>
      <c r="G120" s="1"/>
      <c r="H120" s="1"/>
      <c r="I120" s="1"/>
      <c r="J120" s="1"/>
      <c r="K120" s="1"/>
      <c r="L120" s="1"/>
      <c r="M120" s="1"/>
      <c r="N120" s="1"/>
      <c r="O120" s="5"/>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row>
    <row r="121" spans="1:476" s="9" customFormat="1" ht="13.8" hidden="1">
      <c r="A121" s="1"/>
      <c r="B121" s="1"/>
      <c r="C121" s="1"/>
      <c r="D121" s="1"/>
      <c r="E121" s="1"/>
      <c r="F121" s="1"/>
      <c r="G121" s="1"/>
      <c r="H121" s="1"/>
      <c r="I121" s="1"/>
      <c r="J121" s="1"/>
      <c r="K121" s="1"/>
      <c r="L121" s="1"/>
      <c r="M121" s="1"/>
      <c r="N121" s="1"/>
      <c r="O121" s="5"/>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row>
    <row r="122" spans="1:476" s="9" customFormat="1" ht="13.8" hidden="1">
      <c r="A122" s="1"/>
      <c r="B122" s="1"/>
      <c r="C122" s="1"/>
      <c r="D122" s="1"/>
      <c r="E122" s="1"/>
      <c r="F122" s="1"/>
      <c r="G122" s="1"/>
      <c r="H122" s="1"/>
      <c r="I122" s="1"/>
      <c r="J122" s="1"/>
      <c r="K122" s="1"/>
      <c r="L122" s="1"/>
      <c r="M122" s="1"/>
      <c r="N122" s="1"/>
      <c r="O122" s="5"/>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row>
    <row r="123" spans="1:476" s="9" customFormat="1" ht="13.8" hidden="1">
      <c r="A123" s="1"/>
      <c r="B123" s="1"/>
      <c r="C123" s="1"/>
      <c r="D123" s="1"/>
      <c r="E123" s="1"/>
      <c r="F123" s="1"/>
      <c r="G123" s="1"/>
      <c r="H123" s="1"/>
      <c r="I123" s="1"/>
      <c r="J123" s="1"/>
      <c r="K123" s="1"/>
      <c r="L123" s="1"/>
      <c r="M123" s="1"/>
      <c r="N123" s="1"/>
      <c r="O123" s="5"/>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row>
    <row r="124" spans="1:476" s="9" customFormat="1" ht="13.8" hidden="1">
      <c r="A124" s="1"/>
      <c r="B124" s="1"/>
      <c r="C124" s="1"/>
      <c r="D124" s="1"/>
      <c r="E124" s="1"/>
      <c r="F124" s="1"/>
      <c r="G124" s="1"/>
      <c r="H124" s="1"/>
      <c r="I124" s="1"/>
      <c r="J124" s="1"/>
      <c r="K124" s="1"/>
      <c r="L124" s="1"/>
      <c r="M124" s="1"/>
      <c r="N124" s="1"/>
      <c r="O124" s="5"/>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row>
    <row r="125" spans="1:476" s="9" customFormat="1" ht="14.25" hidden="1" customHeight="1">
      <c r="A125" s="1"/>
      <c r="B125" s="1"/>
      <c r="C125" s="1"/>
      <c r="D125" s="1"/>
      <c r="E125" s="1"/>
      <c r="F125" s="1"/>
      <c r="G125" s="1"/>
      <c r="H125" s="1"/>
      <c r="I125" s="1"/>
      <c r="J125" s="1"/>
      <c r="K125" s="1"/>
      <c r="L125" s="1"/>
      <c r="M125" s="1"/>
      <c r="N125" s="1"/>
      <c r="O125" s="5"/>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row>
    <row r="126" spans="1:476" ht="14.25" hidden="1" customHeight="1"/>
    <row r="127" spans="1:476" ht="14.25" hidden="1" customHeight="1"/>
    <row r="128" spans="1:476" ht="14.25" hidden="1" customHeight="1"/>
    <row r="129" ht="14.25" hidden="1" customHeight="1"/>
  </sheetData>
  <sheetProtection algorithmName="SHA-512" hashValue="Kk4fo3PqH0vHBb/0xeJar7UsaIkEasxgDGCefG3+8S/I7fsSWW+KxufybqL7X5aDpDbCdXNP8j8Zh8nnaZ20CA==" saltValue="cNWk7aFfbGeXkFS+FhnBrw==" spinCount="100000" sheet="1" objects="1" scenarios="1" selectLockedCells="1" autoFilter="0"/>
  <protectedRanges>
    <protectedRange password="DEBF" sqref="AD31:AD32" name="darf vom Benutzer nicht verändert werden_1_5_2_1"/>
    <protectedRange password="DEBF" sqref="AD35 AE35:AF36" name="darf vom Benutzer nicht verändert werden_1_1_1"/>
    <protectedRange password="DEBF" sqref="AD33:AF33" name="darf vom Benutzer nicht verändert werden_1_2_1"/>
    <protectedRange password="DEBF" sqref="AD36" name="darf vom Benutzer nicht verändert werden_1_4_1"/>
    <protectedRange password="DEBF" sqref="AC105:AF106 AD52:AF54 AD79:AF80 AD72:AF72 AD39:AF40" name="darf vom Benutzer nicht verändert werden_1_5_1"/>
    <protectedRange password="DEBF" sqref="AD38:AE38" name="darf vom Benutzer nicht verändert werden_1_5_1_1"/>
    <protectedRange password="DEBF" sqref="AD41:AE47" name="darf vom Benutzer nicht verändert werden_1_5_14"/>
    <protectedRange password="DEBF" sqref="AD48:AE50" name="darf vom Benutzer nicht verändert werden_1_5_5"/>
    <protectedRange password="DEBF" sqref="AD51:AE51" name="darf vom Benutzer nicht verändert werden_1_5_14_1"/>
    <protectedRange password="DEBF" sqref="AD58:AE58" name="darf vom Benutzer nicht verändert werden_1_5_14_2"/>
    <protectedRange password="DEBF" sqref="AD55:AE57" name="darf vom Benutzer nicht verändert werden_1_5_6"/>
    <protectedRange password="DEBF" sqref="AD59:AE61" name="darf vom Benutzer nicht verändert werden_1_5_11"/>
    <protectedRange password="DEBF" sqref="AD62:AE70" name="darf vom Benutzer nicht verändert werden_1_5_11_1"/>
    <protectedRange password="DEBF" sqref="AD71:AE71" name="darf vom Benutzer nicht verändert werden_1_5_11_3"/>
    <protectedRange password="DEBF" sqref="AD73:AE78" name="darf vom Benutzer nicht verändert werden_1_5_9"/>
    <protectedRange password="DEBF" sqref="AD99:AE102 AD104:AE104" name="darf vom Benutzer nicht verändert werden_1_5_7_1"/>
    <protectedRange password="DEBF" sqref="AF104" name="darf vom Benutzer nicht verändert werden_1_12_1_1"/>
    <protectedRange password="DEBF" sqref="AD81:AE98" name="darf vom Benutzer nicht verändert werden_1_5_8_5"/>
    <protectedRange password="DEBF" sqref="AC103:AD103" name="darf vom Benutzer nicht verändert werden_1_5_7"/>
    <protectedRange password="DEBF" sqref="AF103" name="darf vom Benutzer nicht verändert werden_1_12_1"/>
    <protectedRange password="DEBF" sqref="AE34" name="darf vom Benutzer nicht verändert werden_1_1"/>
    <protectedRange password="DEBF" sqref="AD34" name="darf vom Benutzer nicht verändert werden_1_2"/>
    <protectedRange password="DEBF" sqref="AE37" name="darf vom Benutzer nicht verändert werden_1_2_3"/>
    <protectedRange password="DEBF" sqref="AD37" name="darf vom Benutzer nicht verändert werden_1_5_2_5_1"/>
  </protectedRanges>
  <autoFilter ref="A29:A107" xr:uid="{00000000-0009-0000-0000-000003000000}"/>
  <mergeCells count="112">
    <mergeCell ref="E44:K44"/>
    <mergeCell ref="AD29:AE29"/>
    <mergeCell ref="E104:K104"/>
    <mergeCell ref="E38:K38"/>
    <mergeCell ref="C21:E21"/>
    <mergeCell ref="B29:E29"/>
    <mergeCell ref="E30:K30"/>
    <mergeCell ref="E31:K31"/>
    <mergeCell ref="E32:K32"/>
    <mergeCell ref="E33:K33"/>
    <mergeCell ref="E35:K35"/>
    <mergeCell ref="E50:G50"/>
    <mergeCell ref="H50:K50"/>
    <mergeCell ref="E51:K51"/>
    <mergeCell ref="E55:K55"/>
    <mergeCell ref="E56:H56"/>
    <mergeCell ref="J56:K56"/>
    <mergeCell ref="E49:G49"/>
    <mergeCell ref="H49:K49"/>
    <mergeCell ref="E39:G39"/>
    <mergeCell ref="H39:K39"/>
    <mergeCell ref="E40:K40"/>
    <mergeCell ref="E41:K41"/>
    <mergeCell ref="E42:K42"/>
    <mergeCell ref="E43:K43"/>
    <mergeCell ref="E36:G36"/>
    <mergeCell ref="H36:K36"/>
    <mergeCell ref="E37:G37"/>
    <mergeCell ref="H37:K37"/>
    <mergeCell ref="C24:E24"/>
    <mergeCell ref="C25:E25"/>
    <mergeCell ref="C26:E26"/>
    <mergeCell ref="B24:B27"/>
    <mergeCell ref="C27:E27"/>
    <mergeCell ref="E34:K34"/>
    <mergeCell ref="C20:E20"/>
    <mergeCell ref="C9:E9"/>
    <mergeCell ref="C10:E10"/>
    <mergeCell ref="C11:E11"/>
    <mergeCell ref="C13:E13"/>
    <mergeCell ref="C14:E14"/>
    <mergeCell ref="C15:E15"/>
    <mergeCell ref="C18:E18"/>
    <mergeCell ref="C19:E19"/>
    <mergeCell ref="E45:K45"/>
    <mergeCell ref="E46:K46"/>
    <mergeCell ref="E47:K47"/>
    <mergeCell ref="E53:K53"/>
    <mergeCell ref="E54:K54"/>
    <mergeCell ref="E52:K52"/>
    <mergeCell ref="E48:G48"/>
    <mergeCell ref="H48:K48"/>
    <mergeCell ref="E66:K66"/>
    <mergeCell ref="J57:K57"/>
    <mergeCell ref="J58:K58"/>
    <mergeCell ref="E59:K59"/>
    <mergeCell ref="E60:K60"/>
    <mergeCell ref="E61:K61"/>
    <mergeCell ref="E62:K62"/>
    <mergeCell ref="E63:K63"/>
    <mergeCell ref="E64:K64"/>
    <mergeCell ref="E65:K65"/>
    <mergeCell ref="E57:G57"/>
    <mergeCell ref="E58:G58"/>
    <mergeCell ref="E89:K89"/>
    <mergeCell ref="E91:K91"/>
    <mergeCell ref="E92:K92"/>
    <mergeCell ref="E93:K93"/>
    <mergeCell ref="E94:K94"/>
    <mergeCell ref="E95:K95"/>
    <mergeCell ref="E80:K80"/>
    <mergeCell ref="E81:K81"/>
    <mergeCell ref="E83:K83"/>
    <mergeCell ref="E84:K84"/>
    <mergeCell ref="E85:K85"/>
    <mergeCell ref="E87:K87"/>
    <mergeCell ref="E88:K88"/>
    <mergeCell ref="E67:K67"/>
    <mergeCell ref="E68:K68"/>
    <mergeCell ref="E69:K69"/>
    <mergeCell ref="E70:K70"/>
    <mergeCell ref="E71:K71"/>
    <mergeCell ref="E74:K74"/>
    <mergeCell ref="E75:K75"/>
    <mergeCell ref="E76:K76"/>
    <mergeCell ref="E77:K77"/>
    <mergeCell ref="E73:K73"/>
    <mergeCell ref="E72:K72"/>
    <mergeCell ref="AH69:AS69"/>
    <mergeCell ref="AT69:BD69"/>
    <mergeCell ref="L116:N116"/>
    <mergeCell ref="D108:N109"/>
    <mergeCell ref="E100:K100"/>
    <mergeCell ref="E79:K79"/>
    <mergeCell ref="E97:K97"/>
    <mergeCell ref="E98:K98"/>
    <mergeCell ref="E99:K99"/>
    <mergeCell ref="E82:K82"/>
    <mergeCell ref="E86:K86"/>
    <mergeCell ref="D116:J116"/>
    <mergeCell ref="E105:K105"/>
    <mergeCell ref="E106:K106"/>
    <mergeCell ref="E107:K107"/>
    <mergeCell ref="E103:H103"/>
    <mergeCell ref="I103:K103"/>
    <mergeCell ref="E96:K96"/>
    <mergeCell ref="E90:K90"/>
    <mergeCell ref="E101:K101"/>
    <mergeCell ref="E102:K102"/>
    <mergeCell ref="D110:N111"/>
    <mergeCell ref="D112:N113"/>
    <mergeCell ref="E78:K78"/>
  </mergeCells>
  <conditionalFormatting sqref="A31:A104">
    <cfRule type="cellIs" dxfId="1297" priority="6" operator="equal">
      <formula>""</formula>
    </cfRule>
  </conditionalFormatting>
  <conditionalFormatting sqref="A105:E107">
    <cfRule type="cellIs" dxfId="1296" priority="97" operator="equal">
      <formula>""</formula>
    </cfRule>
  </conditionalFormatting>
  <conditionalFormatting sqref="C9:E11">
    <cfRule type="cellIs" dxfId="1294" priority="1041" operator="equal">
      <formula>""</formula>
    </cfRule>
  </conditionalFormatting>
  <conditionalFormatting sqref="C13:E15">
    <cfRule type="cellIs" dxfId="1293" priority="1038" operator="equal">
      <formula>""</formula>
    </cfRule>
  </conditionalFormatting>
  <conditionalFormatting sqref="C18:E21">
    <cfRule type="cellIs" dxfId="1292" priority="1034" operator="equal">
      <formula>""</formula>
    </cfRule>
  </conditionalFormatting>
  <conditionalFormatting sqref="C24:E27">
    <cfRule type="cellIs" dxfId="1291" priority="722" operator="equal">
      <formula>""</formula>
    </cfRule>
  </conditionalFormatting>
  <conditionalFormatting sqref="D68">
    <cfRule type="duplicateValues" dxfId="1290" priority="109"/>
  </conditionalFormatting>
  <conditionalFormatting sqref="D69">
    <cfRule type="duplicateValues" dxfId="1289" priority="113"/>
  </conditionalFormatting>
  <conditionalFormatting sqref="D70">
    <cfRule type="duplicateValues" dxfId="1288" priority="112"/>
  </conditionalFormatting>
  <conditionalFormatting sqref="D78">
    <cfRule type="duplicateValues" dxfId="1287" priority="91"/>
  </conditionalFormatting>
  <conditionalFormatting sqref="H37:K37">
    <cfRule type="cellIs" dxfId="1281" priority="7" operator="equal">
      <formula>""</formula>
    </cfRule>
  </conditionalFormatting>
  <conditionalFormatting sqref="I13">
    <cfRule type="expression" dxfId="1278" priority="2166">
      <formula>$O$13=2</formula>
    </cfRule>
    <cfRule type="expression" dxfId="1277" priority="2167">
      <formula>$O$13=1</formula>
    </cfRule>
  </conditionalFormatting>
  <conditionalFormatting sqref="I21:I22 I28">
    <cfRule type="expression" dxfId="1276" priority="2168">
      <formula>$O$21=10</formula>
    </cfRule>
  </conditionalFormatting>
  <conditionalFormatting sqref="I24:I26">
    <cfRule type="cellIs" dxfId="1275" priority="472" operator="equal">
      <formula>""</formula>
    </cfRule>
  </conditionalFormatting>
  <conditionalFormatting sqref="I103:K103">
    <cfRule type="expression" dxfId="1274" priority="17">
      <formula>$I$103=""</formula>
    </cfRule>
  </conditionalFormatting>
  <conditionalFormatting sqref="L13">
    <cfRule type="expression" dxfId="1272" priority="2171">
      <formula>$O$13=1</formula>
    </cfRule>
    <cfRule type="expression" dxfId="1271" priority="2172">
      <formula>$O$13=2</formula>
    </cfRule>
  </conditionalFormatting>
  <conditionalFormatting sqref="L105:M107">
    <cfRule type="cellIs" dxfId="1270" priority="955" operator="equal">
      <formula>""</formula>
    </cfRule>
  </conditionalFormatting>
  <conditionalFormatting sqref="AH53:AH54">
    <cfRule type="duplicateValues" dxfId="1267" priority="434"/>
  </conditionalFormatting>
  <conditionalFormatting sqref="AH87 AJ87:AR87">
    <cfRule type="duplicateValues" dxfId="1266" priority="42"/>
  </conditionalFormatting>
  <conditionalFormatting sqref="AH103:AL103">
    <cfRule type="duplicateValues" dxfId="1265" priority="16"/>
  </conditionalFormatting>
  <conditionalFormatting sqref="AH83:AO83 AQ83">
    <cfRule type="duplicateValues" dxfId="1264" priority="26"/>
  </conditionalFormatting>
  <conditionalFormatting sqref="AH84:AO84 AQ84">
    <cfRule type="duplicateValues" dxfId="1263" priority="27"/>
  </conditionalFormatting>
  <conditionalFormatting sqref="AH88:AO88 AQ88">
    <cfRule type="duplicateValues" dxfId="1262" priority="28"/>
  </conditionalFormatting>
  <conditionalFormatting sqref="AH89:AO89 AQ89">
    <cfRule type="duplicateValues" dxfId="1261" priority="29"/>
  </conditionalFormatting>
  <conditionalFormatting sqref="AH90:AO90 AQ90">
    <cfRule type="duplicateValues" dxfId="1260" priority="30"/>
  </conditionalFormatting>
  <conditionalFormatting sqref="AH91:AO91 AQ91">
    <cfRule type="duplicateValues" dxfId="1259" priority="31"/>
  </conditionalFormatting>
  <conditionalFormatting sqref="AH92:AO92 AQ92">
    <cfRule type="duplicateValues" dxfId="1258" priority="32"/>
  </conditionalFormatting>
  <conditionalFormatting sqref="AH94:AO94 AQ94">
    <cfRule type="duplicateValues" dxfId="1257" priority="33"/>
  </conditionalFormatting>
  <conditionalFormatting sqref="AH66:AP66">
    <cfRule type="duplicateValues" dxfId="1256" priority="111"/>
  </conditionalFormatting>
  <conditionalFormatting sqref="AH67:AP67">
    <cfRule type="duplicateValues" dxfId="1255" priority="115"/>
  </conditionalFormatting>
  <conditionalFormatting sqref="AH96:AP96 AH95:AO95 AQ95">
    <cfRule type="duplicateValues" dxfId="1254" priority="25"/>
  </conditionalFormatting>
  <conditionalFormatting sqref="AH80:AQ80">
    <cfRule type="duplicateValues" dxfId="1253" priority="464"/>
  </conditionalFormatting>
  <conditionalFormatting sqref="AH38:AR38">
    <cfRule type="duplicateValues" dxfId="1252" priority="192"/>
  </conditionalFormatting>
  <conditionalFormatting sqref="AH48:AR48">
    <cfRule type="duplicateValues" dxfId="1251" priority="186"/>
  </conditionalFormatting>
  <conditionalFormatting sqref="AH49:AR49">
    <cfRule type="duplicateValues" dxfId="1250" priority="185"/>
  </conditionalFormatting>
  <conditionalFormatting sqref="AH50:AR50">
    <cfRule type="duplicateValues" dxfId="1249" priority="184"/>
  </conditionalFormatting>
  <conditionalFormatting sqref="AH51:AR52">
    <cfRule type="duplicateValues" dxfId="1248" priority="177"/>
  </conditionalFormatting>
  <conditionalFormatting sqref="AH55:AR55">
    <cfRule type="duplicateValues" dxfId="1247" priority="168"/>
  </conditionalFormatting>
  <conditionalFormatting sqref="AH56:AR57">
    <cfRule type="duplicateValues" dxfId="1246" priority="140"/>
  </conditionalFormatting>
  <conditionalFormatting sqref="AH59:AR61">
    <cfRule type="duplicateValues" dxfId="1245" priority="118"/>
  </conditionalFormatting>
  <conditionalFormatting sqref="AH62:AR65">
    <cfRule type="duplicateValues" dxfId="1244" priority="101"/>
  </conditionalFormatting>
  <conditionalFormatting sqref="AH71:AR71">
    <cfRule type="duplicateValues" dxfId="1243" priority="95"/>
  </conditionalFormatting>
  <conditionalFormatting sqref="AH72:AR72">
    <cfRule type="duplicateValues" dxfId="1242" priority="18"/>
  </conditionalFormatting>
  <conditionalFormatting sqref="AH75:AR77">
    <cfRule type="duplicateValues" dxfId="1241" priority="89"/>
  </conditionalFormatting>
  <conditionalFormatting sqref="AH79:AR79 AT79:AW79">
    <cfRule type="duplicateValues" dxfId="1240" priority="2544"/>
  </conditionalFormatting>
  <conditionalFormatting sqref="AH81:AR82">
    <cfRule type="duplicateValues" dxfId="1239" priority="43"/>
  </conditionalFormatting>
  <conditionalFormatting sqref="AH85:AR85">
    <cfRule type="duplicateValues" dxfId="1238" priority="44"/>
  </conditionalFormatting>
  <conditionalFormatting sqref="AH86:AR86">
    <cfRule type="duplicateValues" dxfId="1237" priority="45"/>
  </conditionalFormatting>
  <conditionalFormatting sqref="AH93:AR93">
    <cfRule type="duplicateValues" dxfId="1236" priority="46"/>
  </conditionalFormatting>
  <conditionalFormatting sqref="AI53:AI54">
    <cfRule type="duplicateValues" dxfId="1235" priority="433"/>
  </conditionalFormatting>
  <conditionalFormatting sqref="AI87">
    <cfRule type="duplicateValues" dxfId="1234" priority="24"/>
  </conditionalFormatting>
  <conditionalFormatting sqref="AJ53:AJ54">
    <cfRule type="duplicateValues" dxfId="1233" priority="432"/>
  </conditionalFormatting>
  <conditionalFormatting sqref="AK53:AK54">
    <cfRule type="duplicateValues" dxfId="1232" priority="431"/>
  </conditionalFormatting>
  <conditionalFormatting sqref="AL53:AL54">
    <cfRule type="duplicateValues" dxfId="1231" priority="430"/>
  </conditionalFormatting>
  <conditionalFormatting sqref="AM53:AM54">
    <cfRule type="duplicateValues" dxfId="1230" priority="429"/>
  </conditionalFormatting>
  <conditionalFormatting sqref="AN53:AN54">
    <cfRule type="duplicateValues" dxfId="1229" priority="428"/>
  </conditionalFormatting>
  <conditionalFormatting sqref="AO53:AO54">
    <cfRule type="duplicateValues" dxfId="1228" priority="427"/>
  </conditionalFormatting>
  <conditionalFormatting sqref="AP53:AP54">
    <cfRule type="duplicateValues" dxfId="1227" priority="426"/>
  </conditionalFormatting>
  <conditionalFormatting sqref="AQ53:AQ54">
    <cfRule type="duplicateValues" dxfId="1226" priority="411"/>
  </conditionalFormatting>
  <conditionalFormatting sqref="AQ66">
    <cfRule type="duplicateValues" dxfId="1225" priority="110"/>
  </conditionalFormatting>
  <conditionalFormatting sqref="AQ67">
    <cfRule type="duplicateValues" dxfId="1224" priority="114"/>
  </conditionalFormatting>
  <conditionalFormatting sqref="AQ96:AR96 AR95 AP95">
    <cfRule type="duplicateValues" dxfId="1223" priority="23"/>
  </conditionalFormatting>
  <conditionalFormatting sqref="AR31:AR32">
    <cfRule type="duplicateValues" dxfId="1222" priority="193"/>
  </conditionalFormatting>
  <conditionalFormatting sqref="AR83 AP83">
    <cfRule type="duplicateValues" dxfId="1221" priority="34"/>
  </conditionalFormatting>
  <conditionalFormatting sqref="AR84 AP84">
    <cfRule type="duplicateValues" dxfId="1220" priority="35"/>
  </conditionalFormatting>
  <conditionalFormatting sqref="AR88 AP88">
    <cfRule type="duplicateValues" dxfId="1219" priority="36"/>
  </conditionalFormatting>
  <conditionalFormatting sqref="AR89 AP89">
    <cfRule type="duplicateValues" dxfId="1218" priority="37"/>
  </conditionalFormatting>
  <conditionalFormatting sqref="AR90 AP90">
    <cfRule type="duplicateValues" dxfId="1217" priority="38"/>
  </conditionalFormatting>
  <conditionalFormatting sqref="AR91 AP91">
    <cfRule type="duplicateValues" dxfId="1216" priority="39"/>
  </conditionalFormatting>
  <conditionalFormatting sqref="AR92 AP92">
    <cfRule type="duplicateValues" dxfId="1215" priority="40"/>
  </conditionalFormatting>
  <conditionalFormatting sqref="AR94 AP94">
    <cfRule type="duplicateValues" dxfId="1214" priority="41"/>
  </conditionalFormatting>
  <conditionalFormatting sqref="AT73:AU73 AX73 AZ73 AH73:AR74">
    <cfRule type="duplicateValues" dxfId="1213" priority="2173"/>
  </conditionalFormatting>
  <conditionalFormatting sqref="AT104:AU104 AX104 AZ104 AH104:AR104">
    <cfRule type="duplicateValues" dxfId="1212" priority="52"/>
  </conditionalFormatting>
  <conditionalFormatting sqref="AT48:AV50">
    <cfRule type="duplicateValues" dxfId="1211" priority="183"/>
  </conditionalFormatting>
  <conditionalFormatting sqref="AT51:AV51">
    <cfRule type="duplicateValues" dxfId="1210" priority="178"/>
  </conditionalFormatting>
  <conditionalFormatting sqref="AT59:BC59">
    <cfRule type="duplicateValues" dxfId="1209" priority="121"/>
  </conditionalFormatting>
  <conditionalFormatting sqref="AT60:BC60">
    <cfRule type="duplicateValues" dxfId="1208" priority="119"/>
  </conditionalFormatting>
  <conditionalFormatting sqref="AT61:BC61">
    <cfRule type="duplicateValues" dxfId="1207" priority="120"/>
  </conditionalFormatting>
  <conditionalFormatting sqref="AT55:BD55">
    <cfRule type="duplicateValues" dxfId="1206" priority="169"/>
  </conditionalFormatting>
  <conditionalFormatting sqref="AT56:BD56">
    <cfRule type="duplicateValues" dxfId="1205" priority="167"/>
  </conditionalFormatting>
  <conditionalFormatting sqref="AT57:BD57">
    <cfRule type="duplicateValues" dxfId="1204" priority="122"/>
  </conditionalFormatting>
  <conditionalFormatting sqref="AT74:BD74">
    <cfRule type="duplicateValues" dxfId="1203" priority="88"/>
  </conditionalFormatting>
  <conditionalFormatting sqref="AV73:AW73 AY73 BA73:BC73">
    <cfRule type="duplicateValues" dxfId="1202" priority="2174"/>
  </conditionalFormatting>
  <conditionalFormatting sqref="AV104:AW104 AY104 BA104:BD104">
    <cfRule type="duplicateValues" dxfId="1201" priority="51"/>
  </conditionalFormatting>
  <conditionalFormatting sqref="AX79:BD79">
    <cfRule type="duplicateValues" dxfId="1200" priority="201"/>
  </conditionalFormatting>
  <conditionalFormatting sqref="AY31:AY32 AV31:AW32 BA31:BC32">
    <cfRule type="duplicateValues" dxfId="1199" priority="234"/>
  </conditionalFormatting>
  <conditionalFormatting sqref="AY41:AY47 BA41:BD47 AV41:AW47">
    <cfRule type="duplicateValues" dxfId="1198" priority="189"/>
  </conditionalFormatting>
  <conditionalFormatting sqref="AY52 BA52:BD52 AV52:AW52">
    <cfRule type="duplicateValues" dxfId="1197" priority="20"/>
  </conditionalFormatting>
  <conditionalFormatting sqref="AZ31:AZ32 AX31:AX32 AT31:AU32 AH31:AQ32">
    <cfRule type="duplicateValues" dxfId="1196" priority="235"/>
  </conditionalFormatting>
  <conditionalFormatting sqref="AZ41:AZ47 AT41:AU47 AX41:AX47 AH41:AR47">
    <cfRule type="duplicateValues" dxfId="1195" priority="188"/>
  </conditionalFormatting>
  <conditionalFormatting sqref="AZ52 AT52:AU52 AX52">
    <cfRule type="duplicateValues" dxfId="1194" priority="19"/>
  </conditionalFormatting>
  <conditionalFormatting sqref="BB62:BB65 BC62 AT62:BA62">
    <cfRule type="duplicateValues" dxfId="1193" priority="108"/>
  </conditionalFormatting>
  <conditionalFormatting sqref="BB63">
    <cfRule type="duplicateValues" dxfId="1192" priority="106"/>
  </conditionalFormatting>
  <conditionalFormatting sqref="BB64">
    <cfRule type="duplicateValues" dxfId="1191" priority="104"/>
  </conditionalFormatting>
  <conditionalFormatting sqref="BB65">
    <cfRule type="duplicateValues" dxfId="1190" priority="102"/>
  </conditionalFormatting>
  <conditionalFormatting sqref="BC63 AT63:BA63">
    <cfRule type="duplicateValues" dxfId="1189" priority="107"/>
  </conditionalFormatting>
  <conditionalFormatting sqref="BC64 AT64:BA64">
    <cfRule type="duplicateValues" dxfId="1188" priority="105"/>
  </conditionalFormatting>
  <conditionalFormatting sqref="BC65 AT65:BA65">
    <cfRule type="duplicateValues" dxfId="1187" priority="103"/>
  </conditionalFormatting>
  <conditionalFormatting sqref="BC58:BK58 BM58:BV58">
    <cfRule type="duplicateValues" dxfId="1186" priority="174"/>
  </conditionalFormatting>
  <conditionalFormatting sqref="BD31">
    <cfRule type="duplicateValues" dxfId="1185" priority="198"/>
  </conditionalFormatting>
  <conditionalFormatting sqref="BD32">
    <cfRule type="duplicateValues" dxfId="1184" priority="13"/>
  </conditionalFormatting>
  <conditionalFormatting sqref="BD73">
    <cfRule type="duplicateValues" dxfId="1183" priority="2175"/>
  </conditionalFormatting>
  <conditionalFormatting sqref="BT56:CD57">
    <cfRule type="duplicateValues" dxfId="1182" priority="139"/>
  </conditionalFormatting>
  <conditionalFormatting sqref="BX58:CF58 CH58:CQ58">
    <cfRule type="duplicateValues" dxfId="1181" priority="173"/>
  </conditionalFormatting>
  <conditionalFormatting sqref="CH56:CR57 BH56:BR57">
    <cfRule type="duplicateValues" dxfId="1180" priority="138"/>
  </conditionalFormatting>
  <conditionalFormatting sqref="CS58:DA58 DX58:EG58">
    <cfRule type="duplicateValues" dxfId="1179" priority="172"/>
  </conditionalFormatting>
  <conditionalFormatting sqref="CU56:DD57">
    <cfRule type="duplicateValues" dxfId="1178" priority="137"/>
  </conditionalFormatting>
  <conditionalFormatting sqref="DC58:DL58">
    <cfRule type="duplicateValues" dxfId="1177" priority="170"/>
  </conditionalFormatting>
  <conditionalFormatting sqref="DH56:DR57">
    <cfRule type="duplicateValues" dxfId="1176" priority="136"/>
  </conditionalFormatting>
  <conditionalFormatting sqref="DU56:ED57">
    <cfRule type="duplicateValues" dxfId="1175" priority="135"/>
  </conditionalFormatting>
  <conditionalFormatting sqref="EH56:ER57">
    <cfRule type="duplicateValues" dxfId="1174" priority="134"/>
  </conditionalFormatting>
  <conditionalFormatting sqref="EI58:EQ58 ES58:FB58">
    <cfRule type="duplicateValues" dxfId="1173" priority="171"/>
  </conditionalFormatting>
  <conditionalFormatting sqref="EU56:FD57">
    <cfRule type="duplicateValues" dxfId="1172" priority="133"/>
  </conditionalFormatting>
  <conditionalFormatting sqref="FH56:FR57">
    <cfRule type="duplicateValues" dxfId="1171" priority="132"/>
  </conditionalFormatting>
  <conditionalFormatting sqref="FU56:GD57">
    <cfRule type="duplicateValues" dxfId="1170" priority="131"/>
  </conditionalFormatting>
  <conditionalFormatting sqref="GH56:GR57">
    <cfRule type="duplicateValues" dxfId="1169" priority="130"/>
  </conditionalFormatting>
  <conditionalFormatting sqref="GU56:HD57">
    <cfRule type="duplicateValues" dxfId="1168" priority="129"/>
  </conditionalFormatting>
  <conditionalFormatting sqref="HH56:HR57">
    <cfRule type="duplicateValues" dxfId="1167" priority="128"/>
  </conditionalFormatting>
  <conditionalFormatting sqref="HU56:ID57">
    <cfRule type="duplicateValues" dxfId="1166" priority="127"/>
  </conditionalFormatting>
  <conditionalFormatting sqref="IH56:IR57">
    <cfRule type="duplicateValues" dxfId="1165" priority="126"/>
  </conditionalFormatting>
  <conditionalFormatting sqref="IU56:JD57">
    <cfRule type="duplicateValues" dxfId="1164" priority="125"/>
  </conditionalFormatting>
  <conditionalFormatting sqref="JH56:JR57">
    <cfRule type="duplicateValues" dxfId="1163" priority="124"/>
  </conditionalFormatting>
  <conditionalFormatting sqref="JU56:KD57">
    <cfRule type="duplicateValues" dxfId="1162" priority="123"/>
  </conditionalFormatting>
  <conditionalFormatting sqref="KF56:KM56">
    <cfRule type="duplicateValues" dxfId="1161" priority="166"/>
  </conditionalFormatting>
  <conditionalFormatting sqref="KN56">
    <cfRule type="duplicateValues" dxfId="1160" priority="141"/>
  </conditionalFormatting>
  <conditionalFormatting sqref="KP56">
    <cfRule type="duplicateValues" dxfId="1159" priority="153"/>
  </conditionalFormatting>
  <conditionalFormatting sqref="KQ56:KX56">
    <cfRule type="duplicateValues" dxfId="1158" priority="165"/>
  </conditionalFormatting>
  <conditionalFormatting sqref="KZ56:LH56">
    <cfRule type="duplicateValues" dxfId="1157" priority="164"/>
  </conditionalFormatting>
  <conditionalFormatting sqref="LI56">
    <cfRule type="duplicateValues" dxfId="1156" priority="142"/>
  </conditionalFormatting>
  <conditionalFormatting sqref="LK56">
    <cfRule type="duplicateValues" dxfId="1155" priority="152"/>
  </conditionalFormatting>
  <conditionalFormatting sqref="LL56:LS56">
    <cfRule type="duplicateValues" dxfId="1154" priority="163"/>
  </conditionalFormatting>
  <conditionalFormatting sqref="LU56:MC56">
    <cfRule type="duplicateValues" dxfId="1153" priority="162"/>
  </conditionalFormatting>
  <conditionalFormatting sqref="MD56">
    <cfRule type="duplicateValues" dxfId="1152" priority="143"/>
  </conditionalFormatting>
  <conditionalFormatting sqref="MF56">
    <cfRule type="duplicateValues" dxfId="1151" priority="151"/>
  </conditionalFormatting>
  <conditionalFormatting sqref="MG56:MN56">
    <cfRule type="duplicateValues" dxfId="1150" priority="161"/>
  </conditionalFormatting>
  <conditionalFormatting sqref="MP56:MX56">
    <cfRule type="duplicateValues" dxfId="1149" priority="160"/>
  </conditionalFormatting>
  <conditionalFormatting sqref="MY56">
    <cfRule type="duplicateValues" dxfId="1148" priority="144"/>
  </conditionalFormatting>
  <conditionalFormatting sqref="NA56">
    <cfRule type="duplicateValues" dxfId="1147" priority="150"/>
  </conditionalFormatting>
  <conditionalFormatting sqref="NB56:NI56">
    <cfRule type="duplicateValues" dxfId="1146" priority="159"/>
  </conditionalFormatting>
  <conditionalFormatting sqref="NK56:NS56">
    <cfRule type="duplicateValues" dxfId="1145" priority="158"/>
  </conditionalFormatting>
  <conditionalFormatting sqref="NT56">
    <cfRule type="duplicateValues" dxfId="1144" priority="145"/>
  </conditionalFormatting>
  <conditionalFormatting sqref="NV56">
    <cfRule type="duplicateValues" dxfId="1143" priority="149"/>
  </conditionalFormatting>
  <conditionalFormatting sqref="NW56:OD56">
    <cfRule type="duplicateValues" dxfId="1142" priority="157"/>
  </conditionalFormatting>
  <conditionalFormatting sqref="OF56:ON56">
    <cfRule type="duplicateValues" dxfId="1141" priority="156"/>
  </conditionalFormatting>
  <conditionalFormatting sqref="OO56">
    <cfRule type="duplicateValues" dxfId="1140" priority="146"/>
  </conditionalFormatting>
  <conditionalFormatting sqref="OQ56">
    <cfRule type="duplicateValues" dxfId="1139" priority="148"/>
  </conditionalFormatting>
  <conditionalFormatting sqref="OR56:OY56">
    <cfRule type="duplicateValues" dxfId="1138" priority="155"/>
  </conditionalFormatting>
  <conditionalFormatting sqref="PA56:PJ56">
    <cfRule type="duplicateValues" dxfId="1137" priority="154"/>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2465" r:id="rId5" name="Group Box 1">
              <controlPr defaultSize="0" print="0" autoFill="0" autoPict="0" altText="">
                <anchor moveWithCells="1">
                  <from>
                    <xdr:col>5</xdr:col>
                    <xdr:colOff>563880</xdr:colOff>
                    <xdr:row>8</xdr:row>
                    <xdr:rowOff>0</xdr:rowOff>
                  </from>
                  <to>
                    <xdr:col>13</xdr:col>
                    <xdr:colOff>670560</xdr:colOff>
                    <xdr:row>9</xdr:row>
                    <xdr:rowOff>0</xdr:rowOff>
                  </to>
                </anchor>
              </controlPr>
            </control>
          </mc:Choice>
        </mc:AlternateContent>
        <mc:AlternateContent xmlns:mc="http://schemas.openxmlformats.org/markup-compatibility/2006">
          <mc:Choice Requires="x14">
            <control shapeId="62476" r:id="rId6" name="Group Box 12">
              <controlPr defaultSize="0" print="0" autoFill="0" autoPict="0">
                <anchor moveWithCells="1">
                  <from>
                    <xdr:col>5</xdr:col>
                    <xdr:colOff>571500</xdr:colOff>
                    <xdr:row>12</xdr:row>
                    <xdr:rowOff>0</xdr:rowOff>
                  </from>
                  <to>
                    <xdr:col>13</xdr:col>
                    <xdr:colOff>670560</xdr:colOff>
                    <xdr:row>13</xdr:row>
                    <xdr:rowOff>0</xdr:rowOff>
                  </to>
                </anchor>
              </controlPr>
            </control>
          </mc:Choice>
        </mc:AlternateContent>
        <mc:AlternateContent xmlns:mc="http://schemas.openxmlformats.org/markup-compatibility/2006">
          <mc:Choice Requires="x14">
            <control shapeId="62477" r:id="rId7" name="Option Button 13">
              <controlPr defaultSize="0" autoFill="0" autoLine="0" autoPict="0">
                <anchor moveWithCells="1">
                  <from>
                    <xdr:col>7</xdr:col>
                    <xdr:colOff>678180</xdr:colOff>
                    <xdr:row>12</xdr:row>
                    <xdr:rowOff>30480</xdr:rowOff>
                  </from>
                  <to>
                    <xdr:col>10</xdr:col>
                    <xdr:colOff>350520</xdr:colOff>
                    <xdr:row>12</xdr:row>
                    <xdr:rowOff>182880</xdr:rowOff>
                  </to>
                </anchor>
              </controlPr>
            </control>
          </mc:Choice>
        </mc:AlternateContent>
        <mc:AlternateContent xmlns:mc="http://schemas.openxmlformats.org/markup-compatibility/2006">
          <mc:Choice Requires="x14">
            <control shapeId="62478" r:id="rId8" name="Option Button 14">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62479" r:id="rId9" name="Option Button 15">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62480" r:id="rId10" name="Option Button 16">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62494" r:id="rId11" name="Group Box 30">
              <controlPr defaultSize="0" print="0" autoFill="0" autoPict="0">
                <anchor moveWithCells="1">
                  <from>
                    <xdr:col>5</xdr:col>
                    <xdr:colOff>571500</xdr:colOff>
                    <xdr:row>10</xdr:row>
                    <xdr:rowOff>0</xdr:rowOff>
                  </from>
                  <to>
                    <xdr:col>13</xdr:col>
                    <xdr:colOff>670560</xdr:colOff>
                    <xdr:row>11</xdr:row>
                    <xdr:rowOff>0</xdr:rowOff>
                  </to>
                </anchor>
              </controlPr>
            </control>
          </mc:Choice>
        </mc:AlternateContent>
        <mc:AlternateContent xmlns:mc="http://schemas.openxmlformats.org/markup-compatibility/2006">
          <mc:Choice Requires="x14">
            <control shapeId="62495" r:id="rId12" name="Option Button 3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62496" r:id="rId13" name="Option Button 3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62467" r:id="rId14" name="Option Button 3">
              <controlPr defaultSize="0" autoFill="0" autoLine="0" autoPict="0" altText="">
                <anchor moveWithCells="1">
                  <from>
                    <xdr:col>5</xdr:col>
                    <xdr:colOff>563880</xdr:colOff>
                    <xdr:row>15</xdr:row>
                    <xdr:rowOff>30480</xdr:rowOff>
                  </from>
                  <to>
                    <xdr:col>7</xdr:col>
                    <xdr:colOff>792480</xdr:colOff>
                    <xdr:row>16</xdr:row>
                    <xdr:rowOff>22860</xdr:rowOff>
                  </to>
                </anchor>
              </controlPr>
            </control>
          </mc:Choice>
        </mc:AlternateContent>
        <mc:AlternateContent xmlns:mc="http://schemas.openxmlformats.org/markup-compatibility/2006">
          <mc:Choice Requires="x14">
            <control shapeId="62468" r:id="rId15" name="Option Button 4">
              <controlPr defaultSize="0" autoFill="0" autoLine="0" autoPict="0" altText="">
                <anchor moveWithCells="1">
                  <from>
                    <xdr:col>5</xdr:col>
                    <xdr:colOff>563880</xdr:colOff>
                    <xdr:row>16</xdr:row>
                    <xdr:rowOff>30480</xdr:rowOff>
                  </from>
                  <to>
                    <xdr:col>7</xdr:col>
                    <xdr:colOff>792480</xdr:colOff>
                    <xdr:row>17</xdr:row>
                    <xdr:rowOff>22860</xdr:rowOff>
                  </to>
                </anchor>
              </controlPr>
            </control>
          </mc:Choice>
        </mc:AlternateContent>
        <mc:AlternateContent xmlns:mc="http://schemas.openxmlformats.org/markup-compatibility/2006">
          <mc:Choice Requires="x14">
            <control shapeId="62469" r:id="rId16" name="Option Button 5">
              <controlPr defaultSize="0" autoFill="0" autoLine="0" autoPict="0" altText="">
                <anchor moveWithCells="1">
                  <from>
                    <xdr:col>5</xdr:col>
                    <xdr:colOff>563880</xdr:colOff>
                    <xdr:row>17</xdr:row>
                    <xdr:rowOff>30480</xdr:rowOff>
                  </from>
                  <to>
                    <xdr:col>7</xdr:col>
                    <xdr:colOff>792480</xdr:colOff>
                    <xdr:row>18</xdr:row>
                    <xdr:rowOff>22860</xdr:rowOff>
                  </to>
                </anchor>
              </controlPr>
            </control>
          </mc:Choice>
        </mc:AlternateContent>
        <mc:AlternateContent xmlns:mc="http://schemas.openxmlformats.org/markup-compatibility/2006">
          <mc:Choice Requires="x14">
            <control shapeId="62470" r:id="rId17" name="Option Button 6">
              <controlPr defaultSize="0" autoFill="0" autoLine="0" autoPict="0" altText="">
                <anchor moveWithCells="1">
                  <from>
                    <xdr:col>5</xdr:col>
                    <xdr:colOff>563880</xdr:colOff>
                    <xdr:row>18</xdr:row>
                    <xdr:rowOff>30480</xdr:rowOff>
                  </from>
                  <to>
                    <xdr:col>7</xdr:col>
                    <xdr:colOff>792480</xdr:colOff>
                    <xdr:row>19</xdr:row>
                    <xdr:rowOff>22860</xdr:rowOff>
                  </to>
                </anchor>
              </controlPr>
            </control>
          </mc:Choice>
        </mc:AlternateContent>
        <mc:AlternateContent xmlns:mc="http://schemas.openxmlformats.org/markup-compatibility/2006">
          <mc:Choice Requires="x14">
            <control shapeId="62471" r:id="rId18" name="Option Button 7">
              <controlPr defaultSize="0" autoFill="0" autoLine="0" autoPict="0" altText="">
                <anchor moveWithCells="1">
                  <from>
                    <xdr:col>5</xdr:col>
                    <xdr:colOff>571500</xdr:colOff>
                    <xdr:row>19</xdr:row>
                    <xdr:rowOff>22860</xdr:rowOff>
                  </from>
                  <to>
                    <xdr:col>7</xdr:col>
                    <xdr:colOff>807720</xdr:colOff>
                    <xdr:row>20</xdr:row>
                    <xdr:rowOff>7620</xdr:rowOff>
                  </to>
                </anchor>
              </controlPr>
            </control>
          </mc:Choice>
        </mc:AlternateContent>
        <mc:AlternateContent xmlns:mc="http://schemas.openxmlformats.org/markup-compatibility/2006">
          <mc:Choice Requires="x14">
            <control shapeId="62472" r:id="rId19" name="Option Button 8">
              <controlPr defaultSize="0" autoFill="0" autoLine="0" autoPict="0" altText="">
                <anchor moveWithCells="1">
                  <from>
                    <xdr:col>5</xdr:col>
                    <xdr:colOff>563880</xdr:colOff>
                    <xdr:row>20</xdr:row>
                    <xdr:rowOff>0</xdr:rowOff>
                  </from>
                  <to>
                    <xdr:col>7</xdr:col>
                    <xdr:colOff>807720</xdr:colOff>
                    <xdr:row>21</xdr:row>
                    <xdr:rowOff>22860</xdr:rowOff>
                  </to>
                </anchor>
              </controlPr>
            </control>
          </mc:Choice>
        </mc:AlternateContent>
        <mc:AlternateContent xmlns:mc="http://schemas.openxmlformats.org/markup-compatibility/2006">
          <mc:Choice Requires="x14">
            <control shapeId="62473" r:id="rId20" name="Option Button 9">
              <controlPr defaultSize="0" autoFill="0" autoLine="0" autoPict="0" altText="">
                <anchor moveWithCells="1">
                  <from>
                    <xdr:col>8</xdr:col>
                    <xdr:colOff>754380</xdr:colOff>
                    <xdr:row>15</xdr:row>
                    <xdr:rowOff>7620</xdr:rowOff>
                  </from>
                  <to>
                    <xdr:col>10</xdr:col>
                    <xdr:colOff>723900</xdr:colOff>
                    <xdr:row>16</xdr:row>
                    <xdr:rowOff>22860</xdr:rowOff>
                  </to>
                </anchor>
              </controlPr>
            </control>
          </mc:Choice>
        </mc:AlternateContent>
        <mc:AlternateContent xmlns:mc="http://schemas.openxmlformats.org/markup-compatibility/2006">
          <mc:Choice Requires="x14">
            <control shapeId="62474" r:id="rId21" name="Option Button 10">
              <controlPr defaultSize="0" autoFill="0" autoLine="0" autoPict="0" altText="">
                <anchor moveWithCells="1">
                  <from>
                    <xdr:col>8</xdr:col>
                    <xdr:colOff>754380</xdr:colOff>
                    <xdr:row>16</xdr:row>
                    <xdr:rowOff>7620</xdr:rowOff>
                  </from>
                  <to>
                    <xdr:col>10</xdr:col>
                    <xdr:colOff>518160</xdr:colOff>
                    <xdr:row>17</xdr:row>
                    <xdr:rowOff>7620</xdr:rowOff>
                  </to>
                </anchor>
              </controlPr>
            </control>
          </mc:Choice>
        </mc:AlternateContent>
        <mc:AlternateContent xmlns:mc="http://schemas.openxmlformats.org/markup-compatibility/2006">
          <mc:Choice Requires="x14">
            <control shapeId="62482" r:id="rId22" name="Option Button 18">
              <controlPr defaultSize="0" autoFill="0" autoLine="0" autoPict="0" altText="">
                <anchor moveWithCells="1">
                  <from>
                    <xdr:col>8</xdr:col>
                    <xdr:colOff>746760</xdr:colOff>
                    <xdr:row>17</xdr:row>
                    <xdr:rowOff>22860</xdr:rowOff>
                  </from>
                  <to>
                    <xdr:col>10</xdr:col>
                    <xdr:colOff>723900</xdr:colOff>
                    <xdr:row>17</xdr:row>
                    <xdr:rowOff>182880</xdr:rowOff>
                  </to>
                </anchor>
              </controlPr>
            </control>
          </mc:Choice>
        </mc:AlternateContent>
        <mc:AlternateContent xmlns:mc="http://schemas.openxmlformats.org/markup-compatibility/2006">
          <mc:Choice Requires="x14">
            <control shapeId="62498" r:id="rId23" name="Option Button 34">
              <controlPr defaultSize="0" autoFill="0" autoLine="0" autoPict="0" altText="">
                <anchor moveWithCells="1">
                  <from>
                    <xdr:col>8</xdr:col>
                    <xdr:colOff>746760</xdr:colOff>
                    <xdr:row>18</xdr:row>
                    <xdr:rowOff>7620</xdr:rowOff>
                  </from>
                  <to>
                    <xdr:col>11</xdr:col>
                    <xdr:colOff>0</xdr:colOff>
                    <xdr:row>18</xdr:row>
                    <xdr:rowOff>182880</xdr:rowOff>
                  </to>
                </anchor>
              </controlPr>
            </control>
          </mc:Choice>
        </mc:AlternateContent>
        <mc:AlternateContent xmlns:mc="http://schemas.openxmlformats.org/markup-compatibility/2006">
          <mc:Choice Requires="x14">
            <control shapeId="62499" r:id="rId24" name="Option Button 35">
              <controlPr defaultSize="0" autoFill="0" autoLine="0" autoPict="0" altText="">
                <anchor moveWithCells="1">
                  <from>
                    <xdr:col>8</xdr:col>
                    <xdr:colOff>731520</xdr:colOff>
                    <xdr:row>18</xdr:row>
                    <xdr:rowOff>182880</xdr:rowOff>
                  </from>
                  <to>
                    <xdr:col>11</xdr:col>
                    <xdr:colOff>38100</xdr:colOff>
                    <xdr:row>20</xdr:row>
                    <xdr:rowOff>0</xdr:rowOff>
                  </to>
                </anchor>
              </controlPr>
            </control>
          </mc:Choice>
        </mc:AlternateContent>
        <mc:AlternateContent xmlns:mc="http://schemas.openxmlformats.org/markup-compatibility/2006">
          <mc:Choice Requires="x14">
            <control shapeId="62967" r:id="rId25" name="Group Box 503">
              <controlPr defaultSize="0" autoFill="0" autoPict="0">
                <anchor moveWithCells="1">
                  <from>
                    <xdr:col>5</xdr:col>
                    <xdr:colOff>533400</xdr:colOff>
                    <xdr:row>13</xdr:row>
                    <xdr:rowOff>144780</xdr:rowOff>
                  </from>
                  <to>
                    <xdr:col>13</xdr:col>
                    <xdr:colOff>716280</xdr:colOff>
                    <xdr:row>21</xdr:row>
                    <xdr:rowOff>53340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7" id="{3C44455F-3064-449F-91AD-2F58AC418115}">
            <xm:f>Info!$V$7=2</xm:f>
            <x14:dxf>
              <font>
                <color theme="0" tint="-4.9989318521683403E-2"/>
              </font>
              <fill>
                <patternFill>
                  <bgColor theme="0"/>
                </patternFill>
              </fill>
              <border>
                <vertical/>
                <horizontal/>
              </border>
            </x14:dxf>
          </x14:cfRule>
          <xm:sqref>B101:N101</xm:sqref>
        </x14:conditionalFormatting>
        <x14:conditionalFormatting xmlns:xm="http://schemas.microsoft.com/office/excel/2006/main">
          <x14:cfRule type="expression" priority="179" id="{C3D4D7E4-AB38-4AF8-8B3D-C6F213881099}">
            <xm:f>$H$48=Formeln!$B$1</xm:f>
            <x14:dxf>
              <fill>
                <patternFill>
                  <bgColor theme="0" tint="-0.14996795556505021"/>
                </patternFill>
              </fill>
            </x14:dxf>
          </x14:cfRule>
          <xm:sqref>H48</xm:sqref>
        </x14:conditionalFormatting>
        <x14:conditionalFormatting xmlns:xm="http://schemas.microsoft.com/office/excel/2006/main">
          <x14:cfRule type="expression" priority="180" id="{E3936FE1-C646-484F-9415-9ED67DCB2718}">
            <xm:f>$H$49=Formeln!$A$1</xm:f>
            <x14:dxf>
              <fill>
                <patternFill>
                  <bgColor theme="0" tint="-0.14996795556505021"/>
                </patternFill>
              </fill>
            </x14:dxf>
          </x14:cfRule>
          <xm:sqref>H49</xm:sqref>
        </x14:conditionalFormatting>
        <x14:conditionalFormatting xmlns:xm="http://schemas.microsoft.com/office/excel/2006/main">
          <x14:cfRule type="expression" priority="1" id="{F2C20755-13F8-4200-ABC2-2AB659FB69F7}">
            <xm:f>$H$57=Formeln!$G$63</xm:f>
            <x14:dxf>
              <fill>
                <patternFill>
                  <bgColor theme="0" tint="-0.14996795556505021"/>
                </patternFill>
              </fill>
            </x14:dxf>
          </x14:cfRule>
          <xm:sqref>H57</xm:sqref>
        </x14:conditionalFormatting>
        <x14:conditionalFormatting xmlns:xm="http://schemas.microsoft.com/office/excel/2006/main">
          <x14:cfRule type="expression" priority="2" id="{A8C6F60A-B115-4D10-8449-B56E29261CE4}">
            <xm:f>$H$58=Formeln!$G$63</xm:f>
            <x14:dxf>
              <fill>
                <patternFill>
                  <bgColor theme="0" tint="-0.14996795556505021"/>
                </patternFill>
              </fill>
            </x14:dxf>
          </x14:cfRule>
          <xm:sqref>H58</xm:sqref>
        </x14:conditionalFormatting>
        <x14:conditionalFormatting xmlns:xm="http://schemas.microsoft.com/office/excel/2006/main">
          <x14:cfRule type="expression" priority="954" id="{2D0AFF2F-6075-45FD-B491-752DBD4E408C}">
            <xm:f>$H$36=Formeln!$A$1</xm:f>
            <x14:dxf>
              <fill>
                <patternFill>
                  <bgColor theme="0" tint="-0.14996795556505021"/>
                </patternFill>
              </fill>
            </x14:dxf>
          </x14:cfRule>
          <xm:sqref>H36:K36</xm:sqref>
        </x14:conditionalFormatting>
        <x14:conditionalFormatting xmlns:xm="http://schemas.microsoft.com/office/excel/2006/main">
          <x14:cfRule type="expression" priority="952" id="{D49FB6D5-86E8-4B23-9280-F57705AD2228}">
            <xm:f>$H$39=Formeln!$A$1</xm:f>
            <x14:dxf>
              <fill>
                <patternFill>
                  <bgColor theme="0" tint="-0.14996795556505021"/>
                </patternFill>
              </fill>
            </x14:dxf>
          </x14:cfRule>
          <xm:sqref>H39:K39</xm:sqref>
        </x14:conditionalFormatting>
        <x14:conditionalFormatting xmlns:xm="http://schemas.microsoft.com/office/excel/2006/main">
          <x14:cfRule type="expression" priority="187" id="{DF8C8FDF-ED6B-43EE-A9FA-16703740DFBC}">
            <xm:f>$H$50=Formeln!$A$1</xm:f>
            <x14:dxf>
              <fill>
                <patternFill>
                  <bgColor theme="0" tint="-0.14996795556505021"/>
                </patternFill>
              </fill>
            </x14:dxf>
          </x14:cfRule>
          <xm:sqref>H50:K50</xm:sqref>
        </x14:conditionalFormatting>
        <x14:conditionalFormatting xmlns:xm="http://schemas.microsoft.com/office/excel/2006/main">
          <x14:cfRule type="expression" priority="147" id="{3D96A679-FDE1-4905-BC4B-E3EC671B19D4}">
            <xm:f>$J56=Formeln!$A$1</xm:f>
            <x14:dxf>
              <fill>
                <patternFill>
                  <bgColor theme="0" tint="-0.14996795556505021"/>
                </patternFill>
              </fill>
            </x14:dxf>
          </x14:cfRule>
          <xm:sqref>J56:K58</xm:sqref>
        </x14:conditionalFormatting>
        <x14:conditionalFormatting xmlns:xm="http://schemas.microsoft.com/office/excel/2006/main">
          <x14:cfRule type="expression" priority="3" id="{B27C7168-6C84-4BFB-859E-1B5FBF4FCE8D}">
            <xm:f>Info!$V$7=8</xm:f>
            <x14:dxf>
              <font>
                <color theme="1"/>
              </font>
              <border>
                <left style="thin">
                  <color auto="1"/>
                </left>
                <right style="thin">
                  <color auto="1"/>
                </right>
                <top style="thin">
                  <color auto="1"/>
                </top>
                <bottom style="thin">
                  <color auto="1"/>
                </bottom>
                <vertical/>
                <horizontal/>
              </border>
            </x14:dxf>
          </x14:cfRule>
          <xm:sqref>O30:O107</xm:sqref>
        </x14:conditionalFormatting>
        <x14:conditionalFormatting xmlns:xm="http://schemas.microsoft.com/office/excel/2006/main">
          <x14:cfRule type="expression" priority="475" id="{84084725-787B-425F-9D8D-C1A9BE34EC52}">
            <xm:f>Info!$V$7=8</xm:f>
            <x14:dxf>
              <font>
                <color theme="1"/>
              </font>
              <border>
                <bottom style="thin">
                  <color auto="1"/>
                </bottom>
              </border>
            </x14:dxf>
          </x14:cfRule>
          <xm:sqref>O109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822F389F-48F2-4E24-869D-4AEA8E0AF67D}">
          <x14:formula1>
            <xm:f>Formeln!$C$52:$C$111</xm:f>
          </x14:formula1>
          <xm:sqref>J58:K58</xm:sqref>
        </x14:dataValidation>
        <x14:dataValidation type="list" allowBlank="1" showInputMessage="1" showErrorMessage="1" xr:uid="{0243CD34-2658-4A73-BF79-0A7B541210CE}">
          <x14:formula1>
            <xm:f>Formeln!$A$52:$A$103</xm:f>
          </x14:formula1>
          <xm:sqref>J57:K57</xm:sqref>
        </x14:dataValidation>
        <x14:dataValidation type="list" allowBlank="1" showInputMessage="1" showErrorMessage="1" xr:uid="{00000000-0002-0000-0300-000003000000}">
          <x14:formula1>
            <xm:f>Formeln!$A$1:$A$4</xm:f>
          </x14:formula1>
          <xm:sqref>H36:K36</xm:sqref>
        </x14:dataValidation>
        <x14:dataValidation type="list" allowBlank="1" showInputMessage="1" showErrorMessage="1" xr:uid="{BDE42A84-B472-43FB-84C3-28474D01ADEB}">
          <x14:formula1>
            <xm:f>Formeln!$A$5:$A$8</xm:f>
          </x14:formula1>
          <xm:sqref>H37:K37</xm:sqref>
        </x14:dataValidation>
        <x14:dataValidation type="list" allowBlank="1" showInputMessage="1" showErrorMessage="1" xr:uid="{00000000-0002-0000-0300-000005000000}">
          <x14:formula1>
            <xm:f>Formeln!$A$9:$A$15</xm:f>
          </x14:formula1>
          <xm:sqref>H39:K39</xm:sqref>
        </x14:dataValidation>
        <x14:dataValidation type="list" allowBlank="1" showInputMessage="1" showErrorMessage="1" xr:uid="{DDE7C311-A319-4FE5-BCD4-C03D0C416326}">
          <x14:formula1>
            <xm:f>Formeln!$A$17:$A$19</xm:f>
          </x14:formula1>
          <xm:sqref>H49:K49</xm:sqref>
        </x14:dataValidation>
        <x14:dataValidation type="list" allowBlank="1" showInputMessage="1" showErrorMessage="1" xr:uid="{B1C829F4-DC7B-40CA-AA24-C850BBBA3AC7}">
          <x14:formula1>
            <xm:f>Formeln!$A$20:$A$22</xm:f>
          </x14:formula1>
          <xm:sqref>H50:K50</xm:sqref>
        </x14:dataValidation>
        <x14:dataValidation type="list" allowBlank="1" showInputMessage="1" showErrorMessage="1" xr:uid="{4C9D628A-BCD3-4EB3-BD86-E71F43CE3AAB}">
          <x14:formula1>
            <xm:f>Formeln!$A$30:$A$51</xm:f>
          </x14:formula1>
          <xm:sqref>J56:K56</xm:sqref>
        </x14:dataValidation>
        <x14:dataValidation type="list" allowBlank="1" showInputMessage="1" showErrorMessage="1" xr:uid="{C1863433-0576-4CAB-9EA7-BFD395EA57AE}">
          <x14:formula1>
            <xm:f>Formeln!$B$17:$B$19</xm:f>
          </x14:formula1>
          <xm:sqref>H48:K48</xm:sqref>
        </x14:dataValidation>
        <x14:dataValidation type="list" allowBlank="1" showInputMessage="1" showErrorMessage="1" xr:uid="{3430DD5F-8CFE-4F83-AC13-EF2DB8F11B70}">
          <x14:formula1>
            <xm:f>Formeln!$A$106:$A$110</xm:f>
          </x14:formula1>
          <xm:sqref>I103:K103</xm:sqref>
        </x14:dataValidation>
        <x14:dataValidation type="list" allowBlank="1" showInputMessage="1" showErrorMessage="1" xr:uid="{51EA8BE3-763B-4AB7-8B08-CB32E79738C6}">
          <x14:formula1>
            <xm:f>Formeln!$G$63:$G$65</xm:f>
          </x14:formula1>
          <xm:sqref>H57:H58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pageSetUpPr fitToPage="1"/>
  </sheetPr>
  <dimension ref="A1:PJ123"/>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33203125" style="1" customWidth="1"/>
    <col min="15" max="15" width="14.6640625" style="5" customWidth="1"/>
    <col min="16" max="16" width="6.44140625" style="5" customWidth="1"/>
    <col min="17" max="27" width="9.6640625" style="5" hidden="1"/>
    <col min="28" max="29" width="2.6640625" style="5" hidden="1"/>
    <col min="30" max="31" width="26" style="9" hidden="1"/>
    <col min="32" max="32" width="5.6640625" style="1" hidden="1"/>
    <col min="33" max="33" width="1.33203125" style="1" hidden="1"/>
    <col min="34" max="16384" width="11.6640625" style="1" hidden="1"/>
  </cols>
  <sheetData>
    <row r="1" spans="1:31" ht="28.2">
      <c r="N1" s="2" t="str">
        <f>VLOOKUP(279,Sprachindex!$A:$Z,Info!$O$7,FALSE)</f>
        <v>Dachsysteme</v>
      </c>
      <c r="AE1" s="1"/>
    </row>
    <row r="2" spans="1:31" ht="28.2">
      <c r="D2" s="18"/>
      <c r="N2" s="2" t="str">
        <f>VLOOKUP(263,Sprachindex!$A:$Z,Info!$O$7,FALSE)</f>
        <v>Dachplatte R.16</v>
      </c>
      <c r="AE2" s="1"/>
    </row>
    <row r="3" spans="1:31" ht="15" customHeight="1">
      <c r="AE3" s="1"/>
    </row>
    <row r="4" spans="1:31" ht="17.25" customHeight="1">
      <c r="F4" s="67"/>
      <c r="G4" s="67"/>
      <c r="H4" s="67"/>
      <c r="I4" s="67"/>
      <c r="J4" s="67"/>
      <c r="K4" s="67"/>
      <c r="L4" s="67"/>
      <c r="M4" s="67"/>
      <c r="N4" s="186"/>
      <c r="AE4" s="3"/>
    </row>
    <row r="5" spans="1:31" ht="17.25" customHeight="1">
      <c r="F5" s="67"/>
      <c r="G5" s="67"/>
      <c r="H5" s="67"/>
      <c r="I5" s="67"/>
      <c r="J5" s="67"/>
      <c r="K5" s="67"/>
      <c r="L5" s="67"/>
      <c r="M5" s="67"/>
      <c r="N5" s="186"/>
      <c r="AE5" s="3"/>
    </row>
    <row r="6" spans="1:31" ht="17.25" customHeight="1">
      <c r="F6" s="67"/>
      <c r="G6" s="67"/>
      <c r="H6" s="67"/>
      <c r="I6" s="67"/>
      <c r="J6" s="67"/>
      <c r="K6" s="67"/>
      <c r="L6" s="67"/>
      <c r="M6" s="67"/>
      <c r="N6" s="186"/>
      <c r="O6" s="50">
        <v>0</v>
      </c>
      <c r="P6" s="50"/>
      <c r="Q6" s="50"/>
      <c r="R6" s="50"/>
      <c r="S6" s="50"/>
      <c r="T6" s="50"/>
      <c r="U6" s="50"/>
      <c r="V6" s="50"/>
      <c r="W6" s="50"/>
      <c r="X6" s="50"/>
      <c r="Y6" s="50"/>
      <c r="Z6" s="50"/>
      <c r="AA6" s="50"/>
      <c r="AB6" s="50"/>
      <c r="AC6" s="50"/>
      <c r="AE6" s="3"/>
    </row>
    <row r="7" spans="1:31" ht="17.25" customHeight="1">
      <c r="F7" s="67"/>
      <c r="G7" s="67"/>
      <c r="H7" s="67"/>
      <c r="I7" s="67"/>
      <c r="J7" s="67"/>
      <c r="K7" s="67"/>
      <c r="L7" s="67"/>
      <c r="M7" s="67"/>
      <c r="N7" s="186"/>
      <c r="O7" s="50"/>
      <c r="P7" s="50"/>
      <c r="Q7" s="50"/>
      <c r="R7" s="50"/>
      <c r="S7" s="50"/>
      <c r="T7" s="50"/>
      <c r="U7" s="50"/>
      <c r="V7" s="50"/>
      <c r="W7" s="50"/>
      <c r="X7" s="50"/>
      <c r="Y7" s="50"/>
      <c r="Z7" s="50"/>
      <c r="AA7" s="50"/>
      <c r="AB7" s="50"/>
      <c r="AC7" s="50"/>
      <c r="AE7" s="3"/>
    </row>
    <row r="8" spans="1:31" ht="17.25" customHeight="1">
      <c r="A8" s="83" t="str">
        <f>VLOOKUP(393,Sprachindex!$A:$Z,Info!$O$7,FALSE)</f>
        <v>Firma / Besteller:</v>
      </c>
      <c r="B8" s="67"/>
      <c r="F8" s="67"/>
      <c r="G8" s="67"/>
      <c r="H8" s="67"/>
      <c r="I8" s="67"/>
      <c r="J8" s="67"/>
      <c r="K8" s="67"/>
      <c r="L8" s="67"/>
      <c r="M8" s="67"/>
      <c r="N8" s="67"/>
      <c r="AD8" s="10"/>
      <c r="AE8" s="1"/>
    </row>
    <row r="9" spans="1:31" ht="15" customHeight="1">
      <c r="A9" s="67"/>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M9" s="67"/>
      <c r="N9" s="67"/>
      <c r="P9" s="51">
        <v>0</v>
      </c>
      <c r="Q9" s="51"/>
      <c r="R9" s="51"/>
      <c r="S9" s="51"/>
      <c r="T9" s="51"/>
      <c r="U9" s="51"/>
      <c r="V9" s="51"/>
      <c r="W9" s="51"/>
      <c r="X9" s="51"/>
      <c r="Y9" s="51"/>
      <c r="Z9" s="51"/>
      <c r="AA9" s="51"/>
      <c r="AB9" s="51"/>
      <c r="AC9" s="51"/>
      <c r="AE9" s="4"/>
    </row>
    <row r="10" spans="1:31" ht="15" customHeight="1">
      <c r="A10" s="67"/>
      <c r="B10" s="71" t="str">
        <f>VLOOKUP(884,Sprachindex!$A:$Z,Info!$O$7,FALSE)</f>
        <v>Straße:</v>
      </c>
      <c r="C10" s="615"/>
      <c r="D10" s="616"/>
      <c r="E10" s="617"/>
      <c r="F10" s="67"/>
      <c r="G10" s="67"/>
      <c r="H10" s="67"/>
      <c r="I10" s="88"/>
      <c r="J10" s="68">
        <v>1</v>
      </c>
      <c r="K10" s="67"/>
      <c r="L10" s="67"/>
      <c r="M10" s="67"/>
      <c r="N10" s="67"/>
      <c r="AE10" s="4"/>
    </row>
    <row r="11" spans="1:31"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P11" s="51">
        <v>0</v>
      </c>
      <c r="Q11" s="51"/>
      <c r="R11" s="51"/>
      <c r="S11" s="51"/>
      <c r="T11" s="51"/>
      <c r="U11" s="51"/>
      <c r="V11" s="51"/>
      <c r="W11" s="51"/>
      <c r="X11" s="51"/>
      <c r="Y11" s="51"/>
      <c r="Z11" s="51"/>
      <c r="AA11" s="51"/>
      <c r="AB11" s="51"/>
      <c r="AC11" s="51"/>
      <c r="AE11" s="4"/>
    </row>
    <row r="12" spans="1:31" ht="15" customHeight="1">
      <c r="A12" s="67"/>
      <c r="B12" s="67"/>
      <c r="F12" s="67"/>
      <c r="G12" s="67"/>
      <c r="H12" s="67"/>
      <c r="I12" s="84"/>
      <c r="J12" s="68">
        <v>1</v>
      </c>
      <c r="K12" s="67"/>
      <c r="L12" s="67"/>
      <c r="M12" s="67"/>
      <c r="N12" s="67"/>
      <c r="AE12" s="1"/>
    </row>
    <row r="13" spans="1:31"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P13" s="50">
        <v>0</v>
      </c>
      <c r="Q13" s="50"/>
      <c r="R13" s="50"/>
      <c r="S13" s="50"/>
      <c r="T13" s="50"/>
      <c r="U13" s="50"/>
      <c r="V13" s="50"/>
      <c r="W13" s="50"/>
      <c r="X13" s="50"/>
      <c r="Y13" s="50"/>
      <c r="Z13" s="50"/>
      <c r="AA13" s="50"/>
      <c r="AB13" s="50"/>
      <c r="AC13" s="50"/>
      <c r="AE13" s="4"/>
    </row>
    <row r="14" spans="1:31" ht="15" customHeight="1">
      <c r="A14" s="67"/>
      <c r="B14" s="71" t="str">
        <f>VLOOKUP(901,Sprachindex!$A:$Z,Info!$O$7,FALSE)</f>
        <v>Telefon:</v>
      </c>
      <c r="C14" s="615"/>
      <c r="D14" s="616"/>
      <c r="E14" s="617"/>
      <c r="F14" s="67"/>
      <c r="G14" s="67"/>
      <c r="H14" s="67"/>
      <c r="I14" s="67"/>
      <c r="J14" s="67"/>
      <c r="K14" s="67"/>
      <c r="L14" s="67"/>
      <c r="M14" s="67"/>
      <c r="N14" s="67"/>
      <c r="AE14" s="4"/>
    </row>
    <row r="15" spans="1:31"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AE15" s="4"/>
    </row>
    <row r="16" spans="1:31" ht="15" customHeight="1">
      <c r="A16" s="67"/>
      <c r="B16" s="67"/>
      <c r="F16" s="67"/>
      <c r="G16" s="67" t="str">
        <f>VLOOKUP(25,Sprachindex!$A:$Z,Info!$O$7,FALSE)</f>
        <v>01 P.10 Braun</v>
      </c>
      <c r="H16" s="67"/>
      <c r="I16" s="67"/>
      <c r="J16" s="66" t="str">
        <f>VLOOKUP(37,Sprachindex!$A:$Z,Info!$O$7,FALSE)</f>
        <v>07 P.10 Hellgrau</v>
      </c>
      <c r="K16" s="67"/>
      <c r="L16" s="67"/>
      <c r="M16" s="67"/>
      <c r="N16" s="67"/>
      <c r="AE16" s="1"/>
    </row>
    <row r="17" spans="1:57" ht="15" customHeight="1">
      <c r="A17" s="83" t="str">
        <f>VLOOKUP(580,Sprachindex!$A:$Z,Info!$O$7,FALSE)</f>
        <v>Lieferadresse:</v>
      </c>
      <c r="B17" s="67"/>
      <c r="F17" s="67"/>
      <c r="G17" s="67" t="str">
        <f>VLOOKUP(27,Sprachindex!$A:$Z,Info!$O$7,FALSE)</f>
        <v>02 P.10 Anthrazit</v>
      </c>
      <c r="H17" s="67"/>
      <c r="I17" s="67"/>
      <c r="J17" s="69" t="str">
        <f>VLOOKUP(51,Sprachindex!$A:$Z,Info!$O$7,FALSE)</f>
        <v>11 P.10 Nussbraun</v>
      </c>
      <c r="K17" s="67"/>
      <c r="L17" s="67"/>
      <c r="M17" s="67"/>
      <c r="N17" s="67"/>
      <c r="AD17" s="10"/>
      <c r="AE17" s="1"/>
    </row>
    <row r="18" spans="1:57" ht="15" customHeight="1">
      <c r="A18" s="67"/>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M18" s="67"/>
      <c r="N18" s="67"/>
      <c r="AE18" s="4"/>
    </row>
    <row r="19" spans="1:57" ht="15" customHeight="1">
      <c r="A19" s="67"/>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M19" s="67"/>
      <c r="N19" s="67"/>
      <c r="AE19" s="4"/>
    </row>
    <row r="20" spans="1:57" ht="15" customHeight="1">
      <c r="A20" s="67"/>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M20" s="67"/>
      <c r="N20" s="67"/>
      <c r="AF20" s="4"/>
    </row>
    <row r="21" spans="1:57" ht="15" customHeight="1">
      <c r="A21" s="67"/>
      <c r="B21" s="71" t="str">
        <f>VLOOKUP(641,Sprachindex!$A:$Z,Info!$O$7,FALSE)</f>
        <v>Ort:</v>
      </c>
      <c r="C21" s="615"/>
      <c r="D21" s="616"/>
      <c r="E21" s="617"/>
      <c r="F21" s="67"/>
      <c r="G21" s="67" t="str">
        <f>VLOOKUP(35,Sprachindex!$A:$Z,Info!$O$7,FALSE)</f>
        <v>06 P.10 Moosgrün</v>
      </c>
      <c r="H21" s="67"/>
      <c r="I21" s="90"/>
      <c r="J21" s="91"/>
      <c r="K21" s="91"/>
      <c r="L21" s="67"/>
      <c r="M21" s="67"/>
      <c r="N21" s="67"/>
      <c r="O21" s="267"/>
      <c r="P21" s="581">
        <v>0</v>
      </c>
      <c r="Q21" s="50"/>
      <c r="R21" s="50"/>
      <c r="S21" s="50"/>
      <c r="T21" s="50"/>
      <c r="U21" s="50"/>
      <c r="V21" s="50"/>
      <c r="W21" s="50"/>
      <c r="X21" s="50"/>
      <c r="Y21" s="50"/>
      <c r="Z21" s="50"/>
      <c r="AA21" s="50"/>
      <c r="AB21" s="50"/>
      <c r="AC21" s="50"/>
      <c r="AE21" s="4"/>
    </row>
    <row r="22" spans="1:57" ht="15" customHeight="1">
      <c r="A22" s="67"/>
      <c r="B22" s="71"/>
      <c r="C22" s="133"/>
      <c r="D22" s="133"/>
      <c r="E22" s="162"/>
      <c r="F22" s="67"/>
      <c r="G22" s="67"/>
      <c r="H22" s="67"/>
      <c r="I22" s="90"/>
      <c r="J22" s="91"/>
      <c r="K22" s="91"/>
      <c r="L22" s="67"/>
      <c r="M22" s="67"/>
      <c r="N22" s="67"/>
      <c r="O22" s="50"/>
      <c r="P22" s="50"/>
      <c r="Q22" s="50"/>
      <c r="R22" s="50"/>
      <c r="S22" s="50"/>
      <c r="T22" s="50"/>
      <c r="U22" s="50"/>
      <c r="V22" s="50"/>
      <c r="W22" s="50"/>
      <c r="X22" s="50"/>
      <c r="Y22" s="50"/>
      <c r="Z22" s="50"/>
      <c r="AA22" s="50"/>
      <c r="AB22" s="50"/>
      <c r="AC22" s="50"/>
      <c r="AE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50"/>
      <c r="P23" s="577"/>
      <c r="Q23" s="50"/>
      <c r="R23" s="50"/>
      <c r="S23" s="50"/>
      <c r="T23" s="50"/>
      <c r="U23" s="50"/>
      <c r="V23" s="50"/>
      <c r="W23" s="50"/>
      <c r="X23" s="50"/>
      <c r="Y23" s="50"/>
      <c r="Z23" s="50"/>
      <c r="AA23" s="50"/>
      <c r="AB23" s="50"/>
      <c r="AC23" s="50"/>
      <c r="AE23" s="4"/>
    </row>
    <row r="24" spans="1:57" ht="15" customHeight="1">
      <c r="B24" s="640" t="str">
        <f>VLOOKUP(1430,Sprachindex!$A:$Z,Info!$O$7,FALSE)</f>
        <v>Beschreibung</v>
      </c>
      <c r="C24" s="615"/>
      <c r="D24" s="616"/>
      <c r="E24" s="617"/>
      <c r="F24" s="67"/>
      <c r="G24" s="83"/>
      <c r="H24" s="71" t="str">
        <f>VLOOKUP(1429,Sprachindex!$A:$Z,Info!$O$7,FALSE)</f>
        <v>Bearbeiter:</v>
      </c>
      <c r="I24" s="415"/>
      <c r="J24" s="67"/>
      <c r="K24" s="67"/>
      <c r="L24" s="67"/>
      <c r="M24" s="67"/>
      <c r="N24" s="67"/>
      <c r="O24" s="50"/>
      <c r="P24" s="577"/>
      <c r="Q24" s="50"/>
      <c r="R24" s="50"/>
      <c r="S24" s="50"/>
      <c r="T24" s="50"/>
      <c r="U24" s="50"/>
      <c r="V24" s="50"/>
      <c r="W24" s="50"/>
      <c r="X24" s="50"/>
      <c r="Y24" s="50"/>
      <c r="Z24" s="50"/>
      <c r="AA24" s="50"/>
      <c r="AB24" s="50"/>
      <c r="AC24" s="50"/>
      <c r="AE24" s="4"/>
    </row>
    <row r="25" spans="1:57" ht="15" customHeight="1">
      <c r="B25" s="640"/>
      <c r="C25" s="615"/>
      <c r="D25" s="616"/>
      <c r="E25" s="617"/>
      <c r="F25" s="67"/>
      <c r="G25" s="83"/>
      <c r="H25" s="71" t="str">
        <f>VLOOKUP(2243,Sprachindex!$A:$Z,Info!$O$7,FALSE)</f>
        <v>Projekt-ID:</v>
      </c>
      <c r="I25" s="415"/>
      <c r="J25" s="67"/>
      <c r="K25" s="67"/>
      <c r="L25" s="67"/>
      <c r="M25" s="67"/>
      <c r="N25" s="67"/>
      <c r="O25" s="50"/>
      <c r="P25" s="577"/>
      <c r="Q25" s="50"/>
      <c r="R25" s="50"/>
      <c r="S25" s="50"/>
      <c r="T25" s="50"/>
      <c r="U25" s="50"/>
      <c r="V25" s="50"/>
      <c r="W25" s="50"/>
      <c r="X25" s="50"/>
      <c r="Y25" s="50"/>
      <c r="Z25" s="50"/>
      <c r="AA25" s="50"/>
      <c r="AB25" s="50"/>
      <c r="AC25" s="50"/>
      <c r="AE25" s="4"/>
    </row>
    <row r="26" spans="1:57" ht="15" customHeight="1">
      <c r="B26" s="640"/>
      <c r="C26" s="615"/>
      <c r="D26" s="616"/>
      <c r="E26" s="617"/>
      <c r="F26" s="67"/>
      <c r="G26" s="83"/>
      <c r="H26" s="71" t="str">
        <f>VLOOKUP(286,Sprachindex!$A:$Z,Info!$O$7,FALSE)</f>
        <v>Datum:</v>
      </c>
      <c r="I26" s="483">
        <f ca="1">TODAY()</f>
        <v>45770</v>
      </c>
      <c r="J26" s="67"/>
      <c r="K26" s="67"/>
      <c r="L26" s="67"/>
      <c r="M26" s="67"/>
      <c r="N26" s="67"/>
      <c r="O26" s="50"/>
      <c r="P26" s="50"/>
      <c r="Q26" s="50"/>
      <c r="R26" s="50"/>
      <c r="S26" s="50"/>
      <c r="T26" s="50"/>
      <c r="U26" s="50"/>
      <c r="V26" s="50"/>
      <c r="W26" s="50"/>
      <c r="X26" s="50"/>
      <c r="Y26" s="50"/>
      <c r="Z26" s="50"/>
      <c r="AA26" s="50"/>
      <c r="AB26" s="50"/>
      <c r="AC26" s="50"/>
      <c r="AE26" s="4"/>
    </row>
    <row r="27" spans="1:57" ht="15" customHeight="1">
      <c r="B27" s="640"/>
      <c r="C27" s="615"/>
      <c r="D27" s="616"/>
      <c r="E27" s="617"/>
      <c r="F27" s="67"/>
      <c r="G27" s="5"/>
      <c r="H27" s="5"/>
      <c r="I27" s="5"/>
      <c r="J27" s="5"/>
      <c r="K27" s="5"/>
      <c r="L27" s="67"/>
      <c r="M27" s="67"/>
      <c r="N27" s="67"/>
      <c r="O27" s="50"/>
      <c r="P27" s="50"/>
      <c r="Q27" s="50"/>
      <c r="R27" s="50"/>
      <c r="S27" s="50"/>
      <c r="T27" s="50"/>
      <c r="U27" s="50"/>
      <c r="V27" s="50"/>
      <c r="W27" s="50"/>
      <c r="X27" s="50"/>
      <c r="Y27" s="50"/>
      <c r="Z27" s="50"/>
      <c r="AA27" s="50"/>
      <c r="AB27" s="50"/>
      <c r="AC27" s="50"/>
      <c r="AE27" s="4"/>
    </row>
    <row r="28" spans="1:57" ht="15" customHeight="1">
      <c r="A28" s="67"/>
      <c r="B28" s="71"/>
      <c r="C28" s="133"/>
      <c r="D28" s="133"/>
      <c r="E28" s="133"/>
      <c r="F28" s="67"/>
      <c r="G28" s="67"/>
      <c r="H28" s="67"/>
      <c r="I28" s="90"/>
      <c r="J28" s="91"/>
      <c r="K28" s="91"/>
      <c r="L28" s="67"/>
      <c r="M28" s="67"/>
      <c r="N28" s="67"/>
      <c r="O28" s="50"/>
      <c r="P28" s="50"/>
      <c r="Q28" s="50"/>
      <c r="R28" s="50"/>
      <c r="S28" s="50"/>
      <c r="T28" s="50"/>
      <c r="U28" s="50"/>
      <c r="V28" s="50"/>
      <c r="W28" s="50"/>
      <c r="X28" s="50"/>
      <c r="Y28" s="50"/>
      <c r="Z28" s="50"/>
      <c r="AA28" s="50"/>
      <c r="AB28" s="50"/>
      <c r="AC28" s="50"/>
      <c r="AE28" s="4"/>
    </row>
    <row r="29" spans="1:57" ht="15" customHeight="1" thickBot="1">
      <c r="A29" s="95" t="str">
        <f>VLOOKUP(392,Sprachindex!$A:$Z,Info!$O$7,FALSE)</f>
        <v>Filter:</v>
      </c>
      <c r="B29" s="633"/>
      <c r="C29" s="633"/>
      <c r="D29" s="633"/>
      <c r="E29" s="633"/>
      <c r="F29" s="633"/>
      <c r="G29" s="67"/>
      <c r="H29" s="67"/>
      <c r="I29" s="67"/>
      <c r="J29" s="67"/>
      <c r="K29" s="67"/>
      <c r="L29" s="67"/>
      <c r="M29" s="67"/>
      <c r="N29" s="67"/>
      <c r="AD29" s="627" t="s">
        <v>25</v>
      </c>
      <c r="AE29" s="627"/>
      <c r="AH29" s="661" t="s">
        <v>26</v>
      </c>
      <c r="AI29" s="661"/>
      <c r="AJ29" s="661"/>
      <c r="AK29" s="661"/>
      <c r="AL29" s="661"/>
      <c r="AM29" s="661"/>
      <c r="AN29" s="661"/>
      <c r="AO29" s="661"/>
      <c r="AP29" s="661"/>
      <c r="AQ29" s="661"/>
      <c r="AR29" s="661"/>
      <c r="AS29" s="49"/>
      <c r="AT29" s="662" t="s">
        <v>27</v>
      </c>
      <c r="AU29" s="662"/>
      <c r="AV29" s="662"/>
      <c r="AW29" s="662"/>
      <c r="AX29" s="662"/>
      <c r="AY29" s="662"/>
      <c r="AZ29" s="662"/>
      <c r="BA29" s="662"/>
      <c r="BB29" s="662"/>
      <c r="BC29" s="662"/>
      <c r="BD29" s="662"/>
    </row>
    <row r="30" spans="1:57" ht="35.1" customHeight="1" thickBot="1">
      <c r="A30" s="401" t="str">
        <f>VLOOKUP(598,Sprachindex!$A:$Z,Info!$O$7,FALSE)</f>
        <v>Menge</v>
      </c>
      <c r="B30" s="74" t="str">
        <f>VLOOKUP(332,Sprachindex!$A:$Z,Info!$O$7,FALSE)</f>
        <v>Einheit</v>
      </c>
      <c r="C30" s="74" t="str">
        <f>VLOOKUP(136,Sprachindex!$A:$Z,Info!$O$7,FALSE)</f>
        <v>Abbildung</v>
      </c>
      <c r="D30" s="74" t="str">
        <f>VLOOKUP(177,Sprachindex!$A:$Z,Info!$O$7,FALSE)</f>
        <v>Artikel-Nr.</v>
      </c>
      <c r="E30" s="668" t="str">
        <f>VLOOKUP(234,Sprachindex!$A:$Z,Info!$O$7,FALSE)</f>
        <v>Bezeichnung</v>
      </c>
      <c r="F30" s="669"/>
      <c r="G30" s="669"/>
      <c r="H30" s="669"/>
      <c r="I30" s="669"/>
      <c r="J30" s="669"/>
      <c r="K30" s="670"/>
      <c r="L30" s="74" t="str">
        <f>VLOOKUP(903,Sprachindex!$A:$Z,Info!$O$7,FALSE)</f>
        <v>Total</v>
      </c>
      <c r="M30" s="404" t="str">
        <f>VLOOKUP(332,Sprachindex!$A:$Z,Info!$O$7,FALSE)</f>
        <v>Einheit</v>
      </c>
      <c r="N30" s="72" t="str">
        <f>VLOOKUP(377,Sprachindex!$A:$Z,Info!$O$7,FALSE)</f>
        <v>Eventual</v>
      </c>
      <c r="O30" s="183" t="str">
        <f>VLOOKUP(1786,Sprachindex!$A:$Z,Info!$O$7,FALSE)</f>
        <v>Preis</v>
      </c>
      <c r="R30" s="75" t="str">
        <f>VLOOKUP(1786,Sprachindex!$A:$Z,Info!$O$7,FALSE)</f>
        <v>Preis</v>
      </c>
      <c r="S30" s="75" t="str">
        <f>VLOOKUP(1786,Sprachindex!$A:$Z,Info!$O$7,FALSE)</f>
        <v>Preis</v>
      </c>
      <c r="T30" s="68"/>
      <c r="U30" s="68"/>
      <c r="V30" s="68"/>
      <c r="W30" s="68"/>
      <c r="X30" s="68"/>
      <c r="Y30" s="68"/>
      <c r="Z30" s="68"/>
      <c r="AA30" s="68"/>
      <c r="AB30" s="68"/>
      <c r="AD30" s="153" t="s">
        <v>30</v>
      </c>
      <c r="AE30" s="153" t="s">
        <v>31</v>
      </c>
      <c r="AH30" s="47" t="s">
        <v>35</v>
      </c>
      <c r="AI30" s="47" t="s">
        <v>32</v>
      </c>
      <c r="AJ30" s="47" t="s">
        <v>40</v>
      </c>
      <c r="AK30" s="47" t="s">
        <v>37</v>
      </c>
      <c r="AL30" s="47" t="s">
        <v>33</v>
      </c>
      <c r="AM30" s="47" t="s">
        <v>39</v>
      </c>
      <c r="AN30" s="47"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47" t="s">
        <v>38962</v>
      </c>
      <c r="BE30" s="503" t="s">
        <v>39049</v>
      </c>
    </row>
    <row r="31" spans="1:57" ht="32.1" customHeight="1">
      <c r="A31" s="92"/>
      <c r="B31" s="113" t="str">
        <f>VLOOKUP(588,Sprachindex!$A:$Z,Info!$O$7,FALSE)</f>
        <v>m²</v>
      </c>
      <c r="C31" s="73"/>
      <c r="D31" s="552" t="str">
        <f>IF($P$9=1,BE31,IF($P$9=2,AS31,""))</f>
        <v/>
      </c>
      <c r="E31" s="637" t="str">
        <f>VLOOKUP(263,Sprachindex!$A:$Z,Info!$O$7,FALSE)</f>
        <v>Dachplatte R.16</v>
      </c>
      <c r="F31" s="638"/>
      <c r="G31" s="638"/>
      <c r="H31" s="638"/>
      <c r="I31" s="638"/>
      <c r="J31" s="638"/>
      <c r="K31" s="639"/>
      <c r="L31" s="74" t="str">
        <f>IF(A31=0,"",IF($P$11=1,AD31,AE31))</f>
        <v/>
      </c>
      <c r="M31" s="398" t="str">
        <f>B31</f>
        <v>m²</v>
      </c>
      <c r="N31" s="102"/>
      <c r="O31" s="184" t="str">
        <f>IF(ISNUMBER(L31), IF(P21=7, $L31*S31, $L31*R31), "")</f>
        <v/>
      </c>
      <c r="R31" s="182">
        <v>41.04</v>
      </c>
      <c r="S31" s="182">
        <v>42</v>
      </c>
      <c r="AD31" s="139">
        <f>ROUNDUP(A31/8.24,0)*8.24</f>
        <v>0</v>
      </c>
      <c r="AE31" s="139">
        <f>A31</f>
        <v>0</v>
      </c>
      <c r="AH31" s="433">
        <v>112021</v>
      </c>
      <c r="AI31" s="433">
        <v>112022</v>
      </c>
      <c r="AJ31" s="433">
        <v>112023</v>
      </c>
      <c r="AK31" s="433">
        <v>112024</v>
      </c>
      <c r="AL31" s="433">
        <v>112025</v>
      </c>
      <c r="AM31" s="433">
        <v>112026</v>
      </c>
      <c r="AN31" s="433">
        <v>112028</v>
      </c>
      <c r="AO31" s="433">
        <v>112027</v>
      </c>
      <c r="AP31" s="433">
        <v>112029</v>
      </c>
      <c r="AQ31" s="433"/>
      <c r="AR31" s="433"/>
      <c r="AS31" s="507" t="e" vm="2">
        <f>VLOOKUP(AH31,AH31:AR31,$P$21,FALSE)</f>
        <v>#VALUE!</v>
      </c>
      <c r="AT31" s="432">
        <v>112004</v>
      </c>
      <c r="AU31" s="432">
        <v>112001</v>
      </c>
      <c r="AV31" s="432">
        <v>112009</v>
      </c>
      <c r="AW31" s="432">
        <v>112006</v>
      </c>
      <c r="AX31" s="432">
        <v>112002</v>
      </c>
      <c r="AY31" s="432">
        <v>112007</v>
      </c>
      <c r="AZ31" s="432">
        <v>112003</v>
      </c>
      <c r="BA31" s="432">
        <v>112008</v>
      </c>
      <c r="BB31" s="432">
        <v>112010</v>
      </c>
      <c r="BC31" s="432">
        <v>112005</v>
      </c>
      <c r="BD31" s="432">
        <v>12711028</v>
      </c>
      <c r="BE31" s="507" t="e" vm="2">
        <f>VLOOKUP(AT31,AT31:BD31,$P$21,FALSE)</f>
        <v>#VALUE!</v>
      </c>
    </row>
    <row r="32" spans="1:57" ht="32.1" customHeight="1">
      <c r="A32" s="93"/>
      <c r="B32" s="76" t="str">
        <f>VLOOKUP(1512,Sprachindex!$A:$Z,Info!$O$7,FALSE)</f>
        <v>lfm</v>
      </c>
      <c r="C32" s="75" t="e" vm="79">
        <v>#VALUE!</v>
      </c>
      <c r="D32" s="79">
        <v>562005</v>
      </c>
      <c r="E32" s="618" t="str">
        <f>VLOOKUP(768,Sprachindex!$A:$Z,Info!$O$7,FALSE)</f>
        <v>Saumstreifen (1.800 × 158 × 1,00 mm)</v>
      </c>
      <c r="F32" s="619"/>
      <c r="G32" s="619"/>
      <c r="H32" s="619"/>
      <c r="I32" s="619"/>
      <c r="J32" s="619"/>
      <c r="K32" s="620"/>
      <c r="L32" s="76" t="str">
        <f>IF(A32=0,"",IF($O$11=1,AD32,AE32))</f>
        <v/>
      </c>
      <c r="M32" s="399" t="str">
        <f t="shared" ref="M32:M48" si="0">B32</f>
        <v>lfm</v>
      </c>
      <c r="N32" s="77"/>
      <c r="O32" s="184" t="str">
        <f>IF(ISNUMBER(A32),$L32*R32, "")</f>
        <v/>
      </c>
      <c r="R32" s="182">
        <v>6.74</v>
      </c>
      <c r="S32" s="179"/>
      <c r="AC32" s="1"/>
      <c r="AD32" s="137">
        <f>ROUNDUP($A32/1.8,0)*1.8</f>
        <v>0</v>
      </c>
      <c r="AE32" s="137">
        <f>ROUNDUP($A32/1.8,0)*1.8</f>
        <v>0</v>
      </c>
    </row>
    <row r="33" spans="1:57" ht="32.1" customHeight="1">
      <c r="A33" s="93"/>
      <c r="B33" s="76" t="str">
        <f>VLOOKUP(531,Sprachindex!$A:$Z,Info!$O$7,FALSE)</f>
        <v>kg</v>
      </c>
      <c r="C33" s="75" t="e" vm="80">
        <v>#VALUE!</v>
      </c>
      <c r="D33" s="75" t="str">
        <f>IF(H33=Formeln!A2,340392,IF(H33=Formeln!A3,340394,IF(H33=Formeln!A4,341392,"")))</f>
        <v/>
      </c>
      <c r="E33" s="618" t="str">
        <f>VLOOKUP(707,Sprachindex!$A:$Z,Info!$O$7,FALSE)</f>
        <v>Rillennagel (verzinkt)</v>
      </c>
      <c r="F33" s="619"/>
      <c r="G33" s="619"/>
      <c r="H33" s="624"/>
      <c r="I33" s="625"/>
      <c r="J33" s="625"/>
      <c r="K33" s="626"/>
      <c r="L33" s="76" t="str">
        <f>IF(A33=0,"",IF(H33=Formeln!$A$1,"",IF($O$11=1,AD33,AE33)))</f>
        <v/>
      </c>
      <c r="M33" s="399" t="str">
        <f t="shared" si="0"/>
        <v>kg</v>
      </c>
      <c r="N33" s="77"/>
      <c r="O33" s="184" t="str">
        <f>IF(ISNUMBER(A33),$L33*R33, "")</f>
        <v/>
      </c>
      <c r="R33" s="182">
        <v>9.6300000000000008</v>
      </c>
      <c r="S33" s="179"/>
      <c r="T33" s="179"/>
      <c r="AC33" s="1"/>
      <c r="AD33" s="138">
        <f>IF(OR($H33=Formeln!$A$2,$H33=Formeln!$A$3),ROUNDUP($A33/2.5,0)*2.5,ROUNDUP($A33/2,0)*2)</f>
        <v>0</v>
      </c>
      <c r="AE33" s="138">
        <f>ROUNDUP($A33,2)</f>
        <v>0</v>
      </c>
      <c r="AF33" s="6" t="e">
        <f>IF(H33=Formeln!#REF!,570,IF(H33=Formeln!A1,480,IF(H33=Formeln!A2,380,0)))</f>
        <v>#REF!</v>
      </c>
    </row>
    <row r="34" spans="1:57" ht="32.1" customHeight="1">
      <c r="A34" s="93"/>
      <c r="B34" s="76" t="str">
        <f>IF(A34&lt;2,VLOOKUP(748,Sprachindex!$A:$Z,Info!$O$7,FALSE),VLOOKUP(749,Sprachindex!$A:$Z,Info!$O$7,FALSE))</f>
        <v>Rolle</v>
      </c>
      <c r="C34" s="75" t="e" vm="8">
        <v>#VALUE!</v>
      </c>
      <c r="D34" s="78" t="str">
        <f>IF(H34=Formeln!$A$6,341395,IF(H34=Formeln!$A$7,341396,IF(H34=Formeln!$A$8,341398,"")))</f>
        <v/>
      </c>
      <c r="E34" s="618" t="str">
        <f>VLOOKUP(2186,Sprachindex!$A:$Z,Info!$O$7,FALSE)</f>
        <v>Rillennägel gebunden</v>
      </c>
      <c r="F34" s="619"/>
      <c r="G34" s="619"/>
      <c r="H34" s="624"/>
      <c r="I34" s="625"/>
      <c r="J34" s="625"/>
      <c r="K34" s="626"/>
      <c r="L34" s="134" t="str">
        <f>IF(OR(H34=Formeln!$A$6,H34=Formeln!$A$8),A34&amp;" "&amp;VLOOKUP(749,Sprachindex!$A:$Z,Info!$O$7,FALSE)&amp;" ("&amp;A34*3200&amp;" "&amp;VLOOKUP(878,Sprachindex!$A:$Z,Info!$O$7,FALSE)&amp;")",IF(H34=Formeln!$A$7,A34&amp;" "&amp;VLOOKUP(749,Sprachindex!$A:$Z,Info!$O$7,FALSE)&amp;" ("&amp;A34*2400&amp;" "&amp;VLOOKUP(878,Sprachindex!$A:$Z,Info!$O$7,FALSE)&amp;")",""))</f>
        <v/>
      </c>
      <c r="M34" s="161" t="str">
        <f>IF(A34&lt;2,VLOOKUP(748,Sprachindex!$A:$Z,Info!$O$7,FALSE),VLOOKUP(749,Sprachindex!$A:$Z,Info!$O$7,FALSE))</f>
        <v>Rolle</v>
      </c>
      <c r="N34" s="77"/>
      <c r="O34" s="204" t="str">
        <f>IF(ISNUMBER(A34),IF(H34=Formeln!A4,$AC34*S34/1000,IF(H34=Formeln!A3,$AC34*R34/1000,AC34*T34/1000))," ")</f>
        <v xml:space="preserve"> </v>
      </c>
      <c r="P34" s="267"/>
      <c r="R34" s="182">
        <v>31.5</v>
      </c>
      <c r="S34" s="182">
        <v>47.3</v>
      </c>
      <c r="T34" s="582">
        <v>66.3</v>
      </c>
      <c r="U34" s="179"/>
      <c r="V34" s="179"/>
      <c r="W34" s="179"/>
      <c r="X34" s="179"/>
      <c r="Y34" s="179"/>
      <c r="Z34" s="179"/>
      <c r="AA34" s="179"/>
      <c r="AB34" s="179"/>
      <c r="AC34" s="179" t="b">
        <f>IF(OR(H34=Formeln!$A$6,H34=Formeln!$A$8),A34*3200,IF(H34=Formeln!$A$7,A34*2400))</f>
        <v>0</v>
      </c>
      <c r="AD34" s="138">
        <f>IF(OR($H34=Formeln!$A$6,$H34=Formeln!$A$8),ROUNDUP($A34/3200,0)*3200,ROUNDUP($A34/2400,0)*2400)</f>
        <v>0</v>
      </c>
      <c r="AE34" s="139">
        <f>ROUNDUP($A34/1000,0)*1000</f>
        <v>0</v>
      </c>
      <c r="AF34" s="140">
        <f>IF($H34=Formeln!$A$7,2400,3200)</f>
        <v>3200</v>
      </c>
      <c r="AH34" s="47" t="s">
        <v>35</v>
      </c>
      <c r="AI34" s="47" t="s">
        <v>32</v>
      </c>
      <c r="AJ34" s="47" t="s">
        <v>40</v>
      </c>
      <c r="AK34" s="47" t="s">
        <v>37</v>
      </c>
      <c r="AL34" s="47" t="s">
        <v>33</v>
      </c>
      <c r="AM34" s="47" t="s">
        <v>39</v>
      </c>
      <c r="AN34" s="47" t="s">
        <v>34</v>
      </c>
      <c r="AO34" s="47" t="s">
        <v>38</v>
      </c>
      <c r="AP34" s="47" t="s">
        <v>41</v>
      </c>
      <c r="AQ34" s="47" t="s">
        <v>36</v>
      </c>
      <c r="AR34" s="47" t="s">
        <v>38962</v>
      </c>
      <c r="AS34" s="503" t="s">
        <v>39049</v>
      </c>
    </row>
    <row r="35" spans="1:57" ht="32.1" customHeight="1">
      <c r="A35" s="93"/>
      <c r="B35" s="76" t="str">
        <f>VLOOKUP(1512,Sprachindex!$A:$Z,Info!$O$7,FALSE)</f>
        <v>lfm</v>
      </c>
      <c r="C35" s="75" t="e" vm="81">
        <v>#VALUE!</v>
      </c>
      <c r="D35" s="75" t="str">
        <f>IF(ISNUMBER(A35),AS35,"")</f>
        <v/>
      </c>
      <c r="E35" s="618" t="str">
        <f>VLOOKUP(333,Sprachindex!$A:$Z,Info!$O$7,FALSE)</f>
        <v>Einlaufblech</v>
      </c>
      <c r="F35" s="619"/>
      <c r="G35" s="619"/>
      <c r="H35" s="619"/>
      <c r="I35" s="619"/>
      <c r="J35" s="619"/>
      <c r="K35" s="620"/>
      <c r="L35" s="76" t="str">
        <f>IF(A35=0,"",IF($O$11=1,AD35,AE35))</f>
        <v/>
      </c>
      <c r="M35" s="399" t="str">
        <f t="shared" si="0"/>
        <v>lfm</v>
      </c>
      <c r="N35" s="77"/>
      <c r="O35" s="184" t="str">
        <f>IF(ISNUMBER(A35),$L35*R35, "")</f>
        <v/>
      </c>
      <c r="R35" s="182">
        <v>8.91</v>
      </c>
      <c r="S35" s="179"/>
      <c r="T35" s="179"/>
      <c r="AC35" s="129"/>
      <c r="AD35" s="139">
        <f>ROUNDUP($A35/2,0)*2</f>
        <v>0</v>
      </c>
      <c r="AE35" s="139">
        <f>ROUNDUP($A35,0)</f>
        <v>0</v>
      </c>
      <c r="AF35" s="135"/>
      <c r="AH35" s="44">
        <v>212101</v>
      </c>
      <c r="AI35" s="44">
        <v>212100</v>
      </c>
      <c r="AJ35" s="44">
        <v>212104</v>
      </c>
      <c r="AK35" s="44"/>
      <c r="AL35" s="44"/>
      <c r="AM35" s="44"/>
      <c r="AN35" s="44">
        <v>212102</v>
      </c>
      <c r="AO35" s="44">
        <v>212106</v>
      </c>
      <c r="AP35" s="44">
        <v>212103</v>
      </c>
      <c r="AQ35" s="44"/>
      <c r="AR35" s="44">
        <v>15041028</v>
      </c>
      <c r="AS35" s="504" t="e" vm="2">
        <f>VLOOKUP(AH35,AH35:AR35,$P$21,FALSE)</f>
        <v>#VALUE!</v>
      </c>
    </row>
    <row r="36" spans="1:57" ht="32.1" customHeight="1">
      <c r="A36" s="93"/>
      <c r="B36" s="76" t="str">
        <f>VLOOKUP(1512,Sprachindex!$A:$Z,Info!$O$7,FALSE)</f>
        <v>lfm</v>
      </c>
      <c r="C36" s="79" t="e" vm="82">
        <v>#VALUE!</v>
      </c>
      <c r="D36" s="79" t="str">
        <f>IF(H36=Formeln!A10,507403,IF(H36=Formeln!A11,507404,IF(H36=Formeln!A12,507402,IF(H36=Formeln!A13,507405,IF(H36=Formeln!A14,507412,IF(H36=Formeln!A15,507413,""))))))</f>
        <v/>
      </c>
      <c r="E36" s="618" t="str">
        <f>VLOOKUP(586,Sprachindex!$A:$Z,Info!$O$7,FALSE)</f>
        <v>Lüftungsband</v>
      </c>
      <c r="F36" s="619"/>
      <c r="G36" s="619"/>
      <c r="H36" s="624"/>
      <c r="I36" s="625"/>
      <c r="J36" s="625"/>
      <c r="K36" s="626"/>
      <c r="L36" s="76" t="str">
        <f>IF($H36=Formeln!$A$9," ",IF(A36=0,"",IF($O$11=1,AD36,AE36)))</f>
        <v xml:space="preserve"> </v>
      </c>
      <c r="M36" s="399" t="str">
        <f t="shared" si="0"/>
        <v>lfm</v>
      </c>
      <c r="N36" s="77"/>
      <c r="O36" s="184" t="str">
        <f>IF(ISNUMBER(A36), IF(OR(H36=Formeln!$A$10,H36=Formeln!$A$11), $L36*R36, $L36*S36), "")</f>
        <v/>
      </c>
      <c r="R36" s="182">
        <v>13.63</v>
      </c>
      <c r="S36" s="182">
        <v>21.91</v>
      </c>
      <c r="T36" s="179"/>
      <c r="AC36" s="1"/>
      <c r="AD36" s="139">
        <f>ROUNDUP($A36/40,0)*40</f>
        <v>0</v>
      </c>
      <c r="AE36" s="139">
        <f>$A36</f>
        <v>0</v>
      </c>
      <c r="AH36" s="661" t="s">
        <v>26</v>
      </c>
      <c r="AI36" s="661"/>
      <c r="AJ36" s="661"/>
      <c r="AK36" s="661"/>
      <c r="AL36" s="661"/>
      <c r="AM36" s="661"/>
      <c r="AN36" s="661"/>
      <c r="AO36" s="661"/>
      <c r="AP36" s="661"/>
      <c r="AQ36" s="661"/>
      <c r="AR36" s="661"/>
      <c r="AS36" s="49"/>
      <c r="AT36" s="662" t="s">
        <v>27</v>
      </c>
      <c r="AU36" s="662"/>
      <c r="AV36" s="662"/>
      <c r="AW36" s="662"/>
      <c r="AX36" s="662"/>
      <c r="AY36" s="662"/>
      <c r="AZ36" s="662"/>
      <c r="BA36" s="662"/>
      <c r="BB36" s="662"/>
      <c r="BC36" s="662"/>
      <c r="BD36" s="662"/>
    </row>
    <row r="37" spans="1:57" ht="31.95" customHeight="1">
      <c r="A37" s="93"/>
      <c r="B37" s="76" t="str">
        <f>VLOOKUP(1512,Sprachindex!$A:$Z,Info!$O$7,FALSE)</f>
        <v>lfm</v>
      </c>
      <c r="C37" s="75" t="e" vm="83">
        <v>#VALUE!</v>
      </c>
      <c r="D37" s="75">
        <v>507300</v>
      </c>
      <c r="E37" s="618" t="str">
        <f>VLOOKUP(986,Sprachindex!$A:$Z,Info!$O$7,FALSE)</f>
        <v>Vogelschutzgitter (Braun/Anthrazit; 125 × 2.000 × 0,7 mm)</v>
      </c>
      <c r="F37" s="619"/>
      <c r="G37" s="619"/>
      <c r="H37" s="619"/>
      <c r="I37" s="619"/>
      <c r="J37" s="619"/>
      <c r="K37" s="620"/>
      <c r="L37" s="76" t="str">
        <f t="shared" ref="L37:L48" si="1">IF(A37=0,"",IF($O$11=1,AD37,AE37))</f>
        <v/>
      </c>
      <c r="M37" s="399" t="str">
        <f t="shared" si="0"/>
        <v>lfm</v>
      </c>
      <c r="N37" s="77"/>
      <c r="O37" s="184" t="str">
        <f t="shared" ref="O37:O44" si="2">IF(ISNUMBER(A37),$L37*R37, "")</f>
        <v/>
      </c>
      <c r="R37" s="182">
        <v>4.13</v>
      </c>
      <c r="S37" s="179"/>
      <c r="T37" s="179"/>
      <c r="AC37" s="1"/>
      <c r="AD37" s="139">
        <f>ROUNDUP($A37/2,0)*2</f>
        <v>0</v>
      </c>
      <c r="AE37" s="139">
        <f>ROUNDUP($A37/2,0)*2</f>
        <v>0</v>
      </c>
      <c r="AH37" s="47" t="s">
        <v>35</v>
      </c>
      <c r="AI37" s="47" t="s">
        <v>32</v>
      </c>
      <c r="AJ37" s="47" t="s">
        <v>40</v>
      </c>
      <c r="AK37" s="47" t="s">
        <v>37</v>
      </c>
      <c r="AL37" s="47" t="s">
        <v>33</v>
      </c>
      <c r="AM37" s="47" t="s">
        <v>39</v>
      </c>
      <c r="AN37" s="47" t="s">
        <v>34</v>
      </c>
      <c r="AO37" s="47" t="s">
        <v>38</v>
      </c>
      <c r="AP37" s="47" t="s">
        <v>41</v>
      </c>
      <c r="AQ37" s="47" t="s">
        <v>36</v>
      </c>
      <c r="AR37" s="47" t="s">
        <v>38962</v>
      </c>
      <c r="AS37" s="503" t="s">
        <v>39049</v>
      </c>
      <c r="AT37" s="47" t="s">
        <v>35</v>
      </c>
      <c r="AU37" s="47" t="s">
        <v>32</v>
      </c>
      <c r="AV37" s="47" t="s">
        <v>40</v>
      </c>
      <c r="AW37" s="47" t="s">
        <v>37</v>
      </c>
      <c r="AX37" s="47" t="s">
        <v>33</v>
      </c>
      <c r="AY37" s="47" t="s">
        <v>39</v>
      </c>
      <c r="AZ37" s="47" t="s">
        <v>34</v>
      </c>
      <c r="BA37" s="47" t="s">
        <v>38</v>
      </c>
      <c r="BB37" s="47" t="s">
        <v>41</v>
      </c>
      <c r="BC37" s="47" t="s">
        <v>36</v>
      </c>
      <c r="BD37" s="47" t="s">
        <v>38962</v>
      </c>
      <c r="BE37" s="503" t="s">
        <v>39049</v>
      </c>
    </row>
    <row r="38" spans="1:57" ht="32.1" customHeight="1">
      <c r="A38" s="93"/>
      <c r="B38" s="76" t="str">
        <f>VLOOKUP(1512,Sprachindex!$A:$Z,Info!$O$7,FALSE)</f>
        <v>lfm</v>
      </c>
      <c r="C38" s="75" t="e" vm="84">
        <v>#VALUE!</v>
      </c>
      <c r="D38" s="75" t="str">
        <f t="shared" ref="D38:D44" si="3">IF($P$9=1,BE38,IF($P$9=2,AS38,""))</f>
        <v/>
      </c>
      <c r="E38" s="618" t="str">
        <f>VLOOKUP(647,Sprachindex!$A:$Z,Info!$O$7,FALSE)</f>
        <v>Ortgangstreifen (95 × 2.000 × 0,70 mm)</v>
      </c>
      <c r="F38" s="619"/>
      <c r="G38" s="619"/>
      <c r="H38" s="619"/>
      <c r="I38" s="619"/>
      <c r="J38" s="619"/>
      <c r="K38" s="620"/>
      <c r="L38" s="76" t="str">
        <f t="shared" si="1"/>
        <v/>
      </c>
      <c r="M38" s="399" t="str">
        <f t="shared" si="0"/>
        <v>lfm</v>
      </c>
      <c r="N38" s="77"/>
      <c r="O38" s="184" t="str">
        <f t="shared" si="2"/>
        <v/>
      </c>
      <c r="R38" s="182">
        <v>9.86</v>
      </c>
      <c r="S38" s="179"/>
      <c r="T38" s="179"/>
      <c r="AC38" s="1"/>
      <c r="AD38" s="139">
        <f>ROUNDUP($A38/2,0)*2</f>
        <v>0</v>
      </c>
      <c r="AE38" s="139">
        <f>ROUNDUP($A38/2,0)*2</f>
        <v>0</v>
      </c>
      <c r="AH38" s="433">
        <v>110503</v>
      </c>
      <c r="AI38" s="433">
        <v>110500</v>
      </c>
      <c r="AJ38" s="433">
        <v>110508</v>
      </c>
      <c r="AK38" s="433">
        <v>110505</v>
      </c>
      <c r="AL38" s="433">
        <v>110501</v>
      </c>
      <c r="AM38" s="433">
        <v>110507</v>
      </c>
      <c r="AN38" s="433">
        <v>110502</v>
      </c>
      <c r="AO38" s="433">
        <v>110506</v>
      </c>
      <c r="AP38" s="433">
        <v>110509</v>
      </c>
      <c r="AQ38" s="433">
        <v>110504</v>
      </c>
      <c r="AR38" s="433">
        <v>15411028</v>
      </c>
      <c r="AS38" s="507" t="e" vm="2">
        <f t="shared" ref="AS38:AS49" si="4">VLOOKUP(AH38,AH38:AR38,$P$21,FALSE)</f>
        <v>#VALUE!</v>
      </c>
      <c r="AT38" s="432">
        <v>110513</v>
      </c>
      <c r="AU38" s="432">
        <v>110510</v>
      </c>
      <c r="AV38" s="432">
        <v>110518</v>
      </c>
      <c r="AW38" s="432">
        <v>110515</v>
      </c>
      <c r="AX38" s="432">
        <v>110511</v>
      </c>
      <c r="AY38" s="432">
        <v>110517</v>
      </c>
      <c r="AZ38" s="432">
        <v>110512</v>
      </c>
      <c r="BA38" s="432">
        <v>110516</v>
      </c>
      <c r="BB38" s="432">
        <v>110519</v>
      </c>
      <c r="BC38" s="432">
        <v>110514</v>
      </c>
      <c r="BD38" s="432">
        <v>15421028</v>
      </c>
      <c r="BE38" s="507" t="e" vm="2">
        <f t="shared" ref="BE38:BE44" si="5">VLOOKUP(AT38,AT38:BD38,$P$21,FALSE)</f>
        <v>#VALUE!</v>
      </c>
    </row>
    <row r="39" spans="1:57" ht="32.1" customHeight="1">
      <c r="A39" s="93"/>
      <c r="B39" s="76" t="str">
        <f>VLOOKUP(1512,Sprachindex!$A:$Z,Info!$O$7,FALSE)</f>
        <v>lfm</v>
      </c>
      <c r="C39" s="75" t="e" vm="85">
        <v>#VALUE!</v>
      </c>
      <c r="D39" s="75" t="str">
        <f t="shared" si="3"/>
        <v/>
      </c>
      <c r="E39" s="618" t="str">
        <f>VLOOKUP(825,Sprachindex!$A:$Z,Info!$O$7,FALSE)</f>
        <v>Sicherheitskehle (stucco; Länge: 3.000 mm)</v>
      </c>
      <c r="F39" s="619"/>
      <c r="G39" s="619"/>
      <c r="H39" s="619"/>
      <c r="I39" s="619"/>
      <c r="J39" s="619"/>
      <c r="K39" s="620"/>
      <c r="L39" s="76" t="str">
        <f t="shared" si="1"/>
        <v/>
      </c>
      <c r="M39" s="399" t="str">
        <f t="shared" si="0"/>
        <v>lfm</v>
      </c>
      <c r="N39" s="77"/>
      <c r="O39" s="184" t="str">
        <f t="shared" si="2"/>
        <v/>
      </c>
      <c r="R39" s="182">
        <v>33.1</v>
      </c>
      <c r="S39" s="179"/>
      <c r="T39" s="179"/>
      <c r="AC39" s="1"/>
      <c r="AD39" s="139">
        <f>ROUNDUP($A39/3,0)*3</f>
        <v>0</v>
      </c>
      <c r="AE39" s="139">
        <f>ROUNDUP($A39/3,0)*3</f>
        <v>0</v>
      </c>
      <c r="AH39" s="433">
        <v>110523</v>
      </c>
      <c r="AI39" s="433">
        <v>110520</v>
      </c>
      <c r="AJ39" s="433">
        <v>110528</v>
      </c>
      <c r="AK39" s="433">
        <v>110525</v>
      </c>
      <c r="AL39" s="433">
        <v>110521</v>
      </c>
      <c r="AM39" s="433">
        <v>110527</v>
      </c>
      <c r="AN39" s="433">
        <v>110522</v>
      </c>
      <c r="AO39" s="433">
        <v>110526</v>
      </c>
      <c r="AP39" s="433">
        <v>110529</v>
      </c>
      <c r="AQ39" s="433">
        <v>110524</v>
      </c>
      <c r="AR39" s="433">
        <v>15451028</v>
      </c>
      <c r="AS39" s="507" t="e" vm="2">
        <f t="shared" si="4"/>
        <v>#VALUE!</v>
      </c>
      <c r="AT39" s="432">
        <v>110533</v>
      </c>
      <c r="AU39" s="432">
        <v>110530</v>
      </c>
      <c r="AV39" s="432">
        <v>110538</v>
      </c>
      <c r="AW39" s="432">
        <v>110535</v>
      </c>
      <c r="AX39" s="432">
        <v>110531</v>
      </c>
      <c r="AY39" s="432">
        <v>110537</v>
      </c>
      <c r="AZ39" s="432">
        <v>110532</v>
      </c>
      <c r="BA39" s="432">
        <v>110536</v>
      </c>
      <c r="BB39" s="432">
        <v>110539</v>
      </c>
      <c r="BC39" s="432">
        <v>110534</v>
      </c>
      <c r="BD39" s="432">
        <v>15461028</v>
      </c>
      <c r="BE39" s="507" t="e" vm="2">
        <f t="shared" si="5"/>
        <v>#VALUE!</v>
      </c>
    </row>
    <row r="40" spans="1:57" ht="32.1" customHeight="1">
      <c r="A40" s="93"/>
      <c r="B40" s="76" t="str">
        <f>VLOOKUP(1512,Sprachindex!$A:$Z,Info!$O$7,FALSE)</f>
        <v>lfm</v>
      </c>
      <c r="C40" s="75" t="e" vm="86">
        <v>#VALUE!</v>
      </c>
      <c r="D40" s="75" t="str">
        <f t="shared" si="3"/>
        <v/>
      </c>
      <c r="E40" s="618" t="str">
        <f>VLOOKUP(440,Sprachindex!$A:$Z,Info!$O$7,FALSE)</f>
        <v>Grat- und Firstreiter (500 × 1,00 mm; stucco) inkl. Niro-Schraube 4,5 × 45 mm und Dichtscheibe</v>
      </c>
      <c r="F40" s="619"/>
      <c r="G40" s="619"/>
      <c r="H40" s="619"/>
      <c r="I40" s="619"/>
      <c r="J40" s="619"/>
      <c r="K40" s="620"/>
      <c r="L40" s="76" t="str">
        <f t="shared" si="1"/>
        <v/>
      </c>
      <c r="M40" s="399" t="str">
        <f t="shared" si="0"/>
        <v>lfm</v>
      </c>
      <c r="N40" s="77"/>
      <c r="O40" s="184" t="str">
        <f t="shared" si="2"/>
        <v/>
      </c>
      <c r="R40" s="182">
        <v>15.21</v>
      </c>
      <c r="S40" s="179"/>
      <c r="AC40" s="1"/>
      <c r="AD40" s="139">
        <f>ROUNDUP($A40/10,0)*10</f>
        <v>0</v>
      </c>
      <c r="AE40" s="139">
        <f>ROUNDUP($A40/0.5,0)*0.5</f>
        <v>0</v>
      </c>
      <c r="AH40" s="433">
        <v>110343</v>
      </c>
      <c r="AI40" s="433">
        <v>110340</v>
      </c>
      <c r="AJ40" s="433">
        <v>110348</v>
      </c>
      <c r="AK40" s="433">
        <v>110345</v>
      </c>
      <c r="AL40" s="433">
        <v>110341</v>
      </c>
      <c r="AM40" s="433">
        <v>110347</v>
      </c>
      <c r="AN40" s="433">
        <v>110342</v>
      </c>
      <c r="AO40" s="433">
        <v>110346</v>
      </c>
      <c r="AP40" s="433">
        <v>110349</v>
      </c>
      <c r="AQ40" s="433">
        <v>110344</v>
      </c>
      <c r="AR40" s="433">
        <v>15111028</v>
      </c>
      <c r="AS40" s="507" t="e" vm="2">
        <f t="shared" si="4"/>
        <v>#VALUE!</v>
      </c>
      <c r="AT40" s="432">
        <v>110353</v>
      </c>
      <c r="AU40" s="432">
        <v>110350</v>
      </c>
      <c r="AV40" s="432">
        <v>110358</v>
      </c>
      <c r="AW40" s="432">
        <v>110355</v>
      </c>
      <c r="AX40" s="432">
        <v>110351</v>
      </c>
      <c r="AY40" s="432">
        <v>110357</v>
      </c>
      <c r="AZ40" s="432">
        <v>110352</v>
      </c>
      <c r="BA40" s="432">
        <v>110356</v>
      </c>
      <c r="BB40" s="432">
        <v>110359</v>
      </c>
      <c r="BC40" s="432">
        <v>110354</v>
      </c>
      <c r="BD40" s="432">
        <v>15121028</v>
      </c>
      <c r="BE40" s="507" t="e" vm="2">
        <f t="shared" si="5"/>
        <v>#VALUE!</v>
      </c>
    </row>
    <row r="41" spans="1:57" ht="32.1" customHeight="1">
      <c r="A41" s="93"/>
      <c r="B41" s="76" t="str">
        <f>VLOOKUP(878,Sprachindex!$A:$Z,Info!$O$7,FALSE)</f>
        <v>Stk.</v>
      </c>
      <c r="C41" s="75"/>
      <c r="D41" s="75" t="str">
        <f t="shared" si="3"/>
        <v/>
      </c>
      <c r="E41" s="618" t="str">
        <f>VLOOKUP(441,Sprachindex!$A:$Z,Info!$O$7,FALSE)</f>
        <v>Gratreitervorkopf (stucco)</v>
      </c>
      <c r="F41" s="619"/>
      <c r="G41" s="619"/>
      <c r="H41" s="619"/>
      <c r="I41" s="619"/>
      <c r="J41" s="619"/>
      <c r="K41" s="620"/>
      <c r="L41" s="76" t="str">
        <f t="shared" si="1"/>
        <v/>
      </c>
      <c r="M41" s="399" t="str">
        <f t="shared" si="0"/>
        <v>Stk.</v>
      </c>
      <c r="N41" s="77"/>
      <c r="O41" s="184" t="str">
        <f t="shared" si="2"/>
        <v/>
      </c>
      <c r="R41" s="182">
        <v>8.26</v>
      </c>
      <c r="S41" s="179"/>
      <c r="AC41" s="1"/>
      <c r="AD41" s="139">
        <f>ROUNDUP($A41/10,0)*10</f>
        <v>0</v>
      </c>
      <c r="AE41" s="139">
        <f>ROUNDUP($A41/1,0)*1</f>
        <v>0</v>
      </c>
      <c r="AH41" s="433">
        <v>110323</v>
      </c>
      <c r="AI41" s="433">
        <v>110320</v>
      </c>
      <c r="AJ41" s="433">
        <v>110328</v>
      </c>
      <c r="AK41" s="433">
        <v>110325</v>
      </c>
      <c r="AL41" s="433">
        <v>110321</v>
      </c>
      <c r="AM41" s="433">
        <v>110327</v>
      </c>
      <c r="AN41" s="433">
        <v>110322</v>
      </c>
      <c r="AO41" s="433">
        <v>110326</v>
      </c>
      <c r="AP41" s="433">
        <v>110329</v>
      </c>
      <c r="AQ41" s="433">
        <v>110324</v>
      </c>
      <c r="AR41" s="433">
        <v>15131028</v>
      </c>
      <c r="AS41" s="507" t="e" vm="2">
        <f t="shared" si="4"/>
        <v>#VALUE!</v>
      </c>
      <c r="AT41" s="432">
        <v>110333</v>
      </c>
      <c r="AU41" s="432">
        <v>110330</v>
      </c>
      <c r="AV41" s="432">
        <v>110338</v>
      </c>
      <c r="AW41" s="432">
        <v>110335</v>
      </c>
      <c r="AX41" s="432">
        <v>110331</v>
      </c>
      <c r="AY41" s="432">
        <v>110337</v>
      </c>
      <c r="AZ41" s="432">
        <v>110332</v>
      </c>
      <c r="BA41" s="432">
        <v>110336</v>
      </c>
      <c r="BB41" s="432">
        <v>110339</v>
      </c>
      <c r="BC41" s="432">
        <v>110334</v>
      </c>
      <c r="BD41" s="432">
        <v>15141028</v>
      </c>
      <c r="BE41" s="507" t="e" vm="2">
        <f t="shared" si="5"/>
        <v>#VALUE!</v>
      </c>
    </row>
    <row r="42" spans="1:57" ht="32.1" customHeight="1">
      <c r="A42" s="93"/>
      <c r="B42" s="76" t="str">
        <f>VLOOKUP(1512,Sprachindex!$A:$Z,Info!$O$7,FALSE)</f>
        <v>lfm</v>
      </c>
      <c r="C42" s="75" t="e" vm="87">
        <v>#VALUE!</v>
      </c>
      <c r="D42" s="75" t="str">
        <f t="shared" si="3"/>
        <v/>
      </c>
      <c r="E42" s="618" t="str">
        <f>VLOOKUP(501,Sprachindex!$A:$Z,Info!$O$7,FALSE)</f>
        <v>Jet-Lüfter (stucco; 1.200 mm); inkl. Niro-Schraube und Dichtscheibe</v>
      </c>
      <c r="F42" s="619"/>
      <c r="G42" s="619"/>
      <c r="H42" s="619"/>
      <c r="I42" s="619"/>
      <c r="J42" s="619"/>
      <c r="K42" s="620"/>
      <c r="L42" s="76" t="str">
        <f t="shared" si="1"/>
        <v/>
      </c>
      <c r="M42" s="399" t="str">
        <f t="shared" si="0"/>
        <v>lfm</v>
      </c>
      <c r="N42" s="77"/>
      <c r="O42" s="184" t="str">
        <f t="shared" si="2"/>
        <v/>
      </c>
      <c r="R42" s="182">
        <v>69.22</v>
      </c>
      <c r="S42" s="179"/>
      <c r="AC42" s="1"/>
      <c r="AD42" s="139">
        <f>ROUNDUP($A42/1.2,0)*1.2</f>
        <v>0</v>
      </c>
      <c r="AE42" s="139">
        <f>ROUNDUP($A42/1.2,0)*1.2</f>
        <v>0</v>
      </c>
      <c r="AH42" s="433">
        <v>110643</v>
      </c>
      <c r="AI42" s="433">
        <v>110640</v>
      </c>
      <c r="AJ42" s="433">
        <v>110648</v>
      </c>
      <c r="AK42" s="433">
        <v>110645</v>
      </c>
      <c r="AL42" s="433">
        <v>110641</v>
      </c>
      <c r="AM42" s="433">
        <v>110647</v>
      </c>
      <c r="AN42" s="433">
        <v>110642</v>
      </c>
      <c r="AO42" s="433">
        <v>110646</v>
      </c>
      <c r="AP42" s="433">
        <v>110649</v>
      </c>
      <c r="AQ42" s="433">
        <v>110644</v>
      </c>
      <c r="AR42" s="433">
        <v>15171028</v>
      </c>
      <c r="AS42" s="507" t="e" vm="2">
        <f t="shared" si="4"/>
        <v>#VALUE!</v>
      </c>
      <c r="AT42" s="432">
        <v>110653</v>
      </c>
      <c r="AU42" s="432">
        <v>110650</v>
      </c>
      <c r="AV42" s="432">
        <v>110658</v>
      </c>
      <c r="AW42" s="432">
        <v>110655</v>
      </c>
      <c r="AX42" s="432">
        <v>110651</v>
      </c>
      <c r="AY42" s="432">
        <v>110657</v>
      </c>
      <c r="AZ42" s="432">
        <v>110652</v>
      </c>
      <c r="BA42" s="432">
        <v>110656</v>
      </c>
      <c r="BB42" s="432">
        <v>110659</v>
      </c>
      <c r="BC42" s="432">
        <v>110654</v>
      </c>
      <c r="BD42" s="432">
        <v>15181028</v>
      </c>
      <c r="BE42" s="507" t="e" vm="2">
        <f t="shared" si="5"/>
        <v>#VALUE!</v>
      </c>
    </row>
    <row r="43" spans="1:57" ht="32.1" customHeight="1">
      <c r="A43" s="93"/>
      <c r="B43" s="76" t="str">
        <f>VLOOKUP(1512,Sprachindex!$A:$Z,Info!$O$7,FALSE)</f>
        <v>lfm</v>
      </c>
      <c r="C43" s="75" t="e" vm="87">
        <v>#VALUE!</v>
      </c>
      <c r="D43" s="75" t="str">
        <f t="shared" si="3"/>
        <v/>
      </c>
      <c r="E43" s="618" t="str">
        <f>VLOOKUP(502,Sprachindex!$A:$Z,Info!$O$7,FALSE)</f>
        <v>Jet-Lüfter (stucco; 3.000 mm); inkl. Niro-Schraube und Dichtscheibe</v>
      </c>
      <c r="F43" s="619"/>
      <c r="G43" s="619"/>
      <c r="H43" s="619"/>
      <c r="I43" s="619"/>
      <c r="J43" s="619"/>
      <c r="K43" s="620"/>
      <c r="L43" s="76" t="str">
        <f t="shared" si="1"/>
        <v/>
      </c>
      <c r="M43" s="399" t="str">
        <f t="shared" si="0"/>
        <v>lfm</v>
      </c>
      <c r="N43" s="77"/>
      <c r="O43" s="184" t="str">
        <f t="shared" si="2"/>
        <v/>
      </c>
      <c r="R43" s="182">
        <v>62.51</v>
      </c>
      <c r="S43" s="179"/>
      <c r="AC43" s="1"/>
      <c r="AD43" s="139">
        <f>ROUNDUP($A43/9,0)*9</f>
        <v>0</v>
      </c>
      <c r="AE43" s="139">
        <f>ROUNDUP($A43/3,0)*3</f>
        <v>0</v>
      </c>
      <c r="AH43" s="433">
        <v>110623</v>
      </c>
      <c r="AI43" s="433">
        <v>110620</v>
      </c>
      <c r="AJ43" s="433">
        <v>110628</v>
      </c>
      <c r="AK43" s="433">
        <v>110625</v>
      </c>
      <c r="AL43" s="433">
        <v>110621</v>
      </c>
      <c r="AM43" s="433">
        <v>110627</v>
      </c>
      <c r="AN43" s="433">
        <v>110622</v>
      </c>
      <c r="AO43" s="433">
        <v>110626</v>
      </c>
      <c r="AP43" s="433">
        <v>110629</v>
      </c>
      <c r="AQ43" s="433">
        <v>110624</v>
      </c>
      <c r="AR43" s="433">
        <v>15151028</v>
      </c>
      <c r="AS43" s="507" t="e" vm="2">
        <f t="shared" si="4"/>
        <v>#VALUE!</v>
      </c>
      <c r="AT43" s="432">
        <v>110633</v>
      </c>
      <c r="AU43" s="432">
        <v>110630</v>
      </c>
      <c r="AV43" s="432">
        <v>110638</v>
      </c>
      <c r="AW43" s="432">
        <v>110635</v>
      </c>
      <c r="AX43" s="432">
        <v>110631</v>
      </c>
      <c r="AY43" s="432">
        <v>110637</v>
      </c>
      <c r="AZ43" s="432">
        <v>110632</v>
      </c>
      <c r="BA43" s="432">
        <v>110636</v>
      </c>
      <c r="BB43" s="432">
        <v>110639</v>
      </c>
      <c r="BC43" s="432">
        <v>110634</v>
      </c>
      <c r="BD43" s="432">
        <v>1516028</v>
      </c>
      <c r="BE43" s="507" t="e" vm="2">
        <f t="shared" si="5"/>
        <v>#VALUE!</v>
      </c>
    </row>
    <row r="44" spans="1:57" ht="32.1" customHeight="1">
      <c r="A44" s="93"/>
      <c r="B44" s="76" t="str">
        <f>VLOOKUP(878,Sprachindex!$A:$Z,Info!$O$7,FALSE)</f>
        <v>Stk.</v>
      </c>
      <c r="C44" s="75" t="e" vm="88">
        <v>#VALUE!</v>
      </c>
      <c r="D44" s="75" t="str">
        <f t="shared" si="3"/>
        <v/>
      </c>
      <c r="E44" s="618" t="str">
        <f>VLOOKUP(503,Sprachindex!$A:$Z,Info!$O$7,FALSE)</f>
        <v>Jet-Lüfter-Vorkopf (stucco)</v>
      </c>
      <c r="F44" s="619"/>
      <c r="G44" s="619"/>
      <c r="H44" s="619"/>
      <c r="I44" s="619"/>
      <c r="J44" s="619"/>
      <c r="K44" s="620"/>
      <c r="L44" s="76" t="str">
        <f t="shared" si="1"/>
        <v/>
      </c>
      <c r="M44" s="399" t="str">
        <f t="shared" si="0"/>
        <v>Stk.</v>
      </c>
      <c r="N44" s="77"/>
      <c r="O44" s="184" t="str">
        <f t="shared" si="2"/>
        <v/>
      </c>
      <c r="R44" s="182">
        <v>8.9700000000000006</v>
      </c>
      <c r="S44" s="179"/>
      <c r="AC44" s="1"/>
      <c r="AD44" s="139">
        <f>ROUNDUP($A44/2,0)*2</f>
        <v>0</v>
      </c>
      <c r="AE44" s="139">
        <f>ROUNDUP($A44/1,0)*1</f>
        <v>0</v>
      </c>
      <c r="AH44" s="433">
        <v>110603</v>
      </c>
      <c r="AI44" s="433">
        <v>110600</v>
      </c>
      <c r="AJ44" s="433">
        <v>110608</v>
      </c>
      <c r="AK44" s="433">
        <v>110605</v>
      </c>
      <c r="AL44" s="433">
        <v>110601</v>
      </c>
      <c r="AM44" s="433">
        <v>110607</v>
      </c>
      <c r="AN44" s="433">
        <v>110602</v>
      </c>
      <c r="AO44" s="433">
        <v>110606</v>
      </c>
      <c r="AP44" s="433">
        <v>110609</v>
      </c>
      <c r="AQ44" s="433">
        <v>110604</v>
      </c>
      <c r="AR44" s="498">
        <v>15231028</v>
      </c>
      <c r="AS44" s="507" t="e" vm="2">
        <f t="shared" si="4"/>
        <v>#VALUE!</v>
      </c>
      <c r="AT44" s="438">
        <v>110613</v>
      </c>
      <c r="AU44" s="438">
        <v>110610</v>
      </c>
      <c r="AV44" s="432">
        <v>110618</v>
      </c>
      <c r="AW44" s="432">
        <v>110615</v>
      </c>
      <c r="AX44" s="432">
        <v>110611</v>
      </c>
      <c r="AY44" s="432">
        <v>110617</v>
      </c>
      <c r="AZ44" s="432">
        <v>110612</v>
      </c>
      <c r="BA44" s="432">
        <v>110616</v>
      </c>
      <c r="BB44" s="432">
        <v>110619</v>
      </c>
      <c r="BC44" s="432">
        <v>110614</v>
      </c>
      <c r="BD44" s="432">
        <v>15241028</v>
      </c>
      <c r="BE44" s="507" t="e" vm="2">
        <f t="shared" si="5"/>
        <v>#VALUE!</v>
      </c>
    </row>
    <row r="45" spans="1:57" ht="32.1" customHeight="1">
      <c r="A45" s="93"/>
      <c r="B45" s="76" t="str">
        <f>VLOOKUP(878,Sprachindex!$A:$Z,Info!$O$7,FALSE)</f>
        <v>Stk.</v>
      </c>
      <c r="C45" s="75" t="e" vm="19">
        <v>#VALUE!</v>
      </c>
      <c r="D45" s="75" t="str">
        <f>IF(H45=Formeln!B18,AS45,IF(H45=Formeln!B19,AT47,""))</f>
        <v/>
      </c>
      <c r="E45" s="618" t="str">
        <f>VLOOKUP(2187,Sprachindex!$A:$Z,Info!$O$7,FALSE)</f>
        <v>Dichtschraube NIRO, 4,5x25</v>
      </c>
      <c r="F45" s="619"/>
      <c r="G45" s="619"/>
      <c r="H45" s="624"/>
      <c r="I45" s="625"/>
      <c r="J45" s="625"/>
      <c r="K45" s="626"/>
      <c r="L45" s="76" t="str">
        <f t="shared" ref="L45" si="6">IF(A45=0,"",IF($P$11=1,AD45,AE45))</f>
        <v/>
      </c>
      <c r="M45" s="161" t="str">
        <f>VLOOKUP(878,Sprachindex!$A:$Z,Info!$O$7,FALSE)</f>
        <v>Stk.</v>
      </c>
      <c r="N45" s="77"/>
      <c r="O45" s="204" t="str">
        <f>IF(ISNUMBER(L45),IF(H45=Formeln!$B$19,L45*S45,$L45*R45), "")</f>
        <v/>
      </c>
      <c r="P45" s="267"/>
      <c r="R45" s="182">
        <v>0.47</v>
      </c>
      <c r="S45" s="182">
        <v>0.36</v>
      </c>
      <c r="T45" s="179"/>
      <c r="U45" s="179"/>
      <c r="V45" s="179"/>
      <c r="W45" s="209"/>
      <c r="X45" s="209"/>
      <c r="Y45" s="209"/>
      <c r="Z45" s="209"/>
      <c r="AA45" s="209"/>
      <c r="AB45" s="209"/>
      <c r="AC45" s="129"/>
      <c r="AD45" s="139">
        <f>ROUNDUP($A45/200,0)*200</f>
        <v>0</v>
      </c>
      <c r="AE45" s="139">
        <f t="shared" ref="AE45:AE48" si="7">ROUNDUP($A45,0)</f>
        <v>0</v>
      </c>
      <c r="AH45" s="433">
        <v>340044</v>
      </c>
      <c r="AI45" s="433">
        <v>340041</v>
      </c>
      <c r="AJ45" s="433">
        <v>340048</v>
      </c>
      <c r="AK45" s="433">
        <v>340045</v>
      </c>
      <c r="AL45" s="433">
        <v>340042</v>
      </c>
      <c r="AM45" s="433">
        <v>340047</v>
      </c>
      <c r="AN45" s="433">
        <v>340043</v>
      </c>
      <c r="AO45" s="433">
        <v>340046</v>
      </c>
      <c r="AP45" s="433">
        <v>340049</v>
      </c>
      <c r="AQ45" s="433" t="s">
        <v>2349</v>
      </c>
      <c r="AR45" s="498" t="s">
        <v>2349</v>
      </c>
      <c r="AS45" s="507" t="e" vm="2">
        <f t="shared" si="4"/>
        <v>#VALUE!</v>
      </c>
      <c r="AT45" s="505">
        <v>340040</v>
      </c>
      <c r="AU45" s="505"/>
      <c r="AV45" s="505"/>
    </row>
    <row r="46" spans="1:57" ht="32.1" customHeight="1">
      <c r="A46" s="93"/>
      <c r="B46" s="76" t="str">
        <f>VLOOKUP(878,Sprachindex!$A:$Z,Info!$O$7,FALSE)</f>
        <v>Stk.</v>
      </c>
      <c r="C46" s="75" t="e" vm="20">
        <v>#VALUE!</v>
      </c>
      <c r="D46" s="75" t="str">
        <f>IF(H47=Formeln!A18,AS47,IF(H47=Formeln!A19,AT47,""))</f>
        <v/>
      </c>
      <c r="E46" s="618" t="str">
        <f>VLOOKUP(2188,Sprachindex!$A:$Z,Info!$O$7,FALSE)</f>
        <v>Dichtschraube NIRO 4,5 x 45 mm, für Grat- und Firstreiter</v>
      </c>
      <c r="F46" s="619"/>
      <c r="G46" s="619"/>
      <c r="H46" s="624"/>
      <c r="I46" s="625"/>
      <c r="J46" s="625"/>
      <c r="K46" s="626"/>
      <c r="L46" s="76" t="str">
        <f>IF(A46=0,"",IF(H46=Formeln!$A$17," ",IF($P$11=1,AD46,AE46)))</f>
        <v/>
      </c>
      <c r="M46" s="161" t="str">
        <f>VLOOKUP(878,Sprachindex!$A:$Z,Info!$O$7,FALSE)</f>
        <v>Stk.</v>
      </c>
      <c r="N46" s="77"/>
      <c r="O46" s="204" t="str">
        <f>IF(ISNUMBER(L46),IF(H46=Formeln!$A$19,L46*S46,$L46*R46), "")</f>
        <v/>
      </c>
      <c r="P46" s="267"/>
      <c r="R46" s="182">
        <v>0.7</v>
      </c>
      <c r="S46" s="182">
        <v>0.62</v>
      </c>
      <c r="T46" s="179"/>
      <c r="U46" s="179"/>
      <c r="V46" s="179"/>
      <c r="W46" s="209"/>
      <c r="X46" s="209"/>
      <c r="Y46" s="209"/>
      <c r="Z46" s="209"/>
      <c r="AA46" s="209"/>
      <c r="AB46" s="209"/>
      <c r="AC46" s="129"/>
      <c r="AD46" s="139">
        <f>ROUNDUP($A46/250,0)*250</f>
        <v>0</v>
      </c>
      <c r="AE46" s="139">
        <f t="shared" si="7"/>
        <v>0</v>
      </c>
      <c r="AH46" s="433">
        <v>340104</v>
      </c>
      <c r="AI46" s="433">
        <v>340001</v>
      </c>
      <c r="AJ46" s="433">
        <v>340014</v>
      </c>
      <c r="AK46" s="433">
        <v>340002</v>
      </c>
      <c r="AL46" s="433">
        <v>340004</v>
      </c>
      <c r="AM46" s="433">
        <v>340011</v>
      </c>
      <c r="AN46" s="433">
        <v>340003</v>
      </c>
      <c r="AO46" s="433">
        <v>340016</v>
      </c>
      <c r="AP46" s="433">
        <v>340013</v>
      </c>
      <c r="AQ46" s="433" t="s">
        <v>2349</v>
      </c>
      <c r="AR46" s="433">
        <v>340012</v>
      </c>
      <c r="AS46" s="507" t="e" vm="2">
        <f t="shared" si="4"/>
        <v>#VALUE!</v>
      </c>
      <c r="AT46" s="505">
        <v>340103</v>
      </c>
      <c r="AU46" s="505">
        <v>340017</v>
      </c>
      <c r="AV46" s="505">
        <v>340010</v>
      </c>
    </row>
    <row r="47" spans="1:57" ht="32.1" customHeight="1">
      <c r="A47" s="93"/>
      <c r="B47" s="76" t="str">
        <f>VLOOKUP(878,Sprachindex!$A:$Z,Info!$O$7,FALSE)</f>
        <v>Stk.</v>
      </c>
      <c r="C47" s="75" t="e" vm="21">
        <v>#VALUE!</v>
      </c>
      <c r="D47" s="75" t="str">
        <f>IF(H47=Formeln!A21,AS47,IF(H47=Formeln!A22,AT47,""))</f>
        <v/>
      </c>
      <c r="E47" s="618" t="str">
        <f>VLOOKUP(2189,Sprachindex!$A:$Z,Info!$O$7,FALSE)</f>
        <v>Dichtschraube NIRO 4,5 x 60 mm, für Jet-Lüfter</v>
      </c>
      <c r="F47" s="619"/>
      <c r="G47" s="619"/>
      <c r="H47" s="624"/>
      <c r="I47" s="625"/>
      <c r="J47" s="625"/>
      <c r="K47" s="626"/>
      <c r="L47" s="76" t="str">
        <f>IF(A47=0,"",IF(H47=Formeln!$A$17," ",IF($P$11=1,AD47,AE47)))</f>
        <v/>
      </c>
      <c r="M47" s="161" t="str">
        <f>VLOOKUP(878,Sprachindex!$A:$Z,Info!$O$7,FALSE)</f>
        <v>Stk.</v>
      </c>
      <c r="N47" s="77"/>
      <c r="O47" s="204" t="str">
        <f>IF(ISNUMBER(L47),IF(H47=Formeln!$A$22,L47*S47,$L47*R47), "")</f>
        <v/>
      </c>
      <c r="P47" s="267"/>
      <c r="R47" s="182">
        <v>0.89</v>
      </c>
      <c r="S47" s="182">
        <v>0.7</v>
      </c>
      <c r="T47" s="179"/>
      <c r="U47" s="179"/>
      <c r="V47" s="179"/>
      <c r="W47" s="209"/>
      <c r="X47" s="209"/>
      <c r="Y47" s="209"/>
      <c r="Z47" s="209"/>
      <c r="AA47" s="209"/>
      <c r="AB47" s="209"/>
      <c r="AC47" s="129"/>
      <c r="AD47" s="139">
        <f>ROUNDUP($A47/100,0)*100</f>
        <v>0</v>
      </c>
      <c r="AE47" s="139">
        <f t="shared" si="7"/>
        <v>0</v>
      </c>
      <c r="AH47" s="433">
        <v>340021</v>
      </c>
      <c r="AI47" s="433">
        <v>340020</v>
      </c>
      <c r="AJ47" s="433">
        <v>340030</v>
      </c>
      <c r="AK47" s="433">
        <v>340025</v>
      </c>
      <c r="AL47" s="433">
        <v>340024</v>
      </c>
      <c r="AM47" s="433">
        <v>340027</v>
      </c>
      <c r="AN47" s="433">
        <v>340022</v>
      </c>
      <c r="AO47" s="433">
        <v>340032</v>
      </c>
      <c r="AP47" s="433">
        <v>340036</v>
      </c>
      <c r="AQ47" s="433" t="s">
        <v>2349</v>
      </c>
      <c r="AR47" s="433">
        <v>340035</v>
      </c>
      <c r="AS47" s="507" t="e" vm="2">
        <f t="shared" si="4"/>
        <v>#VALUE!</v>
      </c>
      <c r="AT47" s="505">
        <v>340106</v>
      </c>
      <c r="AU47" s="505">
        <v>340037</v>
      </c>
      <c r="AV47" s="505">
        <v>340034</v>
      </c>
    </row>
    <row r="48" spans="1:57" ht="32.1" customHeight="1">
      <c r="A48" s="93"/>
      <c r="B48" s="76" t="str">
        <f>VLOOKUP(878,Sprachindex!$A:$Z,Info!$O$7,FALSE)</f>
        <v>Stk.</v>
      </c>
      <c r="C48" s="75" t="e" vm="94">
        <v>#VALUE!</v>
      </c>
      <c r="D48" s="75" t="str">
        <f>IF(ISNUMBER(A48),AS48,"")</f>
        <v/>
      </c>
      <c r="E48" s="618" t="str">
        <f>VLOOKUP(409,Sprachindex!$A:$Z,Info!$O$7,FALSE)</f>
        <v>Froschmaullukenhaube</v>
      </c>
      <c r="F48" s="619"/>
      <c r="G48" s="619"/>
      <c r="H48" s="619"/>
      <c r="I48" s="619"/>
      <c r="J48" s="619"/>
      <c r="K48" s="620"/>
      <c r="L48" s="76" t="str">
        <f t="shared" si="1"/>
        <v/>
      </c>
      <c r="M48" s="399" t="str">
        <f t="shared" si="0"/>
        <v>Stk.</v>
      </c>
      <c r="N48" s="77"/>
      <c r="O48" s="184" t="str">
        <f>IF(ISNUMBER(A48),$L48*R48, "")</f>
        <v/>
      </c>
      <c r="R48" s="182">
        <v>25.39</v>
      </c>
      <c r="S48" s="179"/>
      <c r="AC48" s="1"/>
      <c r="AD48" s="139">
        <f>ROUNDUP($A48/20,0)*20</f>
        <v>0</v>
      </c>
      <c r="AE48" s="139">
        <f t="shared" si="7"/>
        <v>0</v>
      </c>
      <c r="AH48" s="433">
        <v>110103</v>
      </c>
      <c r="AI48" s="433">
        <v>110100</v>
      </c>
      <c r="AJ48" s="433">
        <v>110108</v>
      </c>
      <c r="AK48" s="433">
        <v>110105</v>
      </c>
      <c r="AL48" s="433">
        <v>110101</v>
      </c>
      <c r="AM48" s="433">
        <v>110107</v>
      </c>
      <c r="AN48" s="433">
        <v>110102</v>
      </c>
      <c r="AO48" s="433">
        <v>110106</v>
      </c>
      <c r="AP48" s="433">
        <v>121005</v>
      </c>
      <c r="AQ48" s="433">
        <v>110104</v>
      </c>
      <c r="AR48" s="433">
        <v>15611028</v>
      </c>
      <c r="AS48" s="507" t="e" vm="2">
        <f t="shared" si="4"/>
        <v>#VALUE!</v>
      </c>
      <c r="AT48" s="506" t="s">
        <v>28580</v>
      </c>
      <c r="AU48" s="506" t="s">
        <v>39050</v>
      </c>
      <c r="AV48" s="506" t="s">
        <v>39051</v>
      </c>
    </row>
    <row r="49" spans="1:426" ht="32.1" customHeight="1">
      <c r="A49" s="93"/>
      <c r="B49" s="76" t="str">
        <f>VLOOKUP(878,Sprachindex!$A:$Z,Info!$O$7,FALSE)</f>
        <v>Stk.</v>
      </c>
      <c r="C49" s="75"/>
      <c r="D49" s="75" t="str">
        <f>IF($P$9=1,BE49,IF($P$9=2,AS49,""))</f>
        <v/>
      </c>
      <c r="E49" s="618" t="str">
        <f>VLOOKUP(2219,Sprachindex!$A:$Z,Info!$O$7,FALSE)</f>
        <v>Froschmaulluke stucco für R.16</v>
      </c>
      <c r="F49" s="619"/>
      <c r="G49" s="619"/>
      <c r="H49" s="619"/>
      <c r="I49" s="619"/>
      <c r="J49" s="619"/>
      <c r="K49" s="620"/>
      <c r="L49" s="76" t="str">
        <f>IF(A49=0,"",IF($P$11=1,AD49,AE49))</f>
        <v/>
      </c>
      <c r="M49" s="399" t="str">
        <f t="shared" ref="M49:M77" si="8">B49</f>
        <v>Stk.</v>
      </c>
      <c r="N49" s="77"/>
      <c r="O49" s="184" t="str">
        <f>IF(ISNUMBER(A49),$L49*R49, "")</f>
        <v/>
      </c>
      <c r="R49" s="182">
        <v>58.5</v>
      </c>
      <c r="S49" s="179"/>
      <c r="AD49" s="139">
        <f>ROUNDUP($A49/5,0)*5</f>
        <v>0</v>
      </c>
      <c r="AE49" s="139">
        <f>ROUNDUP($A49,0)</f>
        <v>0</v>
      </c>
      <c r="AH49" s="433">
        <v>112104</v>
      </c>
      <c r="AI49" s="433">
        <v>112101</v>
      </c>
      <c r="AJ49" s="433">
        <v>112109</v>
      </c>
      <c r="AK49" s="433">
        <v>112106</v>
      </c>
      <c r="AL49" s="433">
        <v>112102</v>
      </c>
      <c r="AM49" s="433">
        <v>112108</v>
      </c>
      <c r="AN49" s="433">
        <v>112103</v>
      </c>
      <c r="AO49" s="433">
        <v>112107</v>
      </c>
      <c r="AP49" s="433">
        <v>112110</v>
      </c>
      <c r="AQ49" s="433">
        <v>112105</v>
      </c>
      <c r="AR49" s="498">
        <v>12761028</v>
      </c>
      <c r="AS49" s="507" t="e" vm="2">
        <f t="shared" si="4"/>
        <v>#VALUE!</v>
      </c>
      <c r="AT49" s="438">
        <v>112084</v>
      </c>
      <c r="AU49" s="438">
        <v>112081</v>
      </c>
      <c r="AV49" s="432">
        <v>112089</v>
      </c>
      <c r="AW49" s="432">
        <v>112086</v>
      </c>
      <c r="AX49" s="432">
        <v>112082</v>
      </c>
      <c r="AY49" s="432">
        <v>112088</v>
      </c>
      <c r="AZ49" s="432">
        <v>112083</v>
      </c>
      <c r="BA49" s="432">
        <v>112087</v>
      </c>
      <c r="BB49" s="432">
        <v>112090</v>
      </c>
      <c r="BC49" s="432">
        <v>112085</v>
      </c>
      <c r="BD49" s="432">
        <v>12751028</v>
      </c>
      <c r="BE49" s="507" t="e" vm="2">
        <f>VLOOKUP(AT49,AT49:BD49,$P$21,FALSE)</f>
        <v>#VALUE!</v>
      </c>
    </row>
    <row r="50" spans="1:426" ht="32.1" customHeight="1">
      <c r="A50" s="93"/>
      <c r="B50" s="76" t="str">
        <f>VLOOKUP(878,Sprachindex!$A:$Z,Info!$O$7,FALSE)</f>
        <v>Stk.</v>
      </c>
      <c r="C50" s="75" t="e" vm="89">
        <v>#VALUE!</v>
      </c>
      <c r="D50" s="75">
        <v>545106</v>
      </c>
      <c r="E50" s="628" t="str">
        <f>VLOOKUP(1874,Sprachindex!$A:$Z,Info!$O$7,FALSE)</f>
        <v>Einfassung Vario, 120-600 mm, stucco</v>
      </c>
      <c r="F50" s="629"/>
      <c r="G50" s="629"/>
      <c r="H50" s="629"/>
      <c r="I50" s="629"/>
      <c r="J50" s="629"/>
      <c r="K50" s="630"/>
      <c r="L50" s="76" t="str">
        <f t="shared" ref="L50:L51" si="9">IF(A50=0,"",IF($O$11=1,AD50,AE50))</f>
        <v/>
      </c>
      <c r="M50" s="399" t="str">
        <f t="shared" si="8"/>
        <v>Stk.</v>
      </c>
      <c r="N50" s="77"/>
      <c r="O50" s="184" t="str">
        <f>IF(ISNUMBER(A50),$L50*R50, "")</f>
        <v/>
      </c>
      <c r="R50" s="182">
        <v>0</v>
      </c>
      <c r="S50" s="179"/>
      <c r="T50" s="179"/>
      <c r="U50" s="179"/>
      <c r="V50" s="179"/>
      <c r="W50" s="179"/>
      <c r="X50" s="179"/>
      <c r="Y50" s="179"/>
      <c r="Z50" s="179"/>
      <c r="AA50" s="179"/>
      <c r="AC50" s="1"/>
      <c r="AD50" s="139">
        <f>ROUNDUP($A50,0)</f>
        <v>0</v>
      </c>
      <c r="AE50" s="139">
        <f t="shared" ref="AE50:AE68" si="10">ROUNDUP($A50,0)</f>
        <v>0</v>
      </c>
      <c r="AH50" s="47" t="s">
        <v>35</v>
      </c>
      <c r="AI50" s="47" t="s">
        <v>32</v>
      </c>
      <c r="AJ50" s="47" t="s">
        <v>40</v>
      </c>
      <c r="AK50" s="47" t="s">
        <v>37</v>
      </c>
      <c r="AL50" s="47" t="s">
        <v>33</v>
      </c>
      <c r="AM50" s="47" t="s">
        <v>39</v>
      </c>
      <c r="AN50" s="47" t="s">
        <v>34</v>
      </c>
      <c r="AO50" s="47" t="s">
        <v>38</v>
      </c>
      <c r="AP50" s="47" t="s">
        <v>41</v>
      </c>
      <c r="AQ50" s="47" t="s">
        <v>36</v>
      </c>
      <c r="AR50" s="47" t="s">
        <v>38962</v>
      </c>
    </row>
    <row r="51" spans="1:426" ht="32.1" customHeight="1" thickBot="1">
      <c r="A51" s="93"/>
      <c r="B51" s="76" t="str">
        <f>VLOOKUP(878,Sprachindex!$A:$Z,Info!$O$7,FALSE)</f>
        <v>Stk.</v>
      </c>
      <c r="C51" s="75" t="e" vm="89">
        <v>#VALUE!</v>
      </c>
      <c r="D51" s="75">
        <v>545106</v>
      </c>
      <c r="E51" s="628" t="str">
        <f>VLOOKUP(1875,Sprachindex!$A:$Z,Info!$O$7,FALSE)</f>
        <v>Einfassung Vario, 600-1.020 mm, stucco</v>
      </c>
      <c r="F51" s="629"/>
      <c r="G51" s="629"/>
      <c r="H51" s="629"/>
      <c r="I51" s="629"/>
      <c r="J51" s="629"/>
      <c r="K51" s="630"/>
      <c r="L51" s="76" t="str">
        <f t="shared" si="9"/>
        <v/>
      </c>
      <c r="M51" s="399" t="str">
        <f t="shared" si="8"/>
        <v>Stk.</v>
      </c>
      <c r="N51" s="77"/>
      <c r="O51" s="204" t="str">
        <f>IF(ISNUMBER(A51),$L51*R51, "")</f>
        <v/>
      </c>
      <c r="R51" s="182">
        <v>0</v>
      </c>
      <c r="S51" s="179"/>
      <c r="T51" s="179"/>
      <c r="U51" s="179"/>
      <c r="V51" s="179"/>
      <c r="W51" s="179"/>
      <c r="X51" s="179"/>
      <c r="Y51" s="179"/>
      <c r="Z51" s="179"/>
      <c r="AA51" s="179"/>
      <c r="AC51" s="1"/>
      <c r="AD51" s="139">
        <f>ROUNDUP($A51,0)</f>
        <v>0</v>
      </c>
      <c r="AE51" s="139">
        <f t="shared" si="10"/>
        <v>0</v>
      </c>
    </row>
    <row r="52" spans="1:426" ht="32.1" customHeight="1" thickBot="1">
      <c r="A52" s="93"/>
      <c r="B52" s="76" t="str">
        <f>VLOOKUP(878,Sprachindex!$A:$Z,Info!$O$7,FALSE)</f>
        <v>Stk.</v>
      </c>
      <c r="C52" s="75" t="e" vm="26">
        <v>#VALUE!</v>
      </c>
      <c r="D52" s="75" t="str">
        <f>IF($P$9=1,BE52,IF($P$9=2,AS52,""))</f>
        <v/>
      </c>
      <c r="E52" s="628" t="str">
        <f>VLOOKUP(254,Sprachindex!$A:$Z,Info!$O$7,FALSE)</f>
        <v>Dachluke (600 × 600 mm); komplett mit Holzrahmen</v>
      </c>
      <c r="F52" s="629"/>
      <c r="G52" s="629"/>
      <c r="H52" s="629"/>
      <c r="I52" s="629"/>
      <c r="J52" s="629"/>
      <c r="K52" s="630"/>
      <c r="L52" s="76" t="str">
        <f>IF(A52=0,"",IF($P$11=1,AD52,AE52))</f>
        <v/>
      </c>
      <c r="M52" s="161" t="str">
        <f>VLOOKUP(878,Sprachindex!$A:$Z,Info!$O$7,FALSE)</f>
        <v>Stk.</v>
      </c>
      <c r="N52" s="77"/>
      <c r="O52" s="204" t="str">
        <f>IF(ISNUMBER(A52),$L52*R52, "")</f>
        <v/>
      </c>
      <c r="P52" s="267"/>
      <c r="R52" s="182">
        <v>254.93</v>
      </c>
      <c r="S52" s="179"/>
      <c r="T52" s="179"/>
      <c r="U52" s="179"/>
      <c r="V52" s="179"/>
      <c r="W52" s="179"/>
      <c r="X52" s="179"/>
      <c r="Y52" s="179"/>
      <c r="Z52" s="179"/>
      <c r="AA52" s="179"/>
      <c r="AB52" s="179"/>
      <c r="AC52" s="129"/>
      <c r="AD52" s="139">
        <f t="shared" ref="AD52:AD61" si="11">ROUNDUP($A52,0)</f>
        <v>0</v>
      </c>
      <c r="AE52" s="139">
        <f t="shared" si="10"/>
        <v>0</v>
      </c>
      <c r="AH52" s="498">
        <v>110023</v>
      </c>
      <c r="AI52" s="498">
        <v>110020</v>
      </c>
      <c r="AJ52" s="498">
        <v>110028</v>
      </c>
      <c r="AK52" s="498">
        <v>110025</v>
      </c>
      <c r="AL52" s="498">
        <v>110021</v>
      </c>
      <c r="AM52" s="498">
        <v>110027</v>
      </c>
      <c r="AN52" s="498">
        <v>110022</v>
      </c>
      <c r="AO52" s="498">
        <v>110026</v>
      </c>
      <c r="AP52" s="498">
        <v>110029</v>
      </c>
      <c r="AQ52" s="498">
        <v>110024</v>
      </c>
      <c r="AR52" s="498">
        <v>16751028</v>
      </c>
      <c r="AS52" s="512" t="e" vm="2">
        <f>VLOOKUP(AH52,AH52:AR52,$P$21,FALSE)</f>
        <v>#VALUE!</v>
      </c>
      <c r="AT52" s="438">
        <v>110033</v>
      </c>
      <c r="AU52" s="438">
        <v>110030</v>
      </c>
      <c r="AV52" s="438">
        <v>110038</v>
      </c>
      <c r="AW52" s="438">
        <v>110035</v>
      </c>
      <c r="AX52" s="438">
        <v>110031</v>
      </c>
      <c r="AY52" s="438">
        <v>110037</v>
      </c>
      <c r="AZ52" s="438">
        <v>110032</v>
      </c>
      <c r="BA52" s="438">
        <v>110036</v>
      </c>
      <c r="BB52" s="508">
        <v>110039</v>
      </c>
      <c r="BC52" s="438">
        <v>110034</v>
      </c>
      <c r="BD52" s="438">
        <v>16761028</v>
      </c>
      <c r="BE52" s="524" t="e" vm="2">
        <f>VLOOKUP(AT52,AT52:BD52,$P$21,FALSE)</f>
        <v>#VALUE!</v>
      </c>
      <c r="BF52" s="525" t="s">
        <v>39079</v>
      </c>
      <c r="BG52" s="523" t="s">
        <v>39080</v>
      </c>
      <c r="BH52" s="519" t="s">
        <v>35</v>
      </c>
      <c r="BI52" s="519" t="s">
        <v>32</v>
      </c>
      <c r="BJ52" s="519" t="s">
        <v>40</v>
      </c>
      <c r="BK52" s="519" t="s">
        <v>37</v>
      </c>
      <c r="BL52" s="519" t="s">
        <v>33</v>
      </c>
      <c r="BM52" s="519" t="s">
        <v>39</v>
      </c>
      <c r="BN52" s="519" t="s">
        <v>34</v>
      </c>
      <c r="BO52" s="519" t="s">
        <v>38</v>
      </c>
      <c r="BP52" s="519" t="s">
        <v>41</v>
      </c>
      <c r="BQ52" s="519" t="s">
        <v>36</v>
      </c>
      <c r="BR52" s="519" t="s">
        <v>38962</v>
      </c>
      <c r="BS52" s="520" t="s">
        <v>39049</v>
      </c>
      <c r="BT52" s="519" t="s">
        <v>35</v>
      </c>
      <c r="BU52" s="519" t="s">
        <v>32</v>
      </c>
      <c r="BV52" s="519" t="s">
        <v>40</v>
      </c>
      <c r="BW52" s="519" t="s">
        <v>37</v>
      </c>
      <c r="BX52" s="519" t="s">
        <v>33</v>
      </c>
      <c r="BY52" s="519" t="s">
        <v>39</v>
      </c>
      <c r="BZ52" s="519" t="s">
        <v>34</v>
      </c>
      <c r="CA52" s="519" t="s">
        <v>38</v>
      </c>
      <c r="CB52" s="519" t="s">
        <v>41</v>
      </c>
      <c r="CC52" s="519" t="s">
        <v>36</v>
      </c>
      <c r="CD52" s="519" t="s">
        <v>38962</v>
      </c>
      <c r="CE52" s="516" t="s">
        <v>39049</v>
      </c>
      <c r="CF52" s="535" t="s">
        <v>39079</v>
      </c>
      <c r="CG52" s="523" t="s">
        <v>39080</v>
      </c>
      <c r="CH52" s="519" t="s">
        <v>35</v>
      </c>
      <c r="CI52" s="519" t="s">
        <v>32</v>
      </c>
      <c r="CJ52" s="519" t="s">
        <v>40</v>
      </c>
      <c r="CK52" s="519" t="s">
        <v>37</v>
      </c>
      <c r="CL52" s="519" t="s">
        <v>33</v>
      </c>
      <c r="CM52" s="519" t="s">
        <v>39</v>
      </c>
      <c r="CN52" s="519" t="s">
        <v>34</v>
      </c>
      <c r="CO52" s="519" t="s">
        <v>38</v>
      </c>
      <c r="CP52" s="519" t="s">
        <v>41</v>
      </c>
      <c r="CQ52" s="519" t="s">
        <v>36</v>
      </c>
      <c r="CR52" s="519" t="s">
        <v>38962</v>
      </c>
      <c r="CS52" s="520" t="s">
        <v>39049</v>
      </c>
      <c r="CT52" s="519" t="s">
        <v>35</v>
      </c>
      <c r="CU52" s="519" t="s">
        <v>32</v>
      </c>
      <c r="CV52" s="519" t="s">
        <v>40</v>
      </c>
      <c r="CW52" s="519" t="s">
        <v>37</v>
      </c>
      <c r="CX52" s="519" t="s">
        <v>33</v>
      </c>
      <c r="CY52" s="519" t="s">
        <v>39</v>
      </c>
      <c r="CZ52" s="519" t="s">
        <v>34</v>
      </c>
      <c r="DA52" s="519" t="s">
        <v>38</v>
      </c>
      <c r="DB52" s="519" t="s">
        <v>41</v>
      </c>
      <c r="DC52" s="519" t="s">
        <v>36</v>
      </c>
      <c r="DD52" s="519" t="s">
        <v>38962</v>
      </c>
      <c r="DE52" s="520" t="s">
        <v>39049</v>
      </c>
      <c r="DF52" s="521" t="s">
        <v>39079</v>
      </c>
      <c r="DG52" s="523" t="s">
        <v>39080</v>
      </c>
      <c r="DH52" s="519" t="s">
        <v>35</v>
      </c>
      <c r="DI52" s="519" t="s">
        <v>32</v>
      </c>
      <c r="DJ52" s="519" t="s">
        <v>40</v>
      </c>
      <c r="DK52" s="519" t="s">
        <v>37</v>
      </c>
      <c r="DL52" s="519" t="s">
        <v>33</v>
      </c>
      <c r="DM52" s="519" t="s">
        <v>39</v>
      </c>
      <c r="DN52" s="519" t="s">
        <v>34</v>
      </c>
      <c r="DO52" s="519" t="s">
        <v>38</v>
      </c>
      <c r="DP52" s="519" t="s">
        <v>41</v>
      </c>
      <c r="DQ52" s="519" t="s">
        <v>36</v>
      </c>
      <c r="DR52" s="519" t="s">
        <v>38962</v>
      </c>
      <c r="DS52" s="520" t="s">
        <v>39049</v>
      </c>
      <c r="DT52" s="519" t="s">
        <v>35</v>
      </c>
      <c r="DU52" s="519" t="s">
        <v>32</v>
      </c>
      <c r="DV52" s="519" t="s">
        <v>40</v>
      </c>
      <c r="DW52" s="519" t="s">
        <v>37</v>
      </c>
      <c r="DX52" s="519" t="s">
        <v>33</v>
      </c>
      <c r="DY52" s="519" t="s">
        <v>39</v>
      </c>
      <c r="DZ52" s="519" t="s">
        <v>34</v>
      </c>
      <c r="EA52" s="519" t="s">
        <v>38</v>
      </c>
      <c r="EB52" s="519" t="s">
        <v>41</v>
      </c>
      <c r="EC52" s="519" t="s">
        <v>36</v>
      </c>
      <c r="ED52" s="519" t="s">
        <v>38962</v>
      </c>
      <c r="EE52" s="520" t="s">
        <v>39049</v>
      </c>
      <c r="EF52" s="521" t="s">
        <v>39079</v>
      </c>
      <c r="EG52" s="523" t="s">
        <v>39080</v>
      </c>
      <c r="EH52" s="519" t="s">
        <v>35</v>
      </c>
      <c r="EI52" s="519" t="s">
        <v>32</v>
      </c>
      <c r="EJ52" s="519" t="s">
        <v>40</v>
      </c>
      <c r="EK52" s="519" t="s">
        <v>37</v>
      </c>
      <c r="EL52" s="519" t="s">
        <v>33</v>
      </c>
      <c r="EM52" s="519" t="s">
        <v>39</v>
      </c>
      <c r="EN52" s="519" t="s">
        <v>34</v>
      </c>
      <c r="EO52" s="519" t="s">
        <v>38</v>
      </c>
      <c r="EP52" s="519" t="s">
        <v>41</v>
      </c>
      <c r="EQ52" s="519" t="s">
        <v>36</v>
      </c>
      <c r="ER52" s="519" t="s">
        <v>38962</v>
      </c>
      <c r="ES52" s="520" t="s">
        <v>39049</v>
      </c>
      <c r="ET52" s="519" t="s">
        <v>35</v>
      </c>
      <c r="EU52" s="519" t="s">
        <v>32</v>
      </c>
      <c r="EV52" s="519" t="s">
        <v>40</v>
      </c>
      <c r="EW52" s="519" t="s">
        <v>37</v>
      </c>
      <c r="EX52" s="519" t="s">
        <v>33</v>
      </c>
      <c r="EY52" s="519" t="s">
        <v>39</v>
      </c>
      <c r="EZ52" s="519" t="s">
        <v>34</v>
      </c>
      <c r="FA52" s="519" t="s">
        <v>38</v>
      </c>
      <c r="FB52" s="519" t="s">
        <v>41</v>
      </c>
      <c r="FC52" s="519" t="s">
        <v>36</v>
      </c>
      <c r="FD52" s="519" t="s">
        <v>38962</v>
      </c>
      <c r="FE52" s="520" t="s">
        <v>39049</v>
      </c>
      <c r="FF52" s="521" t="s">
        <v>39079</v>
      </c>
      <c r="FG52" s="523" t="s">
        <v>39080</v>
      </c>
      <c r="FH52" s="519" t="s">
        <v>35</v>
      </c>
      <c r="FI52" s="519" t="s">
        <v>32</v>
      </c>
      <c r="FJ52" s="519" t="s">
        <v>40</v>
      </c>
      <c r="FK52" s="519" t="s">
        <v>37</v>
      </c>
      <c r="FL52" s="519" t="s">
        <v>33</v>
      </c>
      <c r="FM52" s="519" t="s">
        <v>39</v>
      </c>
      <c r="FN52" s="519" t="s">
        <v>34</v>
      </c>
      <c r="FO52" s="519" t="s">
        <v>38</v>
      </c>
      <c r="FP52" s="519" t="s">
        <v>41</v>
      </c>
      <c r="FQ52" s="519" t="s">
        <v>36</v>
      </c>
      <c r="FR52" s="519" t="s">
        <v>38962</v>
      </c>
      <c r="FS52" s="520" t="s">
        <v>39049</v>
      </c>
      <c r="FT52" s="519" t="s">
        <v>35</v>
      </c>
      <c r="FU52" s="519" t="s">
        <v>32</v>
      </c>
      <c r="FV52" s="519" t="s">
        <v>40</v>
      </c>
      <c r="FW52" s="519" t="s">
        <v>37</v>
      </c>
      <c r="FX52" s="519" t="s">
        <v>33</v>
      </c>
      <c r="FY52" s="519" t="s">
        <v>39</v>
      </c>
      <c r="FZ52" s="519" t="s">
        <v>34</v>
      </c>
      <c r="GA52" s="519" t="s">
        <v>38</v>
      </c>
      <c r="GB52" s="519" t="s">
        <v>41</v>
      </c>
      <c r="GC52" s="519" t="s">
        <v>36</v>
      </c>
      <c r="GD52" s="519" t="s">
        <v>38962</v>
      </c>
      <c r="GE52" s="520" t="s">
        <v>39049</v>
      </c>
      <c r="GF52" s="521" t="s">
        <v>39079</v>
      </c>
      <c r="GG52" s="523" t="s">
        <v>39080</v>
      </c>
      <c r="GH52" s="519" t="s">
        <v>35</v>
      </c>
      <c r="GI52" s="519" t="s">
        <v>32</v>
      </c>
      <c r="GJ52" s="519" t="s">
        <v>40</v>
      </c>
      <c r="GK52" s="519" t="s">
        <v>37</v>
      </c>
      <c r="GL52" s="519" t="s">
        <v>33</v>
      </c>
      <c r="GM52" s="519" t="s">
        <v>39</v>
      </c>
      <c r="GN52" s="519" t="s">
        <v>34</v>
      </c>
      <c r="GO52" s="519" t="s">
        <v>38</v>
      </c>
      <c r="GP52" s="519" t="s">
        <v>41</v>
      </c>
      <c r="GQ52" s="519" t="s">
        <v>36</v>
      </c>
      <c r="GR52" s="519" t="s">
        <v>38962</v>
      </c>
      <c r="GS52" s="520" t="s">
        <v>39049</v>
      </c>
      <c r="GT52" s="519" t="s">
        <v>35</v>
      </c>
      <c r="GU52" s="519" t="s">
        <v>32</v>
      </c>
      <c r="GV52" s="519" t="s">
        <v>40</v>
      </c>
      <c r="GW52" s="519" t="s">
        <v>37</v>
      </c>
      <c r="GX52" s="519" t="s">
        <v>33</v>
      </c>
      <c r="GY52" s="519" t="s">
        <v>39</v>
      </c>
      <c r="GZ52" s="519" t="s">
        <v>34</v>
      </c>
      <c r="HA52" s="519" t="s">
        <v>38</v>
      </c>
      <c r="HB52" s="519" t="s">
        <v>41</v>
      </c>
      <c r="HC52" s="519" t="s">
        <v>36</v>
      </c>
      <c r="HD52" s="519" t="s">
        <v>38962</v>
      </c>
      <c r="HE52" s="520" t="s">
        <v>39049</v>
      </c>
      <c r="HF52" s="521" t="s">
        <v>39079</v>
      </c>
      <c r="HG52" s="523" t="s">
        <v>39080</v>
      </c>
      <c r="HH52" s="519" t="s">
        <v>35</v>
      </c>
      <c r="HI52" s="519" t="s">
        <v>32</v>
      </c>
      <c r="HJ52" s="519" t="s">
        <v>40</v>
      </c>
      <c r="HK52" s="519" t="s">
        <v>37</v>
      </c>
      <c r="HL52" s="519" t="s">
        <v>33</v>
      </c>
      <c r="HM52" s="519" t="s">
        <v>39</v>
      </c>
      <c r="HN52" s="519" t="s">
        <v>34</v>
      </c>
      <c r="HO52" s="519" t="s">
        <v>38</v>
      </c>
      <c r="HP52" s="519" t="s">
        <v>41</v>
      </c>
      <c r="HQ52" s="519" t="s">
        <v>36</v>
      </c>
      <c r="HR52" s="519" t="s">
        <v>38962</v>
      </c>
      <c r="HS52" s="520" t="s">
        <v>39049</v>
      </c>
      <c r="HT52" s="519" t="s">
        <v>35</v>
      </c>
      <c r="HU52" s="519" t="s">
        <v>32</v>
      </c>
      <c r="HV52" s="519" t="s">
        <v>40</v>
      </c>
      <c r="HW52" s="519" t="s">
        <v>37</v>
      </c>
      <c r="HX52" s="519" t="s">
        <v>33</v>
      </c>
      <c r="HY52" s="519" t="s">
        <v>39</v>
      </c>
      <c r="HZ52" s="519" t="s">
        <v>34</v>
      </c>
      <c r="IA52" s="519" t="s">
        <v>38</v>
      </c>
      <c r="IB52" s="519" t="s">
        <v>41</v>
      </c>
      <c r="IC52" s="519" t="s">
        <v>36</v>
      </c>
      <c r="ID52" s="519" t="s">
        <v>38962</v>
      </c>
      <c r="IE52" s="520" t="s">
        <v>39049</v>
      </c>
      <c r="IF52" s="535" t="s">
        <v>39079</v>
      </c>
      <c r="IG52" s="523" t="s">
        <v>39080</v>
      </c>
      <c r="IH52" s="519" t="s">
        <v>35</v>
      </c>
      <c r="II52" s="519" t="s">
        <v>32</v>
      </c>
      <c r="IJ52" s="519" t="s">
        <v>40</v>
      </c>
      <c r="IK52" s="519" t="s">
        <v>37</v>
      </c>
      <c r="IL52" s="519" t="s">
        <v>33</v>
      </c>
      <c r="IM52" s="519" t="s">
        <v>39</v>
      </c>
      <c r="IN52" s="519" t="s">
        <v>34</v>
      </c>
      <c r="IO52" s="519" t="s">
        <v>38</v>
      </c>
      <c r="IP52" s="519" t="s">
        <v>41</v>
      </c>
      <c r="IQ52" s="519" t="s">
        <v>36</v>
      </c>
      <c r="IR52" s="519" t="s">
        <v>38962</v>
      </c>
      <c r="IS52" s="520" t="s">
        <v>39049</v>
      </c>
      <c r="IT52" s="519" t="s">
        <v>35</v>
      </c>
      <c r="IU52" s="519" t="s">
        <v>32</v>
      </c>
      <c r="IV52" s="519" t="s">
        <v>40</v>
      </c>
      <c r="IW52" s="519" t="s">
        <v>37</v>
      </c>
      <c r="IX52" s="519" t="s">
        <v>33</v>
      </c>
      <c r="IY52" s="519" t="s">
        <v>39</v>
      </c>
      <c r="IZ52" s="519" t="s">
        <v>34</v>
      </c>
      <c r="JA52" s="519" t="s">
        <v>38</v>
      </c>
      <c r="JB52" s="519" t="s">
        <v>41</v>
      </c>
      <c r="JC52" s="519" t="s">
        <v>36</v>
      </c>
      <c r="JD52" s="519" t="s">
        <v>38962</v>
      </c>
      <c r="JE52" s="520" t="s">
        <v>39049</v>
      </c>
      <c r="JF52" s="521" t="s">
        <v>39079</v>
      </c>
      <c r="JG52" s="523" t="s">
        <v>39080</v>
      </c>
      <c r="JH52" s="519" t="s">
        <v>35</v>
      </c>
      <c r="JI52" s="519" t="s">
        <v>32</v>
      </c>
      <c r="JJ52" s="519" t="s">
        <v>40</v>
      </c>
      <c r="JK52" s="519" t="s">
        <v>37</v>
      </c>
      <c r="JL52" s="519" t="s">
        <v>33</v>
      </c>
      <c r="JM52" s="519" t="s">
        <v>39</v>
      </c>
      <c r="JN52" s="519" t="s">
        <v>34</v>
      </c>
      <c r="JO52" s="519" t="s">
        <v>38</v>
      </c>
      <c r="JP52" s="519" t="s">
        <v>41</v>
      </c>
      <c r="JQ52" s="519" t="s">
        <v>36</v>
      </c>
      <c r="JR52" s="519" t="s">
        <v>38962</v>
      </c>
      <c r="JS52" s="520" t="s">
        <v>39049</v>
      </c>
      <c r="JT52" s="519" t="s">
        <v>35</v>
      </c>
      <c r="JU52" s="519" t="s">
        <v>32</v>
      </c>
      <c r="JV52" s="519" t="s">
        <v>40</v>
      </c>
      <c r="JW52" s="519" t="s">
        <v>37</v>
      </c>
      <c r="JX52" s="519" t="s">
        <v>33</v>
      </c>
      <c r="JY52" s="519" t="s">
        <v>39</v>
      </c>
      <c r="JZ52" s="519" t="s">
        <v>34</v>
      </c>
      <c r="KA52" s="519" t="s">
        <v>38</v>
      </c>
      <c r="KB52" s="519" t="s">
        <v>41</v>
      </c>
      <c r="KC52" s="519" t="s">
        <v>36</v>
      </c>
      <c r="KD52" s="519" t="s">
        <v>38962</v>
      </c>
      <c r="KE52" s="520" t="s">
        <v>39049</v>
      </c>
    </row>
    <row r="53" spans="1:426" ht="32.1" customHeight="1" thickBot="1">
      <c r="A53" s="93"/>
      <c r="B53" s="76" t="str">
        <f>VLOOKUP(878,Sprachindex!$A:$Z,Info!$O$7,FALSE)</f>
        <v>Stk.</v>
      </c>
      <c r="C53" s="75" t="e" vm="27">
        <v>#VALUE!</v>
      </c>
      <c r="D53" s="75" t="str">
        <f>IF(ISNUMBER(A53),IF(Info!V4=2,'Velux DE Artikelnummern'!C25,Q53),"")</f>
        <v/>
      </c>
      <c r="E53" s="618" t="str">
        <f>VLOOKUP(324,Sprachindex!$A:$Z,Info!$O$7,FALSE)</f>
        <v>Einfassung für Velux-Dachflächenfenster (stucco)</v>
      </c>
      <c r="F53" s="619"/>
      <c r="G53" s="619"/>
      <c r="H53" s="619"/>
      <c r="I53" s="81" t="str">
        <f>VLOOKUP(591,Sprachindex!$A:$Z,Info!$O$7,FALSE)</f>
        <v>Maße:</v>
      </c>
      <c r="J53" s="624"/>
      <c r="K53" s="626"/>
      <c r="L53" s="76" t="str">
        <f>IF($A53=0,"",IF($J53=Formeln!$A$30," ",IF($P$11=1,AD53,AE53)))</f>
        <v/>
      </c>
      <c r="M53" s="161" t="str">
        <f>VLOOKUP(878,Sprachindex!$A:$Z,Info!$O$7,FALSE)</f>
        <v>Stk.</v>
      </c>
      <c r="N53" s="77"/>
      <c r="O53" s="204" t="str">
        <f>IF(ISNUMBER(L53),
IF(OR(J53=Formeln!$A$31,J53=Formeln!$A$32,J53=Formeln!$A$33),R53,
IF(OR(J53=Formeln!$A$34,J53=Formeln!$A$35,J53=Formeln!$A$36),S53,
IF(OR(J53=Formeln!$A$37,J53=Formeln!$A$38,J53=Formeln!$A436),T53,
IF(OR(J53=Formeln!$A$40,J53=Formeln!$A$41),U53,
IF(OR(J53=Formeln!$A$42,J53=Formeln!$A$43,J53=Formeln!$A$44),V53,
IF(OR(J53=Formeln!$A$45),W53,
IF(OR(J53=Formeln!$A$46,J53=Formeln!$A$47),X53,
IF(OR(J53=Formeln!$A$48),Y53,
IF(OR(J53=Formeln!$A$49,J53=Formeln!$A$50),Z53,
IF(OR(J53=Formeln!$A$51),AA53,0)))))))))), "")</f>
        <v/>
      </c>
      <c r="P53" s="267"/>
      <c r="Q53" s="1" t="str" cm="1">
        <f t="array" ref="Q53">_xlfn.IFS(OR(J53=Formeln!$A$31,J53=Formeln!$A$32,J53=Formeln!$A$33),AG53,
OR(J53=Formeln!$A$34,J53=Formeln!$A$35,J53=Formeln!$A$36),BG53,
OR(J53=Formeln!$A$37,J53=Formeln!$A$38,J53=Formeln!$A$39),CG53,
OR(J53=Formeln!$A$40,J53=Formeln!$A$41),DG53,
OR(J53=Formeln!$A$42,J53=Formeln!$A$43,J53=Formeln!$A$44),EG53,
J53=Formeln!$A$45,FG53,
OR(J53=Formeln!$A$46,J53=Formeln!$A$47),GG53,
J53=Formeln!$A$48,HG53,
OR(J53=Formeln!$A$49,J53=Formeln!$A$50),IG53,
J53=Formeln!$A$51,JG53,
TRUE," ")</f>
        <v xml:space="preserve"> </v>
      </c>
      <c r="R53" s="182">
        <v>272.64</v>
      </c>
      <c r="S53" s="182">
        <v>279.95</v>
      </c>
      <c r="T53" s="182">
        <v>280.47000000000003</v>
      </c>
      <c r="U53" s="182">
        <v>294.37</v>
      </c>
      <c r="V53" s="182">
        <v>337.94</v>
      </c>
      <c r="W53" s="182">
        <v>345.15</v>
      </c>
      <c r="X53" s="182">
        <v>345.15</v>
      </c>
      <c r="Y53" s="182">
        <v>145.15</v>
      </c>
      <c r="Z53" s="182">
        <v>347.52</v>
      </c>
      <c r="AA53" s="182">
        <v>347.52</v>
      </c>
      <c r="AB53" s="179"/>
      <c r="AC53" s="129"/>
      <c r="AD53" s="139">
        <f t="shared" si="11"/>
        <v>0</v>
      </c>
      <c r="AE53" s="141">
        <f t="shared" si="10"/>
        <v>0</v>
      </c>
      <c r="AF53" s="513" t="s">
        <v>51</v>
      </c>
      <c r="AG53" s="517" t="str">
        <f>IF($P$9=1,BE53,IF($P$9=2,AS53,""))</f>
        <v/>
      </c>
      <c r="AH53" s="514">
        <v>111113</v>
      </c>
      <c r="AI53" s="514">
        <v>111110</v>
      </c>
      <c r="AJ53" s="514">
        <v>111118</v>
      </c>
      <c r="AK53" s="514">
        <v>111115</v>
      </c>
      <c r="AL53" s="514">
        <v>111111</v>
      </c>
      <c r="AM53" s="514">
        <v>111117</v>
      </c>
      <c r="AN53" s="514">
        <v>111112</v>
      </c>
      <c r="AO53" s="514">
        <v>111116</v>
      </c>
      <c r="AP53" s="514">
        <v>111119</v>
      </c>
      <c r="AQ53" s="514">
        <v>111114</v>
      </c>
      <c r="AR53" s="514">
        <v>16211028</v>
      </c>
      <c r="AS53" s="515" t="e" vm="2">
        <f>VLOOKUP(AH53,AH53:AR53,$P$21,FALSE)</f>
        <v>#VALUE!</v>
      </c>
      <c r="AT53" s="518">
        <v>111103</v>
      </c>
      <c r="AU53" s="518">
        <v>111100</v>
      </c>
      <c r="AV53" s="518">
        <v>111108</v>
      </c>
      <c r="AW53" s="518">
        <v>111105</v>
      </c>
      <c r="AX53" s="518">
        <v>111101</v>
      </c>
      <c r="AY53" s="518">
        <v>111107</v>
      </c>
      <c r="AZ53" s="518">
        <v>111102</v>
      </c>
      <c r="BA53" s="518">
        <v>111106</v>
      </c>
      <c r="BB53" s="518">
        <v>111109</v>
      </c>
      <c r="BC53" s="518">
        <v>111104</v>
      </c>
      <c r="BD53" s="518">
        <v>16201028</v>
      </c>
      <c r="BE53" s="516" t="e" vm="2">
        <f>VLOOKUP(AT53,AT53:BD53,$P$21,FALSE)</f>
        <v>#VALUE!</v>
      </c>
      <c r="BF53" s="521" t="s">
        <v>52</v>
      </c>
      <c r="BG53" s="522" t="str">
        <f>IF($P$9=1,CE53,IF($P$9=2,BS53,""))</f>
        <v/>
      </c>
      <c r="BH53" s="514">
        <v>111133</v>
      </c>
      <c r="BI53" s="514">
        <v>111130</v>
      </c>
      <c r="BJ53" s="514">
        <v>111138</v>
      </c>
      <c r="BK53" s="514">
        <v>111135</v>
      </c>
      <c r="BL53" s="514">
        <v>111131</v>
      </c>
      <c r="BM53" s="514">
        <v>111137</v>
      </c>
      <c r="BN53" s="514">
        <v>111132</v>
      </c>
      <c r="BO53" s="514">
        <v>111136</v>
      </c>
      <c r="BP53" s="514">
        <v>111139</v>
      </c>
      <c r="BQ53" s="514">
        <v>111134</v>
      </c>
      <c r="BR53" s="514">
        <v>16231028</v>
      </c>
      <c r="BS53" s="515" t="e" vm="2">
        <f>VLOOKUP(BH53,BH53:BR53,$P$21,FALSE)</f>
        <v>#VALUE!</v>
      </c>
      <c r="BT53" s="518">
        <v>111123</v>
      </c>
      <c r="BU53" s="518">
        <v>111120</v>
      </c>
      <c r="BV53" s="518">
        <v>111128</v>
      </c>
      <c r="BW53" s="518">
        <v>111125</v>
      </c>
      <c r="BX53" s="518">
        <v>111121</v>
      </c>
      <c r="BY53" s="518">
        <v>111127</v>
      </c>
      <c r="BZ53" s="518">
        <v>111122</v>
      </c>
      <c r="CA53" s="518">
        <v>111126</v>
      </c>
      <c r="CB53" s="518">
        <v>111129</v>
      </c>
      <c r="CC53" s="518">
        <v>111124</v>
      </c>
      <c r="CD53" s="518">
        <v>16221028</v>
      </c>
      <c r="CE53" s="516" t="e" vm="2">
        <f>VLOOKUP(BT53,BT53:CD53,$P$21,FALSE)</f>
        <v>#VALUE!</v>
      </c>
      <c r="CF53" s="521" t="s">
        <v>53</v>
      </c>
      <c r="CG53" s="522" t="str">
        <f>IF($P$9=1,DE53,IF($P$9=2,CS53,""))</f>
        <v/>
      </c>
      <c r="CH53" s="514">
        <v>111173</v>
      </c>
      <c r="CI53" s="514">
        <v>111170</v>
      </c>
      <c r="CJ53" s="514">
        <v>111178</v>
      </c>
      <c r="CK53" s="514">
        <v>111175</v>
      </c>
      <c r="CL53" s="514">
        <v>111171</v>
      </c>
      <c r="CM53" s="514">
        <v>111177</v>
      </c>
      <c r="CN53" s="514">
        <v>111172</v>
      </c>
      <c r="CO53" s="514">
        <v>111176</v>
      </c>
      <c r="CP53" s="514">
        <v>111179</v>
      </c>
      <c r="CQ53" s="514">
        <v>111174</v>
      </c>
      <c r="CR53" s="514">
        <v>16251028</v>
      </c>
      <c r="CS53" s="515" t="e" vm="2">
        <f>VLOOKUP(CH53,CH53:CR53,$P$21,FALSE)</f>
        <v>#VALUE!</v>
      </c>
      <c r="CT53" s="526">
        <v>111163</v>
      </c>
      <c r="CU53" s="518">
        <v>111160</v>
      </c>
      <c r="CV53" s="518">
        <v>111168</v>
      </c>
      <c r="CW53" s="518">
        <v>111165</v>
      </c>
      <c r="CX53" s="518">
        <v>111161</v>
      </c>
      <c r="CY53" s="518">
        <v>111167</v>
      </c>
      <c r="CZ53" s="518">
        <v>111162</v>
      </c>
      <c r="DA53" s="518">
        <v>111166</v>
      </c>
      <c r="DB53" s="518">
        <v>111169</v>
      </c>
      <c r="DC53" s="518">
        <v>111164</v>
      </c>
      <c r="DD53" s="518">
        <v>16241028</v>
      </c>
      <c r="DE53" s="516" t="e" vm="2">
        <f>VLOOKUP(CT53,CT53:DD53,$P$21,FALSE)</f>
        <v>#VALUE!</v>
      </c>
      <c r="DF53" s="521" t="s">
        <v>54</v>
      </c>
      <c r="DG53" s="522" t="str">
        <f>IF($P$9=1,EE53,IF($P$9=2,DS53,""))</f>
        <v/>
      </c>
      <c r="DH53" s="514">
        <v>111293</v>
      </c>
      <c r="DI53" s="514">
        <v>111290</v>
      </c>
      <c r="DJ53" s="514">
        <v>111298</v>
      </c>
      <c r="DK53" s="514">
        <v>111295</v>
      </c>
      <c r="DL53" s="514">
        <v>111291</v>
      </c>
      <c r="DM53" s="514">
        <v>111297</v>
      </c>
      <c r="DN53" s="514">
        <v>111292</v>
      </c>
      <c r="DO53" s="514">
        <v>111296</v>
      </c>
      <c r="DP53" s="514">
        <v>111299</v>
      </c>
      <c r="DQ53" s="514">
        <v>111294</v>
      </c>
      <c r="DR53" s="514">
        <v>16271028</v>
      </c>
      <c r="DS53" s="515" t="e" vm="2">
        <f>VLOOKUP(DH53,DH53:DR53,$P$21,FALSE)</f>
        <v>#VALUE!</v>
      </c>
      <c r="DT53" s="526">
        <v>111283</v>
      </c>
      <c r="DU53" s="518">
        <v>111280</v>
      </c>
      <c r="DV53" s="518">
        <v>111288</v>
      </c>
      <c r="DW53" s="518">
        <v>111285</v>
      </c>
      <c r="DX53" s="518">
        <v>111281</v>
      </c>
      <c r="DY53" s="518">
        <v>111287</v>
      </c>
      <c r="DZ53" s="518">
        <v>111282</v>
      </c>
      <c r="EA53" s="518">
        <v>111286</v>
      </c>
      <c r="EB53" s="518">
        <v>111289</v>
      </c>
      <c r="EC53" s="518">
        <v>111284</v>
      </c>
      <c r="ED53" s="518">
        <v>16261028</v>
      </c>
      <c r="EE53" s="516" t="e" vm="2">
        <f>VLOOKUP(DT53,DT53:ED53,$P$21,FALSE)</f>
        <v>#VALUE!</v>
      </c>
      <c r="EF53" s="521" t="s">
        <v>55</v>
      </c>
      <c r="EG53" s="522" t="str">
        <f>IF($P$9=1,FE53,IF($P$9=2,ES53,""))</f>
        <v/>
      </c>
      <c r="EH53" s="514">
        <v>111193</v>
      </c>
      <c r="EI53" s="514">
        <v>111190</v>
      </c>
      <c r="EJ53" s="514">
        <v>111198</v>
      </c>
      <c r="EK53" s="514">
        <v>111195</v>
      </c>
      <c r="EL53" s="514">
        <v>111191</v>
      </c>
      <c r="EM53" s="514">
        <v>111197</v>
      </c>
      <c r="EN53" s="514">
        <v>111192</v>
      </c>
      <c r="EO53" s="514">
        <v>111196</v>
      </c>
      <c r="EP53" s="514">
        <v>111199</v>
      </c>
      <c r="EQ53" s="514">
        <v>111194</v>
      </c>
      <c r="ER53" s="514">
        <v>16291028</v>
      </c>
      <c r="ES53" s="515" t="e" vm="2">
        <f>VLOOKUP(EH53,EH53:ER53,$P$21,FALSE)</f>
        <v>#VALUE!</v>
      </c>
      <c r="ET53" s="526">
        <v>111183</v>
      </c>
      <c r="EU53" s="518">
        <v>111180</v>
      </c>
      <c r="EV53" s="518">
        <v>111188</v>
      </c>
      <c r="EW53" s="518">
        <v>111185</v>
      </c>
      <c r="EX53" s="518">
        <v>111181</v>
      </c>
      <c r="EY53" s="518">
        <v>111187</v>
      </c>
      <c r="EZ53" s="518">
        <v>111182</v>
      </c>
      <c r="FA53" s="518">
        <v>111186</v>
      </c>
      <c r="FB53" s="518">
        <v>111189</v>
      </c>
      <c r="FC53" s="518">
        <v>111184</v>
      </c>
      <c r="FD53" s="518">
        <v>16281028</v>
      </c>
      <c r="FE53" s="516" t="e" vm="2">
        <f>VLOOKUP(ET53,ET53:FD53,$P$21,FALSE)</f>
        <v>#VALUE!</v>
      </c>
      <c r="FF53" s="521" t="s">
        <v>56</v>
      </c>
      <c r="FG53" s="522" t="str">
        <f>IF($P$9=1,GE53,IF($P$9=2,FS53,""))</f>
        <v/>
      </c>
      <c r="FH53" s="514">
        <v>111213</v>
      </c>
      <c r="FI53" s="514">
        <v>111210</v>
      </c>
      <c r="FJ53" s="514">
        <v>111218</v>
      </c>
      <c r="FK53" s="514">
        <v>111215</v>
      </c>
      <c r="FL53" s="514">
        <v>111211</v>
      </c>
      <c r="FM53" s="514">
        <v>111217</v>
      </c>
      <c r="FN53" s="514">
        <v>111212</v>
      </c>
      <c r="FO53" s="514">
        <v>111216</v>
      </c>
      <c r="FP53" s="514">
        <v>111219</v>
      </c>
      <c r="FQ53" s="514">
        <v>111214</v>
      </c>
      <c r="FR53" s="514">
        <v>16311028</v>
      </c>
      <c r="FS53" s="515" t="e" vm="2">
        <f>VLOOKUP(FH53,FH53:FR53,$P$21,FALSE)</f>
        <v>#VALUE!</v>
      </c>
      <c r="FT53" s="526">
        <v>111203</v>
      </c>
      <c r="FU53" s="518">
        <v>111200</v>
      </c>
      <c r="FV53" s="518">
        <v>111208</v>
      </c>
      <c r="FW53" s="518">
        <v>111205</v>
      </c>
      <c r="FX53" s="518">
        <v>111201</v>
      </c>
      <c r="FY53" s="518">
        <v>111207</v>
      </c>
      <c r="FZ53" s="518">
        <v>111202</v>
      </c>
      <c r="GA53" s="518">
        <v>111206</v>
      </c>
      <c r="GB53" s="518">
        <v>111209</v>
      </c>
      <c r="GC53" s="518">
        <v>111204</v>
      </c>
      <c r="GD53" s="518">
        <v>16301028</v>
      </c>
      <c r="GE53" s="516" t="e" vm="2">
        <f>VLOOKUP(FT53,FT53:GD53,$P$21,FALSE)</f>
        <v>#VALUE!</v>
      </c>
      <c r="GF53" s="521" t="s">
        <v>57</v>
      </c>
      <c r="GG53" s="522" t="str">
        <f>IF($P$9=1,HE53,IF($P$9=2,GS53,""))</f>
        <v/>
      </c>
      <c r="GH53" s="514">
        <v>111233</v>
      </c>
      <c r="GI53" s="514">
        <v>111230</v>
      </c>
      <c r="GJ53" s="514">
        <v>111238</v>
      </c>
      <c r="GK53" s="514">
        <v>111235</v>
      </c>
      <c r="GL53" s="514">
        <v>111231</v>
      </c>
      <c r="GM53" s="514">
        <v>111237</v>
      </c>
      <c r="GN53" s="514">
        <v>111232</v>
      </c>
      <c r="GO53" s="514">
        <v>111236</v>
      </c>
      <c r="GP53" s="514">
        <v>111239</v>
      </c>
      <c r="GQ53" s="514">
        <v>111234</v>
      </c>
      <c r="GR53" s="514">
        <v>16331028</v>
      </c>
      <c r="GS53" s="515" t="e" vm="2">
        <f>VLOOKUP(GH53,GH53:GR53,$P$21,FALSE)</f>
        <v>#VALUE!</v>
      </c>
      <c r="GT53" s="526">
        <v>111223</v>
      </c>
      <c r="GU53" s="518">
        <v>111220</v>
      </c>
      <c r="GV53" s="518">
        <v>111228</v>
      </c>
      <c r="GW53" s="518">
        <v>111225</v>
      </c>
      <c r="GX53" s="518">
        <v>111221</v>
      </c>
      <c r="GY53" s="518">
        <v>111227</v>
      </c>
      <c r="GZ53" s="518">
        <v>111222</v>
      </c>
      <c r="HA53" s="518">
        <v>111226</v>
      </c>
      <c r="HB53" s="518">
        <v>111229</v>
      </c>
      <c r="HC53" s="518">
        <v>111224</v>
      </c>
      <c r="HD53" s="518">
        <v>16321028</v>
      </c>
      <c r="HE53" s="516" t="e" vm="2">
        <f>VLOOKUP(GT53,GT53:HD53,$P$21,FALSE)</f>
        <v>#VALUE!</v>
      </c>
      <c r="HF53" s="521" t="s">
        <v>58</v>
      </c>
      <c r="HG53" s="522" t="str">
        <f>IF($P$9=1,IE53,IF($P$9=2,HS53,""))</f>
        <v/>
      </c>
      <c r="HH53" s="514">
        <v>111613</v>
      </c>
      <c r="HI53" s="514">
        <v>111610</v>
      </c>
      <c r="HJ53" s="514">
        <v>111618</v>
      </c>
      <c r="HK53" s="514">
        <v>111615</v>
      </c>
      <c r="HL53" s="514">
        <v>111611</v>
      </c>
      <c r="HM53" s="514">
        <v>111617</v>
      </c>
      <c r="HN53" s="514">
        <v>111612</v>
      </c>
      <c r="HO53" s="514">
        <v>111616</v>
      </c>
      <c r="HP53" s="514">
        <v>111619</v>
      </c>
      <c r="HQ53" s="514">
        <v>111614</v>
      </c>
      <c r="HR53" s="514">
        <v>16351028</v>
      </c>
      <c r="HS53" s="515" t="e" vm="2">
        <f>VLOOKUP(HH53,HH53:HR53,$P$21,FALSE)</f>
        <v>#VALUE!</v>
      </c>
      <c r="HT53" s="526">
        <v>111603</v>
      </c>
      <c r="HU53" s="518">
        <v>111600</v>
      </c>
      <c r="HV53" s="518">
        <v>111608</v>
      </c>
      <c r="HW53" s="518">
        <v>111605</v>
      </c>
      <c r="HX53" s="518">
        <v>111601</v>
      </c>
      <c r="HY53" s="518">
        <v>111607</v>
      </c>
      <c r="HZ53" s="518">
        <v>111602</v>
      </c>
      <c r="IA53" s="518">
        <v>111606</v>
      </c>
      <c r="IB53" s="518">
        <v>111609</v>
      </c>
      <c r="IC53" s="518">
        <v>111604</v>
      </c>
      <c r="ID53" s="518">
        <v>16341028</v>
      </c>
      <c r="IE53" s="516" t="e" vm="2">
        <f>VLOOKUP(HT53,HT53:ID53,$P$21,FALSE)</f>
        <v>#VALUE!</v>
      </c>
      <c r="IF53" s="528" t="s">
        <v>59</v>
      </c>
      <c r="IG53" s="529" t="str">
        <f>IF($P$9=1,JE53,IF($P$9=2,IS53,""))</f>
        <v/>
      </c>
      <c r="IH53" s="530">
        <v>111253</v>
      </c>
      <c r="II53" s="530">
        <v>111250</v>
      </c>
      <c r="IJ53" s="530">
        <v>111258</v>
      </c>
      <c r="IK53" s="530">
        <v>111255</v>
      </c>
      <c r="IL53" s="530">
        <v>111251</v>
      </c>
      <c r="IM53" s="530">
        <v>111257</v>
      </c>
      <c r="IN53" s="530">
        <v>111252</v>
      </c>
      <c r="IO53" s="530">
        <v>111256</v>
      </c>
      <c r="IP53" s="530">
        <v>111259</v>
      </c>
      <c r="IQ53" s="530">
        <v>111254</v>
      </c>
      <c r="IR53" s="530">
        <v>16371028</v>
      </c>
      <c r="IS53" s="531" t="e" vm="2">
        <f>VLOOKUP(IH53,IH53:IR53,$P$21,FALSE)</f>
        <v>#VALUE!</v>
      </c>
      <c r="IT53" s="532">
        <v>111243</v>
      </c>
      <c r="IU53" s="533">
        <v>111240</v>
      </c>
      <c r="IV53" s="533">
        <v>111248</v>
      </c>
      <c r="IW53" s="533">
        <v>111245</v>
      </c>
      <c r="IX53" s="533">
        <v>111241</v>
      </c>
      <c r="IY53" s="533">
        <v>111247</v>
      </c>
      <c r="IZ53" s="533">
        <v>111242</v>
      </c>
      <c r="JA53" s="533">
        <v>111246</v>
      </c>
      <c r="JB53" s="533">
        <v>111249</v>
      </c>
      <c r="JC53" s="533">
        <v>111244</v>
      </c>
      <c r="JD53" s="533">
        <v>16361028</v>
      </c>
      <c r="JE53" s="534" t="e" vm="2">
        <f>VLOOKUP(IT53,IT53:JD53,$P$21,FALSE)</f>
        <v>#VALUE!</v>
      </c>
      <c r="JF53" s="528" t="s">
        <v>60</v>
      </c>
      <c r="JG53" s="529" t="str">
        <f>IF($P$9=1,KE53,IF($P$9=2,JS53,""))</f>
        <v/>
      </c>
      <c r="JH53" s="530">
        <v>111633</v>
      </c>
      <c r="JI53" s="530">
        <v>111630</v>
      </c>
      <c r="JJ53" s="530">
        <v>111638</v>
      </c>
      <c r="JK53" s="530">
        <v>111635</v>
      </c>
      <c r="JL53" s="530">
        <v>111631</v>
      </c>
      <c r="JM53" s="530">
        <v>111637</v>
      </c>
      <c r="JN53" s="530">
        <v>111632</v>
      </c>
      <c r="JO53" s="530">
        <v>111636</v>
      </c>
      <c r="JP53" s="530">
        <v>111639</v>
      </c>
      <c r="JQ53" s="530">
        <v>111634</v>
      </c>
      <c r="JR53" s="530">
        <v>16391028</v>
      </c>
      <c r="JS53" s="531" t="e" vm="2">
        <f>VLOOKUP(JH53,JH53:JR53,$P$21,FALSE)</f>
        <v>#VALUE!</v>
      </c>
      <c r="JT53" s="532">
        <v>111623</v>
      </c>
      <c r="JU53" s="533">
        <v>111620</v>
      </c>
      <c r="JV53" s="533">
        <v>111628</v>
      </c>
      <c r="JW53" s="533">
        <v>111625</v>
      </c>
      <c r="JX53" s="533">
        <v>111621</v>
      </c>
      <c r="JY53" s="533">
        <v>111627</v>
      </c>
      <c r="JZ53" s="533">
        <v>111622</v>
      </c>
      <c r="KA53" s="533">
        <v>111626</v>
      </c>
      <c r="KB53" s="533">
        <v>111629</v>
      </c>
      <c r="KC53" s="533">
        <v>111624</v>
      </c>
      <c r="KD53" s="533">
        <v>16381028</v>
      </c>
      <c r="KE53" s="534" t="e" vm="2">
        <f>VLOOKUP(JT53,JT53:KD53,$P$21,FALSE)</f>
        <v>#VALUE!</v>
      </c>
      <c r="KF53" s="119"/>
      <c r="KG53" s="119"/>
      <c r="KH53" s="119"/>
      <c r="KI53" s="119"/>
      <c r="KJ53" s="119"/>
      <c r="KK53" s="119"/>
      <c r="KL53" s="119"/>
      <c r="KM53" s="119"/>
      <c r="KN53" s="119"/>
      <c r="KP53" s="119"/>
      <c r="KQ53" s="119"/>
      <c r="KR53" s="119"/>
      <c r="KS53" s="119"/>
      <c r="KT53" s="119"/>
      <c r="KU53" s="119"/>
      <c r="KV53" s="119"/>
      <c r="KW53" s="119"/>
      <c r="KX53" s="119"/>
      <c r="KZ53" s="119"/>
      <c r="LA53" s="119"/>
      <c r="LB53" s="119"/>
      <c r="LC53" s="119"/>
      <c r="LD53" s="119"/>
      <c r="LE53" s="119"/>
      <c r="LF53" s="119"/>
      <c r="LG53" s="119"/>
      <c r="LH53" s="119"/>
      <c r="LI53" s="119"/>
      <c r="LK53" s="119"/>
      <c r="LL53" s="119"/>
      <c r="LM53" s="119"/>
      <c r="LN53" s="119"/>
      <c r="LO53" s="119"/>
      <c r="LP53" s="119"/>
      <c r="LQ53" s="119"/>
      <c r="LR53" s="119"/>
      <c r="LS53" s="119"/>
      <c r="LU53" s="119"/>
      <c r="LV53" s="119"/>
      <c r="LW53" s="119"/>
      <c r="LX53" s="119"/>
      <c r="LY53" s="119"/>
      <c r="LZ53" s="119"/>
      <c r="MA53" s="119"/>
      <c r="MB53" s="119"/>
      <c r="MC53" s="119"/>
      <c r="MD53" s="119"/>
      <c r="MF53" s="119"/>
      <c r="MG53" s="119"/>
      <c r="MH53" s="119"/>
      <c r="MI53" s="119"/>
      <c r="MJ53" s="119"/>
      <c r="MK53" s="119"/>
      <c r="ML53" s="119"/>
      <c r="MM53" s="119"/>
      <c r="MN53" s="119"/>
      <c r="MP53" s="119"/>
      <c r="MQ53" s="119"/>
      <c r="MR53" s="119"/>
      <c r="MS53" s="119"/>
      <c r="MT53" s="119"/>
      <c r="MU53" s="119"/>
      <c r="MV53" s="119"/>
      <c r="MW53" s="119"/>
      <c r="MX53" s="119"/>
      <c r="MY53" s="119"/>
      <c r="NA53" s="119"/>
      <c r="NB53" s="119"/>
      <c r="NC53" s="119"/>
      <c r="ND53" s="119"/>
      <c r="NE53" s="119"/>
      <c r="NF53" s="119"/>
      <c r="NG53" s="119"/>
      <c r="NH53" s="119"/>
      <c r="NI53" s="119"/>
      <c r="NK53" s="119"/>
      <c r="NL53" s="119"/>
      <c r="NM53" s="119"/>
      <c r="NN53" s="119"/>
      <c r="NO53" s="119"/>
      <c r="NP53" s="119"/>
      <c r="NQ53" s="119"/>
      <c r="NR53" s="119"/>
      <c r="NS53" s="119"/>
      <c r="NT53" s="119"/>
      <c r="NV53" s="119"/>
      <c r="NW53" s="119"/>
      <c r="NX53" s="119"/>
      <c r="NY53" s="119"/>
      <c r="NZ53" s="119"/>
      <c r="OA53" s="119"/>
      <c r="OB53" s="119"/>
      <c r="OC53" s="119"/>
      <c r="OD53" s="119"/>
      <c r="OF53" s="119"/>
      <c r="OG53" s="119"/>
      <c r="OH53" s="119"/>
      <c r="OI53" s="119"/>
      <c r="OJ53" s="119"/>
      <c r="OK53" s="119"/>
      <c r="OL53" s="119"/>
      <c r="OM53" s="119"/>
      <c r="ON53" s="119"/>
      <c r="OO53" s="119"/>
      <c r="OQ53" s="119"/>
      <c r="OR53" s="119"/>
      <c r="OS53" s="119"/>
      <c r="OT53" s="119"/>
      <c r="OU53" s="119"/>
      <c r="OV53" s="119"/>
      <c r="OW53" s="119"/>
      <c r="OX53" s="119"/>
      <c r="OY53" s="119"/>
      <c r="PA53" s="119"/>
      <c r="PB53" s="119"/>
      <c r="PC53" s="119"/>
      <c r="PD53" s="119"/>
      <c r="PE53" s="119"/>
      <c r="PF53" s="119"/>
      <c r="PG53" s="119"/>
      <c r="PH53" s="119"/>
      <c r="PI53" s="119"/>
      <c r="PJ53" s="119"/>
    </row>
    <row r="54" spans="1:426" ht="32.1" customHeight="1" thickBot="1">
      <c r="A54" s="93"/>
      <c r="B54" s="76" t="str">
        <f>VLOOKUP(878,Sprachindex!$A:$Z,Info!$O$7,FALSE)</f>
        <v>Stk.</v>
      </c>
      <c r="C54" s="75" t="e" vm="28">
        <v>#VALUE!</v>
      </c>
      <c r="D54" s="75" t="str">
        <f>IF(OR(J54=Formeln!$A$54,J54=Formeln!$A$55,J54=Formeln!$A$56),BE54,
IF(OR(J54=Formeln!$A$57,J54=Formeln!$A$58,J54=Formeln!$A$59),BZ54,
IF(OR(J54=Formeln!$A$60,J54=Formeln!$A$61,J54=Formeln!$A$62),CU54,
IF(OR(J54=Formeln!$A$63,J54=Formeln!$A$64),DP54,
IF(OR(J54=Formeln!$A$65,J54=Formeln!$A$66,J54=Formeln!$A$67),EK54,
IF(OR(J54=Formeln!$A$68,J54=Formeln!$A$69),FF54,
IF(OR(J54=Formeln!$A$70,J54=Formeln!$A$71,J54=Formeln!$A$72,J54=Formeln!$A$73,J54=Formeln!$A$74),GA54,
IF(OR(J54=Formeln!$A$75,J54=Formeln!$A$76,J54=Formeln!$A$77),GV54,""))))))))</f>
        <v/>
      </c>
      <c r="E54" s="654" t="str">
        <f>VLOOKUP(321,Sprachindex!$A:$Z,Info!$O$7,FALSE)</f>
        <v>Einfassung für Roto-Dachflächenfenster (stucco)</v>
      </c>
      <c r="F54" s="655"/>
      <c r="G54" s="655"/>
      <c r="H54" s="594" t="s">
        <v>39284</v>
      </c>
      <c r="I54" s="81" t="str">
        <f>VLOOKUP(591,Sprachindex!$A:$Z,Info!$O$7,FALSE)</f>
        <v>Maße:</v>
      </c>
      <c r="J54" s="624"/>
      <c r="K54" s="626"/>
      <c r="L54" s="76" t="str">
        <f>IF($A54=0,"",IF($J54=Formeln!$A$52," ",IF($P$11=1,AD54,AE54)))</f>
        <v/>
      </c>
      <c r="M54" s="161" t="str">
        <f>VLOOKUP(878,Sprachindex!$A:$Z,Info!$O$7,FALSE)</f>
        <v>Stk.</v>
      </c>
      <c r="N54" s="77"/>
      <c r="O54" s="204" t="str" cm="1">
        <f t="array" ref="O54">IF(ISNUMBER(L54),_xlfn.IFS(
OR(J54=Formeln!$A$54,J54=Formeln!$A$55,J54=Formeln!$A$56),R54,
OR(J54=Formeln!$A$57,J54=Formeln!$A$58,J54=Formeln!$A$59),S54,
OR(J54=Formeln!$A$60,J54=Formeln!$A$61,J54=Formeln!$A$62),T54,
OR(J54=Formeln!$A$63,J54=Formeln!$A$64),U54,
OR(J54=Formeln!$A$65,J54=Formeln!$A$66,J54=Formeln!$A$67),V54,
OR(J54=Formeln!$A$68,J54=Formeln!$A$69),W54,
OR(J54=Formeln!$A$70,J54=Formeln!$A$71,J54=Formeln!$A$72,J54=Formeln!$A$73,J54=Formeln!$A$74),X54,
OR(J54=Formeln!$A$75,J54=Formeln!$A$76,J54=Formeln!$A$77),Y54,TRUE,""),"")</f>
        <v/>
      </c>
      <c r="P54" s="267"/>
      <c r="Q54" s="560" t="str" cm="1">
        <f t="array" ref="Q54">_xlfn.IFS(OR(J54=Formeln!$A$54,J54=Formeln!$A$55,J54=Formeln!$A$56),AG54,
OR(J54=Formeln!$A$57,J54=Formeln!$A$58,J54=Formeln!$A$59),BG54,
OR(J54=Formeln!$A$60,J54=Formeln!$A$61,J54=Formeln!$A$62),CG54,
OR(J54=Formeln!$A$63,J54=Formeln!$A$64),DG54,
OR(J54=Formeln!$A$65,J54=Formeln!$A$66,J54=Formeln!$A$67),EG54,
OR(J54=Formeln!$A$68,J54=Formeln!$A$69),FG54,
OR(J54=Formeln!$A$70,J54=Formeln!$A$71,J54=Formeln!$A$72,J54=Formeln!$A$73,J54=Formeln!$A$74),GG54,
OR(J54=Formeln!$A$75,J54=Formeln!$A$76,J54=Formeln!$A$77),HG54,TRUE," ")</f>
        <v xml:space="preserve"> </v>
      </c>
      <c r="R54" s="182">
        <v>272.64</v>
      </c>
      <c r="S54" s="182">
        <v>279.95</v>
      </c>
      <c r="T54" s="182">
        <v>279.95</v>
      </c>
      <c r="U54" s="182">
        <v>294.37</v>
      </c>
      <c r="V54" s="182">
        <v>337.94</v>
      </c>
      <c r="W54" s="182">
        <v>345.15</v>
      </c>
      <c r="X54" s="182">
        <v>345.15</v>
      </c>
      <c r="Y54" s="182">
        <v>347.52</v>
      </c>
      <c r="Z54" s="179"/>
      <c r="AA54" s="179"/>
      <c r="AB54" s="179"/>
      <c r="AC54" s="129"/>
      <c r="AD54" s="139">
        <f t="shared" si="11"/>
        <v>0</v>
      </c>
      <c r="AE54" s="139">
        <f t="shared" si="10"/>
        <v>0</v>
      </c>
      <c r="AF54" s="549" t="s">
        <v>61</v>
      </c>
      <c r="AG54" s="550" t="str">
        <f>IF($P$9=1,BE54,IF($P$9=2,AS54,""))</f>
        <v/>
      </c>
      <c r="AH54" s="530">
        <v>111313</v>
      </c>
      <c r="AI54" s="530">
        <v>111310</v>
      </c>
      <c r="AJ54" s="530">
        <v>111318</v>
      </c>
      <c r="AK54" s="530">
        <v>111315</v>
      </c>
      <c r="AL54" s="530">
        <v>111311</v>
      </c>
      <c r="AM54" s="530">
        <v>111317</v>
      </c>
      <c r="AN54" s="530">
        <v>111312</v>
      </c>
      <c r="AO54" s="530">
        <v>111316</v>
      </c>
      <c r="AP54" s="530">
        <v>111319</v>
      </c>
      <c r="AQ54" s="530">
        <v>111314</v>
      </c>
      <c r="AR54" s="530">
        <v>16011028</v>
      </c>
      <c r="AS54" s="531" t="e" vm="2">
        <f>VLOOKUP(AH54,AH54:AR54,$P$21,FALSE)</f>
        <v>#VALUE!</v>
      </c>
      <c r="AT54" s="533">
        <v>111303</v>
      </c>
      <c r="AU54" s="533">
        <v>111300</v>
      </c>
      <c r="AV54" s="533">
        <v>111308</v>
      </c>
      <c r="AW54" s="533">
        <v>111305</v>
      </c>
      <c r="AX54" s="533">
        <v>111301</v>
      </c>
      <c r="AY54" s="533">
        <v>111307</v>
      </c>
      <c r="AZ54" s="533">
        <v>111302</v>
      </c>
      <c r="BA54" s="533">
        <v>111306</v>
      </c>
      <c r="BB54" s="533">
        <v>111309</v>
      </c>
      <c r="BC54" s="533">
        <v>111304</v>
      </c>
      <c r="BD54" s="533">
        <v>16021028</v>
      </c>
      <c r="BE54" s="534" t="e" vm="2">
        <f>VLOOKUP(AT54,AT54:BD54,$P$21,FALSE)</f>
        <v>#VALUE!</v>
      </c>
      <c r="BF54" s="549" t="s">
        <v>62</v>
      </c>
      <c r="BG54" s="550" t="str">
        <f>IF($P$9=1,CE54,IF($P$9=2,BS54,""))</f>
        <v/>
      </c>
      <c r="BH54" s="530">
        <v>111333</v>
      </c>
      <c r="BI54" s="530">
        <v>111330</v>
      </c>
      <c r="BJ54" s="530">
        <v>111338</v>
      </c>
      <c r="BK54" s="530">
        <v>111335</v>
      </c>
      <c r="BL54" s="530">
        <v>111331</v>
      </c>
      <c r="BM54" s="530">
        <v>111337</v>
      </c>
      <c r="BN54" s="530">
        <v>111332</v>
      </c>
      <c r="BO54" s="530">
        <v>111336</v>
      </c>
      <c r="BP54" s="530">
        <v>111339</v>
      </c>
      <c r="BQ54" s="530">
        <v>111334</v>
      </c>
      <c r="BR54" s="530">
        <v>16041028</v>
      </c>
      <c r="BS54" s="531" t="e" vm="2">
        <f>VLOOKUP(BH54,BH54:BR54,$P$21,FALSE)</f>
        <v>#VALUE!</v>
      </c>
      <c r="BT54" s="533">
        <v>111323</v>
      </c>
      <c r="BU54" s="533">
        <v>111320</v>
      </c>
      <c r="BV54" s="533">
        <v>111328</v>
      </c>
      <c r="BW54" s="533">
        <v>111325</v>
      </c>
      <c r="BX54" s="533">
        <v>111321</v>
      </c>
      <c r="BY54" s="533">
        <v>111327</v>
      </c>
      <c r="BZ54" s="533">
        <v>111322</v>
      </c>
      <c r="CA54" s="533">
        <v>111326</v>
      </c>
      <c r="CB54" s="533">
        <v>111329</v>
      </c>
      <c r="CC54" s="533">
        <v>111324</v>
      </c>
      <c r="CD54" s="533">
        <v>16031028</v>
      </c>
      <c r="CE54" s="534" t="e" vm="2">
        <f>VLOOKUP(BT54,BT54:CD54,$P$21,FALSE)</f>
        <v>#VALUE!</v>
      </c>
      <c r="CF54" s="549" t="s">
        <v>39081</v>
      </c>
      <c r="CG54" s="550" t="str">
        <f>IF($P$9=1,DE54,IF($P$9=2,CS54,""))</f>
        <v/>
      </c>
      <c r="CH54" s="530">
        <v>111353</v>
      </c>
      <c r="CI54" s="530">
        <v>111350</v>
      </c>
      <c r="CJ54" s="530">
        <v>111358</v>
      </c>
      <c r="CK54" s="530">
        <v>111355</v>
      </c>
      <c r="CL54" s="530">
        <v>111351</v>
      </c>
      <c r="CM54" s="530">
        <v>111357</v>
      </c>
      <c r="CN54" s="530">
        <v>111352</v>
      </c>
      <c r="CO54" s="530">
        <v>111356</v>
      </c>
      <c r="CP54" s="530">
        <v>111359</v>
      </c>
      <c r="CQ54" s="530">
        <v>111354</v>
      </c>
      <c r="CR54" s="530">
        <v>16061028</v>
      </c>
      <c r="CS54" s="531" t="e" vm="2">
        <f>VLOOKUP(CH54,CH54:CR54,$P$21,FALSE)</f>
        <v>#VALUE!</v>
      </c>
      <c r="CT54" s="532">
        <v>111343</v>
      </c>
      <c r="CU54" s="533">
        <v>111340</v>
      </c>
      <c r="CV54" s="533">
        <v>111348</v>
      </c>
      <c r="CW54" s="533">
        <v>111345</v>
      </c>
      <c r="CX54" s="533">
        <v>111341</v>
      </c>
      <c r="CY54" s="533">
        <v>111347</v>
      </c>
      <c r="CZ54" s="533">
        <v>111342</v>
      </c>
      <c r="DA54" s="533">
        <v>111346</v>
      </c>
      <c r="DB54" s="533">
        <v>111349</v>
      </c>
      <c r="DC54" s="533">
        <v>111344</v>
      </c>
      <c r="DD54" s="533">
        <v>16051028</v>
      </c>
      <c r="DE54" s="534" t="e" vm="2">
        <f>VLOOKUP(CT54,CT54:DD54,$P$21,FALSE)</f>
        <v>#VALUE!</v>
      </c>
      <c r="DF54" s="549" t="s">
        <v>39082</v>
      </c>
      <c r="DG54" s="550" t="str">
        <f>IF($P$9=1,EE54,IF($P$9=2,DS54,""))</f>
        <v/>
      </c>
      <c r="DH54" s="530">
        <v>111373</v>
      </c>
      <c r="DI54" s="530">
        <v>111370</v>
      </c>
      <c r="DJ54" s="530">
        <v>111378</v>
      </c>
      <c r="DK54" s="530">
        <v>111375</v>
      </c>
      <c r="DL54" s="530">
        <v>111371</v>
      </c>
      <c r="DM54" s="530">
        <v>111377</v>
      </c>
      <c r="DN54" s="530">
        <v>111372</v>
      </c>
      <c r="DO54" s="530">
        <v>111376</v>
      </c>
      <c r="DP54" s="530">
        <v>111379</v>
      </c>
      <c r="DQ54" s="530">
        <v>111374</v>
      </c>
      <c r="DR54" s="530">
        <v>16081028</v>
      </c>
      <c r="DS54" s="531" t="e" vm="2">
        <f>VLOOKUP(DH54,DH54:DR54,$P$21,FALSE)</f>
        <v>#VALUE!</v>
      </c>
      <c r="DT54" s="532">
        <v>111363</v>
      </c>
      <c r="DU54" s="533">
        <v>111360</v>
      </c>
      <c r="DV54" s="533">
        <v>111368</v>
      </c>
      <c r="DW54" s="533">
        <v>111365</v>
      </c>
      <c r="DX54" s="533">
        <v>111361</v>
      </c>
      <c r="DY54" s="533">
        <v>111367</v>
      </c>
      <c r="DZ54" s="533">
        <v>111362</v>
      </c>
      <c r="EA54" s="533">
        <v>111366</v>
      </c>
      <c r="EB54" s="533">
        <v>111369</v>
      </c>
      <c r="EC54" s="533">
        <v>111364</v>
      </c>
      <c r="ED54" s="533">
        <v>16071028</v>
      </c>
      <c r="EE54" s="534" t="e" vm="2">
        <f>VLOOKUP(DT54,DT54:ED54,$P$21,FALSE)</f>
        <v>#VALUE!</v>
      </c>
      <c r="EF54" s="549" t="s">
        <v>39083</v>
      </c>
      <c r="EG54" s="550" t="str">
        <f>IF($P$9=1,FE54,IF($P$9=2,ES54,""))</f>
        <v/>
      </c>
      <c r="EH54" s="530">
        <v>111393</v>
      </c>
      <c r="EI54" s="530">
        <v>111390</v>
      </c>
      <c r="EJ54" s="530">
        <v>111398</v>
      </c>
      <c r="EK54" s="530">
        <v>111395</v>
      </c>
      <c r="EL54" s="530">
        <v>111391</v>
      </c>
      <c r="EM54" s="530">
        <v>111397</v>
      </c>
      <c r="EN54" s="530">
        <v>111392</v>
      </c>
      <c r="EO54" s="530">
        <v>111396</v>
      </c>
      <c r="EP54" s="530">
        <v>111399</v>
      </c>
      <c r="EQ54" s="530">
        <v>111394</v>
      </c>
      <c r="ER54" s="530">
        <v>16101028</v>
      </c>
      <c r="ES54" s="531" t="e" vm="2">
        <f>VLOOKUP(EH54,EH54:ER54,$P$21,FALSE)</f>
        <v>#VALUE!</v>
      </c>
      <c r="ET54" s="532">
        <v>111383</v>
      </c>
      <c r="EU54" s="533">
        <v>111380</v>
      </c>
      <c r="EV54" s="533">
        <v>111388</v>
      </c>
      <c r="EW54" s="533">
        <v>111385</v>
      </c>
      <c r="EX54" s="533">
        <v>111381</v>
      </c>
      <c r="EY54" s="533">
        <v>111387</v>
      </c>
      <c r="EZ54" s="533">
        <v>111382</v>
      </c>
      <c r="FA54" s="533">
        <v>111386</v>
      </c>
      <c r="FB54" s="533">
        <v>111389</v>
      </c>
      <c r="FC54" s="533">
        <v>111384</v>
      </c>
      <c r="FD54" s="533">
        <v>16091028</v>
      </c>
      <c r="FE54" s="534" t="e" vm="2">
        <f>VLOOKUP(ET54,ET54:FD54,$P$21,FALSE)</f>
        <v>#VALUE!</v>
      </c>
      <c r="FF54" s="549" t="s">
        <v>39084</v>
      </c>
      <c r="FG54" s="550" t="str">
        <f>IF($P$9=1,GE54,IF($P$9=2,FS54,""))</f>
        <v/>
      </c>
      <c r="FH54" s="530">
        <v>111413</v>
      </c>
      <c r="FI54" s="530">
        <v>111410</v>
      </c>
      <c r="FJ54" s="530">
        <v>111418</v>
      </c>
      <c r="FK54" s="530">
        <v>111415</v>
      </c>
      <c r="FL54" s="530">
        <v>111411</v>
      </c>
      <c r="FM54" s="530">
        <v>111417</v>
      </c>
      <c r="FN54" s="530">
        <v>111412</v>
      </c>
      <c r="FO54" s="530">
        <v>111416</v>
      </c>
      <c r="FP54" s="530">
        <v>111419</v>
      </c>
      <c r="FQ54" s="530">
        <v>111414</v>
      </c>
      <c r="FR54" s="530">
        <v>16121028</v>
      </c>
      <c r="FS54" s="531" t="e" vm="2">
        <f>VLOOKUP(FH54,FH54:FR54,$P$21,FALSE)</f>
        <v>#VALUE!</v>
      </c>
      <c r="FT54" s="532">
        <v>111403</v>
      </c>
      <c r="FU54" s="533">
        <v>111400</v>
      </c>
      <c r="FV54" s="533">
        <v>111408</v>
      </c>
      <c r="FW54" s="533">
        <v>111405</v>
      </c>
      <c r="FX54" s="533">
        <v>111401</v>
      </c>
      <c r="FY54" s="533">
        <v>111407</v>
      </c>
      <c r="FZ54" s="533">
        <v>111402</v>
      </c>
      <c r="GA54" s="533">
        <v>111406</v>
      </c>
      <c r="GB54" s="533">
        <v>111409</v>
      </c>
      <c r="GC54" s="533">
        <v>111404</v>
      </c>
      <c r="GD54" s="533">
        <v>16111028</v>
      </c>
      <c r="GE54" s="534" t="e" vm="2">
        <f>VLOOKUP(FT54,FT54:GD54,$P$21,FALSE)</f>
        <v>#VALUE!</v>
      </c>
      <c r="GF54" s="549" t="s">
        <v>39085</v>
      </c>
      <c r="GG54" s="550" t="str">
        <f>IF($P$9=1,HE54,IF($P$9=2,GS54,""))</f>
        <v/>
      </c>
      <c r="GH54" s="530">
        <v>111433</v>
      </c>
      <c r="GI54" s="530">
        <v>111430</v>
      </c>
      <c r="GJ54" s="530">
        <v>111438</v>
      </c>
      <c r="GK54" s="530">
        <v>111435</v>
      </c>
      <c r="GL54" s="530">
        <v>111431</v>
      </c>
      <c r="GM54" s="530">
        <v>111437</v>
      </c>
      <c r="GN54" s="530">
        <v>111432</v>
      </c>
      <c r="GO54" s="530">
        <v>111436</v>
      </c>
      <c r="GP54" s="530">
        <v>111439</v>
      </c>
      <c r="GQ54" s="530">
        <v>111434</v>
      </c>
      <c r="GR54" s="530">
        <v>16141028</v>
      </c>
      <c r="GS54" s="531" t="e" vm="2">
        <f>VLOOKUP(GH54,GH54:GR54,$P$21,FALSE)</f>
        <v>#VALUE!</v>
      </c>
      <c r="GT54" s="532">
        <v>111423</v>
      </c>
      <c r="GU54" s="533">
        <v>111420</v>
      </c>
      <c r="GV54" s="533">
        <v>111428</v>
      </c>
      <c r="GW54" s="533">
        <v>111425</v>
      </c>
      <c r="GX54" s="533">
        <v>111421</v>
      </c>
      <c r="GY54" s="533">
        <v>111427</v>
      </c>
      <c r="GZ54" s="533">
        <v>111422</v>
      </c>
      <c r="HA54" s="533">
        <v>111426</v>
      </c>
      <c r="HB54" s="533">
        <v>111429</v>
      </c>
      <c r="HC54" s="533">
        <v>111424</v>
      </c>
      <c r="HD54" s="533">
        <v>16131028</v>
      </c>
      <c r="HE54" s="534" t="e" vm="2">
        <f>VLOOKUP(GT54,GT54:HD54,$P$21,FALSE)</f>
        <v>#VALUE!</v>
      </c>
      <c r="HF54" s="549" t="s">
        <v>39086</v>
      </c>
      <c r="HG54" s="550" t="str">
        <f>IF($P$9=1,IE54,IF($P$9=2,HS54,""))</f>
        <v/>
      </c>
      <c r="HH54" s="530">
        <v>111453</v>
      </c>
      <c r="HI54" s="530">
        <v>111450</v>
      </c>
      <c r="HJ54" s="530">
        <v>111458</v>
      </c>
      <c r="HK54" s="530">
        <v>111455</v>
      </c>
      <c r="HL54" s="530">
        <v>111451</v>
      </c>
      <c r="HM54" s="530">
        <v>111457</v>
      </c>
      <c r="HN54" s="530">
        <v>111452</v>
      </c>
      <c r="HO54" s="530">
        <v>111456</v>
      </c>
      <c r="HP54" s="530">
        <v>111459</v>
      </c>
      <c r="HQ54" s="530">
        <v>111454</v>
      </c>
      <c r="HR54" s="530">
        <v>16161028</v>
      </c>
      <c r="HS54" s="531" t="e" vm="2">
        <f>VLOOKUP(HH54,HH54:HR54,$P$21,FALSE)</f>
        <v>#VALUE!</v>
      </c>
      <c r="HT54" s="532">
        <v>111443</v>
      </c>
      <c r="HU54" s="533">
        <v>111440</v>
      </c>
      <c r="HV54" s="533">
        <v>111448</v>
      </c>
      <c r="HW54" s="533">
        <v>111445</v>
      </c>
      <c r="HX54" s="533">
        <v>111441</v>
      </c>
      <c r="HY54" s="533">
        <v>111447</v>
      </c>
      <c r="HZ54" s="533">
        <v>111442</v>
      </c>
      <c r="IA54" s="533">
        <v>111446</v>
      </c>
      <c r="IB54" s="533">
        <v>111449</v>
      </c>
      <c r="IC54" s="533">
        <v>111444</v>
      </c>
      <c r="ID54" s="533">
        <v>16151028</v>
      </c>
      <c r="IE54" s="534" t="e" vm="2">
        <f>VLOOKUP(HT54,HT54:ID54,$P$21,FALSE)</f>
        <v>#VALUE!</v>
      </c>
      <c r="IF54" s="527"/>
      <c r="IH54" s="42"/>
      <c r="II54" s="42"/>
      <c r="IJ54" s="42"/>
      <c r="IK54" s="42"/>
      <c r="IL54" s="42"/>
      <c r="IM54" s="42"/>
      <c r="IN54" s="42"/>
      <c r="IO54" s="42"/>
      <c r="IP54" s="42"/>
      <c r="IQ54" s="42"/>
      <c r="IR54" s="42"/>
      <c r="IS54" s="129"/>
      <c r="IU54" s="119"/>
      <c r="IV54" s="119"/>
      <c r="IW54" s="119"/>
      <c r="IX54" s="119"/>
      <c r="IY54" s="119"/>
      <c r="IZ54" s="119"/>
      <c r="JA54" s="119"/>
      <c r="JB54" s="119"/>
      <c r="JC54" s="119"/>
      <c r="JD54" s="119"/>
      <c r="JE54" s="129"/>
      <c r="JH54" s="42"/>
      <c r="JI54" s="42"/>
      <c r="JJ54" s="42"/>
      <c r="JK54" s="42"/>
      <c r="JL54" s="42"/>
      <c r="JM54" s="42"/>
      <c r="JN54" s="42"/>
      <c r="JO54" s="42"/>
      <c r="JP54" s="42"/>
      <c r="JQ54" s="42"/>
      <c r="JR54" s="42"/>
      <c r="JS54" s="129"/>
      <c r="JU54" s="119"/>
      <c r="JV54" s="119"/>
      <c r="JW54" s="119"/>
      <c r="JX54" s="119"/>
      <c r="JY54" s="119"/>
      <c r="JZ54" s="119"/>
      <c r="KA54" s="119"/>
      <c r="KB54" s="119"/>
      <c r="KC54" s="119"/>
      <c r="KD54" s="119"/>
      <c r="KE54" s="129"/>
    </row>
    <row r="55" spans="1:426" ht="32.1" customHeight="1" thickTop="1">
      <c r="A55" s="93"/>
      <c r="B55" s="76" t="str">
        <f>VLOOKUP(878,Sprachindex!$A:$Z,Info!$O$7,FALSE)</f>
        <v>Stk.</v>
      </c>
      <c r="C55" s="75" t="e" vm="90">
        <v>#VALUE!</v>
      </c>
      <c r="D55" s="75">
        <v>111700</v>
      </c>
      <c r="E55" s="654" t="str">
        <f>VLOOKUP(322,Sprachindex!$A:$Z,Info!$O$7,FALSE)</f>
        <v>Einfassung für Roto-Q-Serie (stucco)</v>
      </c>
      <c r="F55" s="655"/>
      <c r="G55" s="655"/>
      <c r="H55" s="594" t="s">
        <v>39284</v>
      </c>
      <c r="I55" s="81" t="str">
        <f>VLOOKUP(591,Sprachindex!$A:$Z,Info!$O$7,FALSE)</f>
        <v>Maße:</v>
      </c>
      <c r="J55" s="624"/>
      <c r="K55" s="626"/>
      <c r="L55" s="76" t="str">
        <f>IF($A55=0,"",IF($J55=Formeln!$A$52," ",IF($O$11=1,AD55,AE55)))</f>
        <v/>
      </c>
      <c r="M55" s="399" t="str">
        <f t="shared" si="8"/>
        <v>Stk.</v>
      </c>
      <c r="N55" s="77"/>
      <c r="O55" s="204" t="str" cm="1">
        <f t="array" ref="O55">IF(ISNUMBER(L55),
_xlfn.IFS(OR(J55=Formeln!$C$54,J55=Formeln!$C$55,J55=Formeln!$C$56),R55,
OR(J55=Formeln!$C$57,J55=Formeln!$C$58,J55=Formeln!$C$59),S55,
OR(J55=Formeln!$C$60,J55=Formeln!$C$61,J55=Formeln!$C$62,J55=Formeln!$C$63,J55=Formeln!$C$64),T55,
OR(J55=Formeln!$C$65,J55=Formeln!$C$66,J55=Formeln!$C$67,J55=Formeln!$C$68,J55=Formeln!$C$69,J55=Formeln!$C$70),U55,
OR(J55=Formeln!$C$71,J55=Formeln!$C$72,J55=Formeln!$C$73,J55=Formeln!$C$74,J55=Formeln!$C$75,J55=Formeln!$C$76),V55,
OR(J55=Formeln!$C$77,J55=Formeln!$C$78,J55=Formeln!$C$79,J55=Formeln!$C$80,J55=Formeln!$C$81),W55),"")</f>
        <v/>
      </c>
      <c r="R55" s="182">
        <v>299.99</v>
      </c>
      <c r="S55" s="182">
        <v>307.95</v>
      </c>
      <c r="T55" s="182">
        <v>307.95</v>
      </c>
      <c r="U55" s="182">
        <v>371.6</v>
      </c>
      <c r="V55" s="182">
        <v>379.7</v>
      </c>
      <c r="W55" s="182">
        <v>382.31</v>
      </c>
      <c r="X55" s="179"/>
      <c r="Y55" s="179"/>
      <c r="Z55" s="179"/>
      <c r="AA55" s="179"/>
      <c r="AC55" s="1"/>
      <c r="AD55" s="139">
        <f t="shared" si="11"/>
        <v>0</v>
      </c>
      <c r="AE55" s="139">
        <f t="shared" si="10"/>
        <v>0</v>
      </c>
      <c r="BC55" s="119"/>
      <c r="BD55" s="119"/>
      <c r="BE55" s="119"/>
      <c r="BF55" s="119"/>
      <c r="BG55" s="119"/>
      <c r="BH55" s="119"/>
      <c r="BI55" s="119"/>
      <c r="BJ55" s="119"/>
      <c r="BK55" s="119"/>
      <c r="BM55" s="119"/>
      <c r="BN55" s="119"/>
      <c r="BO55" s="119"/>
      <c r="BP55" s="119"/>
      <c r="BQ55" s="119"/>
      <c r="BR55" s="119"/>
      <c r="BS55" s="119"/>
      <c r="BT55" s="119"/>
      <c r="BU55" s="119"/>
      <c r="BV55" s="119"/>
      <c r="BX55" s="119"/>
      <c r="BY55" s="119"/>
      <c r="BZ55" s="119"/>
      <c r="CA55" s="119"/>
      <c r="CB55" s="119"/>
      <c r="CC55" s="119"/>
      <c r="CD55" s="119"/>
      <c r="CE55" s="119"/>
      <c r="CF55" s="119"/>
      <c r="CH55" s="119"/>
      <c r="CI55" s="119"/>
      <c r="CJ55" s="119"/>
      <c r="CK55" s="119"/>
      <c r="CL55" s="119"/>
      <c r="CM55" s="119"/>
      <c r="CN55" s="119"/>
      <c r="CO55" s="119"/>
      <c r="CP55" s="119"/>
      <c r="CQ55" s="119"/>
      <c r="CS55" s="119"/>
      <c r="CT55" s="119"/>
      <c r="CU55" s="119"/>
      <c r="CV55" s="119"/>
      <c r="CW55" s="119"/>
      <c r="CX55" s="119"/>
      <c r="CY55" s="119"/>
      <c r="CZ55" s="119"/>
      <c r="DA55" s="119"/>
      <c r="DC55" s="119"/>
      <c r="DD55" s="119"/>
      <c r="DE55" s="119"/>
      <c r="DF55" s="119"/>
      <c r="DG55" s="119"/>
      <c r="DH55" s="119"/>
      <c r="DI55" s="119"/>
      <c r="DJ55" s="119"/>
      <c r="DK55" s="119"/>
      <c r="DL55" s="119"/>
      <c r="DX55" s="119"/>
      <c r="DY55" s="119"/>
      <c r="DZ55" s="119"/>
      <c r="EA55" s="119"/>
      <c r="EB55" s="119"/>
      <c r="EC55" s="119"/>
      <c r="ED55" s="119"/>
      <c r="EE55" s="119"/>
      <c r="EF55" s="119"/>
      <c r="EG55" s="119"/>
      <c r="EI55" s="119"/>
      <c r="EJ55" s="119"/>
      <c r="EK55" s="119"/>
      <c r="EL55" s="119"/>
      <c r="EM55" s="119"/>
      <c r="EN55" s="119"/>
      <c r="EO55" s="119"/>
      <c r="EP55" s="119"/>
      <c r="EQ55" s="119"/>
      <c r="ES55" s="119"/>
      <c r="ET55" s="119"/>
      <c r="EU55" s="119"/>
      <c r="EV55" s="119"/>
      <c r="EW55" s="119"/>
      <c r="EX55" s="119"/>
      <c r="EY55" s="119"/>
      <c r="EZ55" s="119"/>
      <c r="FA55" s="119"/>
      <c r="FB55" s="119"/>
    </row>
    <row r="56" spans="1:426" ht="32.1" customHeight="1">
      <c r="A56" s="93"/>
      <c r="B56" s="76" t="str">
        <f>VLOOKUP(878,Sprachindex!$A:$Z,Info!$O$7,FALSE)</f>
        <v>Stk.</v>
      </c>
      <c r="C56" s="75" t="e" vm="30">
        <v>#VALUE!</v>
      </c>
      <c r="D56" s="75" t="str">
        <f>IF(ISNUMBER(A56),AS56,"")</f>
        <v/>
      </c>
      <c r="E56" s="618" t="str">
        <f>VLOOKUP(345,Sprachindex!$A:$Z,Info!$O$7,FALSE)</f>
        <v>Einzeltritt (inkl. zwei Fußteile)</v>
      </c>
      <c r="F56" s="619"/>
      <c r="G56" s="619"/>
      <c r="H56" s="619"/>
      <c r="I56" s="619"/>
      <c r="J56" s="619"/>
      <c r="K56" s="620"/>
      <c r="L56" s="76" t="str">
        <f t="shared" ref="L56:L68" si="12">IF(A56=0,"",IF($P$11=1,AD56,AE56))</f>
        <v/>
      </c>
      <c r="M56" s="161" t="str">
        <f>VLOOKUP(878,Sprachindex!$A:$Z,Info!$O$7,FALSE)</f>
        <v>Stk.</v>
      </c>
      <c r="N56" s="77"/>
      <c r="O56" s="204" t="str">
        <f t="shared" ref="O56:O68" si="13">IF(ISNUMBER(A56),$L56*R56, "")</f>
        <v/>
      </c>
      <c r="P56" s="267"/>
      <c r="R56" s="182">
        <v>72.87</v>
      </c>
      <c r="S56" s="179"/>
      <c r="T56" s="179"/>
      <c r="U56" s="179"/>
      <c r="V56" s="179"/>
      <c r="W56" s="179"/>
      <c r="X56" s="179"/>
      <c r="Y56" s="179"/>
      <c r="Z56" s="179"/>
      <c r="AA56" s="179"/>
      <c r="AB56" s="179"/>
      <c r="AC56" s="129"/>
      <c r="AD56" s="139">
        <f t="shared" si="11"/>
        <v>0</v>
      </c>
      <c r="AE56" s="139">
        <f t="shared" si="10"/>
        <v>0</v>
      </c>
      <c r="AF56" s="135"/>
      <c r="AH56" s="548">
        <v>120073</v>
      </c>
      <c r="AI56" s="548">
        <v>120070</v>
      </c>
      <c r="AJ56" s="548">
        <v>120078</v>
      </c>
      <c r="AK56" s="548">
        <v>120075</v>
      </c>
      <c r="AL56" s="548">
        <v>120071</v>
      </c>
      <c r="AM56" s="548">
        <v>120077</v>
      </c>
      <c r="AN56" s="548">
        <v>120072</v>
      </c>
      <c r="AO56" s="548">
        <v>120076</v>
      </c>
      <c r="AP56" s="548">
        <v>120079</v>
      </c>
      <c r="AQ56" s="548">
        <v>120074</v>
      </c>
      <c r="AR56" s="548">
        <v>15061028</v>
      </c>
      <c r="AS56" s="509" t="e" vm="2">
        <f>VLOOKUP(AH56,AH56:AR56,$P$21,FALSE)</f>
        <v>#VALUE!</v>
      </c>
      <c r="AT56" s="119"/>
      <c r="AU56" s="119"/>
      <c r="AV56" s="119"/>
      <c r="AW56" s="119"/>
      <c r="AX56" s="119"/>
      <c r="AY56" s="119"/>
      <c r="AZ56" s="119"/>
      <c r="BA56" s="119"/>
      <c r="BB56" s="119"/>
      <c r="BC56" s="119"/>
    </row>
    <row r="57" spans="1:426" ht="32.1" customHeight="1">
      <c r="A57" s="93"/>
      <c r="B57" s="76" t="str">
        <f>VLOOKUP(878,Sprachindex!$A:$Z,Info!$O$7,FALSE)</f>
        <v>Stk.</v>
      </c>
      <c r="C57" s="75" t="e" vm="31">
        <v>#VALUE!</v>
      </c>
      <c r="D57" s="75" t="str">
        <f>IF(ISNUMBER(A57),AS57,"")</f>
        <v/>
      </c>
      <c r="E57" s="618" t="str">
        <f>VLOOKUP(567,Sprachindex!$A:$Z,Info!$O$7,FALSE)</f>
        <v>Laufstegstütze auf einem Fußteil</v>
      </c>
      <c r="F57" s="619"/>
      <c r="G57" s="619"/>
      <c r="H57" s="619"/>
      <c r="I57" s="619"/>
      <c r="J57" s="619"/>
      <c r="K57" s="620"/>
      <c r="L57" s="76" t="str">
        <f t="shared" si="12"/>
        <v/>
      </c>
      <c r="M57" s="161" t="str">
        <f>VLOOKUP(878,Sprachindex!$A:$Z,Info!$O$7,FALSE)</f>
        <v>Stk.</v>
      </c>
      <c r="N57" s="77"/>
      <c r="O57" s="184" t="str">
        <f t="shared" si="13"/>
        <v/>
      </c>
      <c r="P57" s="267"/>
      <c r="R57" s="182">
        <v>53.89</v>
      </c>
      <c r="S57" s="179"/>
      <c r="T57" s="179"/>
      <c r="U57" s="179"/>
      <c r="V57" s="179"/>
      <c r="W57" s="179"/>
      <c r="X57" s="179"/>
      <c r="Y57" s="179"/>
      <c r="Z57" s="179"/>
      <c r="AA57" s="179"/>
      <c r="AB57" s="179"/>
      <c r="AC57" s="129"/>
      <c r="AD57" s="139">
        <f t="shared" si="11"/>
        <v>0</v>
      </c>
      <c r="AE57" s="139">
        <f t="shared" si="10"/>
        <v>0</v>
      </c>
      <c r="AF57" s="135"/>
      <c r="AH57" s="498">
        <v>120083</v>
      </c>
      <c r="AI57" s="498">
        <v>120080</v>
      </c>
      <c r="AJ57" s="498">
        <v>120088</v>
      </c>
      <c r="AK57" s="498">
        <v>120085</v>
      </c>
      <c r="AL57" s="498">
        <v>120081</v>
      </c>
      <c r="AM57" s="498">
        <v>120087</v>
      </c>
      <c r="AN57" s="498">
        <v>120082</v>
      </c>
      <c r="AO57" s="498">
        <v>120086</v>
      </c>
      <c r="AP57" s="498">
        <v>120089</v>
      </c>
      <c r="AQ57" s="498">
        <v>120084</v>
      </c>
      <c r="AR57" s="498">
        <v>15391028</v>
      </c>
      <c r="AS57" s="507" t="e" vm="2">
        <f>VLOOKUP(AH57,AH57:AR57,$P$21,FALSE)</f>
        <v>#VALUE!</v>
      </c>
      <c r="AT57" s="119"/>
      <c r="AU57" s="119"/>
      <c r="AV57" s="119"/>
      <c r="AW57" s="119"/>
      <c r="AX57" s="119"/>
      <c r="AY57" s="119"/>
      <c r="AZ57" s="119"/>
      <c r="BA57" s="119"/>
      <c r="BB57" s="119"/>
      <c r="BC57" s="119"/>
    </row>
    <row r="58" spans="1:426" ht="32.1" customHeight="1">
      <c r="A58" s="93"/>
      <c r="B58" s="76" t="str">
        <f>VLOOKUP(878,Sprachindex!$A:$Z,Info!$O$7,FALSE)</f>
        <v>Stk.</v>
      </c>
      <c r="C58" s="75" t="e" vm="32">
        <v>#VALUE!</v>
      </c>
      <c r="D58" s="75">
        <v>649304</v>
      </c>
      <c r="E58" s="618" t="str">
        <f>VLOOKUP(568,Sprachindex!$A:$Z,Info!$O$7,FALSE)</f>
        <v>Laufstegstütze auf zwei Fußteilen</v>
      </c>
      <c r="F58" s="619"/>
      <c r="G58" s="619"/>
      <c r="H58" s="619"/>
      <c r="I58" s="619"/>
      <c r="J58" s="619"/>
      <c r="K58" s="620"/>
      <c r="L58" s="76" t="str">
        <f t="shared" si="12"/>
        <v/>
      </c>
      <c r="M58" s="161" t="str">
        <f>VLOOKUP(878,Sprachindex!$A:$Z,Info!$O$7,FALSE)</f>
        <v>Stk.</v>
      </c>
      <c r="N58" s="77"/>
      <c r="O58" s="184" t="str">
        <f t="shared" si="13"/>
        <v/>
      </c>
      <c r="P58" s="267"/>
      <c r="R58" s="182">
        <v>76.349999999999994</v>
      </c>
      <c r="S58" s="179"/>
      <c r="T58" s="179"/>
      <c r="U58" s="179"/>
      <c r="V58" s="179"/>
      <c r="W58" s="179"/>
      <c r="X58" s="179"/>
      <c r="Y58" s="179"/>
      <c r="Z58" s="179"/>
      <c r="AA58" s="179"/>
      <c r="AB58" s="179"/>
      <c r="AC58" s="129"/>
      <c r="AD58" s="139">
        <f t="shared" si="11"/>
        <v>0</v>
      </c>
      <c r="AE58" s="139">
        <f t="shared" si="10"/>
        <v>0</v>
      </c>
      <c r="AF58" s="135"/>
      <c r="AH58" s="498"/>
      <c r="AI58" s="498"/>
      <c r="AJ58" s="498"/>
      <c r="AK58" s="498"/>
      <c r="AL58" s="498"/>
      <c r="AM58" s="498"/>
      <c r="AN58" s="498"/>
      <c r="AO58" s="498"/>
      <c r="AP58" s="498"/>
      <c r="AQ58" s="498"/>
      <c r="AR58" s="498"/>
      <c r="AS58" s="507"/>
      <c r="AT58" s="119"/>
      <c r="AU58" s="119"/>
      <c r="AV58" s="119"/>
      <c r="AW58" s="119"/>
      <c r="AX58" s="119"/>
      <c r="AY58" s="119"/>
      <c r="AZ58" s="119"/>
      <c r="BA58" s="119"/>
      <c r="BB58" s="119"/>
      <c r="BC58" s="119"/>
    </row>
    <row r="59" spans="1:426" ht="32.1" customHeight="1">
      <c r="A59" s="93"/>
      <c r="B59" s="76" t="str">
        <f>VLOOKUP(878,Sprachindex!$A:$Z,Info!$O$7,FALSE)</f>
        <v>Stk.</v>
      </c>
      <c r="C59" s="75" t="e" vm="33">
        <v>#VALUE!</v>
      </c>
      <c r="D59" s="75" t="str">
        <f>IF(ISNUMBER(A59),AS59,"")</f>
        <v/>
      </c>
      <c r="E59" s="618" t="str">
        <f>VLOOKUP(560,Sprachindex!$A:$Z,Info!$O$7,FALSE)</f>
        <v>Laufsteg (250 × 1.200 mm)</v>
      </c>
      <c r="F59" s="619"/>
      <c r="G59" s="619"/>
      <c r="H59" s="619"/>
      <c r="I59" s="619"/>
      <c r="J59" s="619"/>
      <c r="K59" s="620"/>
      <c r="L59" s="76" t="str">
        <f t="shared" si="12"/>
        <v/>
      </c>
      <c r="M59" s="161" t="str">
        <f>VLOOKUP(878,Sprachindex!$A:$Z,Info!$O$7,FALSE)</f>
        <v>Stk.</v>
      </c>
      <c r="N59" s="77"/>
      <c r="O59" s="184" t="str">
        <f t="shared" si="13"/>
        <v/>
      </c>
      <c r="P59" s="267"/>
      <c r="R59" s="182">
        <v>76.66</v>
      </c>
      <c r="S59" s="179"/>
      <c r="T59" s="179"/>
      <c r="U59" s="179"/>
      <c r="V59" s="179"/>
      <c r="W59" s="179"/>
      <c r="X59" s="179"/>
      <c r="Y59" s="179"/>
      <c r="Z59" s="179"/>
      <c r="AA59" s="179"/>
      <c r="AB59" s="179"/>
      <c r="AC59" s="129"/>
      <c r="AD59" s="139">
        <f t="shared" si="11"/>
        <v>0</v>
      </c>
      <c r="AE59" s="139">
        <f t="shared" si="10"/>
        <v>0</v>
      </c>
      <c r="AF59" s="135"/>
      <c r="AH59" s="498">
        <v>120033</v>
      </c>
      <c r="AI59" s="498">
        <v>120030</v>
      </c>
      <c r="AJ59" s="498">
        <v>120038</v>
      </c>
      <c r="AK59" s="498">
        <v>120035</v>
      </c>
      <c r="AL59" s="498">
        <v>120031</v>
      </c>
      <c r="AM59" s="498">
        <v>120037</v>
      </c>
      <c r="AN59" s="498">
        <v>120032</v>
      </c>
      <c r="AO59" s="498">
        <v>120036</v>
      </c>
      <c r="AP59" s="498">
        <v>120039</v>
      </c>
      <c r="AQ59" s="498">
        <v>120034</v>
      </c>
      <c r="AR59" s="498">
        <v>15351028</v>
      </c>
      <c r="AS59" s="507" t="e" vm="2">
        <f>VLOOKUP(AH59,AH59:AR59,$P$21,FALSE)</f>
        <v>#VALUE!</v>
      </c>
      <c r="AT59" s="119"/>
      <c r="AU59" s="119"/>
      <c r="AV59" s="119"/>
      <c r="AW59" s="119"/>
      <c r="AX59" s="119"/>
      <c r="AY59" s="119"/>
      <c r="AZ59" s="119"/>
      <c r="BA59" s="119"/>
      <c r="BB59" s="537"/>
      <c r="BC59" s="119"/>
    </row>
    <row r="60" spans="1:426" ht="32.1" customHeight="1">
      <c r="A60" s="93"/>
      <c r="B60" s="76" t="str">
        <f>VLOOKUP(878,Sprachindex!$A:$Z,Info!$O$7,FALSE)</f>
        <v>Stk.</v>
      </c>
      <c r="C60" s="75" t="e" vm="34">
        <v>#VALUE!</v>
      </c>
      <c r="D60" s="75" t="str">
        <f t="shared" ref="D60:D62" si="14">IF(ISNUMBER(A60),AS60,"")</f>
        <v/>
      </c>
      <c r="E60" s="618" t="str">
        <f>VLOOKUP(563,Sprachindex!$A:$Z,Info!$O$7,FALSE)</f>
        <v>Laufsteg (250 × 800 mm)</v>
      </c>
      <c r="F60" s="619"/>
      <c r="G60" s="619"/>
      <c r="H60" s="619"/>
      <c r="I60" s="619"/>
      <c r="J60" s="619"/>
      <c r="K60" s="620"/>
      <c r="L60" s="76" t="str">
        <f t="shared" si="12"/>
        <v/>
      </c>
      <c r="M60" s="161" t="str">
        <f>VLOOKUP(878,Sprachindex!$A:$Z,Info!$O$7,FALSE)</f>
        <v>Stk.</v>
      </c>
      <c r="N60" s="77"/>
      <c r="O60" s="184" t="str">
        <f t="shared" si="13"/>
        <v/>
      </c>
      <c r="P60" s="267"/>
      <c r="R60" s="182">
        <v>56.6</v>
      </c>
      <c r="S60" s="179"/>
      <c r="T60" s="179"/>
      <c r="U60" s="179"/>
      <c r="V60" s="179"/>
      <c r="W60" s="179"/>
      <c r="X60" s="179"/>
      <c r="Y60" s="179"/>
      <c r="Z60" s="179"/>
      <c r="AA60" s="179"/>
      <c r="AB60" s="179"/>
      <c r="AC60" s="129"/>
      <c r="AD60" s="139">
        <f t="shared" si="11"/>
        <v>0</v>
      </c>
      <c r="AE60" s="139">
        <f t="shared" si="10"/>
        <v>0</v>
      </c>
      <c r="AF60" s="135"/>
      <c r="AH60" s="498">
        <v>120023</v>
      </c>
      <c r="AI60" s="498">
        <v>120020</v>
      </c>
      <c r="AJ60" s="498">
        <v>120028</v>
      </c>
      <c r="AK60" s="498">
        <v>120025</v>
      </c>
      <c r="AL60" s="498">
        <v>120021</v>
      </c>
      <c r="AM60" s="498">
        <v>120027</v>
      </c>
      <c r="AN60" s="498">
        <v>120022</v>
      </c>
      <c r="AO60" s="498">
        <v>120026</v>
      </c>
      <c r="AP60" s="498">
        <v>121075</v>
      </c>
      <c r="AQ60" s="498">
        <v>120024</v>
      </c>
      <c r="AR60" s="498">
        <v>50311028</v>
      </c>
      <c r="AS60" s="507" t="e" vm="2">
        <f>VLOOKUP(AH60,AH60:AR60,$P$21,FALSE)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5">
        <v>#VALUE!</v>
      </c>
      <c r="D61" s="75" t="str">
        <f t="shared" si="14"/>
        <v/>
      </c>
      <c r="E61" s="618" t="str">
        <f>VLOOKUP(562,Sprachindex!$A:$Z,Info!$O$7,FALSE)</f>
        <v>Laufsteg (250 × 600 mm)</v>
      </c>
      <c r="F61" s="619"/>
      <c r="G61" s="619"/>
      <c r="H61" s="619"/>
      <c r="I61" s="619"/>
      <c r="J61" s="619"/>
      <c r="K61" s="620"/>
      <c r="L61" s="76" t="str">
        <f t="shared" si="12"/>
        <v/>
      </c>
      <c r="M61" s="161" t="str">
        <f>VLOOKUP(878,Sprachindex!$A:$Z,Info!$O$7,FALSE)</f>
        <v>Stk.</v>
      </c>
      <c r="N61" s="77"/>
      <c r="O61" s="184" t="str">
        <f t="shared" si="13"/>
        <v/>
      </c>
      <c r="P61" s="267"/>
      <c r="R61" s="182">
        <v>54.1</v>
      </c>
      <c r="S61" s="179"/>
      <c r="T61" s="179"/>
      <c r="U61" s="179"/>
      <c r="V61" s="179"/>
      <c r="W61" s="179"/>
      <c r="X61" s="179"/>
      <c r="Y61" s="179"/>
      <c r="Z61" s="179"/>
      <c r="AA61" s="179"/>
      <c r="AB61" s="179"/>
      <c r="AC61" s="129"/>
      <c r="AD61" s="139">
        <f t="shared" si="11"/>
        <v>0</v>
      </c>
      <c r="AE61" s="139">
        <f t="shared" si="10"/>
        <v>0</v>
      </c>
      <c r="AF61" s="135"/>
      <c r="AH61" s="498">
        <v>120063</v>
      </c>
      <c r="AI61" s="498">
        <v>120060</v>
      </c>
      <c r="AJ61" s="498">
        <v>120068</v>
      </c>
      <c r="AK61" s="498">
        <v>120065</v>
      </c>
      <c r="AL61" s="498">
        <v>120061</v>
      </c>
      <c r="AM61" s="498">
        <v>120067</v>
      </c>
      <c r="AN61" s="498">
        <v>120062</v>
      </c>
      <c r="AO61" s="498">
        <v>120066</v>
      </c>
      <c r="AP61" s="498">
        <v>120069</v>
      </c>
      <c r="AQ61" s="498">
        <v>120064</v>
      </c>
      <c r="AR61" s="498">
        <v>15361028</v>
      </c>
      <c r="AS61" s="507" t="e" vm="2">
        <f>VLOOKUP(AH61,AH61:AR61,$P$21,FALSE)</f>
        <v>#VALUE!</v>
      </c>
      <c r="AT61" s="119"/>
      <c r="AU61" s="119"/>
      <c r="AV61" s="119"/>
      <c r="AW61" s="119"/>
      <c r="AX61" s="119"/>
      <c r="AY61" s="119"/>
      <c r="AZ61" s="119"/>
      <c r="BA61" s="119"/>
      <c r="BB61" s="119"/>
      <c r="BC61" s="119"/>
    </row>
    <row r="62" spans="1:426" ht="32.1" customHeight="1">
      <c r="A62" s="93"/>
      <c r="B62" s="76" t="str">
        <f>VLOOKUP(878,Sprachindex!$A:$Z,Info!$O$7,FALSE)</f>
        <v>Stk.</v>
      </c>
      <c r="C62" s="75" t="e" vm="36">
        <v>#VALUE!</v>
      </c>
      <c r="D62" s="75" t="str">
        <f t="shared" si="14"/>
        <v/>
      </c>
      <c r="E62" s="618" t="str">
        <f>VLOOKUP(561,Sprachindex!$A:$Z,Info!$O$7,FALSE)</f>
        <v>Laufsteg (250 × 420 mm)</v>
      </c>
      <c r="F62" s="619"/>
      <c r="G62" s="619"/>
      <c r="H62" s="619"/>
      <c r="I62" s="619"/>
      <c r="J62" s="619"/>
      <c r="K62" s="620"/>
      <c r="L62" s="76" t="str">
        <f t="shared" si="12"/>
        <v/>
      </c>
      <c r="M62" s="161" t="str">
        <f>VLOOKUP(878,Sprachindex!$A:$Z,Info!$O$7,FALSE)</f>
        <v>Stk.</v>
      </c>
      <c r="N62" s="77"/>
      <c r="O62" s="184" t="str">
        <f t="shared" si="13"/>
        <v/>
      </c>
      <c r="P62" s="267"/>
      <c r="R62" s="182">
        <v>40.14</v>
      </c>
      <c r="S62" s="179"/>
      <c r="T62" s="179"/>
      <c r="U62" s="179"/>
      <c r="V62" s="179"/>
      <c r="W62" s="179"/>
      <c r="X62" s="179"/>
      <c r="Y62" s="179"/>
      <c r="Z62" s="179"/>
      <c r="AA62" s="179"/>
      <c r="AB62" s="179"/>
      <c r="AC62" s="129"/>
      <c r="AD62" s="139">
        <f>ROUNDUP($A62/4,0)*4</f>
        <v>0</v>
      </c>
      <c r="AE62" s="139">
        <f t="shared" si="10"/>
        <v>0</v>
      </c>
      <c r="AF62" s="135"/>
      <c r="AH62" s="498">
        <v>120013</v>
      </c>
      <c r="AI62" s="498">
        <v>120010</v>
      </c>
      <c r="AJ62" s="498">
        <v>120018</v>
      </c>
      <c r="AK62" s="498">
        <v>120015</v>
      </c>
      <c r="AL62" s="498">
        <v>120011</v>
      </c>
      <c r="AM62" s="498">
        <v>120017</v>
      </c>
      <c r="AN62" s="498">
        <v>120012</v>
      </c>
      <c r="AO62" s="498">
        <v>120016</v>
      </c>
      <c r="AP62" s="498">
        <v>120019</v>
      </c>
      <c r="AQ62" s="498">
        <v>120014</v>
      </c>
      <c r="AR62" s="498">
        <v>15341028</v>
      </c>
      <c r="AS62" s="512" t="e" vm="2">
        <f>VLOOKUP(AH62,AH62:AR62,$P$21,FALSE)</f>
        <v>#VALUE!</v>
      </c>
      <c r="AT62" s="119"/>
      <c r="AU62" s="119"/>
      <c r="AV62" s="119"/>
      <c r="AW62" s="119"/>
      <c r="AX62" s="119"/>
      <c r="AY62" s="119"/>
      <c r="AZ62" s="119"/>
      <c r="BA62" s="119"/>
      <c r="BB62" s="119"/>
      <c r="BC62" s="119"/>
    </row>
    <row r="63" spans="1:426" ht="32.1" customHeight="1">
      <c r="A63" s="93"/>
      <c r="B63" s="76" t="str">
        <f>VLOOKUP(878,Sprachindex!$A:$Z,Info!$O$7,FALSE)</f>
        <v>Stk.</v>
      </c>
      <c r="C63" s="75" t="e" vm="37">
        <v>#VALUE!</v>
      </c>
      <c r="D63" s="75">
        <v>649305</v>
      </c>
      <c r="E63" s="618" t="str">
        <f>VLOOKUP(565,Sprachindex!$A:$Z,Info!$O$7,FALSE)</f>
        <v>Laufsteg (360 × 800 mm)</v>
      </c>
      <c r="F63" s="619"/>
      <c r="G63" s="619"/>
      <c r="H63" s="619"/>
      <c r="I63" s="619"/>
      <c r="J63" s="619"/>
      <c r="K63" s="620"/>
      <c r="L63" s="76" t="str">
        <f t="shared" si="12"/>
        <v/>
      </c>
      <c r="M63" s="161" t="str">
        <f>VLOOKUP(878,Sprachindex!$A:$Z,Info!$O$7,FALSE)</f>
        <v>Stk.</v>
      </c>
      <c r="N63" s="77"/>
      <c r="O63" s="184" t="str">
        <f t="shared" si="13"/>
        <v/>
      </c>
      <c r="P63" s="267"/>
      <c r="R63" s="182">
        <v>83.23</v>
      </c>
      <c r="S63" s="179"/>
      <c r="T63" s="179"/>
      <c r="U63" s="179"/>
      <c r="V63" s="179"/>
      <c r="W63" s="179"/>
      <c r="X63" s="179"/>
      <c r="Y63" s="179"/>
      <c r="Z63" s="179"/>
      <c r="AA63" s="179"/>
      <c r="AB63" s="179"/>
      <c r="AC63" s="129"/>
      <c r="AD63" s="139">
        <f>ROUNDUP($A63,0)</f>
        <v>0</v>
      </c>
      <c r="AE63" s="139">
        <f t="shared" si="10"/>
        <v>0</v>
      </c>
      <c r="AF63" s="135"/>
      <c r="AH63" s="538"/>
      <c r="AI63" s="538"/>
      <c r="AJ63" s="538"/>
      <c r="AK63" s="538"/>
      <c r="AL63" s="538"/>
      <c r="AM63" s="538"/>
      <c r="AN63" s="538"/>
      <c r="AO63" s="538"/>
      <c r="AP63" s="538"/>
      <c r="AQ63" s="538"/>
      <c r="AR63" s="539"/>
      <c r="AS63" s="539"/>
    </row>
    <row r="64" spans="1:426" ht="32.1" customHeight="1">
      <c r="A64" s="93"/>
      <c r="B64" s="76" t="str">
        <f>VLOOKUP(878,Sprachindex!$A:$Z,Info!$O$7,FALSE)</f>
        <v>Stk.</v>
      </c>
      <c r="C64" s="75" t="e" vm="35">
        <v>#VALUE!</v>
      </c>
      <c r="D64" s="75">
        <v>649306</v>
      </c>
      <c r="E64" s="618" t="str">
        <f>VLOOKUP(564,Sprachindex!$A:$Z,Info!$O$7,FALSE)</f>
        <v>Laufsteg (360 × 1.200 mm)</v>
      </c>
      <c r="F64" s="619"/>
      <c r="G64" s="619"/>
      <c r="H64" s="619"/>
      <c r="I64" s="619"/>
      <c r="J64" s="619"/>
      <c r="K64" s="620"/>
      <c r="L64" s="76" t="str">
        <f t="shared" si="12"/>
        <v/>
      </c>
      <c r="M64" s="161" t="str">
        <f>VLOOKUP(878,Sprachindex!$A:$Z,Info!$O$7,FALSE)</f>
        <v>Stk.</v>
      </c>
      <c r="N64" s="77"/>
      <c r="O64" s="184" t="str">
        <f t="shared" si="13"/>
        <v/>
      </c>
      <c r="P64" s="267"/>
      <c r="R64" s="182">
        <v>123.29</v>
      </c>
      <c r="S64" s="179"/>
      <c r="T64" s="179"/>
      <c r="U64" s="179"/>
      <c r="V64" s="179"/>
      <c r="W64" s="179"/>
      <c r="X64" s="179"/>
      <c r="Y64" s="179"/>
      <c r="Z64" s="179"/>
      <c r="AA64" s="179"/>
      <c r="AB64" s="179"/>
      <c r="AC64" s="129"/>
      <c r="AD64" s="139">
        <f>ROUNDUP($A64,0)</f>
        <v>0</v>
      </c>
      <c r="AE64" s="139">
        <f t="shared" si="10"/>
        <v>0</v>
      </c>
      <c r="AF64" s="135"/>
      <c r="AH64" s="119"/>
      <c r="AI64" s="119"/>
      <c r="AJ64" s="119"/>
      <c r="AK64" s="119"/>
      <c r="AL64" s="119"/>
      <c r="AM64" s="119"/>
      <c r="AN64" s="119"/>
      <c r="AO64" s="119"/>
      <c r="AP64" s="119"/>
      <c r="AQ64" s="119"/>
    </row>
    <row r="65" spans="1:58" ht="32.1" customHeight="1">
      <c r="A65" s="93"/>
      <c r="B65" s="76" t="str">
        <f>VLOOKUP(878,Sprachindex!$A:$Z,Info!$O$7,FALSE)</f>
        <v>Stk.</v>
      </c>
      <c r="C65" s="75" t="e" vm="38">
        <v>#VALUE!</v>
      </c>
      <c r="D65" s="80">
        <v>649001</v>
      </c>
      <c r="E65" s="618" t="str">
        <f>VLOOKUP(955,Sprachindex!$A:$Z,Info!$O$7,FALSE)</f>
        <v>Verbinder (verzinkt; für Laufsteg; Breite: 250 mm)</v>
      </c>
      <c r="F65" s="619"/>
      <c r="G65" s="619"/>
      <c r="H65" s="619"/>
      <c r="I65" s="619"/>
      <c r="J65" s="619"/>
      <c r="K65" s="620"/>
      <c r="L65" s="76" t="str">
        <f t="shared" si="12"/>
        <v/>
      </c>
      <c r="M65" s="161" t="str">
        <f>VLOOKUP(878,Sprachindex!$A:$Z,Info!$O$7,FALSE)</f>
        <v>Stk.</v>
      </c>
      <c r="N65" s="77"/>
      <c r="O65" s="184" t="str">
        <f t="shared" si="13"/>
        <v/>
      </c>
      <c r="P65" s="267"/>
      <c r="R65" s="182">
        <v>24.74</v>
      </c>
      <c r="S65" s="179"/>
      <c r="T65" s="179"/>
      <c r="U65" s="179"/>
      <c r="V65" s="179"/>
      <c r="W65" s="179"/>
      <c r="X65" s="179"/>
      <c r="Y65" s="179"/>
      <c r="Z65" s="179"/>
      <c r="AA65" s="179"/>
      <c r="AB65" s="179"/>
      <c r="AC65" s="129"/>
      <c r="AD65" s="139">
        <f>ROUNDUP($A65,0)</f>
        <v>0</v>
      </c>
      <c r="AE65" s="139">
        <f t="shared" si="10"/>
        <v>0</v>
      </c>
      <c r="AF65" s="135"/>
      <c r="AH65" s="540"/>
      <c r="AI65" s="540"/>
      <c r="AJ65" s="540"/>
      <c r="AK65" s="540"/>
      <c r="AL65" s="540"/>
      <c r="AM65" s="540"/>
      <c r="AN65" s="540"/>
      <c r="AO65" s="540"/>
      <c r="AP65" s="540"/>
      <c r="AQ65" s="540"/>
      <c r="AR65" s="540"/>
      <c r="AS65" s="540"/>
      <c r="AT65" s="20"/>
      <c r="AU65" s="20"/>
      <c r="AV65" s="20"/>
      <c r="AW65" s="20"/>
      <c r="AX65" s="20"/>
      <c r="AY65" s="20"/>
      <c r="AZ65" s="20"/>
      <c r="BA65" s="20"/>
    </row>
    <row r="66" spans="1:58" ht="32.1" customHeight="1">
      <c r="A66" s="93"/>
      <c r="B66" s="76" t="str">
        <f>VLOOKUP(878,Sprachindex!$A:$Z,Info!$O$7,FALSE)</f>
        <v>Stk.</v>
      </c>
      <c r="C66" s="75" t="e" vm="39">
        <v>#VALUE!</v>
      </c>
      <c r="D66" s="80">
        <v>649008</v>
      </c>
      <c r="E66" s="618" t="str">
        <f>VLOOKUP(956,Sprachindex!$A:$Z,Info!$O$7,FALSE)</f>
        <v>Verbinder (verzinkt; für Laufsteg; Breite: 360 mm)</v>
      </c>
      <c r="F66" s="619"/>
      <c r="G66" s="619"/>
      <c r="H66" s="619"/>
      <c r="I66" s="619"/>
      <c r="J66" s="619"/>
      <c r="K66" s="620"/>
      <c r="L66" s="76" t="str">
        <f t="shared" si="12"/>
        <v/>
      </c>
      <c r="M66" s="161" t="str">
        <f>VLOOKUP(878,Sprachindex!$A:$Z,Info!$O$7,FALSE)</f>
        <v>Stk.</v>
      </c>
      <c r="N66" s="77"/>
      <c r="O66" s="184" t="str">
        <f t="shared" si="13"/>
        <v/>
      </c>
      <c r="P66" s="267"/>
      <c r="R66" s="182">
        <v>54.66</v>
      </c>
      <c r="S66" s="179"/>
      <c r="T66" s="179"/>
      <c r="U66" s="179"/>
      <c r="V66" s="179"/>
      <c r="W66" s="179"/>
      <c r="X66" s="179"/>
      <c r="Y66" s="179"/>
      <c r="Z66" s="179"/>
      <c r="AA66" s="179"/>
      <c r="AB66" s="179"/>
      <c r="AC66" s="129"/>
      <c r="AD66" s="139">
        <f>ROUNDUP($A66,0)</f>
        <v>0</v>
      </c>
      <c r="AE66" s="139">
        <f t="shared" si="10"/>
        <v>0</v>
      </c>
      <c r="AF66" s="135"/>
      <c r="AH66" s="621" t="s">
        <v>26</v>
      </c>
      <c r="AI66" s="622"/>
      <c r="AJ66" s="622"/>
      <c r="AK66" s="622"/>
      <c r="AL66" s="622"/>
      <c r="AM66" s="622"/>
      <c r="AN66" s="622"/>
      <c r="AO66" s="622"/>
      <c r="AP66" s="622"/>
      <c r="AQ66" s="622"/>
      <c r="AR66" s="622"/>
      <c r="AS66" s="623"/>
      <c r="AT66" s="621" t="s">
        <v>27</v>
      </c>
      <c r="AU66" s="622"/>
      <c r="AV66" s="622"/>
      <c r="AW66" s="622"/>
      <c r="AX66" s="622"/>
      <c r="AY66" s="622"/>
      <c r="AZ66" s="622"/>
      <c r="BA66" s="622"/>
      <c r="BB66" s="622"/>
      <c r="BC66" s="622"/>
      <c r="BD66" s="623"/>
    </row>
    <row r="67" spans="1:58" ht="32.1" customHeight="1">
      <c r="A67" s="93"/>
      <c r="B67" s="76" t="str">
        <f>VLOOKUP(878,Sprachindex!$A:$Z,Info!$O$7,FALSE)</f>
        <v>Stk.</v>
      </c>
      <c r="C67" s="78" t="e" vm="40">
        <v>#VALUE!</v>
      </c>
      <c r="D67" s="80">
        <v>635661</v>
      </c>
      <c r="E67" s="618" t="str">
        <f>VLOOKUP(277,Sprachindex!$A:$Z,Info!$O$7,FALSE)</f>
        <v>Sicherheitsdachhaken auf Fußteilen</v>
      </c>
      <c r="F67" s="619"/>
      <c r="G67" s="619"/>
      <c r="H67" s="619"/>
      <c r="I67" s="619"/>
      <c r="J67" s="619"/>
      <c r="K67" s="620"/>
      <c r="L67" s="76" t="str">
        <f t="shared" si="12"/>
        <v/>
      </c>
      <c r="M67" s="161" t="str">
        <f>VLOOKUP(878,Sprachindex!$A:$Z,Info!$O$7,FALSE)</f>
        <v>Stk.</v>
      </c>
      <c r="N67" s="77"/>
      <c r="O67" s="184" t="str">
        <f t="shared" si="13"/>
        <v/>
      </c>
      <c r="P67" s="267"/>
      <c r="R67" s="182">
        <v>123.39</v>
      </c>
      <c r="S67" s="179"/>
      <c r="T67" s="179"/>
      <c r="U67" s="179"/>
      <c r="V67" s="179"/>
      <c r="W67" s="179"/>
      <c r="X67" s="179"/>
      <c r="Y67" s="179"/>
      <c r="Z67" s="179"/>
      <c r="AA67" s="179"/>
      <c r="AB67" s="179"/>
      <c r="AC67" s="129"/>
      <c r="AD67" s="139">
        <f>ROUNDUP($A67,0)</f>
        <v>0</v>
      </c>
      <c r="AE67" s="139">
        <f t="shared" si="10"/>
        <v>0</v>
      </c>
      <c r="AF67" s="135"/>
      <c r="AH67" s="47" t="s">
        <v>35</v>
      </c>
      <c r="AI67" s="47" t="s">
        <v>32</v>
      </c>
      <c r="AJ67" s="47" t="s">
        <v>40</v>
      </c>
      <c r="AK67" s="47" t="s">
        <v>37</v>
      </c>
      <c r="AL67" s="47" t="s">
        <v>33</v>
      </c>
      <c r="AM67" s="47" t="s">
        <v>39</v>
      </c>
      <c r="AN67" s="47" t="s">
        <v>34</v>
      </c>
      <c r="AO67" s="47" t="s">
        <v>38</v>
      </c>
      <c r="AP67" s="47" t="s">
        <v>41</v>
      </c>
      <c r="AQ67" s="47" t="s">
        <v>36</v>
      </c>
      <c r="AR67" s="47" t="s">
        <v>38962</v>
      </c>
      <c r="AS67" s="503" t="s">
        <v>39049</v>
      </c>
      <c r="AT67" s="47" t="s">
        <v>35</v>
      </c>
      <c r="AU67" s="47" t="s">
        <v>32</v>
      </c>
      <c r="AV67" s="47" t="s">
        <v>40</v>
      </c>
      <c r="AW67" s="47" t="s">
        <v>37</v>
      </c>
      <c r="AX67" s="47" t="s">
        <v>33</v>
      </c>
      <c r="AY67" s="47" t="s">
        <v>39</v>
      </c>
      <c r="AZ67" s="47" t="s">
        <v>34</v>
      </c>
      <c r="BA67" s="47" t="s">
        <v>38</v>
      </c>
      <c r="BB67" s="47" t="s">
        <v>41</v>
      </c>
      <c r="BC67" s="47" t="s">
        <v>36</v>
      </c>
      <c r="BD67" s="47" t="s">
        <v>38962</v>
      </c>
      <c r="BE67" s="503" t="s">
        <v>39049</v>
      </c>
      <c r="BF67" s="543"/>
    </row>
    <row r="68" spans="1:58" ht="32.1" customHeight="1">
      <c r="A68" s="93"/>
      <c r="B68" s="76" t="str">
        <f>VLOOKUP(878,Sprachindex!$A:$Z,Info!$O$7,FALSE)</f>
        <v>Stk.</v>
      </c>
      <c r="C68" s="78" t="e" vm="41">
        <v>#VALUE!</v>
      </c>
      <c r="D68" s="75" t="str">
        <f t="shared" ref="D68" si="15">IF(ISNUMBER(A68),AS68,"")</f>
        <v/>
      </c>
      <c r="E68" s="618" t="str">
        <f>VLOOKUP(822,Sprachindex!$A:$Z,Info!$O$7,FALSE)</f>
        <v>Sicherheitsdachhaken</v>
      </c>
      <c r="F68" s="619"/>
      <c r="G68" s="619"/>
      <c r="H68" s="619"/>
      <c r="I68" s="619"/>
      <c r="J68" s="619"/>
      <c r="K68" s="620"/>
      <c r="L68" s="76" t="str">
        <f t="shared" si="12"/>
        <v/>
      </c>
      <c r="M68" s="161" t="str">
        <f>VLOOKUP(878,Sprachindex!$A:$Z,Info!$O$7,FALSE)</f>
        <v>Stk.</v>
      </c>
      <c r="N68" s="77"/>
      <c r="O68" s="184" t="str">
        <f t="shared" si="13"/>
        <v/>
      </c>
      <c r="P68" s="267"/>
      <c r="R68" s="182">
        <v>32.479999999999997</v>
      </c>
      <c r="S68" s="179"/>
      <c r="T68" s="179"/>
      <c r="U68" s="179"/>
      <c r="V68" s="179"/>
      <c r="W68" s="179"/>
      <c r="X68" s="179"/>
      <c r="Y68" s="179"/>
      <c r="Z68" s="179"/>
      <c r="AA68" s="179"/>
      <c r="AB68" s="179"/>
      <c r="AC68" s="129"/>
      <c r="AD68" s="139">
        <f>ROUNDUP($A68/12,0)*12</f>
        <v>0</v>
      </c>
      <c r="AE68" s="139">
        <f t="shared" si="10"/>
        <v>0</v>
      </c>
      <c r="AF68" s="135"/>
      <c r="AH68" s="44">
        <v>120003</v>
      </c>
      <c r="AI68" s="44">
        <v>120000</v>
      </c>
      <c r="AJ68" s="44">
        <v>120008</v>
      </c>
      <c r="AK68" s="44">
        <v>120005</v>
      </c>
      <c r="AL68" s="44">
        <v>120001</v>
      </c>
      <c r="AM68" s="44">
        <v>120007</v>
      </c>
      <c r="AN68" s="44">
        <v>120002</v>
      </c>
      <c r="AO68" s="44">
        <v>120006</v>
      </c>
      <c r="AP68" s="44">
        <v>120009</v>
      </c>
      <c r="AQ68" s="44">
        <v>120004</v>
      </c>
      <c r="AR68" s="44">
        <v>14031028</v>
      </c>
      <c r="AS68" s="512" t="e" vm="2">
        <f>VLOOKUP(AH68,AH68:AR68,$P$21,FALSE)</f>
        <v>#VALUE!</v>
      </c>
      <c r="BE68" s="132"/>
      <c r="BF68" s="132"/>
    </row>
    <row r="69" spans="1:58" ht="32.1" customHeight="1">
      <c r="A69" s="93"/>
      <c r="B69" s="76" t="str">
        <f>VLOOKUP(878,Sprachindex!$A:$Z,Info!$O$7,FALSE)</f>
        <v>Stk.</v>
      </c>
      <c r="C69" s="78"/>
      <c r="D69" s="75" t="str">
        <f>IF(ISNUMBER(A69),BE69,"")</f>
        <v/>
      </c>
      <c r="E69" s="618" t="str">
        <f>VLOOKUP(2946,Sprachindex!$A:$Z,Info!$O$7,FALSE)</f>
        <v>Einfassungsplatte für Dachplatte R.16; Stucco; ⌀ 80–125 mm</v>
      </c>
      <c r="F69" s="619"/>
      <c r="G69" s="619"/>
      <c r="H69" s="619"/>
      <c r="I69" s="619"/>
      <c r="J69" s="619"/>
      <c r="K69" s="620"/>
      <c r="L69" s="76" t="str">
        <f t="shared" ref="L69:L95" si="16">IF(A69=0,"",IF($P$11=1,AD69,AE69))</f>
        <v/>
      </c>
      <c r="M69" s="399" t="str">
        <f t="shared" si="8"/>
        <v>Stk.</v>
      </c>
      <c r="N69" s="77"/>
      <c r="O69" s="184" t="str">
        <f t="shared" ref="O69:O101" si="17">IF(ISNUMBER(A69),$L69*R69, "")</f>
        <v/>
      </c>
      <c r="R69" s="182">
        <v>122.36</v>
      </c>
      <c r="S69" s="179"/>
      <c r="AD69" s="139">
        <f>ROUNDUP($A69,0)</f>
        <v>0</v>
      </c>
      <c r="AE69" s="139">
        <f t="shared" ref="AE69:AE79" si="18">ROUNDUP($A69,0)</f>
        <v>0</v>
      </c>
      <c r="AH69" s="542">
        <v>112061</v>
      </c>
      <c r="AI69" s="542">
        <v>112062</v>
      </c>
      <c r="AJ69" s="542">
        <v>112063</v>
      </c>
      <c r="AK69" s="542">
        <v>112064</v>
      </c>
      <c r="AL69" s="542">
        <v>112065</v>
      </c>
      <c r="AM69" s="542">
        <v>112066</v>
      </c>
      <c r="AN69" s="542">
        <v>112068</v>
      </c>
      <c r="AO69" s="542">
        <v>112067</v>
      </c>
      <c r="AP69" s="542">
        <v>112069</v>
      </c>
      <c r="AQ69" s="542">
        <v>112070</v>
      </c>
      <c r="AR69" s="542"/>
      <c r="AS69" s="512"/>
      <c r="AT69" s="432">
        <v>112863</v>
      </c>
      <c r="AU69" s="432">
        <v>112860</v>
      </c>
      <c r="AV69" s="432">
        <v>112868</v>
      </c>
      <c r="AW69" s="432">
        <v>112865</v>
      </c>
      <c r="AX69" s="432">
        <v>112861</v>
      </c>
      <c r="AY69" s="432">
        <v>112867</v>
      </c>
      <c r="AZ69" s="432">
        <v>112862</v>
      </c>
      <c r="BA69" s="432">
        <v>112866</v>
      </c>
      <c r="BB69" s="432">
        <v>112869</v>
      </c>
      <c r="BC69" s="432">
        <v>112864</v>
      </c>
      <c r="BD69" s="432">
        <v>12731028</v>
      </c>
      <c r="BE69" s="512" t="e" vm="2">
        <f>VLOOKUP(AT69,AT69:BD69,$P$21,FALSE)</f>
        <v>#VALUE!</v>
      </c>
    </row>
    <row r="70" spans="1:58" ht="32.1" customHeight="1">
      <c r="A70" s="93"/>
      <c r="B70" s="76" t="str">
        <f>VLOOKUP(878,Sprachindex!$A:$Z,Info!$O$7,FALSE)</f>
        <v>Stk.</v>
      </c>
      <c r="C70" s="78" t="e" vm="43">
        <v>#VALUE!</v>
      </c>
      <c r="D70" s="75" t="str">
        <f>IF(ISNUMBER(A70),BE70,"")</f>
        <v/>
      </c>
      <c r="E70" s="618" t="str">
        <f>VLOOKUP(2942,Sprachindex!$A:$Z,Info!$O$7,FALSE)</f>
        <v>Einfassungsplatte, zum Einfalzen; Stucco</v>
      </c>
      <c r="F70" s="619"/>
      <c r="G70" s="619"/>
      <c r="H70" s="619"/>
      <c r="I70" s="619"/>
      <c r="J70" s="619"/>
      <c r="K70" s="620"/>
      <c r="L70" s="76" t="str">
        <f t="shared" si="16"/>
        <v/>
      </c>
      <c r="M70" s="161" t="str">
        <f>VLOOKUP(878,Sprachindex!$A:$Z,Info!$O$7,FALSE)</f>
        <v>Stk.</v>
      </c>
      <c r="N70" s="77"/>
      <c r="O70" s="184" t="str">
        <f t="shared" si="17"/>
        <v/>
      </c>
      <c r="P70" s="267"/>
      <c r="R70" s="182">
        <v>115.36</v>
      </c>
      <c r="S70" s="179"/>
      <c r="T70" s="179"/>
      <c r="U70" s="179"/>
      <c r="V70" s="179"/>
      <c r="W70" s="179"/>
      <c r="X70" s="179"/>
      <c r="Y70" s="179"/>
      <c r="Z70" s="179"/>
      <c r="AA70" s="179"/>
      <c r="AB70" s="179"/>
      <c r="AC70" s="129"/>
      <c r="AD70" s="139">
        <f>ROUNDUP($A70/5,0)*5</f>
        <v>0</v>
      </c>
      <c r="AE70" s="139">
        <f t="shared" si="18"/>
        <v>0</v>
      </c>
      <c r="AF70" s="135"/>
      <c r="AH70" s="542">
        <v>110233</v>
      </c>
      <c r="AI70" s="542">
        <v>110230</v>
      </c>
      <c r="AJ70" s="542">
        <v>110238</v>
      </c>
      <c r="AK70" s="542">
        <v>110235</v>
      </c>
      <c r="AL70" s="542">
        <v>110231</v>
      </c>
      <c r="AM70" s="542">
        <v>110237</v>
      </c>
      <c r="AN70" s="542">
        <v>110232</v>
      </c>
      <c r="AO70" s="542">
        <v>110236</v>
      </c>
      <c r="AP70" s="542">
        <v>110239</v>
      </c>
      <c r="AQ70" s="542">
        <v>110234</v>
      </c>
      <c r="AR70" s="542"/>
      <c r="AS70" s="512"/>
      <c r="AT70" s="432">
        <v>112883</v>
      </c>
      <c r="AU70" s="541">
        <v>112880</v>
      </c>
      <c r="AV70" s="432">
        <v>112888</v>
      </c>
      <c r="AW70" s="432">
        <v>112885</v>
      </c>
      <c r="AX70" s="432">
        <v>112881</v>
      </c>
      <c r="AY70" s="432">
        <v>112887</v>
      </c>
      <c r="AZ70" s="432">
        <v>112882</v>
      </c>
      <c r="BA70" s="432">
        <v>112886</v>
      </c>
      <c r="BB70" s="432">
        <v>112889</v>
      </c>
      <c r="BC70" s="432">
        <v>112884</v>
      </c>
      <c r="BD70" s="432">
        <v>15011028</v>
      </c>
      <c r="BE70" s="512" t="e" vm="2">
        <f>VLOOKUP(AT70,AT70:BD70,$P$21,FALSE)</f>
        <v>#VALUE!</v>
      </c>
      <c r="BF70" s="544"/>
    </row>
    <row r="71" spans="1:58" ht="32.1" customHeight="1">
      <c r="A71" s="93"/>
      <c r="B71" s="76" t="str">
        <f>VLOOKUP(878,Sprachindex!$A:$Z,Info!$O$7,FALSE)</f>
        <v>Stk.</v>
      </c>
      <c r="C71" s="78" t="e" vm="44">
        <v>#VALUE!</v>
      </c>
      <c r="D71" s="75" t="str">
        <f>IF(ISNUMBER(A71),BE71,"")</f>
        <v/>
      </c>
      <c r="E71" s="618" t="str">
        <f>VLOOKUP(926,Sprachindex!$A:$Z,Info!$O$7,FALSE)</f>
        <v>Universaleinfassung (2-teilig); stucco; ⌀ 40–120 mm</v>
      </c>
      <c r="F71" s="619"/>
      <c r="G71" s="619"/>
      <c r="H71" s="619"/>
      <c r="I71" s="619"/>
      <c r="J71" s="619"/>
      <c r="K71" s="620"/>
      <c r="L71" s="76" t="str">
        <f t="shared" si="16"/>
        <v/>
      </c>
      <c r="M71" s="161" t="str">
        <f>VLOOKUP(878,Sprachindex!$A:$Z,Info!$O$7,FALSE)</f>
        <v>Stk.</v>
      </c>
      <c r="N71" s="77"/>
      <c r="O71" s="184" t="str">
        <f t="shared" si="17"/>
        <v/>
      </c>
      <c r="P71" s="267"/>
      <c r="R71" s="182">
        <v>122.16</v>
      </c>
      <c r="S71" s="179"/>
      <c r="T71" s="179"/>
      <c r="U71" s="179"/>
      <c r="V71" s="179"/>
      <c r="W71" s="179"/>
      <c r="X71" s="179"/>
      <c r="Y71" s="179"/>
      <c r="Z71" s="179"/>
      <c r="AA71" s="179"/>
      <c r="AB71" s="179"/>
      <c r="AC71" s="129"/>
      <c r="AD71" s="139">
        <f>ROUNDUP($A71,0)</f>
        <v>0</v>
      </c>
      <c r="AE71" s="139">
        <f t="shared" si="18"/>
        <v>0</v>
      </c>
      <c r="AF71" s="135"/>
      <c r="AH71" s="542"/>
      <c r="AI71" s="542"/>
      <c r="AJ71" s="542"/>
      <c r="AK71" s="542"/>
      <c r="AL71" s="542"/>
      <c r="AM71" s="542"/>
      <c r="AN71" s="542"/>
      <c r="AO71" s="542"/>
      <c r="AP71" s="542"/>
      <c r="AQ71" s="542"/>
      <c r="AR71" s="542"/>
      <c r="AS71" s="512"/>
      <c r="AT71" s="432">
        <v>110243</v>
      </c>
      <c r="AU71" s="432">
        <v>110240</v>
      </c>
      <c r="AV71" s="432">
        <v>110248</v>
      </c>
      <c r="AW71" s="432">
        <v>110245</v>
      </c>
      <c r="AX71" s="432">
        <v>110241</v>
      </c>
      <c r="AY71" s="432">
        <v>110247</v>
      </c>
      <c r="AZ71" s="432">
        <v>110242</v>
      </c>
      <c r="BA71" s="432">
        <v>110246</v>
      </c>
      <c r="BB71" s="432">
        <v>110249</v>
      </c>
      <c r="BC71" s="432">
        <v>110244</v>
      </c>
      <c r="BD71" s="432">
        <v>15031028</v>
      </c>
      <c r="BE71" s="512" t="e" vm="2">
        <f>VLOOKUP(AT71,AT71:BD71,$P$21,FALSE)</f>
        <v>#VALUE!</v>
      </c>
    </row>
    <row r="72" spans="1:58" ht="32.1" customHeight="1">
      <c r="A72" s="93"/>
      <c r="B72" s="76" t="str">
        <f>VLOOKUP(878,Sprachindex!$A:$Z,Info!$O$7,FALSE)</f>
        <v>Stk.</v>
      </c>
      <c r="C72" s="78" t="e" vm="45">
        <v>#VALUE!</v>
      </c>
      <c r="D72" s="75" t="str">
        <f t="shared" ref="D72:D74" si="19">IF(ISNUMBER(A72),AS72,"")</f>
        <v/>
      </c>
      <c r="E72" s="618" t="str">
        <f>VLOOKUP(364,Sprachindex!$A:$Z,Info!$O$7,FALSE)</f>
        <v>Entlüftungshaube (⌀ 100; glatt)</v>
      </c>
      <c r="F72" s="619"/>
      <c r="G72" s="619"/>
      <c r="H72" s="619"/>
      <c r="I72" s="619"/>
      <c r="J72" s="619"/>
      <c r="K72" s="620"/>
      <c r="L72" s="76" t="str">
        <f t="shared" si="16"/>
        <v/>
      </c>
      <c r="M72" s="161" t="str">
        <f>VLOOKUP(878,Sprachindex!$A:$Z,Info!$O$7,FALSE)</f>
        <v>Stk.</v>
      </c>
      <c r="N72" s="77"/>
      <c r="O72" s="184" t="str">
        <f t="shared" si="17"/>
        <v/>
      </c>
      <c r="P72" s="267"/>
      <c r="R72" s="182">
        <v>192.1</v>
      </c>
      <c r="S72" s="179"/>
      <c r="T72" s="179"/>
      <c r="U72" s="179"/>
      <c r="V72" s="179"/>
      <c r="W72" s="179"/>
      <c r="X72" s="179"/>
      <c r="Y72" s="179"/>
      <c r="Z72" s="179"/>
      <c r="AA72" s="179"/>
      <c r="AB72" s="179"/>
      <c r="AC72" s="129"/>
      <c r="AD72" s="139">
        <f>ROUNDUP($A72,0)</f>
        <v>0</v>
      </c>
      <c r="AE72" s="139">
        <f t="shared" si="18"/>
        <v>0</v>
      </c>
      <c r="AF72" s="135"/>
      <c r="AH72" s="433">
        <v>110283</v>
      </c>
      <c r="AI72" s="433">
        <v>110280</v>
      </c>
      <c r="AJ72" s="433">
        <v>110288</v>
      </c>
      <c r="AK72" s="433">
        <v>110285</v>
      </c>
      <c r="AL72" s="433">
        <v>110281</v>
      </c>
      <c r="AM72" s="433">
        <v>110287</v>
      </c>
      <c r="AN72" s="433">
        <v>110282</v>
      </c>
      <c r="AO72" s="433">
        <v>110286</v>
      </c>
      <c r="AP72" s="433">
        <v>110289</v>
      </c>
      <c r="AQ72" s="433">
        <v>110284</v>
      </c>
      <c r="AR72" s="433">
        <v>15071028</v>
      </c>
      <c r="AS72" s="512" t="e" vm="2">
        <f>VLOOKUP(AH72,AH72:AR72,$P$21,FALSE)</f>
        <v>#VALUE!</v>
      </c>
    </row>
    <row r="73" spans="1:58" ht="32.1" customHeight="1">
      <c r="A73" s="93"/>
      <c r="B73" s="76" t="str">
        <f>VLOOKUP(878,Sprachindex!$A:$Z,Info!$O$7,FALSE)</f>
        <v>Stk.</v>
      </c>
      <c r="C73" s="78" t="e" vm="46">
        <v>#VALUE!</v>
      </c>
      <c r="D73" s="75" t="str">
        <f t="shared" si="19"/>
        <v/>
      </c>
      <c r="E73" s="618" t="str">
        <f>VLOOKUP(366,Sprachindex!$A:$Z,Info!$O$7,FALSE)</f>
        <v>Entlüftungsrohr (⌀ 100; passend für HT-Rohr [NW 110])</v>
      </c>
      <c r="F73" s="619"/>
      <c r="G73" s="619"/>
      <c r="H73" s="619"/>
      <c r="I73" s="619"/>
      <c r="J73" s="619"/>
      <c r="K73" s="620"/>
      <c r="L73" s="76" t="str">
        <f t="shared" si="16"/>
        <v/>
      </c>
      <c r="M73" s="161" t="str">
        <f>VLOOKUP(878,Sprachindex!$A:$Z,Info!$O$7,FALSE)</f>
        <v>Stk.</v>
      </c>
      <c r="N73" s="77"/>
      <c r="O73" s="184" t="str">
        <f t="shared" si="17"/>
        <v/>
      </c>
      <c r="P73" s="267"/>
      <c r="R73" s="182">
        <v>79.069999999999993</v>
      </c>
      <c r="S73" s="179"/>
      <c r="T73" s="179"/>
      <c r="U73" s="179"/>
      <c r="V73" s="179"/>
      <c r="W73" s="179"/>
      <c r="X73" s="179"/>
      <c r="Y73" s="179"/>
      <c r="Z73" s="179"/>
      <c r="AA73" s="179"/>
      <c r="AB73" s="179"/>
      <c r="AC73" s="129"/>
      <c r="AD73" s="139">
        <f>ROUNDUP($A73,0)</f>
        <v>0</v>
      </c>
      <c r="AE73" s="139">
        <f t="shared" si="18"/>
        <v>0</v>
      </c>
      <c r="AF73" s="135"/>
      <c r="AH73" s="433">
        <v>110203</v>
      </c>
      <c r="AI73" s="433">
        <v>110200</v>
      </c>
      <c r="AJ73" s="433">
        <v>110208</v>
      </c>
      <c r="AK73" s="433">
        <v>110205</v>
      </c>
      <c r="AL73" s="433">
        <v>110201</v>
      </c>
      <c r="AM73" s="433">
        <v>110207</v>
      </c>
      <c r="AN73" s="433">
        <v>110202</v>
      </c>
      <c r="AO73" s="433">
        <v>110206</v>
      </c>
      <c r="AP73" s="433">
        <v>121015</v>
      </c>
      <c r="AQ73" s="433">
        <v>110204</v>
      </c>
      <c r="AR73" s="433">
        <v>15081028</v>
      </c>
      <c r="AS73" s="512" t="e" vm="2">
        <f>VLOOKUP(AH73,AH73:AR73,$P$21,FALSE)</f>
        <v>#VALUE!</v>
      </c>
    </row>
    <row r="74" spans="1:58" ht="32.1" customHeight="1">
      <c r="A74" s="93"/>
      <c r="B74" s="76" t="str">
        <f>VLOOKUP(878,Sprachindex!$A:$Z,Info!$O$7,FALSE)</f>
        <v>Stk.</v>
      </c>
      <c r="C74" s="78" t="e" vm="47">
        <v>#VALUE!</v>
      </c>
      <c r="D74" s="75" t="str">
        <f t="shared" si="19"/>
        <v/>
      </c>
      <c r="E74" s="618" t="str">
        <f>VLOOKUP(368,Sprachindex!$A:$Z,Info!$O$7,FALSE)</f>
        <v>Entlüftungsrohr (⌀ 120; passend für HT-Rohr [NW 125])</v>
      </c>
      <c r="F74" s="619"/>
      <c r="G74" s="619"/>
      <c r="H74" s="619"/>
      <c r="I74" s="619"/>
      <c r="J74" s="619"/>
      <c r="K74" s="620"/>
      <c r="L74" s="76" t="str">
        <f t="shared" si="16"/>
        <v/>
      </c>
      <c r="M74" s="161" t="str">
        <f>VLOOKUP(878,Sprachindex!$A:$Z,Info!$O$7,FALSE)</f>
        <v>Stk.</v>
      </c>
      <c r="N74" s="77"/>
      <c r="O74" s="184" t="str">
        <f t="shared" si="17"/>
        <v/>
      </c>
      <c r="P74" s="267"/>
      <c r="R74" s="182">
        <v>83.85</v>
      </c>
      <c r="S74" s="179"/>
      <c r="T74" s="179"/>
      <c r="U74" s="179"/>
      <c r="V74" s="179"/>
      <c r="W74" s="179"/>
      <c r="X74" s="179"/>
      <c r="Y74" s="179"/>
      <c r="Z74" s="179"/>
      <c r="AA74" s="179"/>
      <c r="AB74" s="179"/>
      <c r="AC74" s="129"/>
      <c r="AD74" s="139">
        <f>ROUNDUP($A74,0)</f>
        <v>0</v>
      </c>
      <c r="AE74" s="139">
        <f t="shared" si="18"/>
        <v>0</v>
      </c>
      <c r="AF74" s="135"/>
      <c r="AH74" s="433">
        <v>110213</v>
      </c>
      <c r="AI74" s="433">
        <v>110210</v>
      </c>
      <c r="AJ74" s="433">
        <v>110218</v>
      </c>
      <c r="AK74" s="433">
        <v>110215</v>
      </c>
      <c r="AL74" s="433">
        <v>110211</v>
      </c>
      <c r="AM74" s="433">
        <v>110217</v>
      </c>
      <c r="AN74" s="433">
        <v>110212</v>
      </c>
      <c r="AO74" s="433">
        <v>110216</v>
      </c>
      <c r="AP74" s="433">
        <v>121025</v>
      </c>
      <c r="AQ74" s="433">
        <v>110214</v>
      </c>
      <c r="AR74" s="433">
        <v>15091028</v>
      </c>
      <c r="AS74" s="512" t="e" vm="2">
        <f>VLOOKUP(AH74,AH74:AR74,$P$21,FALSE)</f>
        <v>#VALUE!</v>
      </c>
    </row>
    <row r="75" spans="1:58" ht="32.1" customHeight="1">
      <c r="A75" s="93"/>
      <c r="B75" s="76" t="str">
        <f>VLOOKUP(878,Sprachindex!$A:$Z,Info!$O$7,FALSE)</f>
        <v>Stk.</v>
      </c>
      <c r="C75" s="78" t="e" vm="48">
        <v>#VALUE!</v>
      </c>
      <c r="D75" s="80">
        <v>340943</v>
      </c>
      <c r="E75" s="618" t="str">
        <f>VLOOKUP(379,Sprachindex!$A:$Z,Info!$O$7,FALSE)</f>
        <v>Faltmanschette (Ø 100–130)</v>
      </c>
      <c r="F75" s="619"/>
      <c r="G75" s="619"/>
      <c r="H75" s="619"/>
      <c r="I75" s="619"/>
      <c r="J75" s="619"/>
      <c r="K75" s="620"/>
      <c r="L75" s="76" t="str">
        <f t="shared" si="16"/>
        <v/>
      </c>
      <c r="M75" s="161" t="str">
        <f>VLOOKUP(878,Sprachindex!$A:$Z,Info!$O$7,FALSE)</f>
        <v>Stk.</v>
      </c>
      <c r="N75" s="77"/>
      <c r="O75" s="184" t="str">
        <f t="shared" si="17"/>
        <v/>
      </c>
      <c r="P75" s="267"/>
      <c r="R75" s="182">
        <v>38.86</v>
      </c>
      <c r="S75" s="179"/>
      <c r="T75" s="179"/>
      <c r="U75" s="179"/>
      <c r="V75" s="179"/>
      <c r="W75" s="179"/>
      <c r="X75" s="179"/>
      <c r="Y75" s="179"/>
      <c r="Z75" s="179"/>
      <c r="AA75" s="179"/>
      <c r="AB75" s="179"/>
      <c r="AC75" s="129"/>
      <c r="AD75" s="139">
        <f>ROUNDUP($A75,0)</f>
        <v>0</v>
      </c>
      <c r="AE75" s="139">
        <f t="shared" si="18"/>
        <v>0</v>
      </c>
      <c r="AF75" s="135"/>
      <c r="AS75" s="512"/>
      <c r="AT75" s="47" t="s">
        <v>35</v>
      </c>
      <c r="AU75" s="47" t="s">
        <v>32</v>
      </c>
      <c r="AV75" s="47" t="s">
        <v>40</v>
      </c>
      <c r="AW75" s="47" t="s">
        <v>37</v>
      </c>
      <c r="AX75" s="47" t="s">
        <v>33</v>
      </c>
      <c r="AY75" s="47" t="s">
        <v>39</v>
      </c>
      <c r="AZ75" s="47" t="s">
        <v>34</v>
      </c>
      <c r="BA75" s="47" t="s">
        <v>38</v>
      </c>
      <c r="BB75" s="47" t="s">
        <v>41</v>
      </c>
      <c r="BC75" s="47" t="s">
        <v>36</v>
      </c>
      <c r="BD75" s="47" t="s">
        <v>38962</v>
      </c>
      <c r="BE75" s="132"/>
      <c r="BF75" s="132"/>
    </row>
    <row r="76" spans="1:58" ht="32.1" customHeight="1">
      <c r="A76" s="93"/>
      <c r="B76" s="76" t="str">
        <f>VLOOKUP(878,Sprachindex!$A:$Z,Info!$O$7,FALSE)</f>
        <v>Stk.</v>
      </c>
      <c r="C76" s="78" t="e" vm="96">
        <v>#VALUE!</v>
      </c>
      <c r="D76" s="75" t="str">
        <f>IF($P$9=1,BE76,IF($P$9=2,AS76,""))</f>
        <v/>
      </c>
      <c r="E76" s="618" t="str">
        <f>IF($P$9=1,VLOOKUP(936,Sprachindex!$A:$Z,Info!$O$7,FALSE),VLOOKUP(2943,Sprachindex!$A:$Z,Info!$O$7,FALSE))</f>
        <v>Unterlagsplatte (540 × 125 mm [Länge × Breite]; glatt)</v>
      </c>
      <c r="F76" s="619"/>
      <c r="G76" s="619"/>
      <c r="H76" s="619"/>
      <c r="I76" s="619"/>
      <c r="J76" s="619"/>
      <c r="K76" s="620"/>
      <c r="L76" s="76" t="str">
        <f t="shared" si="16"/>
        <v/>
      </c>
      <c r="M76" s="399" t="str">
        <f t="shared" si="8"/>
        <v>Stk.</v>
      </c>
      <c r="N76" s="77"/>
      <c r="O76" s="184" t="str">
        <f t="shared" si="17"/>
        <v/>
      </c>
      <c r="R76" s="182">
        <v>11.04</v>
      </c>
      <c r="S76" s="179"/>
      <c r="AD76" s="139">
        <f>ROUNDUP($A76/15,0)*15</f>
        <v>0</v>
      </c>
      <c r="AE76" s="139">
        <f t="shared" si="18"/>
        <v>0</v>
      </c>
      <c r="AH76" s="433">
        <v>110363</v>
      </c>
      <c r="AI76" s="433">
        <v>110360</v>
      </c>
      <c r="AJ76" s="433">
        <v>110368</v>
      </c>
      <c r="AK76" s="433">
        <v>110365</v>
      </c>
      <c r="AL76" s="433">
        <v>110361</v>
      </c>
      <c r="AM76" s="433">
        <v>110367</v>
      </c>
      <c r="AN76" s="433">
        <v>110362</v>
      </c>
      <c r="AO76" s="433">
        <v>110366</v>
      </c>
      <c r="AP76" s="433">
        <v>110369</v>
      </c>
      <c r="AQ76" s="433">
        <v>110364</v>
      </c>
      <c r="AR76" s="433">
        <v>15531028</v>
      </c>
      <c r="AS76" s="512" t="e" vm="2">
        <f t="shared" ref="AS76:AS92" si="20">VLOOKUP(AH76,AH76:AR76,$P$21,FALSE)</f>
        <v>#VALUE!</v>
      </c>
      <c r="AT76" s="432">
        <v>110373</v>
      </c>
      <c r="AU76" s="432">
        <v>110370</v>
      </c>
      <c r="AV76" s="432">
        <v>110378</v>
      </c>
      <c r="AW76" s="432">
        <v>110375</v>
      </c>
      <c r="AX76" s="432">
        <v>110371</v>
      </c>
      <c r="AY76" s="432">
        <v>110377</v>
      </c>
      <c r="AZ76" s="432">
        <v>110372</v>
      </c>
      <c r="BA76" s="432">
        <v>110376</v>
      </c>
      <c r="BB76" s="432">
        <v>110379</v>
      </c>
      <c r="BC76" s="432">
        <v>110374</v>
      </c>
      <c r="BD76" s="432">
        <v>15541028</v>
      </c>
      <c r="BE76" s="512" t="e" vm="2">
        <f>VLOOKUP(AT76,AT76:BD76,$P$21,FALSE)</f>
        <v>#VALUE!</v>
      </c>
    </row>
    <row r="77" spans="1:58" ht="32.1" customHeight="1">
      <c r="A77" s="93"/>
      <c r="B77" s="76" t="str">
        <f>VLOOKUP(878,Sprachindex!$A:$Z,Info!$O$7,FALSE)</f>
        <v>Stk.</v>
      </c>
      <c r="C77" s="78" t="e" vm="97">
        <v>#VALUE!</v>
      </c>
      <c r="D77" s="75" t="str">
        <f>IF(ISNUMBER(A77),AS77,"")</f>
        <v/>
      </c>
      <c r="E77" s="618" t="str">
        <f>VLOOKUP(798,Sprachindex!$A:$Z,Info!$O$7,FALSE)</f>
        <v>Schneestopper für Dachplatte R.16, FX.12 und DS.19</v>
      </c>
      <c r="F77" s="619"/>
      <c r="G77" s="619"/>
      <c r="H77" s="619"/>
      <c r="I77" s="619"/>
      <c r="J77" s="619"/>
      <c r="K77" s="620"/>
      <c r="L77" s="76" t="str">
        <f>IF(A77=0,"",IF($P$11=1,AD77,AE77))</f>
        <v/>
      </c>
      <c r="M77" s="399" t="str">
        <f t="shared" si="8"/>
        <v>Stk.</v>
      </c>
      <c r="N77" s="77"/>
      <c r="O77" s="184" t="str">
        <f t="shared" si="17"/>
        <v/>
      </c>
      <c r="R77" s="182">
        <v>1.79</v>
      </c>
      <c r="S77" s="179"/>
      <c r="AC77" s="1"/>
      <c r="AD77" s="139">
        <f>ROUNDUP($A77/100,0)*100</f>
        <v>0</v>
      </c>
      <c r="AE77" s="139">
        <f t="shared" si="18"/>
        <v>0</v>
      </c>
      <c r="AF77" s="8"/>
      <c r="AG77" s="5"/>
      <c r="AH77" s="44">
        <v>112044</v>
      </c>
      <c r="AI77" s="44">
        <v>112041</v>
      </c>
      <c r="AJ77" s="44">
        <v>112049</v>
      </c>
      <c r="AK77" s="44">
        <v>112046</v>
      </c>
      <c r="AL77" s="44">
        <v>112042</v>
      </c>
      <c r="AM77" s="44">
        <v>112047</v>
      </c>
      <c r="AN77" s="44">
        <v>112043</v>
      </c>
      <c r="AO77" s="44">
        <v>112048</v>
      </c>
      <c r="AP77" s="44">
        <v>112050</v>
      </c>
      <c r="AQ77" s="44">
        <v>112045</v>
      </c>
      <c r="AR77" s="44">
        <v>15481028</v>
      </c>
      <c r="AS77" s="512" t="e" vm="2">
        <f>VLOOKUP(AH77,AH77:AR77,$P$21,FALSE)</f>
        <v>#VALUE!</v>
      </c>
    </row>
    <row r="78" spans="1:58" ht="32.1" customHeight="1">
      <c r="A78" s="93"/>
      <c r="B78" s="76" t="str">
        <f>VLOOKUP(878,Sprachindex!$A:$Z,Info!$O$7,FALSE)</f>
        <v>Stk.</v>
      </c>
      <c r="C78" s="78" t="e" vm="51">
        <v>#VALUE!</v>
      </c>
      <c r="D78" s="75" t="str">
        <f>IF(ISNUMBER(A78),AS78,"")</f>
        <v/>
      </c>
      <c r="E78" s="618" t="str">
        <f>VLOOKUP(2190,Sprachindex!$A:$Z,Info!$O$7,FALSE)</f>
        <v>Haken für Schneerechensystem, inkl. Befestigungsmaterial</v>
      </c>
      <c r="F78" s="619"/>
      <c r="G78" s="619"/>
      <c r="H78" s="619"/>
      <c r="I78" s="619"/>
      <c r="J78" s="619"/>
      <c r="K78" s="620"/>
      <c r="L78" s="76" t="str">
        <f t="shared" si="16"/>
        <v/>
      </c>
      <c r="M78" s="161" t="str">
        <f>VLOOKUP(878,Sprachindex!$A:$Z,Info!$O$7,FALSE)</f>
        <v>Stk.</v>
      </c>
      <c r="N78" s="77"/>
      <c r="O78" s="184" t="str">
        <f t="shared" si="17"/>
        <v/>
      </c>
      <c r="P78" s="267"/>
      <c r="R78" s="182">
        <v>57.49</v>
      </c>
      <c r="S78" s="179"/>
      <c r="T78" s="179"/>
      <c r="U78" s="179"/>
      <c r="V78" s="179"/>
      <c r="W78" s="179"/>
      <c r="X78" s="179"/>
      <c r="Y78" s="179"/>
      <c r="Z78" s="179"/>
      <c r="AA78" s="179"/>
      <c r="AB78" s="179"/>
      <c r="AC78" s="129"/>
      <c r="AD78" s="139">
        <f>ROUNDUP($A78/10,0)*10</f>
        <v>0</v>
      </c>
      <c r="AE78" s="139">
        <f t="shared" si="18"/>
        <v>0</v>
      </c>
      <c r="AF78" s="135"/>
      <c r="AH78" s="44">
        <v>120183</v>
      </c>
      <c r="AI78" s="44">
        <v>120180</v>
      </c>
      <c r="AJ78" s="44">
        <v>120188</v>
      </c>
      <c r="AK78" s="44">
        <v>120185</v>
      </c>
      <c r="AL78" s="44">
        <v>120181</v>
      </c>
      <c r="AM78" s="44">
        <v>120187</v>
      </c>
      <c r="AN78" s="44">
        <v>120182</v>
      </c>
      <c r="AO78" s="44">
        <v>120186</v>
      </c>
      <c r="AP78" s="44">
        <v>120189</v>
      </c>
      <c r="AQ78" s="44">
        <v>120184</v>
      </c>
      <c r="AR78" s="44">
        <v>14121028</v>
      </c>
      <c r="AS78" s="512" t="e" vm="2">
        <f t="shared" si="20"/>
        <v>#VALUE!</v>
      </c>
    </row>
    <row r="79" spans="1:58" ht="32.1" customHeight="1">
      <c r="A79" s="93"/>
      <c r="B79" s="76" t="str">
        <f>VLOOKUP(878,Sprachindex!$A:$Z,Info!$O$7,FALSE)</f>
        <v>Stk.</v>
      </c>
      <c r="C79" s="78" t="e" vm="52">
        <v>#VALUE!</v>
      </c>
      <c r="D79" s="75" t="str">
        <f t="shared" ref="D79:D92" si="21">IF(ISNUMBER(A79),AS79,"")</f>
        <v/>
      </c>
      <c r="E79" s="618" t="str">
        <f>VLOOKUP(2191,Sprachindex!$A:$Z,Info!$O$7,FALSE)</f>
        <v>Haken für Schneerechensystem XL, inkl. Befestigungsmaterial</v>
      </c>
      <c r="F79" s="619"/>
      <c r="G79" s="619"/>
      <c r="H79" s="619"/>
      <c r="I79" s="619"/>
      <c r="J79" s="619"/>
      <c r="K79" s="620"/>
      <c r="L79" s="76" t="str">
        <f t="shared" si="16"/>
        <v/>
      </c>
      <c r="M79" s="161" t="str">
        <f>VLOOKUP(878,Sprachindex!$A:$Z,Info!$O$7,FALSE)</f>
        <v>Stk.</v>
      </c>
      <c r="N79" s="77"/>
      <c r="O79" s="184" t="str">
        <f t="shared" si="17"/>
        <v/>
      </c>
      <c r="P79" s="267"/>
      <c r="R79" s="182">
        <v>100.84</v>
      </c>
      <c r="S79" s="179"/>
      <c r="T79" s="179"/>
      <c r="U79" s="179"/>
      <c r="V79" s="179"/>
      <c r="W79" s="179"/>
      <c r="X79" s="179"/>
      <c r="Y79" s="179"/>
      <c r="Z79" s="179"/>
      <c r="AA79" s="179"/>
      <c r="AB79" s="179"/>
      <c r="AC79" s="129"/>
      <c r="AD79" s="139">
        <f>ROUNDUP($A79/18,0)*18</f>
        <v>0</v>
      </c>
      <c r="AE79" s="139">
        <f t="shared" si="18"/>
        <v>0</v>
      </c>
      <c r="AF79" s="135"/>
      <c r="AH79" s="44">
        <v>14141001</v>
      </c>
      <c r="AI79" s="44">
        <v>14141002</v>
      </c>
      <c r="AJ79" s="44">
        <v>14141003</v>
      </c>
      <c r="AK79" s="44">
        <v>14141004</v>
      </c>
      <c r="AL79" s="44">
        <v>14141005</v>
      </c>
      <c r="AM79" s="44">
        <v>14141006</v>
      </c>
      <c r="AN79" s="44">
        <v>14141007</v>
      </c>
      <c r="AO79" s="44">
        <v>14141011</v>
      </c>
      <c r="AP79" s="44">
        <v>14141019</v>
      </c>
      <c r="AQ79" s="44">
        <v>14141043</v>
      </c>
      <c r="AR79" s="44">
        <v>14141028</v>
      </c>
      <c r="AS79" s="512" t="e" vm="2">
        <f t="shared" si="20"/>
        <v>#VALUE!</v>
      </c>
    </row>
    <row r="80" spans="1:58" ht="32.1" customHeight="1">
      <c r="A80" s="93"/>
      <c r="B80" s="76" t="str">
        <f>VLOOKUP(1512,Sprachindex!$A:$Z,Info!$O$7,FALSE)</f>
        <v>lfm</v>
      </c>
      <c r="C80" s="78" t="e" vm="53">
        <v>#VALUE!</v>
      </c>
      <c r="D80" s="75" t="str">
        <f t="shared" si="21"/>
        <v/>
      </c>
      <c r="E80" s="618" t="str">
        <f>VLOOKUP(793,Sprachindex!$A:$Z,Info!$O$7,FALSE)</f>
        <v>Einlegeprofil (3.000 mm)</v>
      </c>
      <c r="F80" s="619"/>
      <c r="G80" s="619"/>
      <c r="H80" s="619"/>
      <c r="I80" s="619"/>
      <c r="J80" s="619"/>
      <c r="K80" s="620"/>
      <c r="L80" s="76" t="str">
        <f t="shared" si="16"/>
        <v/>
      </c>
      <c r="M80" s="161" t="str">
        <f>VLOOKUP(1512,Sprachindex!$A:$Z,Info!$O$7,FALSE)</f>
        <v>lfm</v>
      </c>
      <c r="N80" s="77"/>
      <c r="O80" s="184" t="str">
        <f t="shared" si="17"/>
        <v/>
      </c>
      <c r="P80" s="267"/>
      <c r="R80" s="182">
        <v>11.03</v>
      </c>
      <c r="S80" s="179"/>
      <c r="T80" s="179"/>
      <c r="U80" s="179"/>
      <c r="V80" s="179"/>
      <c r="W80" s="179"/>
      <c r="X80" s="179"/>
      <c r="Y80" s="179"/>
      <c r="Z80" s="179"/>
      <c r="AA80" s="179"/>
      <c r="AB80" s="179"/>
      <c r="AC80" s="129"/>
      <c r="AD80" s="139">
        <f>ROUNDUP($A80/3,0)*3</f>
        <v>0</v>
      </c>
      <c r="AE80" s="139">
        <f>ROUNDUP($A80/3,0)*3</f>
        <v>0</v>
      </c>
      <c r="AF80" s="135"/>
      <c r="AH80" s="44">
        <v>120353</v>
      </c>
      <c r="AI80" s="44">
        <v>120350</v>
      </c>
      <c r="AJ80" s="44">
        <v>120358</v>
      </c>
      <c r="AK80" s="44">
        <v>120355</v>
      </c>
      <c r="AL80" s="44">
        <v>120351</v>
      </c>
      <c r="AM80" s="44">
        <v>120357</v>
      </c>
      <c r="AN80" s="44">
        <v>120352</v>
      </c>
      <c r="AO80" s="44">
        <v>120356</v>
      </c>
      <c r="AP80" s="44">
        <v>120359</v>
      </c>
      <c r="AQ80" s="44">
        <v>120354</v>
      </c>
      <c r="AR80" s="44">
        <v>14231028</v>
      </c>
      <c r="AS80" s="512" t="e" vm="2">
        <f t="shared" si="20"/>
        <v>#VALUE!</v>
      </c>
    </row>
    <row r="81" spans="1:56" ht="32.1" customHeight="1">
      <c r="A81" s="93"/>
      <c r="B81" s="76" t="str">
        <f>VLOOKUP(878,Sprachindex!$A:$Z,Info!$O$7,FALSE)</f>
        <v>Stk.</v>
      </c>
      <c r="C81" s="78" t="e" vm="54">
        <v>#VALUE!</v>
      </c>
      <c r="D81" s="75" t="str">
        <f t="shared" si="21"/>
        <v/>
      </c>
      <c r="E81" s="618" t="str">
        <f>VLOOKUP(794,Sprachindex!$A:$Z,Info!$O$7,FALSE)</f>
        <v>Eiskralle</v>
      </c>
      <c r="F81" s="619"/>
      <c r="G81" s="619"/>
      <c r="H81" s="619"/>
      <c r="I81" s="619"/>
      <c r="J81" s="619"/>
      <c r="K81" s="620"/>
      <c r="L81" s="76" t="str">
        <f t="shared" si="16"/>
        <v/>
      </c>
      <c r="M81" s="161" t="str">
        <f>VLOOKUP(878,Sprachindex!$A:$Z,Info!$O$7,FALSE)</f>
        <v>Stk.</v>
      </c>
      <c r="N81" s="77"/>
      <c r="O81" s="184" t="str">
        <f t="shared" si="17"/>
        <v/>
      </c>
      <c r="P81" s="267"/>
      <c r="R81" s="182">
        <v>4.78</v>
      </c>
      <c r="S81" s="179"/>
      <c r="T81" s="179"/>
      <c r="U81" s="179"/>
      <c r="V81" s="179"/>
      <c r="W81" s="179"/>
      <c r="X81" s="179"/>
      <c r="Y81" s="179"/>
      <c r="Z81" s="179"/>
      <c r="AA81" s="179"/>
      <c r="AB81" s="179"/>
      <c r="AC81" s="129"/>
      <c r="AD81" s="139">
        <f>ROUNDUP($A81/100,0)*100</f>
        <v>0</v>
      </c>
      <c r="AE81" s="139">
        <f t="shared" ref="AE81:AE90" si="22">ROUNDUP($A81,0)</f>
        <v>0</v>
      </c>
      <c r="AF81" s="135"/>
      <c r="AH81" s="44">
        <v>120703</v>
      </c>
      <c r="AI81" s="44">
        <v>120700</v>
      </c>
      <c r="AJ81" s="44">
        <v>120708</v>
      </c>
      <c r="AK81" s="44">
        <v>120705</v>
      </c>
      <c r="AL81" s="44">
        <v>120701</v>
      </c>
      <c r="AM81" s="44">
        <v>120707</v>
      </c>
      <c r="AN81" s="44">
        <v>120702</v>
      </c>
      <c r="AO81" s="44">
        <v>120706</v>
      </c>
      <c r="AP81" s="44">
        <v>120709</v>
      </c>
      <c r="AQ81" s="44">
        <v>120704</v>
      </c>
      <c r="AR81" s="44">
        <v>14111028</v>
      </c>
      <c r="AS81" s="512" t="e" vm="2">
        <f t="shared" si="20"/>
        <v>#VALUE!</v>
      </c>
    </row>
    <row r="82" spans="1:56" ht="32.1" customHeight="1">
      <c r="A82" s="93"/>
      <c r="B82" s="76" t="str">
        <f>VLOOKUP(878,Sprachindex!$A:$Z,Info!$O$7,FALSE)</f>
        <v>Stk.</v>
      </c>
      <c r="C82" s="78" t="e" vm="55">
        <v>#VALUE!</v>
      </c>
      <c r="D82" s="75" t="str">
        <f t="shared" si="21"/>
        <v/>
      </c>
      <c r="E82" s="618" t="str">
        <f>VLOOKUP(791,Sprachindex!$A:$Z,Info!$O$7,FALSE)</f>
        <v>Abschluss für Schneerechensystem</v>
      </c>
      <c r="F82" s="619"/>
      <c r="G82" s="619"/>
      <c r="H82" s="619"/>
      <c r="I82" s="619"/>
      <c r="J82" s="619"/>
      <c r="K82" s="620"/>
      <c r="L82" s="76" t="str">
        <f t="shared" si="16"/>
        <v/>
      </c>
      <c r="M82" s="161" t="str">
        <f>VLOOKUP(878,Sprachindex!$A:$Z,Info!$O$7,FALSE)</f>
        <v>Stk.</v>
      </c>
      <c r="N82" s="77"/>
      <c r="O82" s="184" t="str">
        <f t="shared" si="17"/>
        <v/>
      </c>
      <c r="P82" s="267"/>
      <c r="R82" s="182">
        <v>6.52</v>
      </c>
      <c r="S82" s="179"/>
      <c r="T82" s="179"/>
      <c r="U82" s="179"/>
      <c r="V82" s="179"/>
      <c r="W82" s="179"/>
      <c r="X82" s="179"/>
      <c r="Y82" s="179"/>
      <c r="Z82" s="179"/>
      <c r="AA82" s="179"/>
      <c r="AB82" s="179"/>
      <c r="AC82" s="129"/>
      <c r="AD82" s="139">
        <f>ROUNDUP($A82/2,0)*2</f>
        <v>0</v>
      </c>
      <c r="AE82" s="139">
        <f t="shared" si="22"/>
        <v>0</v>
      </c>
      <c r="AF82" s="135"/>
      <c r="AH82" s="44">
        <v>120393</v>
      </c>
      <c r="AI82" s="44">
        <v>120390</v>
      </c>
      <c r="AJ82" s="44">
        <v>120398</v>
      </c>
      <c r="AK82" s="44">
        <v>120395</v>
      </c>
      <c r="AL82" s="44">
        <v>120391</v>
      </c>
      <c r="AM82" s="44">
        <v>120397</v>
      </c>
      <c r="AN82" s="44">
        <v>120392</v>
      </c>
      <c r="AO82" s="44">
        <v>120396</v>
      </c>
      <c r="AP82" s="44">
        <v>120399</v>
      </c>
      <c r="AQ82" s="44">
        <v>120394</v>
      </c>
      <c r="AR82" s="44">
        <v>14101028</v>
      </c>
      <c r="AS82" s="512" t="e" vm="2">
        <f t="shared" si="20"/>
        <v>#VALUE!</v>
      </c>
    </row>
    <row r="83" spans="1:56" ht="32.1" customHeight="1">
      <c r="A83" s="93"/>
      <c r="B83" s="76" t="str">
        <f>VLOOKUP(878,Sprachindex!$A:$Z,Info!$O$7,FALSE)</f>
        <v>Stk.</v>
      </c>
      <c r="C83" s="78" t="e" vm="56">
        <v>#VALUE!</v>
      </c>
      <c r="D83" s="75" t="str">
        <f t="shared" si="21"/>
        <v/>
      </c>
      <c r="E83" s="618" t="str">
        <f>VLOOKUP(2192,Sprachindex!$A:$Z,Info!$O$7,FALSE)</f>
        <v>Abschluss für Schneerechensystem XL</v>
      </c>
      <c r="F83" s="619"/>
      <c r="G83" s="619"/>
      <c r="H83" s="619"/>
      <c r="I83" s="619"/>
      <c r="J83" s="619"/>
      <c r="K83" s="620"/>
      <c r="L83" s="76" t="str">
        <f t="shared" si="16"/>
        <v/>
      </c>
      <c r="M83" s="161" t="str">
        <f>VLOOKUP(878,Sprachindex!$A:$Z,Info!$O$7,FALSE)</f>
        <v>Stk.</v>
      </c>
      <c r="N83" s="77"/>
      <c r="O83" s="184" t="str">
        <f t="shared" si="17"/>
        <v/>
      </c>
      <c r="P83" s="267"/>
      <c r="R83" s="182">
        <v>8.5500000000000007</v>
      </c>
      <c r="S83" s="179"/>
      <c r="T83" s="179"/>
      <c r="U83" s="179"/>
      <c r="V83" s="179"/>
      <c r="W83" s="179"/>
      <c r="X83" s="179"/>
      <c r="Y83" s="179"/>
      <c r="Z83" s="179"/>
      <c r="AA83" s="179"/>
      <c r="AB83" s="179"/>
      <c r="AC83" s="129"/>
      <c r="AD83" s="139">
        <f>ROUNDUP($A83/18,0)*18</f>
        <v>0</v>
      </c>
      <c r="AE83" s="139">
        <f t="shared" si="22"/>
        <v>0</v>
      </c>
      <c r="AF83" s="135"/>
      <c r="AH83" s="44">
        <v>14081001</v>
      </c>
      <c r="AI83" s="44">
        <v>14081002</v>
      </c>
      <c r="AJ83" s="44">
        <v>14081003</v>
      </c>
      <c r="AK83" s="44">
        <v>14081004</v>
      </c>
      <c r="AL83" s="44">
        <v>14081005</v>
      </c>
      <c r="AM83" s="44">
        <v>14081006</v>
      </c>
      <c r="AN83" s="44">
        <v>14081007</v>
      </c>
      <c r="AO83" s="44">
        <v>14081011</v>
      </c>
      <c r="AP83" s="44">
        <v>14081019</v>
      </c>
      <c r="AQ83" s="44">
        <v>14081043</v>
      </c>
      <c r="AR83" s="44">
        <v>14081028</v>
      </c>
      <c r="AS83" s="512" t="e" vm="2">
        <f t="shared" si="20"/>
        <v>#VALUE!</v>
      </c>
    </row>
    <row r="84" spans="1:56" ht="32.1" customHeight="1">
      <c r="A84" s="93"/>
      <c r="B84" s="76" t="str">
        <f>VLOOKUP(878,Sprachindex!$A:$Z,Info!$O$7,FALSE)</f>
        <v>Stk.</v>
      </c>
      <c r="C84" s="78" t="e" vm="57">
        <v>#VALUE!</v>
      </c>
      <c r="D84" s="75" t="str">
        <f t="shared" si="21"/>
        <v/>
      </c>
      <c r="E84" s="618" t="str">
        <f>VLOOKUP(424,Sprachindex!$A:$Z,Info!$O$7,FALSE)</f>
        <v>Gebirgsschneefangstütze</v>
      </c>
      <c r="F84" s="619"/>
      <c r="G84" s="619"/>
      <c r="H84" s="619"/>
      <c r="I84" s="619"/>
      <c r="J84" s="619"/>
      <c r="K84" s="620"/>
      <c r="L84" s="76" t="str">
        <f t="shared" si="16"/>
        <v/>
      </c>
      <c r="M84" s="161" t="str">
        <f>VLOOKUP(878,Sprachindex!$A:$Z,Info!$O$7,FALSE)</f>
        <v>Stk.</v>
      </c>
      <c r="N84" s="77"/>
      <c r="O84" s="184" t="str">
        <f t="shared" si="17"/>
        <v/>
      </c>
      <c r="P84" s="267"/>
      <c r="R84" s="182">
        <v>57.49</v>
      </c>
      <c r="S84" s="179"/>
      <c r="T84" s="179"/>
      <c r="U84" s="179"/>
      <c r="V84" s="179"/>
      <c r="W84" s="179"/>
      <c r="X84" s="179"/>
      <c r="Y84" s="179"/>
      <c r="Z84" s="179"/>
      <c r="AA84" s="179"/>
      <c r="AB84" s="179"/>
      <c r="AC84" s="129"/>
      <c r="AD84" s="139">
        <f>ROUNDUP($A84/2,0)*2</f>
        <v>0</v>
      </c>
      <c r="AE84" s="139">
        <f t="shared" si="22"/>
        <v>0</v>
      </c>
      <c r="AF84" s="135"/>
      <c r="AH84" s="44">
        <v>120153</v>
      </c>
      <c r="AI84" s="44">
        <v>120150</v>
      </c>
      <c r="AJ84" s="44">
        <v>120158</v>
      </c>
      <c r="AK84" s="44">
        <v>120155</v>
      </c>
      <c r="AL84" s="44">
        <v>120151</v>
      </c>
      <c r="AM84" s="44">
        <v>120157</v>
      </c>
      <c r="AN84" s="44">
        <v>120152</v>
      </c>
      <c r="AO84" s="44">
        <v>120156</v>
      </c>
      <c r="AP84" s="44">
        <v>120159</v>
      </c>
      <c r="AQ84" s="44">
        <v>120154</v>
      </c>
      <c r="AR84" s="119">
        <v>14061028</v>
      </c>
      <c r="AS84" s="512" t="e" vm="2">
        <f t="shared" si="20"/>
        <v>#VALUE!</v>
      </c>
    </row>
    <row r="85" spans="1:56" ht="32.1" customHeight="1">
      <c r="A85" s="93"/>
      <c r="B85" s="76" t="str">
        <f>VLOOKUP(878,Sprachindex!$A:$Z,Info!$O$7,FALSE)</f>
        <v>Stk.</v>
      </c>
      <c r="C85" s="78" t="e" vm="58">
        <v>#VALUE!</v>
      </c>
      <c r="D85" s="75" t="str">
        <f t="shared" si="21"/>
        <v/>
      </c>
      <c r="E85" s="618" t="str">
        <f>VLOOKUP(510,Sprachindex!$A:$Z,Info!$O$7,FALSE)</f>
        <v>Kaminhut (700 × 700 mm)</v>
      </c>
      <c r="F85" s="619"/>
      <c r="G85" s="619"/>
      <c r="H85" s="619"/>
      <c r="I85" s="619"/>
      <c r="J85" s="619"/>
      <c r="K85" s="620"/>
      <c r="L85" s="76" t="str">
        <f t="shared" si="16"/>
        <v/>
      </c>
      <c r="M85" s="161" t="str">
        <f>VLOOKUP(878,Sprachindex!$A:$Z,Info!$O$7,FALSE)</f>
        <v>Stk.</v>
      </c>
      <c r="N85" s="77"/>
      <c r="O85" s="184" t="str">
        <f t="shared" si="17"/>
        <v/>
      </c>
      <c r="P85" s="267"/>
      <c r="R85" s="182">
        <v>157.28</v>
      </c>
      <c r="S85" s="179"/>
      <c r="T85" s="179"/>
      <c r="U85" s="179"/>
      <c r="V85" s="179"/>
      <c r="W85" s="179"/>
      <c r="X85" s="179"/>
      <c r="Y85" s="179"/>
      <c r="Z85" s="179"/>
      <c r="AA85" s="179"/>
      <c r="AB85" s="179"/>
      <c r="AC85" s="129"/>
      <c r="AD85" s="139">
        <f>ROUNDUP($A85,0)</f>
        <v>0</v>
      </c>
      <c r="AE85" s="139">
        <f t="shared" si="22"/>
        <v>0</v>
      </c>
      <c r="AF85" s="135"/>
      <c r="AH85" s="44">
        <v>110423</v>
      </c>
      <c r="AI85" s="44">
        <v>110420</v>
      </c>
      <c r="AJ85" s="44">
        <v>110428</v>
      </c>
      <c r="AK85" s="44">
        <v>110425</v>
      </c>
      <c r="AL85" s="44">
        <v>110421</v>
      </c>
      <c r="AM85" s="44">
        <v>110427</v>
      </c>
      <c r="AN85" s="44">
        <v>110422</v>
      </c>
      <c r="AO85" s="44">
        <v>110426</v>
      </c>
      <c r="AP85" s="44">
        <v>110429</v>
      </c>
      <c r="AQ85" s="44">
        <v>110424</v>
      </c>
      <c r="AR85" s="44">
        <v>15261028</v>
      </c>
      <c r="AS85" s="512" t="e" vm="2">
        <f t="shared" si="20"/>
        <v>#VALUE!</v>
      </c>
    </row>
    <row r="86" spans="1:56" ht="32.1" customHeight="1">
      <c r="A86" s="93"/>
      <c r="B86" s="76" t="str">
        <f>VLOOKUP(878,Sprachindex!$A:$Z,Info!$O$7,FALSE)</f>
        <v>Stk.</v>
      </c>
      <c r="C86" s="78" t="e" vm="59">
        <v>#VALUE!</v>
      </c>
      <c r="D86" s="75" t="str">
        <f t="shared" si="21"/>
        <v/>
      </c>
      <c r="E86" s="618" t="str">
        <f>VLOOKUP(511,Sprachindex!$A:$Z,Info!$O$7,FALSE)</f>
        <v>Kaminhut (800 × 800 mm)</v>
      </c>
      <c r="F86" s="619"/>
      <c r="G86" s="619"/>
      <c r="H86" s="619"/>
      <c r="I86" s="619"/>
      <c r="J86" s="619"/>
      <c r="K86" s="620"/>
      <c r="L86" s="76" t="str">
        <f t="shared" si="16"/>
        <v/>
      </c>
      <c r="M86" s="161" t="str">
        <f>VLOOKUP(878,Sprachindex!$A:$Z,Info!$O$7,FALSE)</f>
        <v>Stk.</v>
      </c>
      <c r="N86" s="77"/>
      <c r="O86" s="184" t="str">
        <f t="shared" si="17"/>
        <v/>
      </c>
      <c r="P86" s="267"/>
      <c r="R86" s="182">
        <v>169.95</v>
      </c>
      <c r="S86" s="179"/>
      <c r="T86" s="179"/>
      <c r="U86" s="179"/>
      <c r="V86" s="179"/>
      <c r="W86" s="179"/>
      <c r="X86" s="179"/>
      <c r="Y86" s="179"/>
      <c r="Z86" s="179"/>
      <c r="AA86" s="179"/>
      <c r="AB86" s="179"/>
      <c r="AC86" s="129"/>
      <c r="AD86" s="139">
        <f>ROUNDUP($A86,0)</f>
        <v>0</v>
      </c>
      <c r="AE86" s="139">
        <f t="shared" si="22"/>
        <v>0</v>
      </c>
      <c r="AF86" s="135"/>
      <c r="AH86" s="44">
        <v>110433</v>
      </c>
      <c r="AI86" s="44">
        <v>110430</v>
      </c>
      <c r="AJ86" s="44">
        <v>110438</v>
      </c>
      <c r="AK86" s="44">
        <v>110435</v>
      </c>
      <c r="AL86" s="44">
        <v>110431</v>
      </c>
      <c r="AM86" s="44">
        <v>110437</v>
      </c>
      <c r="AN86" s="44">
        <v>110432</v>
      </c>
      <c r="AO86" s="44">
        <v>110436</v>
      </c>
      <c r="AP86" s="44">
        <v>110439</v>
      </c>
      <c r="AQ86" s="44">
        <v>110434</v>
      </c>
      <c r="AR86" s="44">
        <v>15271028</v>
      </c>
      <c r="AS86" s="512" t="e" vm="2">
        <f t="shared" si="20"/>
        <v>#VALUE!</v>
      </c>
    </row>
    <row r="87" spans="1:56" ht="32.1" customHeight="1">
      <c r="A87" s="93"/>
      <c r="B87" s="76" t="str">
        <f>VLOOKUP(878,Sprachindex!$A:$Z,Info!$O$7,FALSE)</f>
        <v>Stk.</v>
      </c>
      <c r="C87" s="78" t="e" vm="60">
        <v>#VALUE!</v>
      </c>
      <c r="D87" s="75" t="str">
        <f t="shared" si="21"/>
        <v/>
      </c>
      <c r="E87" s="618" t="str">
        <f>VLOOKUP(507,Sprachindex!$A:$Z,Info!$O$7,FALSE)</f>
        <v>Kaminhut (1.000 × 700 mm)</v>
      </c>
      <c r="F87" s="619"/>
      <c r="G87" s="619"/>
      <c r="H87" s="619"/>
      <c r="I87" s="619"/>
      <c r="J87" s="619"/>
      <c r="K87" s="620"/>
      <c r="L87" s="76" t="str">
        <f t="shared" si="16"/>
        <v/>
      </c>
      <c r="M87" s="161" t="str">
        <f>VLOOKUP(878,Sprachindex!$A:$Z,Info!$O$7,FALSE)</f>
        <v>Stk.</v>
      </c>
      <c r="N87" s="77"/>
      <c r="O87" s="184" t="str">
        <f t="shared" si="17"/>
        <v/>
      </c>
      <c r="P87" s="267"/>
      <c r="R87" s="182">
        <v>170.57</v>
      </c>
      <c r="S87" s="179"/>
      <c r="T87" s="179"/>
      <c r="U87" s="179"/>
      <c r="V87" s="179"/>
      <c r="W87" s="179"/>
      <c r="X87" s="179"/>
      <c r="Y87" s="179"/>
      <c r="Z87" s="179"/>
      <c r="AA87" s="179"/>
      <c r="AB87" s="179"/>
      <c r="AC87" s="129"/>
      <c r="AD87" s="139">
        <f>ROUNDUP($A87,0)</f>
        <v>0</v>
      </c>
      <c r="AE87" s="139">
        <f t="shared" si="22"/>
        <v>0</v>
      </c>
      <c r="AF87" s="135"/>
      <c r="AH87" s="44">
        <v>110443</v>
      </c>
      <c r="AI87" s="44">
        <v>110440</v>
      </c>
      <c r="AJ87" s="44">
        <v>110448</v>
      </c>
      <c r="AK87" s="44">
        <v>110445</v>
      </c>
      <c r="AL87" s="44">
        <v>110441</v>
      </c>
      <c r="AM87" s="44">
        <v>110447</v>
      </c>
      <c r="AN87" s="44">
        <v>110442</v>
      </c>
      <c r="AO87" s="44">
        <v>110446</v>
      </c>
      <c r="AP87" s="44">
        <v>110449</v>
      </c>
      <c r="AQ87" s="44">
        <v>110444</v>
      </c>
      <c r="AR87" s="44">
        <v>15281028</v>
      </c>
      <c r="AS87" s="512" t="e" vm="2">
        <f t="shared" si="20"/>
        <v>#VALUE!</v>
      </c>
    </row>
    <row r="88" spans="1:56" ht="32.1" customHeight="1">
      <c r="A88" s="93"/>
      <c r="B88" s="76" t="str">
        <f>VLOOKUP(878,Sprachindex!$A:$Z,Info!$O$7,FALSE)</f>
        <v>Stk.</v>
      </c>
      <c r="C88" s="78" t="e" vm="61">
        <v>#VALUE!</v>
      </c>
      <c r="D88" s="75" t="str">
        <f t="shared" si="21"/>
        <v/>
      </c>
      <c r="E88" s="618" t="str">
        <f>VLOOKUP(508,Sprachindex!$A:$Z,Info!$O$7,FALSE)</f>
        <v>Kaminhut (1.100 × 800 mm)</v>
      </c>
      <c r="F88" s="619"/>
      <c r="G88" s="619"/>
      <c r="H88" s="619"/>
      <c r="I88" s="619"/>
      <c r="J88" s="619"/>
      <c r="K88" s="620"/>
      <c r="L88" s="76" t="str">
        <f t="shared" si="16"/>
        <v/>
      </c>
      <c r="M88" s="161" t="str">
        <f>VLOOKUP(878,Sprachindex!$A:$Z,Info!$O$7,FALSE)</f>
        <v>Stk.</v>
      </c>
      <c r="N88" s="77"/>
      <c r="O88" s="184" t="str">
        <f t="shared" si="17"/>
        <v/>
      </c>
      <c r="P88" s="267"/>
      <c r="R88" s="182">
        <v>204.46</v>
      </c>
      <c r="S88" s="179"/>
      <c r="T88" s="179"/>
      <c r="U88" s="179"/>
      <c r="V88" s="179"/>
      <c r="W88" s="179"/>
      <c r="X88" s="179"/>
      <c r="Y88" s="179"/>
      <c r="Z88" s="179"/>
      <c r="AA88" s="179"/>
      <c r="AB88" s="179"/>
      <c r="AC88" s="129"/>
      <c r="AD88" s="139">
        <f>ROUNDUP($A88,0)</f>
        <v>0</v>
      </c>
      <c r="AE88" s="139">
        <f t="shared" si="22"/>
        <v>0</v>
      </c>
      <c r="AF88" s="135"/>
      <c r="AH88" s="44">
        <v>110453</v>
      </c>
      <c r="AI88" s="44">
        <v>110450</v>
      </c>
      <c r="AJ88" s="44">
        <v>110458</v>
      </c>
      <c r="AK88" s="44">
        <v>110455</v>
      </c>
      <c r="AL88" s="44">
        <v>110451</v>
      </c>
      <c r="AM88" s="44">
        <v>110457</v>
      </c>
      <c r="AN88" s="44">
        <v>110452</v>
      </c>
      <c r="AO88" s="44">
        <v>110456</v>
      </c>
      <c r="AP88" s="44">
        <v>110459</v>
      </c>
      <c r="AQ88" s="44">
        <v>110454</v>
      </c>
      <c r="AR88" s="44">
        <v>15291028</v>
      </c>
      <c r="AS88" s="512" t="e" vm="2">
        <f t="shared" si="20"/>
        <v>#VALUE!</v>
      </c>
    </row>
    <row r="89" spans="1:56" ht="32.1" customHeight="1">
      <c r="A89" s="93"/>
      <c r="B89" s="76" t="str">
        <f>VLOOKUP(878,Sprachindex!$A:$Z,Info!$O$7,FALSE)</f>
        <v>Stk.</v>
      </c>
      <c r="C89" s="78" t="e" vm="59">
        <v>#VALUE!</v>
      </c>
      <c r="D89" s="75" t="str">
        <f t="shared" si="21"/>
        <v/>
      </c>
      <c r="E89" s="618" t="str">
        <f>VLOOKUP(509,Sprachindex!$A:$Z,Info!$O$7,FALSE)</f>
        <v>Kaminhut (1.500 × 800 mm)</v>
      </c>
      <c r="F89" s="619"/>
      <c r="G89" s="619"/>
      <c r="H89" s="619"/>
      <c r="I89" s="619"/>
      <c r="J89" s="619"/>
      <c r="K89" s="620"/>
      <c r="L89" s="76" t="str">
        <f t="shared" si="16"/>
        <v/>
      </c>
      <c r="M89" s="161" t="str">
        <f>VLOOKUP(878,Sprachindex!$A:$Z,Info!$O$7,FALSE)</f>
        <v>Stk.</v>
      </c>
      <c r="N89" s="77"/>
      <c r="O89" s="184" t="str">
        <f t="shared" si="17"/>
        <v/>
      </c>
      <c r="P89" s="267"/>
      <c r="R89" s="182">
        <v>279.54000000000002</v>
      </c>
      <c r="S89" s="179"/>
      <c r="T89" s="179"/>
      <c r="U89" s="179"/>
      <c r="V89" s="179"/>
      <c r="W89" s="179"/>
      <c r="X89" s="179"/>
      <c r="Y89" s="179"/>
      <c r="Z89" s="179"/>
      <c r="AA89" s="179"/>
      <c r="AB89" s="179"/>
      <c r="AC89" s="129"/>
      <c r="AD89" s="139">
        <f>ROUNDUP($A89,0)</f>
        <v>0</v>
      </c>
      <c r="AE89" s="139">
        <f t="shared" si="22"/>
        <v>0</v>
      </c>
      <c r="AF89" s="135"/>
      <c r="AH89" s="44">
        <v>110463</v>
      </c>
      <c r="AI89" s="44">
        <v>110460</v>
      </c>
      <c r="AJ89" s="44">
        <v>110468</v>
      </c>
      <c r="AK89" s="44">
        <v>110465</v>
      </c>
      <c r="AL89" s="44">
        <v>110461</v>
      </c>
      <c r="AM89" s="44">
        <v>110467</v>
      </c>
      <c r="AN89" s="44">
        <v>110462</v>
      </c>
      <c r="AO89" s="44">
        <v>110466</v>
      </c>
      <c r="AP89" s="44">
        <v>110469</v>
      </c>
      <c r="AQ89" s="44">
        <v>110464</v>
      </c>
      <c r="AR89" s="44">
        <v>15301028</v>
      </c>
      <c r="AS89" s="512" t="e" vm="2">
        <f t="shared" si="20"/>
        <v>#VALUE!</v>
      </c>
    </row>
    <row r="90" spans="1:56" ht="32.1" customHeight="1">
      <c r="A90" s="93"/>
      <c r="B90" s="76" t="str">
        <f>VLOOKUP(878,Sprachindex!$A:$Z,Info!$O$7,FALSE)</f>
        <v>Stk.</v>
      </c>
      <c r="C90" s="78" t="e" vm="62">
        <v>#VALUE!</v>
      </c>
      <c r="D90" s="75" t="str">
        <f t="shared" si="21"/>
        <v/>
      </c>
      <c r="E90" s="618" t="str">
        <f>VLOOKUP(512,Sprachindex!$A:$Z,Info!$O$7,FALSE)</f>
        <v>Kaminstrebe gebogen</v>
      </c>
      <c r="F90" s="619"/>
      <c r="G90" s="619"/>
      <c r="H90" s="619"/>
      <c r="I90" s="619"/>
      <c r="J90" s="619"/>
      <c r="K90" s="620"/>
      <c r="L90" s="76" t="str">
        <f t="shared" si="16"/>
        <v/>
      </c>
      <c r="M90" s="161" t="str">
        <f>VLOOKUP(878,Sprachindex!$A:$Z,Info!$O$7,FALSE)</f>
        <v>Stk.</v>
      </c>
      <c r="N90" s="77"/>
      <c r="O90" s="184" t="str">
        <f t="shared" si="17"/>
        <v/>
      </c>
      <c r="P90" s="267"/>
      <c r="R90" s="182">
        <v>17.27</v>
      </c>
      <c r="S90" s="179"/>
      <c r="T90" s="179"/>
      <c r="U90" s="179"/>
      <c r="V90" s="179"/>
      <c r="W90" s="179"/>
      <c r="X90" s="179"/>
      <c r="Y90" s="179"/>
      <c r="Z90" s="179"/>
      <c r="AA90" s="179"/>
      <c r="AB90" s="179"/>
      <c r="AC90" s="129"/>
      <c r="AD90" s="139">
        <f>ROUNDUP($A90/10,0)*10</f>
        <v>0</v>
      </c>
      <c r="AE90" s="139">
        <f t="shared" si="22"/>
        <v>0</v>
      </c>
      <c r="AF90" s="135"/>
      <c r="AH90" s="44">
        <v>110413</v>
      </c>
      <c r="AI90" s="44">
        <v>110410</v>
      </c>
      <c r="AJ90" s="44">
        <v>110418</v>
      </c>
      <c r="AK90" s="44">
        <v>110415</v>
      </c>
      <c r="AL90" s="44">
        <v>110411</v>
      </c>
      <c r="AM90" s="44">
        <v>110417</v>
      </c>
      <c r="AN90" s="44">
        <v>110412</v>
      </c>
      <c r="AO90" s="44">
        <v>110416</v>
      </c>
      <c r="AP90" s="44">
        <v>110419</v>
      </c>
      <c r="AQ90" s="44">
        <v>110414</v>
      </c>
      <c r="AR90" s="44">
        <v>15331028</v>
      </c>
      <c r="AS90" s="512" t="e" vm="2">
        <f t="shared" si="20"/>
        <v>#VALUE!</v>
      </c>
    </row>
    <row r="91" spans="1:56" ht="32.1" customHeight="1">
      <c r="A91" s="93"/>
      <c r="B91" s="76" t="str">
        <f>VLOOKUP(1512,Sprachindex!$A:$Z,Info!$O$7,FALSE)</f>
        <v>lfm</v>
      </c>
      <c r="C91" s="78" t="e" vm="63">
        <v>#VALUE!</v>
      </c>
      <c r="D91" s="75" t="str">
        <f t="shared" si="21"/>
        <v/>
      </c>
      <c r="E91" s="618" t="str">
        <f>VLOOKUP(402,Sprachindex!$A:$Z,Info!$O$7,FALSE)</f>
        <v>Flachprofil (35 × 7 × 3.000 mm)</v>
      </c>
      <c r="F91" s="619"/>
      <c r="G91" s="619"/>
      <c r="H91" s="619"/>
      <c r="I91" s="619"/>
      <c r="J91" s="619"/>
      <c r="K91" s="620"/>
      <c r="L91" s="76" t="str">
        <f t="shared" si="16"/>
        <v/>
      </c>
      <c r="M91" s="161" t="str">
        <f>VLOOKUP(1512,Sprachindex!$A:$Z,Info!$O$7,FALSE)</f>
        <v>lfm</v>
      </c>
      <c r="N91" s="77"/>
      <c r="O91" s="184" t="str">
        <f t="shared" si="17"/>
        <v/>
      </c>
      <c r="P91" s="267"/>
      <c r="R91" s="182">
        <v>11.66</v>
      </c>
      <c r="S91" s="179"/>
      <c r="T91" s="179"/>
      <c r="U91" s="179"/>
      <c r="V91" s="179"/>
      <c r="W91" s="179"/>
      <c r="X91" s="179"/>
      <c r="Y91" s="179"/>
      <c r="Z91" s="179"/>
      <c r="AA91" s="179"/>
      <c r="AB91" s="179"/>
      <c r="AC91" s="129"/>
      <c r="AD91" s="139">
        <f>ROUNDUP($A91/3,0)*3</f>
        <v>0</v>
      </c>
      <c r="AE91" s="139">
        <f>ROUNDUP($A91/3,0)*3</f>
        <v>0</v>
      </c>
      <c r="AF91" s="135"/>
      <c r="AH91" s="44">
        <v>110403</v>
      </c>
      <c r="AI91" s="44">
        <v>110400</v>
      </c>
      <c r="AJ91" s="44">
        <v>110408</v>
      </c>
      <c r="AK91" s="44">
        <v>110405</v>
      </c>
      <c r="AL91" s="44">
        <v>110401</v>
      </c>
      <c r="AM91" s="44">
        <v>110407</v>
      </c>
      <c r="AN91" s="44">
        <v>110402</v>
      </c>
      <c r="AO91" s="44">
        <v>110406</v>
      </c>
      <c r="AP91" s="111" t="s">
        <v>63</v>
      </c>
      <c r="AQ91" s="44">
        <v>110404</v>
      </c>
      <c r="AR91" s="111">
        <v>15321028</v>
      </c>
      <c r="AS91" s="512" t="e" vm="2">
        <f t="shared" si="20"/>
        <v>#VALUE!</v>
      </c>
    </row>
    <row r="92" spans="1:56" ht="32.1" customHeight="1">
      <c r="A92" s="93"/>
      <c r="B92" s="76" t="str">
        <f>VLOOKUP(878,Sprachindex!$A:$Z,Info!$O$7,FALSE)</f>
        <v>Stk.</v>
      </c>
      <c r="C92" s="78"/>
      <c r="D92" s="75" t="str">
        <f t="shared" si="21"/>
        <v/>
      </c>
      <c r="E92" s="618" t="str">
        <f>VLOOKUP(459,Sprachindex!$A:$Z,Info!$O$7,FALSE)</f>
        <v>Hauerbuckel; zum Abdecken von Befestigungsmitteln</v>
      </c>
      <c r="F92" s="619"/>
      <c r="G92" s="619"/>
      <c r="H92" s="619"/>
      <c r="I92" s="619"/>
      <c r="J92" s="619"/>
      <c r="K92" s="620"/>
      <c r="L92" s="76" t="str">
        <f t="shared" si="16"/>
        <v/>
      </c>
      <c r="M92" s="161" t="str">
        <f>VLOOKUP(878,Sprachindex!$A:$Z,Info!$O$7,FALSE)</f>
        <v>Stk.</v>
      </c>
      <c r="N92" s="77"/>
      <c r="O92" s="184" t="str">
        <f t="shared" si="17"/>
        <v/>
      </c>
      <c r="P92" s="267"/>
      <c r="R92" s="182">
        <v>2.12</v>
      </c>
      <c r="S92" s="179"/>
      <c r="T92" s="179"/>
      <c r="U92" s="179"/>
      <c r="V92" s="179"/>
      <c r="W92" s="179"/>
      <c r="X92" s="179"/>
      <c r="Y92" s="179"/>
      <c r="Z92" s="179"/>
      <c r="AA92" s="179"/>
      <c r="AB92" s="179"/>
      <c r="AC92" s="129"/>
      <c r="AD92" s="139">
        <f>ROUNDUP($A92,0)</f>
        <v>0</v>
      </c>
      <c r="AE92" s="139">
        <f>ROUNDUP($A92,0)</f>
        <v>0</v>
      </c>
      <c r="AF92" s="135"/>
      <c r="AH92" s="44">
        <v>112404</v>
      </c>
      <c r="AI92" s="44">
        <v>112401</v>
      </c>
      <c r="AJ92" s="44">
        <v>112409</v>
      </c>
      <c r="AK92" s="44">
        <v>112406</v>
      </c>
      <c r="AL92" s="44">
        <v>112402</v>
      </c>
      <c r="AM92" s="44">
        <v>112408</v>
      </c>
      <c r="AN92" s="44">
        <v>112403</v>
      </c>
      <c r="AO92" s="44">
        <v>112407</v>
      </c>
      <c r="AP92" s="44">
        <v>112410</v>
      </c>
      <c r="AQ92" s="44">
        <v>112405</v>
      </c>
      <c r="AR92" s="44">
        <v>58581028</v>
      </c>
      <c r="AS92" s="512" t="e" vm="2">
        <f t="shared" si="20"/>
        <v>#VALUE!</v>
      </c>
    </row>
    <row r="93" spans="1:56" ht="32.1" customHeight="1">
      <c r="A93" s="93"/>
      <c r="B93" s="76" t="s">
        <v>31</v>
      </c>
      <c r="C93" s="78" t="e" vm="65">
        <v>#VALUE!</v>
      </c>
      <c r="D93" s="75">
        <v>340404</v>
      </c>
      <c r="E93" s="618" t="str">
        <f>VLOOKUP(1422,Sprachindex!$A:$Z,Info!$O$7,FALSE)</f>
        <v>Dachleitungshalter für Blitzschutzdraht</v>
      </c>
      <c r="F93" s="619"/>
      <c r="G93" s="619"/>
      <c r="H93" s="619"/>
      <c r="I93" s="619"/>
      <c r="J93" s="619"/>
      <c r="K93" s="620"/>
      <c r="L93" s="76" t="str">
        <f t="shared" si="16"/>
        <v/>
      </c>
      <c r="M93" s="161" t="s">
        <v>31</v>
      </c>
      <c r="N93" s="77"/>
      <c r="O93" s="184" t="str">
        <f t="shared" si="17"/>
        <v/>
      </c>
      <c r="P93" s="267"/>
      <c r="R93" s="182">
        <v>7.37</v>
      </c>
      <c r="S93" s="179"/>
      <c r="T93" s="179"/>
      <c r="U93" s="179"/>
      <c r="V93" s="179"/>
      <c r="W93" s="179"/>
      <c r="X93" s="179"/>
      <c r="Y93" s="179"/>
      <c r="Z93" s="179"/>
      <c r="AA93" s="179"/>
      <c r="AB93" s="179"/>
      <c r="AC93" s="129"/>
      <c r="AD93" s="139">
        <f>ROUNDUP($A93/50,0)*50</f>
        <v>0</v>
      </c>
      <c r="AE93" s="139">
        <f t="shared" ref="AE93:AE101" si="23">ROUNDUP($A93,0)</f>
        <v>0</v>
      </c>
      <c r="AF93" s="135"/>
      <c r="AH93" s="119"/>
      <c r="AI93" s="119"/>
      <c r="AJ93" s="119"/>
      <c r="AK93" s="119"/>
      <c r="AL93" s="119"/>
      <c r="AM93" s="119"/>
      <c r="AN93" s="119"/>
      <c r="AO93" s="119"/>
      <c r="AP93" s="119"/>
      <c r="AQ93" s="119"/>
      <c r="AR93" s="119"/>
      <c r="AS93" s="547"/>
    </row>
    <row r="94" spans="1:56" ht="32.1" customHeight="1">
      <c r="A94" s="93"/>
      <c r="B94" s="76" t="str">
        <f>VLOOKUP(878,Sprachindex!$A:$Z,Info!$O$7,FALSE)</f>
        <v>Stk.</v>
      </c>
      <c r="C94" s="75" t="e" vm="66">
        <v>#VALUE!</v>
      </c>
      <c r="D94" s="75">
        <v>420501</v>
      </c>
      <c r="E94" s="654" t="str">
        <f>VLOOKUP(851,Sprachindex!$A:$Z,Info!$O$7,FALSE)</f>
        <v>Spezialkleber</v>
      </c>
      <c r="F94" s="655"/>
      <c r="G94" s="655"/>
      <c r="H94" s="655"/>
      <c r="I94" s="655"/>
      <c r="J94" s="655"/>
      <c r="K94" s="656"/>
      <c r="L94" s="76" t="str">
        <f t="shared" si="16"/>
        <v/>
      </c>
      <c r="M94" s="161" t="str">
        <f>VLOOKUP(878,Sprachindex!$A:$Z,Info!$O$7,FALSE)</f>
        <v>Stk.</v>
      </c>
      <c r="N94" s="77"/>
      <c r="O94" s="184" t="str">
        <f t="shared" si="17"/>
        <v/>
      </c>
      <c r="P94" s="267"/>
      <c r="R94" s="182">
        <v>40.299999999999997</v>
      </c>
      <c r="S94" s="179"/>
      <c r="T94" s="179"/>
      <c r="U94" s="179"/>
      <c r="V94" s="179"/>
      <c r="W94" s="179"/>
      <c r="X94" s="179"/>
      <c r="Y94" s="179"/>
      <c r="Z94" s="179"/>
      <c r="AA94" s="179"/>
      <c r="AB94" s="179"/>
      <c r="AC94" s="129"/>
      <c r="AD94" s="139">
        <f>ROUNDUP($A94/24,0)*24</f>
        <v>0</v>
      </c>
      <c r="AE94" s="139">
        <f t="shared" si="23"/>
        <v>0</v>
      </c>
      <c r="AF94" s="140"/>
      <c r="AS94" s="20"/>
    </row>
    <row r="95" spans="1:56" ht="32.1" customHeight="1">
      <c r="A95" s="93"/>
      <c r="B95" s="76" t="str">
        <f>VLOOKUP(821,Sprachindex!$A:$Z,Info!$O$7,FALSE)</f>
        <v>Set</v>
      </c>
      <c r="C95" s="75" t="e" vm="67">
        <v>#VALUE!</v>
      </c>
      <c r="D95" s="75">
        <v>420500</v>
      </c>
      <c r="E95" s="618" t="str">
        <f>VLOOKUP(852,Sprachindex!$A:$Z,Info!$O$7,FALSE)</f>
        <v>Spezialkleberset</v>
      </c>
      <c r="F95" s="619"/>
      <c r="G95" s="619"/>
      <c r="H95" s="619"/>
      <c r="I95" s="619"/>
      <c r="J95" s="619"/>
      <c r="K95" s="620"/>
      <c r="L95" s="76" t="str">
        <f t="shared" si="16"/>
        <v/>
      </c>
      <c r="M95" s="161" t="str">
        <f>VLOOKUP(821,Sprachindex!$A:$Z,Info!$O$7,FALSE)</f>
        <v>Set</v>
      </c>
      <c r="N95" s="77"/>
      <c r="O95" s="184" t="str">
        <f t="shared" si="17"/>
        <v/>
      </c>
      <c r="P95" s="267"/>
      <c r="R95" s="182">
        <v>55.18</v>
      </c>
      <c r="S95" s="179"/>
      <c r="T95" s="179"/>
      <c r="U95" s="179"/>
      <c r="V95" s="179"/>
      <c r="W95" s="179"/>
      <c r="X95" s="179"/>
      <c r="Y95" s="179"/>
      <c r="Z95" s="179"/>
      <c r="AA95" s="179"/>
      <c r="AB95" s="179"/>
      <c r="AC95" s="129"/>
      <c r="AD95" s="139">
        <f t="shared" ref="AD95:AD100" si="24">ROUNDUP($A95,0)</f>
        <v>0</v>
      </c>
      <c r="AE95" s="139">
        <f t="shared" si="23"/>
        <v>0</v>
      </c>
      <c r="AF95" s="135"/>
      <c r="AH95" s="47" t="s">
        <v>35</v>
      </c>
      <c r="AI95" s="47" t="s">
        <v>32</v>
      </c>
      <c r="AJ95" s="47" t="s">
        <v>40</v>
      </c>
      <c r="AK95" s="47" t="s">
        <v>37</v>
      </c>
      <c r="AL95" s="47" t="s">
        <v>33</v>
      </c>
      <c r="AM95" s="47" t="s">
        <v>39</v>
      </c>
      <c r="AN95" s="47" t="s">
        <v>34</v>
      </c>
      <c r="AO95" s="47" t="s">
        <v>38</v>
      </c>
      <c r="AP95" s="47" t="s">
        <v>41</v>
      </c>
      <c r="AQ95" s="47" t="s">
        <v>36</v>
      </c>
      <c r="AR95" s="439" t="s">
        <v>38962</v>
      </c>
      <c r="AS95" s="20"/>
      <c r="AT95" s="149" t="s">
        <v>35</v>
      </c>
      <c r="AU95" s="47" t="s">
        <v>32</v>
      </c>
      <c r="AV95" s="47" t="s">
        <v>40</v>
      </c>
      <c r="AW95" s="47" t="s">
        <v>37</v>
      </c>
      <c r="AX95" s="47" t="s">
        <v>33</v>
      </c>
      <c r="AY95" s="47" t="s">
        <v>39</v>
      </c>
      <c r="AZ95" s="47" t="s">
        <v>34</v>
      </c>
      <c r="BA95" s="47" t="s">
        <v>38</v>
      </c>
      <c r="BB95" s="47" t="s">
        <v>41</v>
      </c>
      <c r="BC95" s="47" t="s">
        <v>36</v>
      </c>
      <c r="BD95" s="47" t="s">
        <v>38962</v>
      </c>
    </row>
    <row r="96" spans="1:56" ht="32.1" customHeight="1">
      <c r="A96" s="93"/>
      <c r="B96" s="76" t="str">
        <f>VLOOKUP(878,Sprachindex!$A:$Z,Info!$O$7,FALSE)</f>
        <v>Stk.</v>
      </c>
      <c r="C96" s="78" t="e" vm="70">
        <v>#VALUE!</v>
      </c>
      <c r="D96" s="75">
        <v>340415</v>
      </c>
      <c r="E96" s="618" t="str">
        <f>VLOOKUP(184,Sprachindex!$A:$Z,Info!$O$7,FALSE)</f>
        <v>Aufsparrenschraubenpaket</v>
      </c>
      <c r="F96" s="619"/>
      <c r="G96" s="619"/>
      <c r="H96" s="619"/>
      <c r="I96" s="619"/>
      <c r="J96" s="619"/>
      <c r="K96" s="620"/>
      <c r="L96" s="76" t="str">
        <f>IF($A96=0,"",IF($P$11=1,AD96,AE96))</f>
        <v/>
      </c>
      <c r="M96" s="161" t="str">
        <f>VLOOKUP(878,Sprachindex!$A:$Z,Info!$O$7,FALSE)</f>
        <v>Stk.</v>
      </c>
      <c r="N96" s="77"/>
      <c r="O96" s="184" t="str">
        <f t="shared" si="17"/>
        <v/>
      </c>
      <c r="P96" s="267"/>
      <c r="R96" s="182">
        <v>26.8</v>
      </c>
      <c r="S96" s="179"/>
      <c r="T96" s="179"/>
      <c r="U96" s="179"/>
      <c r="V96" s="179"/>
      <c r="W96" s="179"/>
      <c r="X96" s="179"/>
      <c r="Y96" s="179"/>
      <c r="Z96" s="179"/>
      <c r="AA96" s="179"/>
      <c r="AB96" s="179"/>
      <c r="AC96" s="129"/>
      <c r="AD96" s="139">
        <f t="shared" si="24"/>
        <v>0</v>
      </c>
      <c r="AE96" s="139">
        <f t="shared" si="23"/>
        <v>0</v>
      </c>
      <c r="AF96" s="135"/>
      <c r="AS96" s="20"/>
    </row>
    <row r="97" spans="1:57" ht="32.1" customHeight="1">
      <c r="A97" s="93"/>
      <c r="B97" s="76" t="str">
        <f>VLOOKUP(878,Sprachindex!$A:$Z,Info!$O$7,FALSE)</f>
        <v>Stk.</v>
      </c>
      <c r="C97" s="78" t="e" vm="71">
        <v>#VALUE!</v>
      </c>
      <c r="D97" s="75">
        <v>340416</v>
      </c>
      <c r="E97" s="618" t="str">
        <f>VLOOKUP(183,Sprachindex!$A:$Z,Info!$O$7,FALSE)</f>
        <v>Aufsparrenmontagepaket</v>
      </c>
      <c r="F97" s="619"/>
      <c r="G97" s="619"/>
      <c r="H97" s="619"/>
      <c r="I97" s="619"/>
      <c r="J97" s="619"/>
      <c r="K97" s="620"/>
      <c r="L97" s="76" t="str">
        <f>IF($A97=0,"",IF($P$11=1,AD97,AE97))</f>
        <v/>
      </c>
      <c r="M97" s="161" t="str">
        <f>VLOOKUP(878,Sprachindex!$A:$Z,Info!$O$7,FALSE)</f>
        <v>Stk.</v>
      </c>
      <c r="N97" s="77"/>
      <c r="O97" s="184" t="str">
        <f t="shared" si="17"/>
        <v/>
      </c>
      <c r="P97" s="267"/>
      <c r="R97" s="182">
        <v>44.93</v>
      </c>
      <c r="S97" s="179"/>
      <c r="T97" s="179"/>
      <c r="U97" s="179"/>
      <c r="V97" s="179"/>
      <c r="W97" s="179"/>
      <c r="X97" s="179"/>
      <c r="Y97" s="179"/>
      <c r="Z97" s="179"/>
      <c r="AA97" s="179"/>
      <c r="AB97" s="179"/>
      <c r="AC97" s="129"/>
      <c r="AD97" s="139">
        <f t="shared" si="24"/>
        <v>0</v>
      </c>
      <c r="AE97" s="139">
        <f t="shared" si="23"/>
        <v>0</v>
      </c>
      <c r="AF97" s="135"/>
      <c r="AS97" s="20"/>
    </row>
    <row r="98" spans="1:57" ht="32.1" customHeight="1">
      <c r="A98" s="93"/>
      <c r="B98" s="76" t="str">
        <f>VLOOKUP(878,Sprachindex!$A:$Z,Info!$O$7,FALSE)</f>
        <v>Stk.</v>
      </c>
      <c r="C98" s="78" t="e" vm="72">
        <v>#VALUE!</v>
      </c>
      <c r="D98" s="75">
        <v>119008</v>
      </c>
      <c r="E98" s="618" t="str">
        <f>VLOOKUP(2237,Sprachindex!$A:$Z,Info!$O$7,FALSE) &amp; " (" &amp; VLOOKUP(2668,Sprachindex!$A:$Z,Info!$O$7,FALSE) &amp; ")"</f>
        <v>Taurus-BEF-10 auf Fußteilen (P.10 Schwarz)</v>
      </c>
      <c r="F98" s="619"/>
      <c r="G98" s="619"/>
      <c r="H98" s="619"/>
      <c r="I98" s="619"/>
      <c r="J98" s="619"/>
      <c r="K98" s="620"/>
      <c r="L98" s="76" t="str">
        <f t="shared" ref="L98:L101" si="25">IF($A98=0,"",IF($P$11=1,AD98,AE98))</f>
        <v/>
      </c>
      <c r="M98" s="161" t="str">
        <f>VLOOKUP(878,Sprachindex!$A:$Z,Info!$O$7,FALSE)</f>
        <v>Stk.</v>
      </c>
      <c r="N98" s="77"/>
      <c r="O98" s="184" t="str">
        <f t="shared" si="17"/>
        <v/>
      </c>
      <c r="P98" s="267"/>
      <c r="R98" s="182">
        <v>142.76</v>
      </c>
      <c r="S98" s="179"/>
      <c r="T98" s="179"/>
      <c r="U98" s="179"/>
      <c r="V98" s="179"/>
      <c r="W98" s="179"/>
      <c r="X98" s="179"/>
      <c r="Y98" s="179"/>
      <c r="Z98" s="179"/>
      <c r="AA98" s="179"/>
      <c r="AB98" s="179"/>
      <c r="AC98" s="129"/>
      <c r="AD98" s="139">
        <f t="shared" si="24"/>
        <v>0</v>
      </c>
      <c r="AE98" s="139">
        <f t="shared" si="23"/>
        <v>0</v>
      </c>
      <c r="AF98" s="135"/>
      <c r="AS98" s="20"/>
    </row>
    <row r="99" spans="1:57" ht="32.1" customHeight="1">
      <c r="A99" s="93"/>
      <c r="B99" s="76" t="str">
        <f>VLOOKUP(878,Sprachindex!$A:$Z,Info!$O$7,FALSE)</f>
        <v>Stk.</v>
      </c>
      <c r="C99" s="78" t="e" vm="73">
        <v>#VALUE!</v>
      </c>
      <c r="D99" s="75">
        <v>120268</v>
      </c>
      <c r="E99" s="618" t="str">
        <f>VLOOKUP(2238,Sprachindex!$A:$Z,Info!$O$7,FALSE) &amp; " (" &amp; VLOOKUP(2668,Sprachindex!$A:$Z,Info!$O$7,FALSE) &amp; ")"</f>
        <v>Einzelanschlagspunkt auf Fußteilen (P.10 Schwarz)</v>
      </c>
      <c r="F99" s="619"/>
      <c r="G99" s="619"/>
      <c r="H99" s="619"/>
      <c r="I99" s="619"/>
      <c r="J99" s="619"/>
      <c r="K99" s="620"/>
      <c r="L99" s="76" t="str">
        <f t="shared" si="25"/>
        <v/>
      </c>
      <c r="M99" s="161" t="str">
        <f>VLOOKUP(878,Sprachindex!$A:$Z,Info!$O$7,FALSE)</f>
        <v>Stk.</v>
      </c>
      <c r="N99" s="77"/>
      <c r="O99" s="184" t="str">
        <f t="shared" si="17"/>
        <v/>
      </c>
      <c r="P99" s="267"/>
      <c r="R99" s="182">
        <v>139.66999999999999</v>
      </c>
      <c r="S99" s="179"/>
      <c r="T99" s="179"/>
      <c r="U99" s="179"/>
      <c r="V99" s="179"/>
      <c r="W99" s="179"/>
      <c r="X99" s="179"/>
      <c r="Y99" s="179"/>
      <c r="Z99" s="179"/>
      <c r="AA99" s="179"/>
      <c r="AB99" s="179"/>
      <c r="AC99" s="129"/>
      <c r="AD99" s="139">
        <f t="shared" si="24"/>
        <v>0</v>
      </c>
      <c r="AE99" s="139">
        <f t="shared" si="23"/>
        <v>0</v>
      </c>
      <c r="AF99" s="135"/>
      <c r="AS99" s="20"/>
    </row>
    <row r="100" spans="1:57" ht="32.1" customHeight="1">
      <c r="A100" s="93"/>
      <c r="B100" s="76" t="str">
        <f>VLOOKUP(531,Sprachindex!$A:$Z,Info!$O$7,FALSE)</f>
        <v>kg</v>
      </c>
      <c r="C100" s="78" t="e" vm="74">
        <v>#VALUE!</v>
      </c>
      <c r="D100" s="75" t="str" cm="1">
        <f t="array" ref="D100">_xlfn.IFS(I100=Formeln!$A$107,AI100,I100=Formeln!$A$108,AH100,I100=Formeln!$A$109,AK100,I100=Formeln!$A$110,AJ100,TRUE,"")</f>
        <v/>
      </c>
      <c r="E100" s="618" t="str">
        <f>VLOOKUP(583,Sprachindex!$A:$Z,Info!$O$7,FALSE)</f>
        <v>Lochblech (⌀ 5 mm) ca. 24 kg/Rolle (0,7 × 1.000 mm)</v>
      </c>
      <c r="F100" s="619"/>
      <c r="G100" s="619"/>
      <c r="H100" s="647"/>
      <c r="I100" s="624"/>
      <c r="J100" s="625"/>
      <c r="K100" s="626"/>
      <c r="L100" s="76" t="str">
        <f>IF($A100=0,"",IF($I100=Formeln!$A$106," ",IF($P$11=1,AC100,AD100)))</f>
        <v/>
      </c>
      <c r="M100" s="161" t="str">
        <f>VLOOKUP(531,Sprachindex!$A:$Z,Info!$O$7,FALSE)</f>
        <v>kg</v>
      </c>
      <c r="N100" s="77"/>
      <c r="O100" s="204" t="str">
        <f t="shared" si="17"/>
        <v/>
      </c>
      <c r="P100" s="267"/>
      <c r="R100" s="182">
        <v>0</v>
      </c>
      <c r="S100" s="179"/>
      <c r="T100" s="179"/>
      <c r="U100" s="179"/>
      <c r="V100" s="179"/>
      <c r="W100" s="179"/>
      <c r="X100" s="179"/>
      <c r="Y100" s="179"/>
      <c r="Z100" s="179"/>
      <c r="AA100" s="179"/>
      <c r="AB100" s="179"/>
      <c r="AC100" s="139">
        <f>ROUNDUP($A100/24,0)*24</f>
        <v>0</v>
      </c>
      <c r="AD100" s="139">
        <f t="shared" si="24"/>
        <v>0</v>
      </c>
      <c r="AE100" s="1"/>
      <c r="AF100" s="141" t="str">
        <f>IF(A100&gt;24, Formeln!$A$119, Formeln!$A$118)</f>
        <v>Rolle</v>
      </c>
      <c r="AH100" s="44">
        <v>507202</v>
      </c>
      <c r="AI100" s="44">
        <v>507206</v>
      </c>
      <c r="AJ100" s="44">
        <v>507205</v>
      </c>
      <c r="AK100" s="163">
        <v>507203</v>
      </c>
      <c r="AL100" s="559"/>
      <c r="AS100" s="510"/>
    </row>
    <row r="101" spans="1:57" ht="32.1" customHeight="1">
      <c r="A101" s="93"/>
      <c r="B101" s="76" t="str">
        <f>VLOOKUP(531,Sprachindex!$A:$Z,Info!$O$7,FALSE)</f>
        <v>kg</v>
      </c>
      <c r="C101" s="78" t="e" vm="75">
        <v>#VALUE!</v>
      </c>
      <c r="D101" s="75" t="str">
        <f>IF($P$9=1,BE101,IF($P$9=2,AS101,""))</f>
        <v/>
      </c>
      <c r="E101" s="618" t="str">
        <f>VLOOKUP(669,Sprachindex!$A:$Z,Info!$O$7,FALSE)</f>
        <v>PREFALZ Ergänzungsband; 0,7 × 1.000 mm (für Zusatzverblechungen)</v>
      </c>
      <c r="F101" s="619"/>
      <c r="G101" s="619"/>
      <c r="H101" s="619"/>
      <c r="I101" s="619"/>
      <c r="J101" s="619"/>
      <c r="K101" s="620"/>
      <c r="L101" s="76" t="str">
        <f t="shared" si="25"/>
        <v/>
      </c>
      <c r="M101" s="161" t="str">
        <f>VLOOKUP(531,Sprachindex!$A:$Z,Info!$O$7,FALSE)</f>
        <v>kg</v>
      </c>
      <c r="N101" s="77"/>
      <c r="O101" s="204" t="str">
        <f t="shared" si="17"/>
        <v/>
      </c>
      <c r="P101" s="267"/>
      <c r="R101" s="182">
        <v>0</v>
      </c>
      <c r="S101" s="179"/>
      <c r="T101" s="179"/>
      <c r="U101" s="179"/>
      <c r="V101" s="179"/>
      <c r="W101" s="179"/>
      <c r="X101" s="179"/>
      <c r="Y101" s="179"/>
      <c r="Z101" s="179"/>
      <c r="AA101" s="179"/>
      <c r="AB101" s="179"/>
      <c r="AC101" s="129"/>
      <c r="AD101" s="151">
        <f>ROUNDUP($A101/30,0)*30</f>
        <v>0</v>
      </c>
      <c r="AE101" s="151">
        <f t="shared" si="23"/>
        <v>0</v>
      </c>
      <c r="AF101" s="141" t="str">
        <f>IF(A101&gt;60, Formeln!$A$119, Formeln!$A$118)</f>
        <v>Rolle</v>
      </c>
      <c r="AH101" s="545" t="s">
        <v>85</v>
      </c>
      <c r="AI101" s="433" t="s">
        <v>65</v>
      </c>
      <c r="AJ101" s="433" t="s">
        <v>72</v>
      </c>
      <c r="AK101" s="433" t="s">
        <v>69</v>
      </c>
      <c r="AL101" s="433" t="s">
        <v>66</v>
      </c>
      <c r="AM101" s="433" t="s">
        <v>71</v>
      </c>
      <c r="AN101" s="433" t="s">
        <v>67</v>
      </c>
      <c r="AO101" s="433" t="s">
        <v>70</v>
      </c>
      <c r="AP101" s="433" t="s">
        <v>73</v>
      </c>
      <c r="AQ101" s="433" t="s">
        <v>68</v>
      </c>
      <c r="AR101" s="545" t="s">
        <v>277</v>
      </c>
      <c r="AS101" s="512" t="e" vm="2">
        <f>VLOOKUP(AH101,AH101:AR101,$P$21,FALSE)</f>
        <v>#VALUE!</v>
      </c>
      <c r="AT101" s="432" t="s">
        <v>77</v>
      </c>
      <c r="AU101" s="432" t="s">
        <v>74</v>
      </c>
      <c r="AV101" s="432" t="s">
        <v>82</v>
      </c>
      <c r="AW101" s="432" t="s">
        <v>79</v>
      </c>
      <c r="AX101" s="432" t="s">
        <v>75</v>
      </c>
      <c r="AY101" s="432" t="s">
        <v>81</v>
      </c>
      <c r="AZ101" s="432" t="s">
        <v>76</v>
      </c>
      <c r="BA101" s="432" t="s">
        <v>80</v>
      </c>
      <c r="BB101" s="432" t="s">
        <v>83</v>
      </c>
      <c r="BC101" s="432" t="s">
        <v>78</v>
      </c>
      <c r="BD101" s="546" t="s">
        <v>293</v>
      </c>
      <c r="BE101" s="512" t="e" vm="2">
        <f>VLOOKUP(AT101,AT101:BD101,$P$21,FALSE)</f>
        <v>#VALUE!</v>
      </c>
    </row>
    <row r="102" spans="1:57" ht="32.1" customHeight="1">
      <c r="A102" s="93"/>
      <c r="B102" s="98"/>
      <c r="C102" s="98"/>
      <c r="D102" s="98"/>
      <c r="E102" s="671"/>
      <c r="F102" s="671"/>
      <c r="G102" s="671"/>
      <c r="H102" s="671"/>
      <c r="I102" s="671"/>
      <c r="J102" s="671"/>
      <c r="K102" s="671"/>
      <c r="L102" s="98"/>
      <c r="M102" s="399"/>
      <c r="N102" s="77"/>
      <c r="O102" s="184"/>
      <c r="AD102" s="8"/>
      <c r="AE102" s="8"/>
      <c r="AH102" s="47" t="s">
        <v>32</v>
      </c>
      <c r="AI102" s="47" t="s">
        <v>33</v>
      </c>
      <c r="AJ102" s="47" t="s">
        <v>34</v>
      </c>
      <c r="AK102" s="47" t="s">
        <v>35</v>
      </c>
      <c r="AL102" s="47" t="s">
        <v>36</v>
      </c>
      <c r="AM102" s="47" t="s">
        <v>37</v>
      </c>
      <c r="AN102" s="47" t="s">
        <v>38</v>
      </c>
      <c r="AO102" s="47" t="s">
        <v>39</v>
      </c>
      <c r="AP102" s="47" t="s">
        <v>40</v>
      </c>
      <c r="AQ102" s="439" t="s">
        <v>41</v>
      </c>
      <c r="AR102" s="440" t="s">
        <v>32</v>
      </c>
      <c r="AS102" s="47" t="s">
        <v>33</v>
      </c>
      <c r="AT102" s="47" t="s">
        <v>34</v>
      </c>
      <c r="AU102" s="47" t="s">
        <v>35</v>
      </c>
      <c r="AV102" s="47" t="s">
        <v>36</v>
      </c>
      <c r="AW102" s="47" t="s">
        <v>37</v>
      </c>
      <c r="AX102" s="47" t="s">
        <v>38</v>
      </c>
      <c r="AY102" s="47" t="s">
        <v>39</v>
      </c>
      <c r="AZ102" s="47" t="s">
        <v>40</v>
      </c>
      <c r="BA102" s="47" t="s">
        <v>41</v>
      </c>
    </row>
    <row r="103" spans="1:57" ht="32.1" customHeight="1">
      <c r="A103" s="93"/>
      <c r="B103" s="98"/>
      <c r="C103" s="98"/>
      <c r="D103" s="98"/>
      <c r="E103" s="671"/>
      <c r="F103" s="671"/>
      <c r="G103" s="671"/>
      <c r="H103" s="671"/>
      <c r="I103" s="671"/>
      <c r="J103" s="671"/>
      <c r="K103" s="671"/>
      <c r="L103" s="98"/>
      <c r="M103" s="399"/>
      <c r="N103" s="77"/>
      <c r="AD103" s="8"/>
      <c r="AE103" s="8"/>
    </row>
    <row r="104" spans="1:57" ht="32.1" customHeight="1" thickBot="1">
      <c r="A104" s="143"/>
      <c r="B104" s="144"/>
      <c r="C104" s="144"/>
      <c r="D104" s="144"/>
      <c r="E104" s="651"/>
      <c r="F104" s="652"/>
      <c r="G104" s="652"/>
      <c r="H104" s="652"/>
      <c r="I104" s="652"/>
      <c r="J104" s="652"/>
      <c r="K104" s="653"/>
      <c r="L104" s="144"/>
      <c r="M104" s="400"/>
      <c r="N104" s="145"/>
    </row>
    <row r="105" spans="1:57" ht="17.399999999999999">
      <c r="A105" s="67"/>
      <c r="B105" s="67"/>
      <c r="C105" s="67"/>
      <c r="D105" s="641"/>
      <c r="E105" s="641"/>
      <c r="F105" s="641"/>
      <c r="G105" s="641"/>
      <c r="H105" s="641"/>
      <c r="I105" s="641"/>
      <c r="J105" s="641"/>
      <c r="K105" s="641"/>
      <c r="L105" s="641"/>
      <c r="M105" s="641"/>
      <c r="N105" s="641"/>
    </row>
    <row r="106" spans="1:57" ht="17.399999999999999">
      <c r="A106" s="67"/>
      <c r="B106" s="67"/>
      <c r="C106" s="84" t="str">
        <f>VLOOKUP(1035,Sprachindex!$A:$Z,Info!$O$7,FALSE)</f>
        <v>Zusatzvermerk:</v>
      </c>
      <c r="D106" s="642"/>
      <c r="E106" s="642"/>
      <c r="F106" s="642"/>
      <c r="G106" s="642"/>
      <c r="H106" s="642"/>
      <c r="I106" s="642"/>
      <c r="J106" s="642"/>
      <c r="K106" s="642"/>
      <c r="L106" s="642"/>
      <c r="M106" s="642"/>
      <c r="N106" s="642"/>
      <c r="O106" s="180">
        <f>SUM(O31:O104)</f>
        <v>0</v>
      </c>
    </row>
    <row r="107" spans="1:57" ht="17.399999999999999">
      <c r="A107" s="67"/>
      <c r="B107" s="67"/>
      <c r="C107" s="67"/>
      <c r="D107" s="643"/>
      <c r="E107" s="643"/>
      <c r="F107" s="643"/>
      <c r="G107" s="643"/>
      <c r="H107" s="643"/>
      <c r="I107" s="643"/>
      <c r="J107" s="643"/>
      <c r="K107" s="643"/>
      <c r="L107" s="643"/>
      <c r="M107" s="643"/>
      <c r="N107" s="643"/>
    </row>
    <row r="108" spans="1:57" ht="17.399999999999999">
      <c r="A108" s="67"/>
      <c r="B108" s="67"/>
      <c r="C108" s="67"/>
      <c r="D108" s="642"/>
      <c r="E108" s="642"/>
      <c r="F108" s="642"/>
      <c r="G108" s="642"/>
      <c r="H108" s="642"/>
      <c r="I108" s="642"/>
      <c r="J108" s="642"/>
      <c r="K108" s="642"/>
      <c r="L108" s="642"/>
      <c r="M108" s="642"/>
      <c r="N108" s="642"/>
    </row>
    <row r="109" spans="1:57" ht="17.399999999999999">
      <c r="A109" s="67"/>
      <c r="B109" s="67"/>
      <c r="C109" s="67"/>
      <c r="D109" s="643"/>
      <c r="E109" s="643"/>
      <c r="F109" s="643"/>
      <c r="G109" s="643"/>
      <c r="H109" s="643"/>
      <c r="I109" s="643"/>
      <c r="J109" s="643"/>
      <c r="K109" s="643"/>
      <c r="L109" s="643"/>
      <c r="M109" s="643"/>
      <c r="N109" s="643"/>
    </row>
    <row r="110" spans="1:57" ht="17.399999999999999">
      <c r="A110" s="67"/>
      <c r="B110" s="67"/>
      <c r="C110" s="67"/>
      <c r="D110" s="642"/>
      <c r="E110" s="642"/>
      <c r="F110" s="642"/>
      <c r="G110" s="642"/>
      <c r="H110" s="642"/>
      <c r="I110" s="642"/>
      <c r="J110" s="642"/>
      <c r="K110" s="642"/>
      <c r="L110" s="642"/>
      <c r="M110" s="642"/>
      <c r="N110" s="642"/>
    </row>
    <row r="111" spans="1:57" ht="13.8"/>
    <row r="112" spans="1:57" ht="13.8"/>
    <row r="113" spans="1:14" ht="17.399999999999999">
      <c r="A113" s="85" t="str">
        <f>VLOOKUP(2097,Sprachindex!$A:$Z,Info!$O$7,FALSE)</f>
        <v>Produkttechnik</v>
      </c>
      <c r="B113" s="86"/>
      <c r="C113" s="86"/>
      <c r="D113" s="646"/>
      <c r="E113" s="646"/>
      <c r="F113" s="646"/>
      <c r="G113" s="646"/>
      <c r="H113" s="646"/>
      <c r="I113" s="646"/>
      <c r="J113" s="646"/>
      <c r="K113" s="87" t="str">
        <f>VLOOKUP(856,Sprachindex!$A:$Z,Info!$O$7,FALSE)</f>
        <v>Stand:</v>
      </c>
      <c r="L113" s="644">
        <f>Info!M59</f>
        <v>45728</v>
      </c>
      <c r="M113" s="644"/>
      <c r="N113" s="645"/>
    </row>
    <row r="114" spans="1:14" ht="13.8"/>
    <row r="115" spans="1:14" ht="13.8" hidden="1"/>
    <row r="116" spans="1:14" ht="13.8" hidden="1"/>
    <row r="117" spans="1:14" ht="13.8" hidden="1"/>
    <row r="118" spans="1:14" ht="13.8" hidden="1"/>
    <row r="119" spans="1:14" ht="13.8" hidden="1"/>
    <row r="120" spans="1:14" ht="13.8" hidden="1"/>
    <row r="121" spans="1:14" ht="13.8" hidden="1"/>
    <row r="122" spans="1:14" ht="14.25" hidden="1" customHeight="1"/>
    <row r="123" spans="1:14" ht="14.25" hidden="1" customHeight="1"/>
  </sheetData>
  <sheetProtection algorithmName="SHA-512" hashValue="8j6D5gJZlbA8GJOxvVBtKzEXYwYDnANG3FeuoedKsbAf8IJH13O2RMYsIquG4HER2ZJpRRkx7og9uWk/KdzO8g==" saltValue="/3oTAZeNUrDrzk7qOsjZQA==" spinCount="100000" sheet="1" objects="1" scenarios="1" selectLockedCells="1" autoFilter="0"/>
  <protectedRanges>
    <protectedRange password="DEBF" sqref="AD102:AE103" name="darf vom Benutzer nicht verändert werden_1_5_10"/>
    <protectedRange password="DEBF" sqref="AD31:AE31" name="darf vom Benutzer nicht verändert werden_1_5_2_2_2_1"/>
    <protectedRange password="DEBF" sqref="AD69:AE69" name="darf vom Benutzer nicht verändert werden_1_5_14"/>
    <protectedRange password="DEBF" sqref="AD49:AE49" name="darf vom Benutzer nicht verändert werden_1_5_14_1"/>
    <protectedRange password="DEBF" sqref="AE32" name="darf vom Benutzer nicht verändert werden_1_3_1"/>
    <protectedRange password="DEBF" sqref="AE33" name="darf vom Benutzer nicht verändert werden_1_1_5"/>
    <protectedRange password="DEBF" sqref="AD33" name="darf vom Benutzer nicht verändert werden_1_4_5"/>
    <protectedRange password="DEBF" sqref="AE36" name="darf vom Benutzer nicht verändert werden_1_2_6"/>
    <protectedRange password="DEBF" sqref="AD36" name="darf vom Benutzer nicht verändert werden_1_5_12_1"/>
    <protectedRange password="DEBF" sqref="AD38:AE44 AD48:AE48" name="darf vom Benutzer nicht verändert werden_1_5_14_2"/>
    <protectedRange password="DEBF" sqref="AD37:AE37" name="darf vom Benutzer nicht verändert werden_1_5_27"/>
    <protectedRange password="DEBF" sqref="AD35:AE35" name="darf vom Benutzer nicht verändert werden_1_5_1_1"/>
    <protectedRange password="DEBF" sqref="AD45:AE47" name="darf vom Benutzer nicht verändert werden_1_5_5"/>
    <protectedRange password="DEBF" sqref="AD50:AE51 AD55:AE55" name="darf vom Benutzer nicht verändert werden_1_5_14_3"/>
    <protectedRange password="DEBF" sqref="AD52:AE54" name="darf vom Benutzer nicht verändert werden_1_5_6"/>
    <protectedRange password="DEBF" sqref="AD56:AE58" name="darf vom Benutzer nicht verändert werden_1_5_11_1"/>
    <protectedRange password="DEBF" sqref="AD59:AE68" name="darf vom Benutzer nicht verändert werden_1_5_11_2"/>
    <protectedRange password="DEBF" sqref="AD70:AE75" name="darf vom Benutzer nicht verändert werden_1_5_9_1"/>
    <protectedRange password="DEBF" sqref="AD96:AE99 AD101:AE101" name="darf vom Benutzer nicht verändert werden_1_5_7"/>
    <protectedRange password="DEBF" sqref="AF101" name="darf vom Benutzer nicht verändert werden_1_12_1"/>
    <protectedRange password="DEBF" sqref="AD78:AE95" name="darf vom Benutzer nicht verändert werden_1_5_8"/>
    <protectedRange password="DEBF" sqref="AD77:AF77" name="darf vom Benutzer nicht verändert werden_1_5_1"/>
    <protectedRange password="DEBF" sqref="AC100:AD100" name="darf vom Benutzer nicht verändert werden_1_5_7_1"/>
    <protectedRange password="DEBF" sqref="AF100" name="darf vom Benutzer nicht verändert werden_1_12_1_1"/>
    <protectedRange password="DEBF" sqref="AE34" name="darf vom Benutzer nicht verändert werden_1_2_3"/>
    <protectedRange password="DEBF" sqref="AD34" name="darf vom Benutzer nicht verändert werden_1_5_2_5_3"/>
  </protectedRanges>
  <autoFilter ref="A29:A104" xr:uid="{00000000-0009-0000-0000-000004000000}"/>
  <mergeCells count="113">
    <mergeCell ref="B24:B27"/>
    <mergeCell ref="C24:E24"/>
    <mergeCell ref="C25:E25"/>
    <mergeCell ref="C26:E26"/>
    <mergeCell ref="C27:E27"/>
    <mergeCell ref="C15:E15"/>
    <mergeCell ref="C21:E21"/>
    <mergeCell ref="C20:E20"/>
    <mergeCell ref="C19:E19"/>
    <mergeCell ref="C9:E9"/>
    <mergeCell ref="C18:E18"/>
    <mergeCell ref="C11:E11"/>
    <mergeCell ref="E70:K70"/>
    <mergeCell ref="E61:K61"/>
    <mergeCell ref="E62:K62"/>
    <mergeCell ref="E65:K65"/>
    <mergeCell ref="C14:E14"/>
    <mergeCell ref="C13:E13"/>
    <mergeCell ref="C10:E10"/>
    <mergeCell ref="E37:K37"/>
    <mergeCell ref="E68:K68"/>
    <mergeCell ref="E58:K58"/>
    <mergeCell ref="E63:K63"/>
    <mergeCell ref="E64:K64"/>
    <mergeCell ref="E60:K60"/>
    <mergeCell ref="E49:K49"/>
    <mergeCell ref="E36:G36"/>
    <mergeCell ref="H36:K36"/>
    <mergeCell ref="E48:K48"/>
    <mergeCell ref="E53:H53"/>
    <mergeCell ref="E43:K43"/>
    <mergeCell ref="E44:K44"/>
    <mergeCell ref="H46:K46"/>
    <mergeCell ref="E97:K97"/>
    <mergeCell ref="E96:K96"/>
    <mergeCell ref="E92:K92"/>
    <mergeCell ref="E80:K80"/>
    <mergeCell ref="E71:K71"/>
    <mergeCell ref="E72:K72"/>
    <mergeCell ref="E73:K73"/>
    <mergeCell ref="E74:K74"/>
    <mergeCell ref="E75:K75"/>
    <mergeCell ref="E76:K76"/>
    <mergeCell ref="E94:K94"/>
    <mergeCell ref="E81:K81"/>
    <mergeCell ref="E82:K82"/>
    <mergeCell ref="E84:K84"/>
    <mergeCell ref="E85:K85"/>
    <mergeCell ref="E89:K89"/>
    <mergeCell ref="E91:K91"/>
    <mergeCell ref="E79:K79"/>
    <mergeCell ref="E83:K83"/>
    <mergeCell ref="E90:K90"/>
    <mergeCell ref="E93:K93"/>
    <mergeCell ref="E86:K86"/>
    <mergeCell ref="E87:K87"/>
    <mergeCell ref="E88:K88"/>
    <mergeCell ref="D113:J113"/>
    <mergeCell ref="E102:K102"/>
    <mergeCell ref="E103:K103"/>
    <mergeCell ref="E104:K104"/>
    <mergeCell ref="E100:H100"/>
    <mergeCell ref="I100:K100"/>
    <mergeCell ref="E98:K98"/>
    <mergeCell ref="E99:K99"/>
    <mergeCell ref="D105:N106"/>
    <mergeCell ref="D107:N108"/>
    <mergeCell ref="D109:N110"/>
    <mergeCell ref="L113:N113"/>
    <mergeCell ref="E95:K95"/>
    <mergeCell ref="E78:K78"/>
    <mergeCell ref="AH36:AR36"/>
    <mergeCell ref="E31:K31"/>
    <mergeCell ref="E32:K32"/>
    <mergeCell ref="E66:K66"/>
    <mergeCell ref="J53:K53"/>
    <mergeCell ref="E52:K52"/>
    <mergeCell ref="J55:K55"/>
    <mergeCell ref="E50:K50"/>
    <mergeCell ref="E51:K51"/>
    <mergeCell ref="E47:G47"/>
    <mergeCell ref="H47:K47"/>
    <mergeCell ref="E69:K69"/>
    <mergeCell ref="J54:K54"/>
    <mergeCell ref="E56:K56"/>
    <mergeCell ref="E57:K57"/>
    <mergeCell ref="E59:K59"/>
    <mergeCell ref="E55:G55"/>
    <mergeCell ref="E54:G54"/>
    <mergeCell ref="AT36:BD36"/>
    <mergeCell ref="E45:G45"/>
    <mergeCell ref="H45:K45"/>
    <mergeCell ref="AH66:AS66"/>
    <mergeCell ref="AT66:BD66"/>
    <mergeCell ref="E101:K101"/>
    <mergeCell ref="AH29:AR29"/>
    <mergeCell ref="AT29:BD29"/>
    <mergeCell ref="AD29:AE29"/>
    <mergeCell ref="B29:F29"/>
    <mergeCell ref="E30:K30"/>
    <mergeCell ref="E34:G34"/>
    <mergeCell ref="E67:K67"/>
    <mergeCell ref="E46:G46"/>
    <mergeCell ref="E42:K42"/>
    <mergeCell ref="E33:G33"/>
    <mergeCell ref="H33:K33"/>
    <mergeCell ref="E38:K38"/>
    <mergeCell ref="E39:K39"/>
    <mergeCell ref="E40:K40"/>
    <mergeCell ref="E41:K41"/>
    <mergeCell ref="H34:K34"/>
    <mergeCell ref="E35:K35"/>
    <mergeCell ref="E77:K77"/>
  </mergeCells>
  <conditionalFormatting sqref="A31:A101">
    <cfRule type="cellIs" dxfId="1136" priority="9" operator="equal">
      <formula>""</formula>
    </cfRule>
  </conditionalFormatting>
  <conditionalFormatting sqref="A102:E104">
    <cfRule type="cellIs" dxfId="1135" priority="178" operator="equal">
      <formula>""</formula>
    </cfRule>
  </conditionalFormatting>
  <conditionalFormatting sqref="C9:C11 C13:C15 C18:C21">
    <cfRule type="cellIs" dxfId="1133" priority="950" operator="equal">
      <formula>""</formula>
    </cfRule>
  </conditionalFormatting>
  <conditionalFormatting sqref="C24:E27">
    <cfRule type="cellIs" dxfId="1132" priority="436" operator="equal">
      <formula>""</formula>
    </cfRule>
  </conditionalFormatting>
  <conditionalFormatting sqref="D65">
    <cfRule type="duplicateValues" dxfId="1131" priority="75"/>
  </conditionalFormatting>
  <conditionalFormatting sqref="D66">
    <cfRule type="duplicateValues" dxfId="1130" priority="79"/>
  </conditionalFormatting>
  <conditionalFormatting sqref="D67">
    <cfRule type="duplicateValues" dxfId="1129" priority="78"/>
  </conditionalFormatting>
  <conditionalFormatting sqref="D75">
    <cfRule type="duplicateValues" dxfId="1128" priority="62"/>
  </conditionalFormatting>
  <conditionalFormatting sqref="H45">
    <cfRule type="expression" dxfId="1127" priority="142">
      <formula>$H$45=""</formula>
    </cfRule>
  </conditionalFormatting>
  <conditionalFormatting sqref="H46">
    <cfRule type="expression" dxfId="1126" priority="143">
      <formula>$H$46=""</formula>
    </cfRule>
  </conditionalFormatting>
  <conditionalFormatting sqref="H33:K33">
    <cfRule type="expression" dxfId="1123" priority="158">
      <formula>$H$33=""</formula>
    </cfRule>
  </conditionalFormatting>
  <conditionalFormatting sqref="H34:K34">
    <cfRule type="cellIs" dxfId="1122" priority="10" operator="equal">
      <formula>""</formula>
    </cfRule>
  </conditionalFormatting>
  <conditionalFormatting sqref="H36:K36">
    <cfRule type="expression" dxfId="1121" priority="157">
      <formula>$H$36=""</formula>
    </cfRule>
  </conditionalFormatting>
  <conditionalFormatting sqref="H47:K47">
    <cfRule type="expression" dxfId="1120" priority="152">
      <formula>$H$47=""</formula>
    </cfRule>
  </conditionalFormatting>
  <conditionalFormatting sqref="I13">
    <cfRule type="expression" dxfId="1119" priority="2140">
      <formula>$P$13=2</formula>
    </cfRule>
    <cfRule type="expression" dxfId="1118" priority="2141">
      <formula>$P$13=1</formula>
    </cfRule>
  </conditionalFormatting>
  <conditionalFormatting sqref="I21:I22 I28">
    <cfRule type="expression" dxfId="1117" priority="2142">
      <formula>$P$21=10</formula>
    </cfRule>
  </conditionalFormatting>
  <conditionalFormatting sqref="I24:I26">
    <cfRule type="cellIs" dxfId="1116" priority="176" operator="equal">
      <formula>""</formula>
    </cfRule>
  </conditionalFormatting>
  <conditionalFormatting sqref="I100:K100">
    <cfRule type="expression" dxfId="1115" priority="18">
      <formula>$I$100=""</formula>
    </cfRule>
  </conditionalFormatting>
  <conditionalFormatting sqref="L13">
    <cfRule type="expression" dxfId="1113" priority="2147">
      <formula>$P$13=2</formula>
    </cfRule>
    <cfRule type="expression" dxfId="1112" priority="2146">
      <formula>$P$13=1</formula>
    </cfRule>
  </conditionalFormatting>
  <conditionalFormatting sqref="L102:N104">
    <cfRule type="cellIs" dxfId="1111" priority="428" operator="equal">
      <formula>""</formula>
    </cfRule>
  </conditionalFormatting>
  <conditionalFormatting sqref="AH84 AJ84:AR84">
    <cfRule type="duplicateValues" dxfId="1108" priority="51"/>
  </conditionalFormatting>
  <conditionalFormatting sqref="AH100:AL100">
    <cfRule type="duplicateValues" dxfId="1107" priority="17"/>
  </conditionalFormatting>
  <conditionalFormatting sqref="AH80:AO80 AQ80">
    <cfRule type="duplicateValues" dxfId="1106" priority="49"/>
  </conditionalFormatting>
  <conditionalFormatting sqref="AH81:AO81 AQ81">
    <cfRule type="duplicateValues" dxfId="1105" priority="48"/>
  </conditionalFormatting>
  <conditionalFormatting sqref="AH85:AO85 AQ85">
    <cfRule type="duplicateValues" dxfId="1104" priority="47"/>
  </conditionalFormatting>
  <conditionalFormatting sqref="AH86:AO86 AQ86">
    <cfRule type="duplicateValues" dxfId="1103" priority="46"/>
  </conditionalFormatting>
  <conditionalFormatting sqref="AH87:AO87 AQ87">
    <cfRule type="duplicateValues" dxfId="1102" priority="45"/>
  </conditionalFormatting>
  <conditionalFormatting sqref="AH88:AO88 AQ88">
    <cfRule type="duplicateValues" dxfId="1101" priority="44"/>
  </conditionalFormatting>
  <conditionalFormatting sqref="AH89:AO89 AQ89">
    <cfRule type="duplicateValues" dxfId="1100" priority="43"/>
  </conditionalFormatting>
  <conditionalFormatting sqref="AH91:AO91 AQ91">
    <cfRule type="duplicateValues" dxfId="1099" priority="42"/>
  </conditionalFormatting>
  <conditionalFormatting sqref="AH63:AP63">
    <cfRule type="duplicateValues" dxfId="1098" priority="77"/>
  </conditionalFormatting>
  <conditionalFormatting sqref="AH64:AP64">
    <cfRule type="duplicateValues" dxfId="1097" priority="81"/>
  </conditionalFormatting>
  <conditionalFormatting sqref="AH93:AP93 AH92:AO92 AQ92">
    <cfRule type="duplicateValues" dxfId="1096" priority="41"/>
  </conditionalFormatting>
  <conditionalFormatting sqref="AH77:AQ77">
    <cfRule type="duplicateValues" dxfId="1095" priority="21"/>
  </conditionalFormatting>
  <conditionalFormatting sqref="AH31:AR31 AT31:AW31">
    <cfRule type="duplicateValues" dxfId="1094" priority="2552"/>
  </conditionalFormatting>
  <conditionalFormatting sqref="AH35:AR35">
    <cfRule type="duplicateValues" dxfId="1093" priority="155"/>
  </conditionalFormatting>
  <conditionalFormatting sqref="AH45:AR45">
    <cfRule type="duplicateValues" dxfId="1092" priority="151"/>
  </conditionalFormatting>
  <conditionalFormatting sqref="AH46:AR46">
    <cfRule type="duplicateValues" dxfId="1091" priority="150"/>
  </conditionalFormatting>
  <conditionalFormatting sqref="AH47:AR47">
    <cfRule type="duplicateValues" dxfId="1090" priority="149"/>
  </conditionalFormatting>
  <conditionalFormatting sqref="AH48:AR48">
    <cfRule type="duplicateValues" dxfId="1089" priority="146"/>
  </conditionalFormatting>
  <conditionalFormatting sqref="AH52:AR52">
    <cfRule type="duplicateValues" dxfId="1088" priority="135"/>
  </conditionalFormatting>
  <conditionalFormatting sqref="AH53:AR54">
    <cfRule type="duplicateValues" dxfId="1087" priority="107"/>
  </conditionalFormatting>
  <conditionalFormatting sqref="AH56:AR58">
    <cfRule type="duplicateValues" dxfId="1086" priority="85"/>
  </conditionalFormatting>
  <conditionalFormatting sqref="AH59:AR62">
    <cfRule type="duplicateValues" dxfId="1085" priority="67"/>
  </conditionalFormatting>
  <conditionalFormatting sqref="AH68:AR68">
    <cfRule type="duplicateValues" dxfId="1084" priority="82"/>
  </conditionalFormatting>
  <conditionalFormatting sqref="AH69:AR69">
    <cfRule type="duplicateValues" dxfId="1083" priority="22"/>
  </conditionalFormatting>
  <conditionalFormatting sqref="AH72:AR74">
    <cfRule type="duplicateValues" dxfId="1082" priority="59"/>
  </conditionalFormatting>
  <conditionalFormatting sqref="AH78:AR79">
    <cfRule type="duplicateValues" dxfId="1081" priority="2148"/>
  </conditionalFormatting>
  <conditionalFormatting sqref="AH82:AR82">
    <cfRule type="duplicateValues" dxfId="1080" priority="2149"/>
  </conditionalFormatting>
  <conditionalFormatting sqref="AH83:AR83">
    <cfRule type="duplicateValues" dxfId="1079" priority="2150"/>
  </conditionalFormatting>
  <conditionalFormatting sqref="AH90:AR90">
    <cfRule type="duplicateValues" dxfId="1078" priority="50"/>
  </conditionalFormatting>
  <conditionalFormatting sqref="AI84">
    <cfRule type="duplicateValues" dxfId="1077" priority="36"/>
  </conditionalFormatting>
  <conditionalFormatting sqref="AQ63">
    <cfRule type="duplicateValues" dxfId="1076" priority="76"/>
  </conditionalFormatting>
  <conditionalFormatting sqref="AQ64">
    <cfRule type="duplicateValues" dxfId="1075" priority="80"/>
  </conditionalFormatting>
  <conditionalFormatting sqref="AQ93:AR93 AR92 AP92">
    <cfRule type="duplicateValues" dxfId="1074" priority="35"/>
  </conditionalFormatting>
  <conditionalFormatting sqref="AR77">
    <cfRule type="duplicateValues" dxfId="1073" priority="14"/>
  </conditionalFormatting>
  <conditionalFormatting sqref="AR80 AP80">
    <cfRule type="duplicateValues" dxfId="1072" priority="38"/>
  </conditionalFormatting>
  <conditionalFormatting sqref="AR81 AP81">
    <cfRule type="duplicateValues" dxfId="1071" priority="39"/>
  </conditionalFormatting>
  <conditionalFormatting sqref="AR85 AP85">
    <cfRule type="duplicateValues" dxfId="1070" priority="40"/>
  </conditionalFormatting>
  <conditionalFormatting sqref="AR86 AP86">
    <cfRule type="duplicateValues" dxfId="1069" priority="2151"/>
  </conditionalFormatting>
  <conditionalFormatting sqref="AR87 AP87">
    <cfRule type="duplicateValues" dxfId="1068" priority="2152"/>
  </conditionalFormatting>
  <conditionalFormatting sqref="AR88 AP88">
    <cfRule type="duplicateValues" dxfId="1067" priority="2153"/>
  </conditionalFormatting>
  <conditionalFormatting sqref="AR89 AP89">
    <cfRule type="duplicateValues" dxfId="1066" priority="2154"/>
  </conditionalFormatting>
  <conditionalFormatting sqref="AR91 AP91">
    <cfRule type="duplicateValues" dxfId="1065" priority="2155"/>
  </conditionalFormatting>
  <conditionalFormatting sqref="AT70:AU70 AX70 AZ70 AH70:AR71">
    <cfRule type="duplicateValues" dxfId="1064" priority="64"/>
  </conditionalFormatting>
  <conditionalFormatting sqref="AT101:AU101 AX101 AZ101 AH101:AR101">
    <cfRule type="duplicateValues" dxfId="1063" priority="2156"/>
  </conditionalFormatting>
  <conditionalFormatting sqref="AT45:AV47">
    <cfRule type="duplicateValues" dxfId="1062" priority="148"/>
  </conditionalFormatting>
  <conditionalFormatting sqref="AT48:AV48">
    <cfRule type="duplicateValues" dxfId="1061" priority="147"/>
  </conditionalFormatting>
  <conditionalFormatting sqref="AT69:AW69">
    <cfRule type="duplicateValues" dxfId="1060" priority="165"/>
  </conditionalFormatting>
  <conditionalFormatting sqref="AT76:AW76 AH76:AR76">
    <cfRule type="duplicateValues" dxfId="1059" priority="2554"/>
  </conditionalFormatting>
  <conditionalFormatting sqref="AT56:BC56">
    <cfRule type="duplicateValues" dxfId="1058" priority="88"/>
  </conditionalFormatting>
  <conditionalFormatting sqref="AT57:BC57">
    <cfRule type="duplicateValues" dxfId="1057" priority="86"/>
  </conditionalFormatting>
  <conditionalFormatting sqref="AT58:BC58">
    <cfRule type="duplicateValues" dxfId="1056" priority="87"/>
  </conditionalFormatting>
  <conditionalFormatting sqref="AT52:BD52">
    <cfRule type="duplicateValues" dxfId="1055" priority="136"/>
  </conditionalFormatting>
  <conditionalFormatting sqref="AT53:BD53">
    <cfRule type="duplicateValues" dxfId="1054" priority="134"/>
  </conditionalFormatting>
  <conditionalFormatting sqref="AT54:BD54">
    <cfRule type="duplicateValues" dxfId="1053" priority="89"/>
  </conditionalFormatting>
  <conditionalFormatting sqref="AT71:BD71">
    <cfRule type="duplicateValues" dxfId="1052" priority="60"/>
  </conditionalFormatting>
  <conditionalFormatting sqref="AV70:AW70 AY70 BA70:BC70">
    <cfRule type="duplicateValues" dxfId="1051" priority="63"/>
  </conditionalFormatting>
  <conditionalFormatting sqref="AV101:AW101 AY101 BA101:BD101">
    <cfRule type="duplicateValues" dxfId="1050" priority="2157"/>
  </conditionalFormatting>
  <conditionalFormatting sqref="AX31:BD31">
    <cfRule type="duplicateValues" dxfId="1049" priority="174"/>
  </conditionalFormatting>
  <conditionalFormatting sqref="AX69:BD69">
    <cfRule type="duplicateValues" dxfId="1048" priority="164"/>
  </conditionalFormatting>
  <conditionalFormatting sqref="AX76:BD76">
    <cfRule type="duplicateValues" dxfId="1047" priority="168"/>
  </conditionalFormatting>
  <conditionalFormatting sqref="AY38:AY44 BA38:BD44 AV38:AW44">
    <cfRule type="duplicateValues" dxfId="1046" priority="154"/>
  </conditionalFormatting>
  <conditionalFormatting sqref="AY49 BA49:BD49 AV49:AW49">
    <cfRule type="duplicateValues" dxfId="1045" priority="24"/>
  </conditionalFormatting>
  <conditionalFormatting sqref="AZ38:AZ44 AT38:AU44 AX38:AX44 AH38:AR44">
    <cfRule type="duplicateValues" dxfId="1044" priority="153"/>
  </conditionalFormatting>
  <conditionalFormatting sqref="AZ49 AT49:AU49 AX49 AH49:AR49">
    <cfRule type="duplicateValues" dxfId="1043" priority="23"/>
  </conditionalFormatting>
  <conditionalFormatting sqref="BB59:BB62 BC59 AT59:BA59">
    <cfRule type="duplicateValues" dxfId="1042" priority="74"/>
  </conditionalFormatting>
  <conditionalFormatting sqref="BB60">
    <cfRule type="duplicateValues" dxfId="1041" priority="72"/>
  </conditionalFormatting>
  <conditionalFormatting sqref="BB61">
    <cfRule type="duplicateValues" dxfId="1040" priority="70"/>
  </conditionalFormatting>
  <conditionalFormatting sqref="BB62">
    <cfRule type="duplicateValues" dxfId="1039" priority="68"/>
  </conditionalFormatting>
  <conditionalFormatting sqref="BC60 AT60:BA60">
    <cfRule type="duplicateValues" dxfId="1038" priority="73"/>
  </conditionalFormatting>
  <conditionalFormatting sqref="BC61 AT61:BA61">
    <cfRule type="duplicateValues" dxfId="1037" priority="71"/>
  </conditionalFormatting>
  <conditionalFormatting sqref="BC62 AT62:BA62">
    <cfRule type="duplicateValues" dxfId="1036" priority="69"/>
  </conditionalFormatting>
  <conditionalFormatting sqref="BC55:BK55 BM55:BV55">
    <cfRule type="duplicateValues" dxfId="1035" priority="141"/>
  </conditionalFormatting>
  <conditionalFormatting sqref="BD70">
    <cfRule type="duplicateValues" dxfId="1034" priority="61"/>
  </conditionalFormatting>
  <conditionalFormatting sqref="BT53:CD54">
    <cfRule type="duplicateValues" dxfId="1033" priority="106"/>
  </conditionalFormatting>
  <conditionalFormatting sqref="BX55:CF55 CH55:CQ55">
    <cfRule type="duplicateValues" dxfId="1032" priority="140"/>
  </conditionalFormatting>
  <conditionalFormatting sqref="CH53:CR54 BH53:BR54">
    <cfRule type="duplicateValues" dxfId="1031" priority="105"/>
  </conditionalFormatting>
  <conditionalFormatting sqref="CS55:DA55 DX55:EG55">
    <cfRule type="duplicateValues" dxfId="1030" priority="139"/>
  </conditionalFormatting>
  <conditionalFormatting sqref="CU53:DD54">
    <cfRule type="duplicateValues" dxfId="1029" priority="104"/>
  </conditionalFormatting>
  <conditionalFormatting sqref="DC55:DL55">
    <cfRule type="duplicateValues" dxfId="1028" priority="137"/>
  </conditionalFormatting>
  <conditionalFormatting sqref="DH53:DR54">
    <cfRule type="duplicateValues" dxfId="1027" priority="103"/>
  </conditionalFormatting>
  <conditionalFormatting sqref="DU53:ED54">
    <cfRule type="duplicateValues" dxfId="1026" priority="102"/>
  </conditionalFormatting>
  <conditionalFormatting sqref="EH53:ER54">
    <cfRule type="duplicateValues" dxfId="1025" priority="101"/>
  </conditionalFormatting>
  <conditionalFormatting sqref="EI55:EQ55 ES55:FB55">
    <cfRule type="duplicateValues" dxfId="1024" priority="138"/>
  </conditionalFormatting>
  <conditionalFormatting sqref="EU53:FD54">
    <cfRule type="duplicateValues" dxfId="1023" priority="100"/>
  </conditionalFormatting>
  <conditionalFormatting sqref="FH53:FR54">
    <cfRule type="duplicateValues" dxfId="1022" priority="99"/>
  </conditionalFormatting>
  <conditionalFormatting sqref="FU53:GD54">
    <cfRule type="duplicateValues" dxfId="1021" priority="98"/>
  </conditionalFormatting>
  <conditionalFormatting sqref="GH53:GR54">
    <cfRule type="duplicateValues" dxfId="1020" priority="97"/>
  </conditionalFormatting>
  <conditionalFormatting sqref="GU53:HD54">
    <cfRule type="duplicateValues" dxfId="1019" priority="96"/>
  </conditionalFormatting>
  <conditionalFormatting sqref="HH53:HR54">
    <cfRule type="duplicateValues" dxfId="1018" priority="95"/>
  </conditionalFormatting>
  <conditionalFormatting sqref="HU53:ID54">
    <cfRule type="duplicateValues" dxfId="1017" priority="94"/>
  </conditionalFormatting>
  <conditionalFormatting sqref="IH53:IR54">
    <cfRule type="duplicateValues" dxfId="1016" priority="93"/>
  </conditionalFormatting>
  <conditionalFormatting sqref="IU53:JD54">
    <cfRule type="duplicateValues" dxfId="1015" priority="92"/>
  </conditionalFormatting>
  <conditionalFormatting sqref="JH53:JR54">
    <cfRule type="duplicateValues" dxfId="1014" priority="91"/>
  </conditionalFormatting>
  <conditionalFormatting sqref="JU53:KD54">
    <cfRule type="duplicateValues" dxfId="1013" priority="90"/>
  </conditionalFormatting>
  <conditionalFormatting sqref="KF53:KM53">
    <cfRule type="duplicateValues" dxfId="1012" priority="133"/>
  </conditionalFormatting>
  <conditionalFormatting sqref="KN53">
    <cfRule type="duplicateValues" dxfId="1011" priority="108"/>
  </conditionalFormatting>
  <conditionalFormatting sqref="KP53">
    <cfRule type="duplicateValues" dxfId="1010" priority="120"/>
  </conditionalFormatting>
  <conditionalFormatting sqref="KQ53:KX53">
    <cfRule type="duplicateValues" dxfId="1009" priority="132"/>
  </conditionalFormatting>
  <conditionalFormatting sqref="KZ53:LH53">
    <cfRule type="duplicateValues" dxfId="1008" priority="131"/>
  </conditionalFormatting>
  <conditionalFormatting sqref="LI53">
    <cfRule type="duplicateValues" dxfId="1007" priority="109"/>
  </conditionalFormatting>
  <conditionalFormatting sqref="LK53">
    <cfRule type="duplicateValues" dxfId="1006" priority="119"/>
  </conditionalFormatting>
  <conditionalFormatting sqref="LL53:LS53">
    <cfRule type="duplicateValues" dxfId="1005" priority="130"/>
  </conditionalFormatting>
  <conditionalFormatting sqref="LU53:MC53">
    <cfRule type="duplicateValues" dxfId="1004" priority="129"/>
  </conditionalFormatting>
  <conditionalFormatting sqref="MD53">
    <cfRule type="duplicateValues" dxfId="1003" priority="110"/>
  </conditionalFormatting>
  <conditionalFormatting sqref="MF53">
    <cfRule type="duplicateValues" dxfId="1002" priority="118"/>
  </conditionalFormatting>
  <conditionalFormatting sqref="MG53:MN53">
    <cfRule type="duplicateValues" dxfId="1001" priority="128"/>
  </conditionalFormatting>
  <conditionalFormatting sqref="MP53:MX53">
    <cfRule type="duplicateValues" dxfId="1000" priority="127"/>
  </conditionalFormatting>
  <conditionalFormatting sqref="MY53">
    <cfRule type="duplicateValues" dxfId="999" priority="111"/>
  </conditionalFormatting>
  <conditionalFormatting sqref="NA53">
    <cfRule type="duplicateValues" dxfId="998" priority="117"/>
  </conditionalFormatting>
  <conditionalFormatting sqref="NB53:NI53">
    <cfRule type="duplicateValues" dxfId="997" priority="126"/>
  </conditionalFormatting>
  <conditionalFormatting sqref="NK53:NS53">
    <cfRule type="duplicateValues" dxfId="996" priority="125"/>
  </conditionalFormatting>
  <conditionalFormatting sqref="NT53">
    <cfRule type="duplicateValues" dxfId="995" priority="112"/>
  </conditionalFormatting>
  <conditionalFormatting sqref="NV53">
    <cfRule type="duplicateValues" dxfId="994" priority="116"/>
  </conditionalFormatting>
  <conditionalFormatting sqref="NW53:OD53">
    <cfRule type="duplicateValues" dxfId="993" priority="124"/>
  </conditionalFormatting>
  <conditionalFormatting sqref="OF53:ON53">
    <cfRule type="duplicateValues" dxfId="992" priority="123"/>
  </conditionalFormatting>
  <conditionalFormatting sqref="OO53">
    <cfRule type="duplicateValues" dxfId="991" priority="113"/>
  </conditionalFormatting>
  <conditionalFormatting sqref="OQ53">
    <cfRule type="duplicateValues" dxfId="990" priority="115"/>
  </conditionalFormatting>
  <conditionalFormatting sqref="OR53:OY53">
    <cfRule type="duplicateValues" dxfId="989" priority="122"/>
  </conditionalFormatting>
  <conditionalFormatting sqref="PA53:PJ53">
    <cfRule type="duplicateValues" dxfId="988" priority="121"/>
  </conditionalFormatting>
  <pageMargins left="0.39370078740157483" right="0.19685039370078741" top="0.31496062992125984" bottom="0.31496062992125984" header="0.31496062992125984" footer="0.31496062992125984"/>
  <pageSetup paperSize="9" scale="56"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progId="CorelDraw.Graphic.15" shapeId="15405" r:id="rId5">
          <objectPr defaultSize="0" autoPict="0" r:id="rId6">
            <anchor moveWithCells="1" sizeWithCells="1">
              <from>
                <xdr:col>2</xdr:col>
                <xdr:colOff>190500</xdr:colOff>
                <xdr:row>68</xdr:row>
                <xdr:rowOff>45720</xdr:rowOff>
              </from>
              <to>
                <xdr:col>2</xdr:col>
                <xdr:colOff>601980</xdr:colOff>
                <xdr:row>68</xdr:row>
                <xdr:rowOff>350520</xdr:rowOff>
              </to>
            </anchor>
          </objectPr>
        </oleObject>
      </mc:Choice>
      <mc:Fallback>
        <oleObject progId="CorelDraw.Graphic.15" shapeId="15405" r:id="rId5"/>
      </mc:Fallback>
    </mc:AlternateContent>
  </oleObjects>
  <mc:AlternateContent xmlns:mc="http://schemas.openxmlformats.org/markup-compatibility/2006">
    <mc:Choice Requires="x14">
      <controls>
        <mc:AlternateContent xmlns:mc="http://schemas.openxmlformats.org/markup-compatibility/2006">
          <mc:Choice Requires="x14">
            <control shapeId="15361" r:id="rId7"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15369" r:id="rId8" name="Option Button 9">
              <controlPr defaultSize="0" autoFill="0" autoLine="0" autoPict="0" altText="">
                <anchor moveWithCells="1">
                  <from>
                    <xdr:col>5</xdr:col>
                    <xdr:colOff>556260</xdr:colOff>
                    <xdr:row>15</xdr:row>
                    <xdr:rowOff>30480</xdr:rowOff>
                  </from>
                  <to>
                    <xdr:col>7</xdr:col>
                    <xdr:colOff>617220</xdr:colOff>
                    <xdr:row>15</xdr:row>
                    <xdr:rowOff>175260</xdr:rowOff>
                  </to>
                </anchor>
              </controlPr>
            </control>
          </mc:Choice>
        </mc:AlternateContent>
        <mc:AlternateContent xmlns:mc="http://schemas.openxmlformats.org/markup-compatibility/2006">
          <mc:Choice Requires="x14">
            <control shapeId="15370" r:id="rId9" name="Option Button 10">
              <controlPr defaultSize="0" autoFill="0" autoLine="0" autoPict="0" altText="">
                <anchor moveWithCells="1">
                  <from>
                    <xdr:col>5</xdr:col>
                    <xdr:colOff>556260</xdr:colOff>
                    <xdr:row>16</xdr:row>
                    <xdr:rowOff>22860</xdr:rowOff>
                  </from>
                  <to>
                    <xdr:col>7</xdr:col>
                    <xdr:colOff>617220</xdr:colOff>
                    <xdr:row>16</xdr:row>
                    <xdr:rowOff>175260</xdr:rowOff>
                  </to>
                </anchor>
              </controlPr>
            </control>
          </mc:Choice>
        </mc:AlternateContent>
        <mc:AlternateContent xmlns:mc="http://schemas.openxmlformats.org/markup-compatibility/2006">
          <mc:Choice Requires="x14">
            <control shapeId="15371" r:id="rId10" name="Option Button 11">
              <controlPr defaultSize="0" autoFill="0" autoLine="0" autoPict="0" altText="">
                <anchor moveWithCells="1">
                  <from>
                    <xdr:col>5</xdr:col>
                    <xdr:colOff>556260</xdr:colOff>
                    <xdr:row>17</xdr:row>
                    <xdr:rowOff>22860</xdr:rowOff>
                  </from>
                  <to>
                    <xdr:col>7</xdr:col>
                    <xdr:colOff>617220</xdr:colOff>
                    <xdr:row>17</xdr:row>
                    <xdr:rowOff>175260</xdr:rowOff>
                  </to>
                </anchor>
              </controlPr>
            </control>
          </mc:Choice>
        </mc:AlternateContent>
        <mc:AlternateContent xmlns:mc="http://schemas.openxmlformats.org/markup-compatibility/2006">
          <mc:Choice Requires="x14">
            <control shapeId="15372" r:id="rId11" name="Option Button 12">
              <controlPr defaultSize="0" autoFill="0" autoLine="0" autoPict="0" altText="">
                <anchor moveWithCells="1">
                  <from>
                    <xdr:col>5</xdr:col>
                    <xdr:colOff>556260</xdr:colOff>
                    <xdr:row>18</xdr:row>
                    <xdr:rowOff>22860</xdr:rowOff>
                  </from>
                  <to>
                    <xdr:col>7</xdr:col>
                    <xdr:colOff>617220</xdr:colOff>
                    <xdr:row>18</xdr:row>
                    <xdr:rowOff>175260</xdr:rowOff>
                  </to>
                </anchor>
              </controlPr>
            </control>
          </mc:Choice>
        </mc:AlternateContent>
        <mc:AlternateContent xmlns:mc="http://schemas.openxmlformats.org/markup-compatibility/2006">
          <mc:Choice Requires="x14">
            <control shapeId="15373" r:id="rId12" name="Option Button 13">
              <controlPr defaultSize="0" autoFill="0" autoLine="0" autoPict="0" altText="">
                <anchor moveWithCells="1">
                  <from>
                    <xdr:col>5</xdr:col>
                    <xdr:colOff>556260</xdr:colOff>
                    <xdr:row>19</xdr:row>
                    <xdr:rowOff>22860</xdr:rowOff>
                  </from>
                  <to>
                    <xdr:col>7</xdr:col>
                    <xdr:colOff>632460</xdr:colOff>
                    <xdr:row>19</xdr:row>
                    <xdr:rowOff>175260</xdr:rowOff>
                  </to>
                </anchor>
              </controlPr>
            </control>
          </mc:Choice>
        </mc:AlternateContent>
        <mc:AlternateContent xmlns:mc="http://schemas.openxmlformats.org/markup-compatibility/2006">
          <mc:Choice Requires="x14">
            <control shapeId="15374" r:id="rId13" name="Option Button 14">
              <controlPr defaultSize="0" autoFill="0" autoLine="0" autoPict="0" altText="">
                <anchor moveWithCells="1">
                  <from>
                    <xdr:col>5</xdr:col>
                    <xdr:colOff>556260</xdr:colOff>
                    <xdr:row>20</xdr:row>
                    <xdr:rowOff>30480</xdr:rowOff>
                  </from>
                  <to>
                    <xdr:col>7</xdr:col>
                    <xdr:colOff>632460</xdr:colOff>
                    <xdr:row>21</xdr:row>
                    <xdr:rowOff>0</xdr:rowOff>
                  </to>
                </anchor>
              </controlPr>
            </control>
          </mc:Choice>
        </mc:AlternateContent>
        <mc:AlternateContent xmlns:mc="http://schemas.openxmlformats.org/markup-compatibility/2006">
          <mc:Choice Requires="x14">
            <control shapeId="15375" r:id="rId14" name="Option Button 15">
              <controlPr defaultSize="0" autoFill="0" autoLine="0" autoPict="0" altText="">
                <anchor moveWithCells="1">
                  <from>
                    <xdr:col>8</xdr:col>
                    <xdr:colOff>746760</xdr:colOff>
                    <xdr:row>14</xdr:row>
                    <xdr:rowOff>182880</xdr:rowOff>
                  </from>
                  <to>
                    <xdr:col>10</xdr:col>
                    <xdr:colOff>693420</xdr:colOff>
                    <xdr:row>16</xdr:row>
                    <xdr:rowOff>0</xdr:rowOff>
                  </to>
                </anchor>
              </controlPr>
            </control>
          </mc:Choice>
        </mc:AlternateContent>
        <mc:AlternateContent xmlns:mc="http://schemas.openxmlformats.org/markup-compatibility/2006">
          <mc:Choice Requires="x14">
            <control shapeId="15376" r:id="rId15" name="Option Button 16">
              <controlPr defaultSize="0" autoFill="0" autoLine="0" autoPict="0" altText="">
                <anchor moveWithCells="1">
                  <from>
                    <xdr:col>8</xdr:col>
                    <xdr:colOff>746760</xdr:colOff>
                    <xdr:row>16</xdr:row>
                    <xdr:rowOff>22860</xdr:rowOff>
                  </from>
                  <to>
                    <xdr:col>10</xdr:col>
                    <xdr:colOff>708660</xdr:colOff>
                    <xdr:row>17</xdr:row>
                    <xdr:rowOff>22860</xdr:rowOff>
                  </to>
                </anchor>
              </controlPr>
            </control>
          </mc:Choice>
        </mc:AlternateContent>
        <mc:AlternateContent xmlns:mc="http://schemas.openxmlformats.org/markup-compatibility/2006">
          <mc:Choice Requires="x14">
            <control shapeId="15377" r:id="rId16" name="Option Button 17">
              <controlPr defaultSize="0" autoFill="0" autoLine="0" autoPict="0" altText="">
                <anchor moveWithCells="1">
                  <from>
                    <xdr:col>8</xdr:col>
                    <xdr:colOff>746760</xdr:colOff>
                    <xdr:row>17</xdr:row>
                    <xdr:rowOff>38100</xdr:rowOff>
                  </from>
                  <to>
                    <xdr:col>10</xdr:col>
                    <xdr:colOff>708660</xdr:colOff>
                    <xdr:row>17</xdr:row>
                    <xdr:rowOff>190500</xdr:rowOff>
                  </to>
                </anchor>
              </controlPr>
            </control>
          </mc:Choice>
        </mc:AlternateContent>
        <mc:AlternateContent xmlns:mc="http://schemas.openxmlformats.org/markup-compatibility/2006">
          <mc:Choice Requires="x14">
            <control shapeId="15378" r:id="rId17" name="Group Box 18">
              <controlPr defaultSize="0" print="0" autoFill="0" autoPict="0">
                <anchor moveWithCells="1">
                  <from>
                    <xdr:col>5</xdr:col>
                    <xdr:colOff>571500</xdr:colOff>
                    <xdr:row>12</xdr:row>
                    <xdr:rowOff>7620</xdr:rowOff>
                  </from>
                  <to>
                    <xdr:col>13</xdr:col>
                    <xdr:colOff>647700</xdr:colOff>
                    <xdr:row>13</xdr:row>
                    <xdr:rowOff>7620</xdr:rowOff>
                  </to>
                </anchor>
              </controlPr>
            </control>
          </mc:Choice>
        </mc:AlternateContent>
        <mc:AlternateContent xmlns:mc="http://schemas.openxmlformats.org/markup-compatibility/2006">
          <mc:Choice Requires="x14">
            <control shapeId="15384" r:id="rId18" name="Option Button 24">
              <controlPr defaultSize="0" autoFill="0" autoLine="0" autoPict="0">
                <anchor moveWithCells="1">
                  <from>
                    <xdr:col>8</xdr:col>
                    <xdr:colOff>754380</xdr:colOff>
                    <xdr:row>8</xdr:row>
                    <xdr:rowOff>7620</xdr:rowOff>
                  </from>
                  <to>
                    <xdr:col>9</xdr:col>
                    <xdr:colOff>457200</xdr:colOff>
                    <xdr:row>8</xdr:row>
                    <xdr:rowOff>182880</xdr:rowOff>
                  </to>
                </anchor>
              </controlPr>
            </control>
          </mc:Choice>
        </mc:AlternateContent>
        <mc:AlternateContent xmlns:mc="http://schemas.openxmlformats.org/markup-compatibility/2006">
          <mc:Choice Requires="x14">
            <control shapeId="15385" r:id="rId19"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5389" r:id="rId20" name="Option Button 29">
              <controlPr defaultSize="0" autoFill="0" autoLine="0" autoPict="0" altText="">
                <anchor moveWithCells="1">
                  <from>
                    <xdr:col>8</xdr:col>
                    <xdr:colOff>746760</xdr:colOff>
                    <xdr:row>18</xdr:row>
                    <xdr:rowOff>22860</xdr:rowOff>
                  </from>
                  <to>
                    <xdr:col>10</xdr:col>
                    <xdr:colOff>708660</xdr:colOff>
                    <xdr:row>18</xdr:row>
                    <xdr:rowOff>182880</xdr:rowOff>
                  </to>
                </anchor>
              </controlPr>
            </control>
          </mc:Choice>
        </mc:AlternateContent>
        <mc:AlternateContent xmlns:mc="http://schemas.openxmlformats.org/markup-compatibility/2006">
          <mc:Choice Requires="x14">
            <control shapeId="15390" r:id="rId21" name="Option Button 30">
              <controlPr defaultSize="0" autoFill="0" autoLine="0" autoPict="0">
                <anchor moveWithCells="1">
                  <from>
                    <xdr:col>7</xdr:col>
                    <xdr:colOff>678180</xdr:colOff>
                    <xdr:row>12</xdr:row>
                    <xdr:rowOff>30480</xdr:rowOff>
                  </from>
                  <to>
                    <xdr:col>10</xdr:col>
                    <xdr:colOff>274320</xdr:colOff>
                    <xdr:row>12</xdr:row>
                    <xdr:rowOff>182880</xdr:rowOff>
                  </to>
                </anchor>
              </controlPr>
            </control>
          </mc:Choice>
        </mc:AlternateContent>
        <mc:AlternateContent xmlns:mc="http://schemas.openxmlformats.org/markup-compatibility/2006">
          <mc:Choice Requires="x14">
            <control shapeId="15391" r:id="rId22" name="Option Button 3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5399" r:id="rId23" name="Group Box 39">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15400" r:id="rId24"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5401" r:id="rId25"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15402" r:id="rId26" name="Option Button 42">
              <controlPr defaultSize="0" autoFill="0" autoLine="0" autoPict="0" altText="">
                <anchor moveWithCells="1">
                  <from>
                    <xdr:col>8</xdr:col>
                    <xdr:colOff>746760</xdr:colOff>
                    <xdr:row>19</xdr:row>
                    <xdr:rowOff>7620</xdr:rowOff>
                  </from>
                  <to>
                    <xdr:col>10</xdr:col>
                    <xdr:colOff>708660</xdr:colOff>
                    <xdr:row>19</xdr:row>
                    <xdr:rowOff>190500</xdr:rowOff>
                  </to>
                </anchor>
              </controlPr>
            </control>
          </mc:Choice>
        </mc:AlternateContent>
        <mc:AlternateContent xmlns:mc="http://schemas.openxmlformats.org/markup-compatibility/2006">
          <mc:Choice Requires="x14">
            <control shapeId="15408" r:id="rId27" name="Group Box 48">
              <controlPr defaultSize="0" print="0" autoFill="0" autoPict="0" altText="">
                <anchor moveWithCells="1">
                  <from>
                    <xdr:col>5</xdr:col>
                    <xdr:colOff>533400</xdr:colOff>
                    <xdr:row>14</xdr:row>
                    <xdr:rowOff>0</xdr:rowOff>
                  </from>
                  <to>
                    <xdr:col>14</xdr:col>
                    <xdr:colOff>0</xdr:colOff>
                    <xdr:row>21</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4" id="{77812304-303E-47D0-822C-4168BFB13FD2}">
            <xm:f>Info!$V$7=2</xm:f>
            <x14:dxf>
              <font>
                <color theme="0" tint="-4.9989318521683403E-2"/>
              </font>
              <fill>
                <patternFill>
                  <bgColor theme="0"/>
                </patternFill>
              </fill>
              <border>
                <vertical/>
                <horizontal/>
              </border>
            </x14:dxf>
          </x14:cfRule>
          <xm:sqref>B98:N98</xm:sqref>
        </x14:conditionalFormatting>
        <x14:conditionalFormatting xmlns:xm="http://schemas.microsoft.com/office/excel/2006/main">
          <x14:cfRule type="expression" priority="1" id="{9021BECD-A159-4DBE-9E8B-E6F1C61F571F}">
            <xm:f>$H$54=Formeln!$G$63</xm:f>
            <x14:dxf>
              <fill>
                <patternFill>
                  <bgColor theme="0" tint="-0.14996795556505021"/>
                </patternFill>
              </fill>
            </x14:dxf>
          </x14:cfRule>
          <xm:sqref>H54</xm:sqref>
        </x14:conditionalFormatting>
        <x14:conditionalFormatting xmlns:xm="http://schemas.microsoft.com/office/excel/2006/main">
          <x14:cfRule type="expression" priority="2" id="{4F206142-595C-458A-B30A-12021361C9BC}">
            <xm:f>$H$55=Formeln!$G$63</xm:f>
            <x14:dxf>
              <fill>
                <patternFill>
                  <bgColor theme="0" tint="-0.14996795556505021"/>
                </patternFill>
              </fill>
            </x14:dxf>
          </x14:cfRule>
          <xm:sqref>H55</xm:sqref>
        </x14:conditionalFormatting>
        <x14:conditionalFormatting xmlns:xm="http://schemas.microsoft.com/office/excel/2006/main">
          <x14:cfRule type="expression" priority="114" id="{3AB3665D-B710-46C8-899C-86EF8E32E821}">
            <xm:f>$J53=Formeln!$A$1</xm:f>
            <x14:dxf>
              <fill>
                <patternFill>
                  <bgColor theme="0" tint="-0.14996795556505021"/>
                </patternFill>
              </fill>
            </x14:dxf>
          </x14:cfRule>
          <xm:sqref>J53:K55</xm:sqref>
        </x14:conditionalFormatting>
        <x14:conditionalFormatting xmlns:xm="http://schemas.microsoft.com/office/excel/2006/main">
          <x14:cfRule type="expression" priority="3" id="{D1CEF5AA-B9BC-48CB-A62A-3FA690CF7D20}">
            <xm:f>Info!$V$7=8</xm:f>
            <x14:dxf>
              <font>
                <color theme="1"/>
              </font>
              <border>
                <left style="thin">
                  <color auto="1"/>
                </left>
                <right style="thin">
                  <color auto="1"/>
                </right>
                <top style="thin">
                  <color auto="1"/>
                </top>
                <bottom style="thin">
                  <color auto="1"/>
                </bottom>
                <vertical/>
                <horizontal/>
              </border>
            </x14:dxf>
          </x14:cfRule>
          <xm:sqref>O30:O102</xm:sqref>
        </x14:conditionalFormatting>
        <x14:conditionalFormatting xmlns:xm="http://schemas.microsoft.com/office/excel/2006/main">
          <x14:cfRule type="expression" priority="181" id="{C129C6DA-445A-4A3C-87CB-BFD6CB6343BB}">
            <xm:f>Info!$V$7=8</xm:f>
            <x14:dxf>
              <font>
                <color theme="1"/>
              </font>
              <border>
                <bottom style="thin">
                  <color auto="1"/>
                </bottom>
              </border>
            </x14:dxf>
          </x14:cfRule>
          <xm:sqref>O106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6DCC3F5E-0FAB-4DC8-B87B-A97005CEAB3D}">
          <x14:formula1>
            <xm:f>Formeln!$A$30:$A$51</xm:f>
          </x14:formula1>
          <xm:sqref>J53:K53</xm:sqref>
        </x14:dataValidation>
        <x14:dataValidation type="list" allowBlank="1" showInputMessage="1" showErrorMessage="1" xr:uid="{EDDC2DC8-A996-4CD2-BCD5-BEEFB43D36D5}">
          <x14:formula1>
            <xm:f>Formeln!$A$20:$A$22</xm:f>
          </x14:formula1>
          <xm:sqref>H47:K47</xm:sqref>
        </x14:dataValidation>
        <x14:dataValidation type="list" allowBlank="1" showInputMessage="1" showErrorMessage="1" xr:uid="{ADCB9118-4A2A-4B03-B3FF-F564CD9A6547}">
          <x14:formula1>
            <xm:f>Formeln!$A$17:$A$19</xm:f>
          </x14:formula1>
          <xm:sqref>H46:K46</xm:sqref>
        </x14:dataValidation>
        <x14:dataValidation type="list" allowBlank="1" showInputMessage="1" showErrorMessage="1" xr:uid="{3123881F-38C3-40EC-B6CB-190DA24D288C}">
          <x14:formula1>
            <xm:f>Formeln!$A$9:$A$15</xm:f>
          </x14:formula1>
          <xm:sqref>H36:K36</xm:sqref>
        </x14:dataValidation>
        <x14:dataValidation type="list" allowBlank="1" showInputMessage="1" showErrorMessage="1" xr:uid="{591C404D-0CFF-42AC-B64E-B5A7639D8D23}">
          <x14:formula1>
            <xm:f>Formeln!$A$5:$A$8</xm:f>
          </x14:formula1>
          <xm:sqref>H34:K34</xm:sqref>
        </x14:dataValidation>
        <x14:dataValidation type="list" allowBlank="1" showInputMessage="1" showErrorMessage="1" xr:uid="{D34369D3-1A8C-42AA-B52A-EFFC397F5DBD}">
          <x14:formula1>
            <xm:f>Formeln!$A$1:$A$4</xm:f>
          </x14:formula1>
          <xm:sqref>H33:K33</xm:sqref>
        </x14:dataValidation>
        <x14:dataValidation type="list" allowBlank="1" showInputMessage="1" showErrorMessage="1" xr:uid="{2FE0A662-FA50-4403-82FD-CBA2762A87C1}">
          <x14:formula1>
            <xm:f>Formeln!$A$52:$A$103</xm:f>
          </x14:formula1>
          <xm:sqref>J54:K54</xm:sqref>
        </x14:dataValidation>
        <x14:dataValidation type="list" allowBlank="1" showInputMessage="1" showErrorMessage="1" xr:uid="{35D1FEE3-FE87-47A7-83C0-ED4137837C94}">
          <x14:formula1>
            <xm:f>Formeln!$C$52:$C$111</xm:f>
          </x14:formula1>
          <xm:sqref>J55:K55</xm:sqref>
        </x14:dataValidation>
        <x14:dataValidation type="list" allowBlank="1" showInputMessage="1" showErrorMessage="1" xr:uid="{541C19FC-DFD4-4208-95B1-5D2A3F9DEBB7}">
          <x14:formula1>
            <xm:f>Formeln!$B$17:$B$19</xm:f>
          </x14:formula1>
          <xm:sqref>H45:K45</xm:sqref>
        </x14:dataValidation>
        <x14:dataValidation type="list" allowBlank="1" showInputMessage="1" showErrorMessage="1" xr:uid="{A0E3C209-9838-43D8-80E4-CA1E3A8F795B}">
          <x14:formula1>
            <xm:f>Formeln!$A$106:$A$110</xm:f>
          </x14:formula1>
          <xm:sqref>I100:K100</xm:sqref>
        </x14:dataValidation>
        <x14:dataValidation type="list" allowBlank="1" showInputMessage="1" showErrorMessage="1" xr:uid="{E9D10A9A-A19D-41B0-A4F4-CAFF2859562A}">
          <x14:formula1>
            <xm:f>Formeln!$G$63:$G$65</xm:f>
          </x14:formula1>
          <xm:sqref>H54:H55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PJ127"/>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2.8867187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16" width="5.33203125" style="1" customWidth="1"/>
    <col min="17" max="26" width="9.6640625" style="1" hidden="1" customWidth="1"/>
    <col min="27" max="27" width="15.5546875" style="5" hidden="1" customWidth="1"/>
    <col min="28" max="28" width="17.6640625" style="9" hidden="1" customWidth="1"/>
    <col min="29" max="29" width="26" style="9" hidden="1" customWidth="1"/>
    <col min="30" max="30" width="26" style="1" hidden="1" customWidth="1"/>
    <col min="31" max="32" width="7.5546875" style="1" hidden="1" customWidth="1"/>
    <col min="33" max="33" width="1.33203125" style="1" hidden="1" customWidth="1"/>
    <col min="34" max="57" width="12.6640625" style="1" hidden="1" customWidth="1"/>
    <col min="58" max="16384" width="8.6640625" style="1" hidden="1"/>
  </cols>
  <sheetData>
    <row r="1" spans="1:30" ht="28.2">
      <c r="N1" s="2" t="str">
        <f>VLOOKUP(279,Sprachindex!$A:$Z,Info!$O$7,FALSE)</f>
        <v>Dachsysteme</v>
      </c>
      <c r="O1" s="2"/>
      <c r="P1" s="2"/>
      <c r="Q1" s="2"/>
      <c r="R1" s="2"/>
      <c r="S1" s="2"/>
      <c r="T1" s="2"/>
      <c r="U1" s="2"/>
      <c r="V1" s="2"/>
      <c r="W1" s="2"/>
      <c r="X1" s="2"/>
      <c r="Y1" s="2"/>
      <c r="Z1" s="2"/>
    </row>
    <row r="2" spans="1:30" ht="28.2">
      <c r="D2" s="18"/>
      <c r="N2" s="2" t="str">
        <f>VLOOKUP(268,Sprachindex!$A:$Z,Info!$O$7,FALSE)</f>
        <v>Dachraute 44 × 44</v>
      </c>
      <c r="O2" s="2"/>
      <c r="P2" s="2"/>
      <c r="Q2" s="2"/>
      <c r="R2" s="2"/>
      <c r="S2" s="2"/>
      <c r="T2" s="2"/>
      <c r="U2" s="2"/>
      <c r="V2" s="2"/>
      <c r="W2" s="2"/>
      <c r="X2" s="2"/>
      <c r="Y2" s="2"/>
      <c r="Z2" s="2"/>
    </row>
    <row r="3" spans="1:30" ht="15" customHeight="1"/>
    <row r="4" spans="1:30" ht="17.25" customHeight="1">
      <c r="N4" s="186"/>
      <c r="O4" s="186"/>
      <c r="P4" s="554"/>
      <c r="Q4" s="186"/>
      <c r="R4" s="186"/>
      <c r="S4" s="186"/>
      <c r="T4" s="186"/>
      <c r="U4" s="186"/>
      <c r="V4" s="186"/>
      <c r="W4" s="186"/>
      <c r="X4" s="186"/>
      <c r="Y4" s="186"/>
      <c r="Z4" s="186"/>
      <c r="AD4" s="3"/>
    </row>
    <row r="5" spans="1:30" ht="17.25" customHeight="1">
      <c r="N5" s="186"/>
      <c r="O5" s="186"/>
      <c r="P5" s="267"/>
      <c r="Q5" s="186"/>
      <c r="R5" s="186"/>
      <c r="S5" s="186"/>
      <c r="T5" s="186"/>
      <c r="U5" s="186"/>
      <c r="V5" s="186"/>
      <c r="W5" s="186"/>
      <c r="X5" s="186"/>
      <c r="Y5" s="186"/>
      <c r="Z5" s="186"/>
      <c r="AD5" s="3"/>
    </row>
    <row r="6" spans="1:30" ht="17.25" customHeight="1">
      <c r="N6" s="186"/>
      <c r="O6" s="186"/>
      <c r="P6" s="551"/>
      <c r="Q6" s="186"/>
      <c r="R6" s="186"/>
      <c r="S6" s="186"/>
      <c r="T6" s="186"/>
      <c r="U6" s="186"/>
      <c r="V6" s="186"/>
      <c r="W6" s="186"/>
      <c r="X6" s="186"/>
      <c r="Y6" s="186"/>
      <c r="Z6" s="186"/>
      <c r="AD6" s="3"/>
    </row>
    <row r="7" spans="1:30" ht="17.25" customHeight="1">
      <c r="N7" s="186"/>
      <c r="O7" s="186"/>
      <c r="P7" s="551"/>
      <c r="Q7" s="186"/>
      <c r="R7" s="186"/>
      <c r="S7" s="186"/>
      <c r="T7" s="186"/>
      <c r="U7" s="186"/>
      <c r="V7" s="186"/>
      <c r="W7" s="186"/>
      <c r="X7" s="186"/>
      <c r="Y7" s="186"/>
      <c r="Z7" s="186"/>
      <c r="AD7" s="3"/>
    </row>
    <row r="8" spans="1:30" ht="17.25" customHeight="1">
      <c r="A8" s="83" t="str">
        <f>VLOOKUP(393,Sprachindex!$A:$Z,Info!$O$7,FALSE)</f>
        <v>Firma / Besteller:</v>
      </c>
      <c r="B8" s="67"/>
      <c r="C8" s="67"/>
      <c r="D8" s="67"/>
      <c r="E8" s="67"/>
      <c r="F8" s="67"/>
      <c r="G8" s="67"/>
      <c r="H8" s="67"/>
      <c r="I8" s="67"/>
      <c r="J8" s="67"/>
      <c r="K8" s="67"/>
      <c r="L8" s="67"/>
      <c r="M8" s="67"/>
      <c r="N8" s="67"/>
      <c r="O8" s="67"/>
      <c r="P8" s="5"/>
      <c r="Q8" s="67"/>
      <c r="R8" s="67"/>
      <c r="S8" s="67"/>
      <c r="T8" s="67"/>
      <c r="U8" s="67"/>
      <c r="V8" s="67"/>
      <c r="W8" s="67"/>
      <c r="X8" s="67"/>
      <c r="Y8" s="67"/>
      <c r="Z8" s="67"/>
      <c r="AC8" s="10"/>
    </row>
    <row r="9" spans="1:30" ht="15" customHeight="1">
      <c r="A9" s="67"/>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M9" s="67"/>
      <c r="N9" s="67"/>
      <c r="O9" s="67"/>
      <c r="P9" s="51">
        <v>0</v>
      </c>
      <c r="Q9" s="67"/>
      <c r="R9" s="67"/>
      <c r="S9" s="67"/>
      <c r="T9" s="67"/>
      <c r="U9" s="67"/>
      <c r="V9" s="67"/>
      <c r="W9" s="67"/>
      <c r="X9" s="67"/>
      <c r="Y9" s="67"/>
      <c r="Z9" s="67"/>
      <c r="AB9" s="11"/>
      <c r="AD9" s="4"/>
    </row>
    <row r="10" spans="1:30" ht="15" customHeight="1">
      <c r="A10" s="67"/>
      <c r="B10" s="71" t="str">
        <f>VLOOKUP(884,Sprachindex!$A:$Z,Info!$O$7,FALSE)</f>
        <v>Straße:</v>
      </c>
      <c r="C10" s="615"/>
      <c r="D10" s="616"/>
      <c r="E10" s="617"/>
      <c r="F10" s="67"/>
      <c r="G10" s="67"/>
      <c r="H10" s="67"/>
      <c r="I10" s="67"/>
      <c r="J10" s="68">
        <v>1</v>
      </c>
      <c r="K10" s="67"/>
      <c r="L10" s="67"/>
      <c r="M10" s="67"/>
      <c r="N10" s="67"/>
      <c r="O10" s="67"/>
      <c r="P10" s="5"/>
      <c r="Q10" s="67"/>
      <c r="R10" s="67"/>
      <c r="S10" s="67"/>
      <c r="T10" s="67"/>
      <c r="U10" s="67"/>
      <c r="V10" s="67"/>
      <c r="W10" s="67"/>
      <c r="X10" s="67"/>
      <c r="Y10" s="67"/>
      <c r="Z10" s="67"/>
      <c r="AD10" s="4"/>
    </row>
    <row r="11" spans="1:30"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67"/>
      <c r="P11" s="51">
        <v>0</v>
      </c>
      <c r="Q11" s="67"/>
      <c r="R11" s="67"/>
      <c r="S11" s="67"/>
      <c r="T11" s="67"/>
      <c r="U11" s="67"/>
      <c r="V11" s="67"/>
      <c r="W11" s="67"/>
      <c r="X11" s="67"/>
      <c r="Y11" s="67"/>
      <c r="Z11" s="67"/>
      <c r="AB11" s="11"/>
      <c r="AD11" s="4"/>
    </row>
    <row r="12" spans="1:30" ht="15" customHeight="1">
      <c r="A12" s="67"/>
      <c r="B12" s="67"/>
      <c r="C12" s="67"/>
      <c r="D12" s="67"/>
      <c r="E12" s="67"/>
      <c r="F12" s="67"/>
      <c r="G12" s="67"/>
      <c r="H12" s="67"/>
      <c r="I12" s="71"/>
      <c r="J12" s="68">
        <v>1</v>
      </c>
      <c r="K12" s="67"/>
      <c r="L12" s="67"/>
      <c r="M12" s="67"/>
      <c r="N12" s="67"/>
      <c r="O12" s="67"/>
      <c r="P12" s="5"/>
      <c r="Q12" s="67"/>
      <c r="R12" s="67"/>
      <c r="S12" s="67"/>
      <c r="T12" s="67"/>
      <c r="U12" s="67"/>
      <c r="V12" s="67"/>
      <c r="W12" s="67"/>
      <c r="X12" s="67"/>
      <c r="Y12" s="67"/>
      <c r="Z12" s="67"/>
    </row>
    <row r="13" spans="1:30"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7"/>
      <c r="P13" s="50">
        <v>0</v>
      </c>
      <c r="Q13" s="67"/>
      <c r="R13" s="67"/>
      <c r="S13" s="67"/>
      <c r="T13" s="67"/>
      <c r="U13" s="67"/>
      <c r="V13" s="67"/>
      <c r="W13" s="67"/>
      <c r="X13" s="67"/>
      <c r="Y13" s="67"/>
      <c r="Z13" s="67"/>
      <c r="AB13" s="12"/>
      <c r="AD13" s="4"/>
    </row>
    <row r="14" spans="1:30" ht="15" customHeight="1">
      <c r="A14" s="67"/>
      <c r="B14" s="71" t="str">
        <f>VLOOKUP(901,Sprachindex!$A:$Z,Info!$O$7,FALSE)</f>
        <v>Telefon:</v>
      </c>
      <c r="C14" s="615"/>
      <c r="D14" s="616"/>
      <c r="E14" s="617"/>
      <c r="F14" s="67"/>
      <c r="G14" s="67"/>
      <c r="H14" s="67"/>
      <c r="I14" s="67"/>
      <c r="J14" s="67"/>
      <c r="K14" s="67"/>
      <c r="L14" s="67"/>
      <c r="M14" s="67"/>
      <c r="N14" s="67"/>
      <c r="O14" s="67"/>
      <c r="P14" s="5"/>
      <c r="Q14" s="67"/>
      <c r="R14" s="67"/>
      <c r="S14" s="67"/>
      <c r="T14" s="67"/>
      <c r="U14" s="67"/>
      <c r="V14" s="67"/>
      <c r="W14" s="67"/>
      <c r="X14" s="67"/>
      <c r="Y14" s="67"/>
      <c r="Z14" s="67"/>
      <c r="AD14" s="4"/>
    </row>
    <row r="15" spans="1:30"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67"/>
      <c r="P15" s="5"/>
      <c r="Q15" s="67"/>
      <c r="R15" s="67"/>
      <c r="S15" s="67"/>
      <c r="T15" s="67"/>
      <c r="U15" s="67"/>
      <c r="V15" s="67"/>
      <c r="W15" s="67"/>
      <c r="X15" s="67"/>
      <c r="Y15" s="67"/>
      <c r="Z15" s="67"/>
      <c r="AD15" s="4"/>
    </row>
    <row r="16" spans="1:30"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7"/>
      <c r="P16" s="5"/>
      <c r="Q16" s="67"/>
      <c r="R16" s="67"/>
      <c r="S16" s="67"/>
      <c r="T16" s="67"/>
      <c r="U16" s="67"/>
      <c r="V16" s="67"/>
      <c r="W16" s="67"/>
      <c r="X16" s="67"/>
      <c r="Y16" s="67"/>
      <c r="Z16" s="67"/>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7"/>
      <c r="P17" s="5"/>
      <c r="Q17" s="67"/>
      <c r="R17" s="67"/>
      <c r="S17" s="67"/>
      <c r="T17" s="67"/>
      <c r="U17" s="67"/>
      <c r="V17" s="67"/>
      <c r="W17" s="67"/>
      <c r="X17" s="67"/>
      <c r="Y17" s="67"/>
      <c r="Z17" s="67"/>
      <c r="AC17" s="10"/>
    </row>
    <row r="18" spans="1:57" ht="15" customHeight="1">
      <c r="A18" s="67"/>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M18" s="67"/>
      <c r="N18" s="67"/>
      <c r="O18" s="67"/>
      <c r="P18" s="14"/>
      <c r="Q18" s="67"/>
      <c r="R18" s="67"/>
      <c r="S18" s="67"/>
      <c r="T18" s="67"/>
      <c r="U18" s="67"/>
      <c r="V18" s="67"/>
      <c r="W18" s="67"/>
      <c r="X18" s="67"/>
      <c r="Y18" s="67"/>
      <c r="Z18" s="67"/>
      <c r="AD18" s="4"/>
    </row>
    <row r="19" spans="1:57" ht="15" customHeight="1">
      <c r="A19" s="67"/>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M19" s="67"/>
      <c r="N19" s="67"/>
      <c r="O19" s="67"/>
      <c r="P19" s="5"/>
      <c r="Q19" s="67"/>
      <c r="R19" s="67"/>
      <c r="S19" s="67"/>
      <c r="T19" s="67"/>
      <c r="U19" s="67"/>
      <c r="V19" s="67"/>
      <c r="W19" s="67"/>
      <c r="X19" s="67"/>
      <c r="Y19" s="67"/>
      <c r="Z19" s="67"/>
      <c r="AD19" s="4"/>
    </row>
    <row r="20" spans="1:57" ht="15" customHeight="1">
      <c r="A20" s="67"/>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M20" s="67"/>
      <c r="N20" s="67"/>
      <c r="O20" s="67"/>
      <c r="P20" s="5"/>
      <c r="Q20" s="67"/>
      <c r="R20" s="67"/>
      <c r="S20" s="67"/>
      <c r="T20" s="67"/>
      <c r="U20" s="67"/>
      <c r="V20" s="67"/>
      <c r="W20" s="67"/>
      <c r="X20" s="67"/>
      <c r="Y20" s="67"/>
      <c r="Z20" s="67"/>
      <c r="AD20" s="4"/>
      <c r="AG20" s="35"/>
    </row>
    <row r="21" spans="1:57" ht="15" customHeight="1">
      <c r="A21" s="67"/>
      <c r="B21" s="71" t="str">
        <f>VLOOKUP(641,Sprachindex!$A:$Z,Info!$O$7,FALSE)</f>
        <v>Ort:</v>
      </c>
      <c r="C21" s="615"/>
      <c r="D21" s="616"/>
      <c r="E21" s="617"/>
      <c r="F21" s="67"/>
      <c r="G21" s="67" t="str">
        <f>VLOOKUP(35,Sprachindex!$A:$Z,Info!$O$7,FALSE)</f>
        <v>06 P.10 Moosgrün</v>
      </c>
      <c r="H21" s="67"/>
      <c r="I21" s="90"/>
      <c r="J21" s="69"/>
      <c r="K21" s="67"/>
      <c r="L21" s="67"/>
      <c r="M21" s="67"/>
      <c r="N21" s="67"/>
      <c r="O21" s="67"/>
      <c r="P21" s="50">
        <v>0</v>
      </c>
      <c r="Q21" s="67"/>
      <c r="R21" s="67"/>
      <c r="S21" s="67"/>
      <c r="T21" s="67"/>
      <c r="U21" s="67"/>
      <c r="V21" s="67"/>
      <c r="W21" s="67"/>
      <c r="X21" s="67"/>
      <c r="Y21" s="67"/>
      <c r="Z21" s="67"/>
      <c r="AD21" s="4"/>
    </row>
    <row r="22" spans="1:57" ht="15" customHeight="1">
      <c r="A22" s="67"/>
      <c r="B22" s="71"/>
      <c r="C22" s="67"/>
      <c r="D22" s="67"/>
      <c r="E22" s="67"/>
      <c r="F22" s="67"/>
      <c r="G22" s="67"/>
      <c r="H22" s="67"/>
      <c r="I22" s="90"/>
      <c r="J22" s="67"/>
      <c r="K22" s="67"/>
      <c r="L22" s="67"/>
      <c r="M22" s="67"/>
      <c r="N22" s="67"/>
      <c r="O22" s="67"/>
      <c r="P22" s="68"/>
      <c r="Q22" s="67"/>
      <c r="R22" s="67"/>
      <c r="S22" s="67"/>
      <c r="T22" s="67"/>
      <c r="U22" s="67"/>
      <c r="V22" s="67"/>
      <c r="W22" s="67"/>
      <c r="X22" s="67"/>
      <c r="Y22" s="67"/>
      <c r="Z22" s="67"/>
      <c r="AA22" s="50"/>
      <c r="AD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7"/>
      <c r="P23" s="68"/>
      <c r="Q23" s="67"/>
      <c r="R23" s="67"/>
      <c r="S23" s="67"/>
      <c r="T23" s="67"/>
      <c r="U23" s="67"/>
      <c r="V23" s="67"/>
      <c r="W23" s="67"/>
      <c r="X23" s="67"/>
      <c r="Y23" s="67"/>
      <c r="Z23" s="67"/>
      <c r="AA23" s="50"/>
      <c r="AD23" s="4"/>
    </row>
    <row r="24" spans="1:57" ht="15" customHeight="1">
      <c r="B24" s="640" t="str">
        <f>VLOOKUP(1430,Sprachindex!$A:$Z,Info!$O$7,FALSE)</f>
        <v>Beschreibung</v>
      </c>
      <c r="C24" s="615"/>
      <c r="D24" s="616"/>
      <c r="E24" s="617"/>
      <c r="F24" s="67"/>
      <c r="G24" s="83"/>
      <c r="H24" s="71" t="str">
        <f>VLOOKUP(1429,Sprachindex!$A:$Z,Info!$O$7,FALSE)</f>
        <v>Bearbeiter:</v>
      </c>
      <c r="I24" s="415"/>
      <c r="J24" s="67"/>
      <c r="K24" s="67"/>
      <c r="L24" s="67"/>
      <c r="M24" s="67"/>
      <c r="N24" s="67"/>
      <c r="O24" s="67"/>
      <c r="P24" s="68"/>
      <c r="Q24" s="67"/>
      <c r="R24" s="67"/>
      <c r="S24" s="67"/>
      <c r="T24" s="67"/>
      <c r="U24" s="67"/>
      <c r="V24" s="67"/>
      <c r="W24" s="67"/>
      <c r="X24" s="67"/>
      <c r="Y24" s="67"/>
      <c r="Z24" s="67"/>
      <c r="AA24" s="50"/>
      <c r="AD24" s="4"/>
    </row>
    <row r="25" spans="1:57" ht="15" customHeight="1">
      <c r="B25" s="640"/>
      <c r="C25" s="615"/>
      <c r="D25" s="616"/>
      <c r="E25" s="617"/>
      <c r="F25" s="67"/>
      <c r="G25" s="83"/>
      <c r="H25" s="71" t="str">
        <f>VLOOKUP(2243,Sprachindex!$A:$Z,Info!$O$7,FALSE)</f>
        <v>Projekt-ID:</v>
      </c>
      <c r="I25" s="415"/>
      <c r="J25" s="67"/>
      <c r="K25" s="67"/>
      <c r="L25" s="67"/>
      <c r="M25" s="67"/>
      <c r="N25" s="67"/>
      <c r="O25" s="67"/>
      <c r="P25" s="499"/>
      <c r="Q25" s="67"/>
      <c r="R25" s="67"/>
      <c r="S25" s="67"/>
      <c r="T25" s="67"/>
      <c r="U25" s="67"/>
      <c r="V25" s="67"/>
      <c r="W25" s="67"/>
      <c r="X25" s="67"/>
      <c r="Y25" s="67"/>
      <c r="Z25" s="67"/>
      <c r="AA25" s="50"/>
      <c r="AD25" s="4"/>
    </row>
    <row r="26" spans="1:57" ht="15" customHeight="1">
      <c r="B26" s="640"/>
      <c r="C26" s="615"/>
      <c r="D26" s="616"/>
      <c r="E26" s="617"/>
      <c r="F26" s="67"/>
      <c r="G26" s="83"/>
      <c r="H26" s="71" t="str">
        <f>VLOOKUP(286,Sprachindex!$A:$Z,Info!$O$7,FALSE)</f>
        <v>Datum:</v>
      </c>
      <c r="I26" s="483">
        <f ca="1">TODAY()</f>
        <v>45770</v>
      </c>
      <c r="J26" s="67"/>
      <c r="K26" s="67"/>
      <c r="L26" s="67"/>
      <c r="M26" s="67"/>
      <c r="N26" s="67"/>
      <c r="O26" s="67"/>
      <c r="P26" s="67"/>
      <c r="Q26" s="67"/>
      <c r="R26" s="67"/>
      <c r="S26" s="67"/>
      <c r="T26" s="67"/>
      <c r="U26" s="67"/>
      <c r="V26" s="67"/>
      <c r="W26" s="67"/>
      <c r="X26" s="67"/>
      <c r="Y26" s="67"/>
      <c r="Z26" s="67"/>
      <c r="AA26" s="50"/>
      <c r="AD26" s="4"/>
    </row>
    <row r="27" spans="1:57" ht="15" customHeight="1">
      <c r="B27" s="640"/>
      <c r="C27" s="615"/>
      <c r="D27" s="616"/>
      <c r="E27" s="617"/>
      <c r="F27" s="67"/>
      <c r="G27" s="5"/>
      <c r="H27" s="5"/>
      <c r="I27" s="5"/>
      <c r="J27" s="5"/>
      <c r="K27" s="5"/>
      <c r="L27" s="67"/>
      <c r="M27" s="67"/>
      <c r="N27" s="67"/>
      <c r="O27" s="67"/>
      <c r="P27" s="67"/>
      <c r="Q27" s="67"/>
      <c r="R27" s="67"/>
      <c r="S27" s="67"/>
      <c r="T27" s="67"/>
      <c r="U27" s="67"/>
      <c r="V27" s="67"/>
      <c r="W27" s="67"/>
      <c r="X27" s="67"/>
      <c r="Y27" s="67"/>
      <c r="Z27" s="67"/>
      <c r="AA27" s="50"/>
      <c r="AD27" s="4"/>
    </row>
    <row r="28" spans="1:57"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Z28" s="67"/>
      <c r="AD28" s="4"/>
    </row>
    <row r="29" spans="1:57" ht="15" customHeight="1" thickBot="1">
      <c r="A29" s="95" t="str">
        <f>VLOOKUP(392,Sprachindex!$A:$Z,Info!$O$7,FALSE)</f>
        <v>Filter:</v>
      </c>
      <c r="B29" s="633"/>
      <c r="C29" s="633"/>
      <c r="D29" s="633"/>
      <c r="E29" s="633"/>
      <c r="F29" s="67"/>
      <c r="G29" s="67"/>
      <c r="H29" s="67"/>
      <c r="I29" s="67"/>
      <c r="J29" s="67"/>
      <c r="K29" s="67"/>
      <c r="L29" s="67"/>
      <c r="M29" s="67"/>
      <c r="N29" s="67"/>
      <c r="O29" s="67"/>
      <c r="P29" s="67"/>
      <c r="Q29" s="67"/>
      <c r="R29" s="67"/>
      <c r="S29" s="67"/>
      <c r="T29" s="67"/>
      <c r="U29" s="67"/>
      <c r="V29" s="67"/>
      <c r="W29" s="67"/>
      <c r="X29" s="67"/>
      <c r="Y29" s="67"/>
      <c r="Z29" s="67"/>
      <c r="AC29" s="627" t="s">
        <v>25</v>
      </c>
      <c r="AD29" s="627"/>
      <c r="AH29" s="45" t="s">
        <v>26</v>
      </c>
      <c r="AI29" s="13"/>
      <c r="AJ29" s="13"/>
      <c r="AK29" s="13"/>
      <c r="AL29" s="13"/>
      <c r="AM29" s="13"/>
      <c r="AN29" s="13"/>
      <c r="AO29" s="13"/>
      <c r="AP29" s="13"/>
      <c r="AQ29" s="13"/>
      <c r="AR29" s="13"/>
      <c r="AS29" s="13"/>
      <c r="AT29" s="45" t="s">
        <v>27</v>
      </c>
      <c r="AU29" s="13"/>
      <c r="AV29" s="13"/>
      <c r="AW29" s="13"/>
      <c r="AX29" s="13"/>
      <c r="AY29" s="13"/>
      <c r="AZ29" s="13"/>
      <c r="BA29" s="13"/>
      <c r="BB29" s="13"/>
      <c r="BC29" s="46"/>
      <c r="BD29" s="46"/>
      <c r="BE29" s="294"/>
    </row>
    <row r="30" spans="1:57"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
        <v>29</v>
      </c>
      <c r="S30" s="75" t="s">
        <v>29</v>
      </c>
      <c r="T30" s="179"/>
      <c r="U30" s="179"/>
      <c r="V30" s="179"/>
      <c r="W30" s="179"/>
      <c r="X30" s="179"/>
      <c r="Y30" s="179"/>
      <c r="Z30" s="179"/>
      <c r="AA30" s="179"/>
      <c r="AB30" s="1"/>
      <c r="AC30" s="153" t="s">
        <v>30</v>
      </c>
      <c r="AD30" s="153" t="s">
        <v>31</v>
      </c>
      <c r="AH30" s="47" t="s">
        <v>35</v>
      </c>
      <c r="AI30" s="47" t="s">
        <v>32</v>
      </c>
      <c r="AJ30" s="47" t="s">
        <v>40</v>
      </c>
      <c r="AK30" s="47" t="s">
        <v>37</v>
      </c>
      <c r="AL30" s="47" t="s">
        <v>33</v>
      </c>
      <c r="AM30" s="47" t="s">
        <v>39</v>
      </c>
      <c r="AN30" s="556"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20" t="s">
        <v>38962</v>
      </c>
      <c r="BE30" s="503" t="s">
        <v>39049</v>
      </c>
    </row>
    <row r="31" spans="1:57" ht="32.1" customHeight="1">
      <c r="A31" s="96"/>
      <c r="B31" s="74" t="str">
        <f>VLOOKUP(588,Sprachindex!$A:$Z,Info!$O$7,FALSE)</f>
        <v>m²</v>
      </c>
      <c r="C31" s="97"/>
      <c r="D31" s="75" t="str">
        <f>IF($P$9=1,BE31,IF($P$9=2,AS31,""))</f>
        <v/>
      </c>
      <c r="E31" s="665" t="str">
        <f>VLOOKUP(268,Sprachindex!$A:$Z,Info!$O$7,FALSE)</f>
        <v>Dachraute 44 × 44</v>
      </c>
      <c r="F31" s="666"/>
      <c r="G31" s="666"/>
      <c r="H31" s="666"/>
      <c r="I31" s="666"/>
      <c r="J31" s="666"/>
      <c r="K31" s="667"/>
      <c r="L31" s="74" t="str">
        <f>IF(A31=0,"",IF($P$11=1,AC31,AD31))</f>
        <v/>
      </c>
      <c r="M31" s="398" t="str">
        <f>B31</f>
        <v>m²</v>
      </c>
      <c r="N31" s="403"/>
      <c r="O31" s="184" t="str">
        <f>IF(ISNUMBER(A31), IF(P21=7, $L31*S31, $L31*R31), "")</f>
        <v/>
      </c>
      <c r="P31" s="5"/>
      <c r="Q31" s="5"/>
      <c r="R31" s="182">
        <v>42.27</v>
      </c>
      <c r="S31" s="182">
        <v>43.26</v>
      </c>
      <c r="T31" s="179"/>
      <c r="U31" s="179"/>
      <c r="V31" s="179"/>
      <c r="W31" s="179"/>
      <c r="X31" s="179"/>
      <c r="Y31" s="179"/>
      <c r="Z31" s="179"/>
      <c r="AA31" s="179"/>
      <c r="AB31" s="1"/>
      <c r="AC31" s="139">
        <f>ROUNDUP($A31/8,0)*8</f>
        <v>0</v>
      </c>
      <c r="AD31" s="139">
        <f>ROUNDUP($A31,0)</f>
        <v>0</v>
      </c>
      <c r="AH31" s="433">
        <v>112224</v>
      </c>
      <c r="AI31" s="433">
        <v>112221</v>
      </c>
      <c r="AJ31" s="433">
        <v>112229</v>
      </c>
      <c r="AK31" s="433">
        <v>112226</v>
      </c>
      <c r="AL31" s="433">
        <v>112222</v>
      </c>
      <c r="AM31" s="433">
        <v>112227</v>
      </c>
      <c r="AN31" s="433">
        <v>112223</v>
      </c>
      <c r="AO31" s="433">
        <v>112228</v>
      </c>
      <c r="AP31" s="433">
        <v>112230</v>
      </c>
      <c r="AQ31" s="433">
        <v>112225</v>
      </c>
      <c r="AR31" s="557">
        <v>12321028</v>
      </c>
      <c r="AS31" s="507" t="e" vm="2">
        <f>VLOOKUP(AH31,AH31:AR31,$P$21,FALSE)</f>
        <v>#VALUE!</v>
      </c>
      <c r="AT31" s="432">
        <v>112204</v>
      </c>
      <c r="AU31" s="432">
        <v>112201</v>
      </c>
      <c r="AV31" s="432">
        <v>112209</v>
      </c>
      <c r="AW31" s="432">
        <v>112206</v>
      </c>
      <c r="AX31" s="432">
        <v>112202</v>
      </c>
      <c r="AY31" s="432">
        <v>112207</v>
      </c>
      <c r="AZ31" s="432">
        <v>112203</v>
      </c>
      <c r="BA31" s="432">
        <v>112208</v>
      </c>
      <c r="BB31" s="432">
        <v>112210</v>
      </c>
      <c r="BC31" s="432">
        <v>112205</v>
      </c>
      <c r="BD31" s="555">
        <v>12311028</v>
      </c>
      <c r="BE31" s="507" t="e" vm="2">
        <f>VLOOKUP(AT31,AT31:BD31,$P$21,FALSE)</f>
        <v>#VALUE!</v>
      </c>
    </row>
    <row r="32" spans="1:57" ht="32.1" customHeight="1">
      <c r="A32" s="93"/>
      <c r="B32" s="76" t="str">
        <f>VLOOKUP(878,Sprachindex!$A:$Z,Info!$O$7,FALSE)</f>
        <v>Stk.</v>
      </c>
      <c r="C32" s="75"/>
      <c r="D32" s="75" t="str">
        <f t="shared" ref="D32:D33" si="0">IF($P$9=1,BE32,IF($P$9=2,AS32,""))</f>
        <v/>
      </c>
      <c r="E32" s="618" t="str">
        <f>VLOOKUP(866,Sprachindex!$A:$Z,Info!$O$7,FALSE)</f>
        <v>Startplatte für Dachraute 44 × 44</v>
      </c>
      <c r="F32" s="619"/>
      <c r="G32" s="619"/>
      <c r="H32" s="619"/>
      <c r="I32" s="619"/>
      <c r="J32" s="619"/>
      <c r="K32" s="620"/>
      <c r="L32" s="76" t="str">
        <f>IF(A32=0,"",IF($P$11=1,AC32,AD32))</f>
        <v/>
      </c>
      <c r="M32" s="399" t="str">
        <f>B32</f>
        <v>Stk.</v>
      </c>
      <c r="N32" s="77"/>
      <c r="O32" s="184" t="str">
        <f>IF(ISNUMBER(A32),$L32*R32, "")</f>
        <v/>
      </c>
      <c r="P32" s="5"/>
      <c r="Q32" s="5"/>
      <c r="R32" s="182">
        <v>8.8000000000000007</v>
      </c>
      <c r="S32" s="179"/>
      <c r="T32" s="179"/>
      <c r="U32" s="179"/>
      <c r="V32" s="179"/>
      <c r="W32" s="179"/>
      <c r="X32" s="179"/>
      <c r="Y32" s="179"/>
      <c r="Z32" s="179"/>
      <c r="AA32" s="179"/>
      <c r="AB32" s="1"/>
      <c r="AC32" s="139">
        <f>ROUNDUP(ROUNDUP($A32/40,0)*40,1)</f>
        <v>0</v>
      </c>
      <c r="AD32" s="139">
        <f>ROUNDUP($A32,0)</f>
        <v>0</v>
      </c>
      <c r="AH32" s="433">
        <v>112264</v>
      </c>
      <c r="AI32" s="433">
        <v>112261</v>
      </c>
      <c r="AJ32" s="433">
        <v>112269</v>
      </c>
      <c r="AK32" s="433">
        <v>112266</v>
      </c>
      <c r="AL32" s="433">
        <v>112262</v>
      </c>
      <c r="AM32" s="433">
        <v>112267</v>
      </c>
      <c r="AN32" s="433">
        <v>112263</v>
      </c>
      <c r="AO32" s="433">
        <v>112268</v>
      </c>
      <c r="AP32" s="433">
        <v>112270</v>
      </c>
      <c r="AQ32" s="433">
        <v>112265</v>
      </c>
      <c r="AR32" s="433">
        <v>12401028</v>
      </c>
      <c r="AS32" s="507" t="e" vm="2">
        <f t="shared" ref="AS32:AS33" si="1">VLOOKUP(AH32,AH32:AR32,$P$21,FALSE)</f>
        <v>#VALUE!</v>
      </c>
      <c r="AT32" s="432">
        <v>112244</v>
      </c>
      <c r="AU32" s="432">
        <v>112241</v>
      </c>
      <c r="AV32" s="432">
        <v>112249</v>
      </c>
      <c r="AW32" s="432">
        <v>112246</v>
      </c>
      <c r="AX32" s="432">
        <v>112242</v>
      </c>
      <c r="AY32" s="432">
        <v>112247</v>
      </c>
      <c r="AZ32" s="432">
        <v>112243</v>
      </c>
      <c r="BA32" s="432">
        <v>112248</v>
      </c>
      <c r="BB32" s="432">
        <v>112250</v>
      </c>
      <c r="BC32" s="432">
        <v>112245</v>
      </c>
      <c r="BD32" s="555">
        <v>12391028</v>
      </c>
      <c r="BE32" s="507" t="e" vm="2">
        <f t="shared" ref="BE32:BE33" si="2">VLOOKUP(AT32,AT32:BD32,$P$21,FALSE)</f>
        <v>#VALUE!</v>
      </c>
    </row>
    <row r="33" spans="1:57" ht="32.1" customHeight="1">
      <c r="A33" s="93"/>
      <c r="B33" s="76" t="str">
        <f>VLOOKUP(878,Sprachindex!$A:$Z,Info!$O$7,FALSE)</f>
        <v>Stk.</v>
      </c>
      <c r="C33" s="75"/>
      <c r="D33" s="75" t="str">
        <f t="shared" si="0"/>
        <v/>
      </c>
      <c r="E33" s="618" t="str">
        <f>VLOOKUP(357,Sprachindex!$A:$Z,Info!$O$7,FALSE)</f>
        <v>Endplatte für Dachraute 44 × 44</v>
      </c>
      <c r="F33" s="619"/>
      <c r="G33" s="619"/>
      <c r="H33" s="619"/>
      <c r="I33" s="619"/>
      <c r="J33" s="619"/>
      <c r="K33" s="620"/>
      <c r="L33" s="76" t="str">
        <f>IF(A33=0,"",IF($P$11=1,AC33,AD33))</f>
        <v/>
      </c>
      <c r="M33" s="399" t="str">
        <f t="shared" ref="M33:M79" si="3">B33</f>
        <v>Stk.</v>
      </c>
      <c r="N33" s="77"/>
      <c r="O33" s="184" t="str">
        <f>IF(ISNUMBER(A33),$L33*R33, "")</f>
        <v/>
      </c>
      <c r="P33" s="5"/>
      <c r="Q33" s="5"/>
      <c r="R33" s="182">
        <v>8.8000000000000007</v>
      </c>
      <c r="S33" s="179"/>
      <c r="T33" s="179"/>
      <c r="U33" s="179"/>
      <c r="V33" s="179"/>
      <c r="W33" s="179"/>
      <c r="X33" s="179"/>
      <c r="Y33" s="179"/>
      <c r="Z33" s="179"/>
      <c r="AA33" s="179"/>
      <c r="AB33" s="1"/>
      <c r="AC33" s="139">
        <f>ROUNDUP(ROUNDUP($A33/40,0)*40,1)</f>
        <v>0</v>
      </c>
      <c r="AD33" s="139">
        <f>ROUNDUP($A33,0)</f>
        <v>0</v>
      </c>
      <c r="AH33" s="433">
        <v>112304</v>
      </c>
      <c r="AI33" s="433">
        <v>112301</v>
      </c>
      <c r="AJ33" s="433">
        <v>112309</v>
      </c>
      <c r="AK33" s="433">
        <v>112306</v>
      </c>
      <c r="AL33" s="433">
        <v>112302</v>
      </c>
      <c r="AM33" s="433">
        <v>112307</v>
      </c>
      <c r="AN33" s="433">
        <v>112303</v>
      </c>
      <c r="AO33" s="433">
        <v>112308</v>
      </c>
      <c r="AP33" s="433">
        <v>112310</v>
      </c>
      <c r="AQ33" s="433">
        <v>112305</v>
      </c>
      <c r="AR33" s="433">
        <v>12361028</v>
      </c>
      <c r="AS33" s="507" t="e" vm="2">
        <f t="shared" si="1"/>
        <v>#VALUE!</v>
      </c>
      <c r="AT33" s="432">
        <v>112284</v>
      </c>
      <c r="AU33" s="432">
        <v>112281</v>
      </c>
      <c r="AV33" s="432">
        <v>112289</v>
      </c>
      <c r="AW33" s="432">
        <v>112286</v>
      </c>
      <c r="AX33" s="432">
        <v>112282</v>
      </c>
      <c r="AY33" s="432">
        <v>112287</v>
      </c>
      <c r="AZ33" s="432">
        <v>112283</v>
      </c>
      <c r="BA33" s="432">
        <v>112288</v>
      </c>
      <c r="BB33" s="432">
        <v>112290</v>
      </c>
      <c r="BC33" s="432">
        <v>112285</v>
      </c>
      <c r="BD33" s="555">
        <v>12351028</v>
      </c>
      <c r="BE33" s="507" t="e" vm="2">
        <f t="shared" si="2"/>
        <v>#VALUE!</v>
      </c>
    </row>
    <row r="34" spans="1:57" ht="32.1" customHeight="1">
      <c r="A34" s="93"/>
      <c r="B34" s="76" t="str">
        <f>VLOOKUP(1512,Sprachindex!$A:$Z,Info!$O$7,FALSE)</f>
        <v>lfm</v>
      </c>
      <c r="C34" s="75" t="e" vm="79">
        <v>#VALUE!</v>
      </c>
      <c r="D34" s="79">
        <v>562005</v>
      </c>
      <c r="E34" s="618" t="str">
        <f>VLOOKUP(768,Sprachindex!$A:$Z,Info!$O$7,FALSE)</f>
        <v>Saumstreifen (1.800 × 158 × 1,00 mm)</v>
      </c>
      <c r="F34" s="619"/>
      <c r="G34" s="619"/>
      <c r="H34" s="619"/>
      <c r="I34" s="619"/>
      <c r="J34" s="619"/>
      <c r="K34" s="620"/>
      <c r="L34" s="76" t="str">
        <f>IF(A34=0,"",IF($P$11=1,AC34,AD34))</f>
        <v/>
      </c>
      <c r="M34" s="399" t="str">
        <f t="shared" si="3"/>
        <v>lfm</v>
      </c>
      <c r="N34" s="77"/>
      <c r="O34" s="184" t="str">
        <f>IF(ISNUMBER(A34),$L34*R34, "")</f>
        <v/>
      </c>
      <c r="P34" s="5"/>
      <c r="Q34" s="5"/>
      <c r="R34" s="182">
        <v>6.74</v>
      </c>
      <c r="S34" s="179"/>
      <c r="T34" s="5"/>
      <c r="U34" s="5"/>
      <c r="V34" s="5"/>
      <c r="W34" s="5"/>
      <c r="X34" s="5"/>
      <c r="Y34" s="5"/>
      <c r="Z34" s="5"/>
      <c r="AB34" s="5"/>
      <c r="AC34" s="137">
        <f>ROUNDUP($A34/1.8,0)*1.8</f>
        <v>0</v>
      </c>
      <c r="AD34" s="137">
        <f>ROUNDUP($A34/1.8,0)*1.8</f>
        <v>0</v>
      </c>
    </row>
    <row r="35" spans="1:57" ht="32.1" customHeight="1">
      <c r="A35" s="93"/>
      <c r="B35" s="76" t="str">
        <f>VLOOKUP(531,Sprachindex!$A:$Z,Info!$O$7,FALSE)</f>
        <v>kg</v>
      </c>
      <c r="C35" s="75" t="e" vm="80">
        <v>#VALUE!</v>
      </c>
      <c r="D35" s="75" t="str">
        <f>IF(H35=Formeln!A2,340392,IF(H35=Formeln!A3,340394,IF(H35=Formeln!A4,341392,"")))</f>
        <v/>
      </c>
      <c r="E35" s="618" t="str">
        <f>VLOOKUP(707,Sprachindex!$A:$Z,Info!$O$7,FALSE)</f>
        <v>Rillennagel (verzinkt)</v>
      </c>
      <c r="F35" s="619"/>
      <c r="G35" s="619"/>
      <c r="H35" s="624"/>
      <c r="I35" s="625"/>
      <c r="J35" s="625"/>
      <c r="K35" s="626"/>
      <c r="L35" s="76" t="str">
        <f>IF(A35=0,"",IF(H35=Formeln!$A$1,"",IF($P$11=1,AC35,AD35)))</f>
        <v/>
      </c>
      <c r="M35" s="399" t="str">
        <f t="shared" si="3"/>
        <v>kg</v>
      </c>
      <c r="N35" s="77"/>
      <c r="O35" s="184" t="str">
        <f>IF(ISNUMBER(A35),$L35*R35, "")</f>
        <v/>
      </c>
      <c r="P35" s="5"/>
      <c r="Q35" s="5"/>
      <c r="R35" s="182">
        <v>9.6300000000000008</v>
      </c>
      <c r="S35" s="179"/>
      <c r="T35" s="179"/>
      <c r="U35" s="5"/>
      <c r="V35" s="5"/>
      <c r="W35" s="5"/>
      <c r="X35" s="5"/>
      <c r="Y35" s="5"/>
      <c r="Z35" s="5"/>
      <c r="AB35" s="5"/>
      <c r="AC35" s="138">
        <f>IF(OR($H35=Formeln!$A$2,$H35=Formeln!$A$3),ROUNDUP($A35/2.5,0)*2.5,ROUNDUP($A35/2,0)*2)</f>
        <v>0</v>
      </c>
      <c r="AD35" s="138">
        <f>ROUNDUP($A35,2)</f>
        <v>0</v>
      </c>
      <c r="AF35" s="6" t="e">
        <f>IF(H35=Formeln!#REF!,570,IF(H35=Formeln!A3,480,IF(H35=Formeln!A4,380,0)))</f>
        <v>#REF!</v>
      </c>
    </row>
    <row r="36" spans="1:57" ht="32.1" customHeight="1">
      <c r="A36" s="93"/>
      <c r="B36" s="76" t="str">
        <f>IF(A36&lt;2,VLOOKUP(748,Sprachindex!$A:$Z,Info!$O$7,FALSE),VLOOKUP(749,Sprachindex!$A:$Z,Info!$O$7,FALSE))</f>
        <v>Rolle</v>
      </c>
      <c r="C36" s="75" t="e" vm="8">
        <v>#VALUE!</v>
      </c>
      <c r="D36" s="78" t="str">
        <f>IF(H36=Formeln!$A$6,341395,IF(H36=Formeln!$A$7,341396,IF(H36=Formeln!$A$8,341398,"")))</f>
        <v/>
      </c>
      <c r="E36" s="618" t="str">
        <f>VLOOKUP(2186,Sprachindex!$A:$Z,Info!$O$7,FALSE)</f>
        <v>Rillennägel gebunden</v>
      </c>
      <c r="F36" s="619"/>
      <c r="G36" s="619"/>
      <c r="H36" s="624"/>
      <c r="I36" s="625"/>
      <c r="J36" s="625"/>
      <c r="K36" s="626"/>
      <c r="L36" s="134" t="str">
        <f>IF(OR(H36=Formeln!$A$6,H36=Formeln!$A$8),A36&amp;" "&amp;VLOOKUP(749,Sprachindex!$A:$Z,Info!$O$7,FALSE)&amp;" ("&amp;A36*3200&amp;" "&amp;VLOOKUP(878,Sprachindex!$A:$Z,Info!$O$7,FALSE)&amp;")",IF(H36=Formeln!$A$7,A36&amp;" "&amp;VLOOKUP(749,Sprachindex!$A:$Z,Info!$O$7,FALSE)&amp;" ("&amp;A36*2400&amp;" "&amp;VLOOKUP(878,Sprachindex!$A:$Z,Info!$O$7,FALSE)&amp;")",""))</f>
        <v/>
      </c>
      <c r="M36" s="161" t="str">
        <f>IF(A36&lt;2,VLOOKUP(748,Sprachindex!$A:$Z,Info!$O$7,FALSE),VLOOKUP(749,Sprachindex!$A:$Z,Info!$O$7,FALSE))</f>
        <v>Rolle</v>
      </c>
      <c r="N36" s="77"/>
      <c r="O36" s="204" t="str">
        <f>IF(ISNUMBER(A36),IF(H36=Formeln!A6,$AC36*S36/1000,IF(H36=Formeln!A5,$AC36*R36/1000,AC36*T36/1000))," ")</f>
        <v xml:space="preserve"> </v>
      </c>
      <c r="P36" s="267"/>
      <c r="Q36" s="5"/>
      <c r="R36" s="182">
        <v>31.5</v>
      </c>
      <c r="S36" s="182">
        <v>47.3</v>
      </c>
      <c r="T36" s="582">
        <v>66.3</v>
      </c>
      <c r="U36" s="179"/>
      <c r="V36" s="179"/>
      <c r="W36" s="179"/>
      <c r="X36" s="179"/>
      <c r="Y36" s="179"/>
      <c r="Z36" s="179"/>
      <c r="AA36" s="179"/>
      <c r="AB36" s="179"/>
      <c r="AC36" s="179" t="b">
        <f>IF(OR(H36=Formeln!$A$6,H36=Formeln!$A$8),A36*3200,IF(H36=Formeln!$A$7,A36*2400))</f>
        <v>0</v>
      </c>
      <c r="AD36" s="138">
        <f>IF(OR($H36=Formeln!$A$6,$H36=Formeln!$A$8),ROUNDUP($A36/3200,0)*3200,ROUNDUP($A36/2400,0)*2400)</f>
        <v>0</v>
      </c>
      <c r="AE36" s="139">
        <f>ROUNDUP($A36/1000,0)*1000</f>
        <v>0</v>
      </c>
      <c r="AF36" s="140">
        <f>IF($H36=Formeln!$A$7,2400,3200)</f>
        <v>3200</v>
      </c>
      <c r="AH36" s="47" t="s">
        <v>35</v>
      </c>
      <c r="AI36" s="47" t="s">
        <v>32</v>
      </c>
      <c r="AJ36" s="47" t="s">
        <v>40</v>
      </c>
      <c r="AK36" s="47" t="s">
        <v>37</v>
      </c>
      <c r="AL36" s="47" t="s">
        <v>33</v>
      </c>
      <c r="AM36" s="47" t="s">
        <v>39</v>
      </c>
      <c r="AN36" s="47" t="s">
        <v>34</v>
      </c>
      <c r="AO36" s="47" t="s">
        <v>38</v>
      </c>
      <c r="AP36" s="47" t="s">
        <v>41</v>
      </c>
      <c r="AQ36" s="47" t="s">
        <v>36</v>
      </c>
      <c r="AR36" s="47" t="s">
        <v>38962</v>
      </c>
      <c r="AS36" s="503" t="s">
        <v>39049</v>
      </c>
    </row>
    <row r="37" spans="1:57" ht="32.1" customHeight="1">
      <c r="A37" s="93"/>
      <c r="B37" s="76" t="str">
        <f>VLOOKUP(1512,Sprachindex!$A:$Z,Info!$O$7,FALSE)</f>
        <v>lfm</v>
      </c>
      <c r="C37" s="75" t="e" vm="81">
        <v>#VALUE!</v>
      </c>
      <c r="D37" s="75" t="str">
        <f>IF(ISNUMBER(A37),AS37,"")</f>
        <v/>
      </c>
      <c r="E37" s="618" t="str">
        <f>VLOOKUP(333,Sprachindex!$A:$Z,Info!$O$7,FALSE)</f>
        <v>Einlaufblech</v>
      </c>
      <c r="F37" s="619"/>
      <c r="G37" s="619"/>
      <c r="H37" s="619"/>
      <c r="I37" s="619"/>
      <c r="J37" s="619"/>
      <c r="K37" s="620"/>
      <c r="L37" s="76" t="str">
        <f>IF(A37=0,"",IF($P$11=1,AC37,AD37))</f>
        <v/>
      </c>
      <c r="M37" s="399" t="str">
        <f t="shared" si="3"/>
        <v>lfm</v>
      </c>
      <c r="N37" s="77"/>
      <c r="O37" s="184" t="str">
        <f>IF(ISNUMBER(A37),$L37*R37, "")</f>
        <v/>
      </c>
      <c r="P37" s="5"/>
      <c r="Q37" s="5"/>
      <c r="R37" s="182">
        <v>8.91</v>
      </c>
      <c r="S37" s="179"/>
      <c r="T37" s="179"/>
      <c r="U37" s="5"/>
      <c r="V37" s="5"/>
      <c r="W37" s="5"/>
      <c r="X37" s="5"/>
      <c r="Y37" s="5"/>
      <c r="Z37" s="5"/>
      <c r="AB37" s="5"/>
      <c r="AC37" s="139">
        <f>ROUNDUP($A37/2,0)*2</f>
        <v>0</v>
      </c>
      <c r="AD37" s="139">
        <f>ROUNDUP($A37,0)</f>
        <v>0</v>
      </c>
      <c r="AF37" s="135"/>
      <c r="AH37" s="44">
        <v>212101</v>
      </c>
      <c r="AI37" s="44">
        <v>212100</v>
      </c>
      <c r="AJ37" s="44">
        <v>212104</v>
      </c>
      <c r="AK37" s="44"/>
      <c r="AL37" s="44"/>
      <c r="AM37" s="44"/>
      <c r="AN37" s="44">
        <v>212102</v>
      </c>
      <c r="AO37" s="44">
        <v>212106</v>
      </c>
      <c r="AP37" s="44">
        <v>212103</v>
      </c>
      <c r="AQ37" s="44"/>
      <c r="AR37" s="44">
        <v>15041028</v>
      </c>
      <c r="AS37" s="504" t="e" vm="2">
        <f>VLOOKUP(AH37,AH37:AR37,$P$21,FALSE)</f>
        <v>#VALUE!</v>
      </c>
    </row>
    <row r="38" spans="1:57" ht="32.1" customHeight="1">
      <c r="A38" s="93"/>
      <c r="B38" s="76" t="str">
        <f>VLOOKUP(1512,Sprachindex!$A:$Z,Info!$O$7,FALSE)</f>
        <v>lfm</v>
      </c>
      <c r="C38" s="79" t="e" vm="82">
        <v>#VALUE!</v>
      </c>
      <c r="D38" s="79" t="str">
        <f>IF(H38=Formeln!A10,507403,IF(H38=Formeln!A11,507404,IF(H38=Formeln!A12,507402,IF(H38=Formeln!A13,507405,IF(H38=Formeln!A14,507412,IF(H38=Formeln!A15,507413,""))))))</f>
        <v/>
      </c>
      <c r="E38" s="618" t="str">
        <f>VLOOKUP(586,Sprachindex!$A:$Z,Info!$O$7,FALSE)</f>
        <v>Lüftungsband</v>
      </c>
      <c r="F38" s="619"/>
      <c r="G38" s="619"/>
      <c r="H38" s="624"/>
      <c r="I38" s="625"/>
      <c r="J38" s="625"/>
      <c r="K38" s="626"/>
      <c r="L38" s="76" t="str">
        <f>IF($H38=Formeln!$A$9," ",IF(A38=0,"",IF($P$11=1,AC38,AD38)))</f>
        <v xml:space="preserve"> </v>
      </c>
      <c r="M38" s="399" t="str">
        <f t="shared" si="3"/>
        <v>lfm</v>
      </c>
      <c r="N38" s="77"/>
      <c r="O38" s="184" t="str">
        <f>IF(ISNUMBER(A38), IF(OR(H38=Formeln!$A$10,H38=Formeln!$A$11), $L38*R38, $L38*S38), "")</f>
        <v/>
      </c>
      <c r="P38" s="5"/>
      <c r="Q38" s="5"/>
      <c r="R38" s="182">
        <v>13.63</v>
      </c>
      <c r="S38" s="182">
        <v>21.91</v>
      </c>
      <c r="T38" s="179"/>
      <c r="U38" s="5"/>
      <c r="V38" s="5"/>
      <c r="W38" s="5"/>
      <c r="X38" s="5"/>
      <c r="Y38" s="5"/>
      <c r="Z38" s="5"/>
      <c r="AB38" s="5"/>
      <c r="AC38" s="139">
        <f>ROUNDUP($A38/40,0)*40</f>
        <v>0</v>
      </c>
      <c r="AD38" s="139">
        <f>$A38</f>
        <v>0</v>
      </c>
      <c r="AH38" s="661" t="s">
        <v>26</v>
      </c>
      <c r="AI38" s="661"/>
      <c r="AJ38" s="661"/>
      <c r="AK38" s="661"/>
      <c r="AL38" s="661"/>
      <c r="AM38" s="661"/>
      <c r="AN38" s="661"/>
      <c r="AO38" s="661"/>
      <c r="AP38" s="661"/>
      <c r="AQ38" s="661"/>
      <c r="AR38" s="661"/>
      <c r="AS38" s="49"/>
      <c r="AT38" s="662" t="s">
        <v>27</v>
      </c>
      <c r="AU38" s="662"/>
      <c r="AV38" s="662"/>
      <c r="AW38" s="662"/>
      <c r="AX38" s="662"/>
      <c r="AY38" s="662"/>
      <c r="AZ38" s="662"/>
      <c r="BA38" s="662"/>
      <c r="BB38" s="662"/>
      <c r="BC38" s="662"/>
      <c r="BD38" s="662"/>
    </row>
    <row r="39" spans="1:57" ht="31.95" customHeight="1">
      <c r="A39" s="93"/>
      <c r="B39" s="76" t="str">
        <f>VLOOKUP(1512,Sprachindex!$A:$Z,Info!$O$7,FALSE)</f>
        <v>lfm</v>
      </c>
      <c r="C39" s="75" t="e" vm="83">
        <v>#VALUE!</v>
      </c>
      <c r="D39" s="75">
        <v>507300</v>
      </c>
      <c r="E39" s="618" t="str">
        <f>VLOOKUP(986,Sprachindex!$A:$Z,Info!$O$7,FALSE)</f>
        <v>Vogelschutzgitter (Braun/Anthrazit; 125 × 2.000 × 0,7 mm)</v>
      </c>
      <c r="F39" s="619"/>
      <c r="G39" s="619"/>
      <c r="H39" s="619"/>
      <c r="I39" s="619"/>
      <c r="J39" s="619"/>
      <c r="K39" s="620"/>
      <c r="L39" s="76" t="str">
        <f t="shared" ref="L39:L47" si="4">IF(A39=0,"",IF($P$11=1,AC39,AD39))</f>
        <v/>
      </c>
      <c r="M39" s="399" t="str">
        <f t="shared" si="3"/>
        <v>lfm</v>
      </c>
      <c r="N39" s="77"/>
      <c r="O39" s="184" t="str">
        <f t="shared" ref="O39:O46" si="5">IF(ISNUMBER(A39),$L39*R39, "")</f>
        <v/>
      </c>
      <c r="P39" s="5"/>
      <c r="Q39" s="5"/>
      <c r="R39" s="182">
        <v>4.13</v>
      </c>
      <c r="S39" s="179"/>
      <c r="T39" s="179"/>
      <c r="U39" s="5"/>
      <c r="V39" s="5"/>
      <c r="W39" s="5"/>
      <c r="X39" s="5"/>
      <c r="Y39" s="5"/>
      <c r="Z39" s="5"/>
      <c r="AB39" s="5"/>
      <c r="AC39" s="139">
        <f>ROUNDUP($A39/2,0)*2</f>
        <v>0</v>
      </c>
      <c r="AD39" s="139">
        <f>ROUNDUP($A39/2,0)*2</f>
        <v>0</v>
      </c>
      <c r="AH39" s="47" t="s">
        <v>35</v>
      </c>
      <c r="AI39" s="47" t="s">
        <v>32</v>
      </c>
      <c r="AJ39" s="47" t="s">
        <v>40</v>
      </c>
      <c r="AK39" s="47" t="s">
        <v>37</v>
      </c>
      <c r="AL39" s="47" t="s">
        <v>33</v>
      </c>
      <c r="AM39" s="47" t="s">
        <v>39</v>
      </c>
      <c r="AN39" s="47" t="s">
        <v>34</v>
      </c>
      <c r="AO39" s="47" t="s">
        <v>38</v>
      </c>
      <c r="AP39" s="47" t="s">
        <v>41</v>
      </c>
      <c r="AQ39" s="47" t="s">
        <v>36</v>
      </c>
      <c r="AR39" s="47" t="s">
        <v>38962</v>
      </c>
      <c r="AS39" s="503" t="s">
        <v>39049</v>
      </c>
      <c r="AT39" s="47" t="s">
        <v>35</v>
      </c>
      <c r="AU39" s="47" t="s">
        <v>32</v>
      </c>
      <c r="AV39" s="47" t="s">
        <v>40</v>
      </c>
      <c r="AW39" s="47" t="s">
        <v>37</v>
      </c>
      <c r="AX39" s="47" t="s">
        <v>33</v>
      </c>
      <c r="AY39" s="47" t="s">
        <v>39</v>
      </c>
      <c r="AZ39" s="47" t="s">
        <v>34</v>
      </c>
      <c r="BA39" s="47" t="s">
        <v>38</v>
      </c>
      <c r="BB39" s="47" t="s">
        <v>41</v>
      </c>
      <c r="BC39" s="47" t="s">
        <v>36</v>
      </c>
      <c r="BD39" s="47" t="s">
        <v>38962</v>
      </c>
      <c r="BE39" s="503" t="s">
        <v>39049</v>
      </c>
    </row>
    <row r="40" spans="1:57" ht="32.1" customHeight="1">
      <c r="A40" s="93"/>
      <c r="B40" s="76" t="str">
        <f>VLOOKUP(1512,Sprachindex!$A:$Z,Info!$O$7,FALSE)</f>
        <v>lfm</v>
      </c>
      <c r="C40" s="75" t="e" vm="84">
        <v>#VALUE!</v>
      </c>
      <c r="D40" s="75" t="str">
        <f t="shared" ref="D40:D46" si="6">IF($P$9=1,BE40,IF($P$9=2,AS40,""))</f>
        <v/>
      </c>
      <c r="E40" s="618" t="str">
        <f>VLOOKUP(647,Sprachindex!$A:$Z,Info!$O$7,FALSE)</f>
        <v>Ortgangstreifen (95 × 2.000 × 0,70 mm)</v>
      </c>
      <c r="F40" s="619"/>
      <c r="G40" s="619"/>
      <c r="H40" s="619"/>
      <c r="I40" s="619"/>
      <c r="J40" s="619"/>
      <c r="K40" s="620"/>
      <c r="L40" s="76" t="str">
        <f t="shared" si="4"/>
        <v/>
      </c>
      <c r="M40" s="399" t="str">
        <f t="shared" si="3"/>
        <v>lfm</v>
      </c>
      <c r="N40" s="77"/>
      <c r="O40" s="184" t="str">
        <f t="shared" si="5"/>
        <v/>
      </c>
      <c r="P40" s="5"/>
      <c r="Q40" s="5"/>
      <c r="R40" s="182">
        <v>9.86</v>
      </c>
      <c r="S40" s="179"/>
      <c r="T40" s="179"/>
      <c r="U40" s="5"/>
      <c r="V40" s="5"/>
      <c r="W40" s="5"/>
      <c r="X40" s="5"/>
      <c r="Y40" s="5"/>
      <c r="Z40" s="5"/>
      <c r="AB40" s="5"/>
      <c r="AC40" s="139">
        <f>ROUNDUP($A40/2,0)*2</f>
        <v>0</v>
      </c>
      <c r="AD40" s="139">
        <f>ROUNDUP($A40/2,0)*2</f>
        <v>0</v>
      </c>
      <c r="AH40" s="433">
        <v>110503</v>
      </c>
      <c r="AI40" s="433">
        <v>110500</v>
      </c>
      <c r="AJ40" s="433">
        <v>110508</v>
      </c>
      <c r="AK40" s="433">
        <v>110505</v>
      </c>
      <c r="AL40" s="433">
        <v>110501</v>
      </c>
      <c r="AM40" s="433">
        <v>110507</v>
      </c>
      <c r="AN40" s="433">
        <v>110502</v>
      </c>
      <c r="AO40" s="433">
        <v>110506</v>
      </c>
      <c r="AP40" s="433">
        <v>110509</v>
      </c>
      <c r="AQ40" s="433">
        <v>110504</v>
      </c>
      <c r="AR40" s="433">
        <v>15411028</v>
      </c>
      <c r="AS40" s="507" t="e" vm="2">
        <f t="shared" ref="AS40:AS51" si="7">VLOOKUP(AH40,AH40:AR40,$P$21,FALSE)</f>
        <v>#VALUE!</v>
      </c>
      <c r="AT40" s="432">
        <v>110513</v>
      </c>
      <c r="AU40" s="432">
        <v>110510</v>
      </c>
      <c r="AV40" s="432">
        <v>110518</v>
      </c>
      <c r="AW40" s="432">
        <v>110515</v>
      </c>
      <c r="AX40" s="432">
        <v>110511</v>
      </c>
      <c r="AY40" s="432">
        <v>110517</v>
      </c>
      <c r="AZ40" s="432">
        <v>110512</v>
      </c>
      <c r="BA40" s="432">
        <v>110516</v>
      </c>
      <c r="BB40" s="432">
        <v>110519</v>
      </c>
      <c r="BC40" s="432">
        <v>110514</v>
      </c>
      <c r="BD40" s="432">
        <v>15421028</v>
      </c>
      <c r="BE40" s="507" t="e" vm="2">
        <f t="shared" ref="BE40:BE46" si="8">VLOOKUP(AT40,AT40:BD40,$P$21,FALSE)</f>
        <v>#VALUE!</v>
      </c>
    </row>
    <row r="41" spans="1:57" ht="32.1" customHeight="1">
      <c r="A41" s="93"/>
      <c r="B41" s="76" t="str">
        <f>VLOOKUP(1512,Sprachindex!$A:$Z,Info!$O$7,FALSE)</f>
        <v>lfm</v>
      </c>
      <c r="C41" s="75" t="e" vm="85">
        <v>#VALUE!</v>
      </c>
      <c r="D41" s="75" t="str">
        <f t="shared" si="6"/>
        <v/>
      </c>
      <c r="E41" s="618" t="str">
        <f>VLOOKUP(825,Sprachindex!$A:$Z,Info!$O$7,FALSE)</f>
        <v>Sicherheitskehle (stucco; Länge: 3.000 mm)</v>
      </c>
      <c r="F41" s="619"/>
      <c r="G41" s="619"/>
      <c r="H41" s="619"/>
      <c r="I41" s="619"/>
      <c r="J41" s="619"/>
      <c r="K41" s="620"/>
      <c r="L41" s="76" t="str">
        <f t="shared" si="4"/>
        <v/>
      </c>
      <c r="M41" s="399" t="str">
        <f t="shared" si="3"/>
        <v>lfm</v>
      </c>
      <c r="N41" s="77"/>
      <c r="O41" s="184" t="str">
        <f t="shared" si="5"/>
        <v/>
      </c>
      <c r="P41" s="5"/>
      <c r="Q41" s="5"/>
      <c r="R41" s="182">
        <v>33.1</v>
      </c>
      <c r="S41" s="179"/>
      <c r="T41" s="179"/>
      <c r="U41" s="5"/>
      <c r="V41" s="5"/>
      <c r="W41" s="5"/>
      <c r="X41" s="5"/>
      <c r="Y41" s="5"/>
      <c r="Z41" s="5"/>
      <c r="AB41" s="5"/>
      <c r="AC41" s="139">
        <f>ROUNDUP($A41/3,0)*3</f>
        <v>0</v>
      </c>
      <c r="AD41" s="139">
        <f>ROUNDUP($A41/3,0)*3</f>
        <v>0</v>
      </c>
      <c r="AH41" s="433">
        <v>110523</v>
      </c>
      <c r="AI41" s="433">
        <v>110520</v>
      </c>
      <c r="AJ41" s="433">
        <v>110528</v>
      </c>
      <c r="AK41" s="433">
        <v>110525</v>
      </c>
      <c r="AL41" s="433">
        <v>110521</v>
      </c>
      <c r="AM41" s="433">
        <v>110527</v>
      </c>
      <c r="AN41" s="433">
        <v>110522</v>
      </c>
      <c r="AO41" s="433">
        <v>110526</v>
      </c>
      <c r="AP41" s="433">
        <v>110529</v>
      </c>
      <c r="AQ41" s="433">
        <v>110524</v>
      </c>
      <c r="AR41" s="433">
        <v>15451028</v>
      </c>
      <c r="AS41" s="507" t="e" vm="2">
        <f t="shared" si="7"/>
        <v>#VALUE!</v>
      </c>
      <c r="AT41" s="432">
        <v>110533</v>
      </c>
      <c r="AU41" s="432">
        <v>110530</v>
      </c>
      <c r="AV41" s="432">
        <v>110538</v>
      </c>
      <c r="AW41" s="432">
        <v>110535</v>
      </c>
      <c r="AX41" s="432">
        <v>110531</v>
      </c>
      <c r="AY41" s="432">
        <v>110537</v>
      </c>
      <c r="AZ41" s="432">
        <v>110532</v>
      </c>
      <c r="BA41" s="432">
        <v>110536</v>
      </c>
      <c r="BB41" s="432">
        <v>110539</v>
      </c>
      <c r="BC41" s="432">
        <v>110534</v>
      </c>
      <c r="BD41" s="432">
        <v>15461028</v>
      </c>
      <c r="BE41" s="507" t="e" vm="2">
        <f t="shared" si="8"/>
        <v>#VALUE!</v>
      </c>
    </row>
    <row r="42" spans="1:57" ht="32.1" customHeight="1">
      <c r="A42" s="93"/>
      <c r="B42" s="76" t="str">
        <f>VLOOKUP(1512,Sprachindex!$A:$Z,Info!$O$7,FALSE)</f>
        <v>lfm</v>
      </c>
      <c r="C42" s="75" t="e" vm="86">
        <v>#VALUE!</v>
      </c>
      <c r="D42" s="75" t="str">
        <f t="shared" si="6"/>
        <v/>
      </c>
      <c r="E42" s="618" t="str">
        <f>VLOOKUP(440,Sprachindex!$A:$Z,Info!$O$7,FALSE)</f>
        <v>Grat- und Firstreiter (500 × 1,00 mm; stucco) inkl. Niro-Schraube 4,5 × 45 mm und Dichtscheibe</v>
      </c>
      <c r="F42" s="619"/>
      <c r="G42" s="619"/>
      <c r="H42" s="619"/>
      <c r="I42" s="619"/>
      <c r="J42" s="619"/>
      <c r="K42" s="620"/>
      <c r="L42" s="76" t="str">
        <f t="shared" si="4"/>
        <v/>
      </c>
      <c r="M42" s="399" t="str">
        <f t="shared" si="3"/>
        <v>lfm</v>
      </c>
      <c r="N42" s="77"/>
      <c r="O42" s="184" t="str">
        <f t="shared" si="5"/>
        <v/>
      </c>
      <c r="P42" s="5"/>
      <c r="Q42" s="5"/>
      <c r="R42" s="182">
        <v>15.21</v>
      </c>
      <c r="S42" s="179"/>
      <c r="T42" s="5"/>
      <c r="U42" s="5"/>
      <c r="V42" s="5"/>
      <c r="W42" s="5"/>
      <c r="X42" s="5"/>
      <c r="Y42" s="5"/>
      <c r="Z42" s="5"/>
      <c r="AB42" s="5"/>
      <c r="AC42" s="139">
        <f>ROUNDUP($A42/10,0)*10</f>
        <v>0</v>
      </c>
      <c r="AD42" s="139">
        <f>ROUNDUP($A42/0.5,0)*0.5</f>
        <v>0</v>
      </c>
      <c r="AH42" s="433">
        <v>110343</v>
      </c>
      <c r="AI42" s="433">
        <v>110340</v>
      </c>
      <c r="AJ42" s="433">
        <v>110348</v>
      </c>
      <c r="AK42" s="433">
        <v>110345</v>
      </c>
      <c r="AL42" s="433">
        <v>110341</v>
      </c>
      <c r="AM42" s="433">
        <v>110347</v>
      </c>
      <c r="AN42" s="433">
        <v>110342</v>
      </c>
      <c r="AO42" s="433">
        <v>110346</v>
      </c>
      <c r="AP42" s="433">
        <v>110349</v>
      </c>
      <c r="AQ42" s="433">
        <v>110344</v>
      </c>
      <c r="AR42" s="433">
        <v>15111028</v>
      </c>
      <c r="AS42" s="507" t="e" vm="2">
        <f t="shared" si="7"/>
        <v>#VALUE!</v>
      </c>
      <c r="AT42" s="432">
        <v>110353</v>
      </c>
      <c r="AU42" s="432">
        <v>110350</v>
      </c>
      <c r="AV42" s="432">
        <v>110358</v>
      </c>
      <c r="AW42" s="432">
        <v>110355</v>
      </c>
      <c r="AX42" s="432">
        <v>110351</v>
      </c>
      <c r="AY42" s="432">
        <v>110357</v>
      </c>
      <c r="AZ42" s="432">
        <v>110352</v>
      </c>
      <c r="BA42" s="432">
        <v>110356</v>
      </c>
      <c r="BB42" s="432">
        <v>110359</v>
      </c>
      <c r="BC42" s="432">
        <v>110354</v>
      </c>
      <c r="BD42" s="432">
        <v>15121028</v>
      </c>
      <c r="BE42" s="507" t="e" vm="2">
        <f t="shared" si="8"/>
        <v>#VALUE!</v>
      </c>
    </row>
    <row r="43" spans="1:57" ht="32.1" customHeight="1">
      <c r="A43" s="93"/>
      <c r="B43" s="76" t="str">
        <f>VLOOKUP(878,Sprachindex!$A:$Z,Info!$O$7,FALSE)</f>
        <v>Stk.</v>
      </c>
      <c r="C43" s="75"/>
      <c r="D43" s="75" t="str">
        <f t="shared" si="6"/>
        <v/>
      </c>
      <c r="E43" s="618" t="str">
        <f>VLOOKUP(441,Sprachindex!$A:$Z,Info!$O$7,FALSE)</f>
        <v>Gratreitervorkopf (stucco)</v>
      </c>
      <c r="F43" s="619"/>
      <c r="G43" s="619"/>
      <c r="H43" s="619"/>
      <c r="I43" s="619"/>
      <c r="J43" s="619"/>
      <c r="K43" s="620"/>
      <c r="L43" s="76" t="str">
        <f t="shared" si="4"/>
        <v/>
      </c>
      <c r="M43" s="399" t="str">
        <f t="shared" si="3"/>
        <v>Stk.</v>
      </c>
      <c r="N43" s="77"/>
      <c r="O43" s="184" t="str">
        <f t="shared" si="5"/>
        <v/>
      </c>
      <c r="P43" s="5"/>
      <c r="Q43" s="5"/>
      <c r="R43" s="182">
        <v>8.26</v>
      </c>
      <c r="S43" s="179"/>
      <c r="T43" s="5"/>
      <c r="U43" s="5"/>
      <c r="V43" s="5"/>
      <c r="W43" s="5"/>
      <c r="X43" s="5"/>
      <c r="Y43" s="5"/>
      <c r="Z43" s="5"/>
      <c r="AB43" s="5"/>
      <c r="AC43" s="139">
        <f>ROUNDUP($A43/10,0)*10</f>
        <v>0</v>
      </c>
      <c r="AD43" s="139">
        <f>ROUNDUP($A43/1,0)*1</f>
        <v>0</v>
      </c>
      <c r="AH43" s="433">
        <v>110323</v>
      </c>
      <c r="AI43" s="433">
        <v>110320</v>
      </c>
      <c r="AJ43" s="433">
        <v>110328</v>
      </c>
      <c r="AK43" s="433">
        <v>110325</v>
      </c>
      <c r="AL43" s="433">
        <v>110321</v>
      </c>
      <c r="AM43" s="433">
        <v>110327</v>
      </c>
      <c r="AN43" s="433">
        <v>110322</v>
      </c>
      <c r="AO43" s="433">
        <v>110326</v>
      </c>
      <c r="AP43" s="433">
        <v>110329</v>
      </c>
      <c r="AQ43" s="433">
        <v>110324</v>
      </c>
      <c r="AR43" s="433">
        <v>15131028</v>
      </c>
      <c r="AS43" s="507" t="e" vm="2">
        <f t="shared" si="7"/>
        <v>#VALUE!</v>
      </c>
      <c r="AT43" s="432">
        <v>110333</v>
      </c>
      <c r="AU43" s="432">
        <v>110330</v>
      </c>
      <c r="AV43" s="432">
        <v>110338</v>
      </c>
      <c r="AW43" s="432">
        <v>110335</v>
      </c>
      <c r="AX43" s="432">
        <v>110331</v>
      </c>
      <c r="AY43" s="432">
        <v>110337</v>
      </c>
      <c r="AZ43" s="432">
        <v>110332</v>
      </c>
      <c r="BA43" s="432">
        <v>110336</v>
      </c>
      <c r="BB43" s="432">
        <v>110339</v>
      </c>
      <c r="BC43" s="432">
        <v>110334</v>
      </c>
      <c r="BD43" s="432">
        <v>15141028</v>
      </c>
      <c r="BE43" s="507" t="e" vm="2">
        <f t="shared" si="8"/>
        <v>#VALUE!</v>
      </c>
    </row>
    <row r="44" spans="1:57" ht="32.1" customHeight="1">
      <c r="A44" s="93"/>
      <c r="B44" s="76" t="str">
        <f>VLOOKUP(1512,Sprachindex!$A:$Z,Info!$O$7,FALSE)</f>
        <v>lfm</v>
      </c>
      <c r="C44" s="75" t="e" vm="87">
        <v>#VALUE!</v>
      </c>
      <c r="D44" s="75" t="str">
        <f t="shared" si="6"/>
        <v/>
      </c>
      <c r="E44" s="618" t="str">
        <f>VLOOKUP(501,Sprachindex!$A:$Z,Info!$O$7,FALSE)</f>
        <v>Jet-Lüfter (stucco; 1.200 mm); inkl. Niro-Schraube und Dichtscheibe</v>
      </c>
      <c r="F44" s="619"/>
      <c r="G44" s="619"/>
      <c r="H44" s="619"/>
      <c r="I44" s="619"/>
      <c r="J44" s="619"/>
      <c r="K44" s="620"/>
      <c r="L44" s="76" t="str">
        <f t="shared" si="4"/>
        <v/>
      </c>
      <c r="M44" s="399" t="str">
        <f t="shared" si="3"/>
        <v>lfm</v>
      </c>
      <c r="N44" s="77"/>
      <c r="O44" s="184" t="str">
        <f t="shared" si="5"/>
        <v/>
      </c>
      <c r="P44" s="5"/>
      <c r="Q44" s="5"/>
      <c r="R44" s="182">
        <v>69.22</v>
      </c>
      <c r="S44" s="179"/>
      <c r="T44" s="5"/>
      <c r="U44" s="5"/>
      <c r="V44" s="5"/>
      <c r="W44" s="5"/>
      <c r="X44" s="5"/>
      <c r="Y44" s="5"/>
      <c r="Z44" s="5"/>
      <c r="AB44" s="5"/>
      <c r="AC44" s="139">
        <f>ROUNDUP($A44/1.2,0)*1.2</f>
        <v>0</v>
      </c>
      <c r="AD44" s="139">
        <f>ROUNDUP($A44/1.2,0)*1.2</f>
        <v>0</v>
      </c>
      <c r="AH44" s="433">
        <v>110643</v>
      </c>
      <c r="AI44" s="433">
        <v>110640</v>
      </c>
      <c r="AJ44" s="433">
        <v>110648</v>
      </c>
      <c r="AK44" s="433">
        <v>110645</v>
      </c>
      <c r="AL44" s="433">
        <v>110641</v>
      </c>
      <c r="AM44" s="433">
        <v>110647</v>
      </c>
      <c r="AN44" s="433">
        <v>110642</v>
      </c>
      <c r="AO44" s="433">
        <v>110646</v>
      </c>
      <c r="AP44" s="433">
        <v>110649</v>
      </c>
      <c r="AQ44" s="433">
        <v>110644</v>
      </c>
      <c r="AR44" s="433">
        <v>15171028</v>
      </c>
      <c r="AS44" s="507" t="e" vm="2">
        <f t="shared" si="7"/>
        <v>#VALUE!</v>
      </c>
      <c r="AT44" s="432">
        <v>110653</v>
      </c>
      <c r="AU44" s="432">
        <v>110650</v>
      </c>
      <c r="AV44" s="432">
        <v>110658</v>
      </c>
      <c r="AW44" s="432">
        <v>110655</v>
      </c>
      <c r="AX44" s="432">
        <v>110651</v>
      </c>
      <c r="AY44" s="432">
        <v>110657</v>
      </c>
      <c r="AZ44" s="432">
        <v>110652</v>
      </c>
      <c r="BA44" s="432">
        <v>110656</v>
      </c>
      <c r="BB44" s="432">
        <v>110659</v>
      </c>
      <c r="BC44" s="432">
        <v>110654</v>
      </c>
      <c r="BD44" s="432">
        <v>15181028</v>
      </c>
      <c r="BE44" s="507" t="e" vm="2">
        <f t="shared" si="8"/>
        <v>#VALUE!</v>
      </c>
    </row>
    <row r="45" spans="1:57" ht="32.1" customHeight="1">
      <c r="A45" s="93"/>
      <c r="B45" s="76" t="str">
        <f>VLOOKUP(1512,Sprachindex!$A:$Z,Info!$O$7,FALSE)</f>
        <v>lfm</v>
      </c>
      <c r="C45" s="75" t="e" vm="87">
        <v>#VALUE!</v>
      </c>
      <c r="D45" s="75" t="str">
        <f t="shared" si="6"/>
        <v/>
      </c>
      <c r="E45" s="618" t="str">
        <f>VLOOKUP(502,Sprachindex!$A:$Z,Info!$O$7,FALSE)</f>
        <v>Jet-Lüfter (stucco; 3.000 mm); inkl. Niro-Schraube und Dichtscheibe</v>
      </c>
      <c r="F45" s="619"/>
      <c r="G45" s="619"/>
      <c r="H45" s="619"/>
      <c r="I45" s="619"/>
      <c r="J45" s="619"/>
      <c r="K45" s="620"/>
      <c r="L45" s="76" t="str">
        <f t="shared" si="4"/>
        <v/>
      </c>
      <c r="M45" s="399" t="str">
        <f t="shared" si="3"/>
        <v>lfm</v>
      </c>
      <c r="N45" s="77"/>
      <c r="O45" s="184" t="str">
        <f t="shared" si="5"/>
        <v/>
      </c>
      <c r="P45" s="5"/>
      <c r="Q45" s="5"/>
      <c r="R45" s="182">
        <v>62.51</v>
      </c>
      <c r="S45" s="179"/>
      <c r="T45" s="5"/>
      <c r="U45" s="5"/>
      <c r="V45" s="5"/>
      <c r="W45" s="5"/>
      <c r="X45" s="5"/>
      <c r="Y45" s="5"/>
      <c r="Z45" s="5"/>
      <c r="AB45" s="5"/>
      <c r="AC45" s="139">
        <f>ROUNDUP($A45/9,0)*9</f>
        <v>0</v>
      </c>
      <c r="AD45" s="139">
        <f>ROUNDUP($A45/3,0)*3</f>
        <v>0</v>
      </c>
      <c r="AH45" s="433">
        <v>110623</v>
      </c>
      <c r="AI45" s="433">
        <v>110620</v>
      </c>
      <c r="AJ45" s="433">
        <v>110628</v>
      </c>
      <c r="AK45" s="433">
        <v>110625</v>
      </c>
      <c r="AL45" s="433">
        <v>110621</v>
      </c>
      <c r="AM45" s="433">
        <v>110627</v>
      </c>
      <c r="AN45" s="433">
        <v>110622</v>
      </c>
      <c r="AO45" s="433">
        <v>110626</v>
      </c>
      <c r="AP45" s="433">
        <v>110629</v>
      </c>
      <c r="AQ45" s="433">
        <v>110624</v>
      </c>
      <c r="AR45" s="433">
        <v>15151028</v>
      </c>
      <c r="AS45" s="507" t="e" vm="2">
        <f t="shared" si="7"/>
        <v>#VALUE!</v>
      </c>
      <c r="AT45" s="432">
        <v>110633</v>
      </c>
      <c r="AU45" s="432">
        <v>110630</v>
      </c>
      <c r="AV45" s="432">
        <v>110638</v>
      </c>
      <c r="AW45" s="432">
        <v>110635</v>
      </c>
      <c r="AX45" s="432">
        <v>110631</v>
      </c>
      <c r="AY45" s="432">
        <v>110637</v>
      </c>
      <c r="AZ45" s="432">
        <v>110632</v>
      </c>
      <c r="BA45" s="432">
        <v>110636</v>
      </c>
      <c r="BB45" s="432">
        <v>110639</v>
      </c>
      <c r="BC45" s="432">
        <v>110634</v>
      </c>
      <c r="BD45" s="432">
        <v>1516028</v>
      </c>
      <c r="BE45" s="507" t="e" vm="2">
        <f t="shared" si="8"/>
        <v>#VALUE!</v>
      </c>
    </row>
    <row r="46" spans="1:57" ht="32.1" customHeight="1">
      <c r="A46" s="93"/>
      <c r="B46" s="76" t="str">
        <f>VLOOKUP(878,Sprachindex!$A:$Z,Info!$O$7,FALSE)</f>
        <v>Stk.</v>
      </c>
      <c r="C46" s="75" t="e" vm="88">
        <v>#VALUE!</v>
      </c>
      <c r="D46" s="75" t="str">
        <f t="shared" si="6"/>
        <v/>
      </c>
      <c r="E46" s="618" t="str">
        <f>VLOOKUP(503,Sprachindex!$A:$Z,Info!$O$7,FALSE)</f>
        <v>Jet-Lüfter-Vorkopf (stucco)</v>
      </c>
      <c r="F46" s="619"/>
      <c r="G46" s="619"/>
      <c r="H46" s="619"/>
      <c r="I46" s="619"/>
      <c r="J46" s="619"/>
      <c r="K46" s="620"/>
      <c r="L46" s="76" t="str">
        <f t="shared" si="4"/>
        <v/>
      </c>
      <c r="M46" s="399" t="str">
        <f t="shared" si="3"/>
        <v>Stk.</v>
      </c>
      <c r="N46" s="77"/>
      <c r="O46" s="184" t="str">
        <f t="shared" si="5"/>
        <v/>
      </c>
      <c r="P46" s="5"/>
      <c r="Q46" s="5"/>
      <c r="R46" s="182">
        <v>8.9700000000000006</v>
      </c>
      <c r="S46" s="179"/>
      <c r="T46" s="5"/>
      <c r="U46" s="5"/>
      <c r="V46" s="5"/>
      <c r="W46" s="5"/>
      <c r="X46" s="5"/>
      <c r="Y46" s="5"/>
      <c r="Z46" s="5"/>
      <c r="AB46" s="5"/>
      <c r="AC46" s="139">
        <f>ROUNDUP($A46/2,0)*2</f>
        <v>0</v>
      </c>
      <c r="AD46" s="139">
        <f>ROUNDUP($A46/1,0)*1</f>
        <v>0</v>
      </c>
      <c r="AH46" s="433">
        <v>110603</v>
      </c>
      <c r="AI46" s="433">
        <v>110600</v>
      </c>
      <c r="AJ46" s="433">
        <v>110608</v>
      </c>
      <c r="AK46" s="433">
        <v>110605</v>
      </c>
      <c r="AL46" s="433">
        <v>110601</v>
      </c>
      <c r="AM46" s="433">
        <v>110607</v>
      </c>
      <c r="AN46" s="433">
        <v>110602</v>
      </c>
      <c r="AO46" s="433">
        <v>110606</v>
      </c>
      <c r="AP46" s="433">
        <v>110609</v>
      </c>
      <c r="AQ46" s="433">
        <v>110604</v>
      </c>
      <c r="AR46" s="498">
        <v>15231028</v>
      </c>
      <c r="AS46" s="507" t="e" vm="2">
        <f t="shared" si="7"/>
        <v>#VALUE!</v>
      </c>
      <c r="AT46" s="438">
        <v>110613</v>
      </c>
      <c r="AU46" s="438">
        <v>110610</v>
      </c>
      <c r="AV46" s="432">
        <v>110618</v>
      </c>
      <c r="AW46" s="432">
        <v>110615</v>
      </c>
      <c r="AX46" s="432">
        <v>110611</v>
      </c>
      <c r="AY46" s="432">
        <v>110617</v>
      </c>
      <c r="AZ46" s="432">
        <v>110612</v>
      </c>
      <c r="BA46" s="432">
        <v>110616</v>
      </c>
      <c r="BB46" s="432">
        <v>110619</v>
      </c>
      <c r="BC46" s="432">
        <v>110614</v>
      </c>
      <c r="BD46" s="432">
        <v>15241028</v>
      </c>
      <c r="BE46" s="507" t="e" vm="2">
        <f t="shared" si="8"/>
        <v>#VALUE!</v>
      </c>
    </row>
    <row r="47" spans="1:57" ht="32.1" customHeight="1">
      <c r="A47" s="93"/>
      <c r="B47" s="76" t="str">
        <f>VLOOKUP(878,Sprachindex!$A:$Z,Info!$O$7,FALSE)</f>
        <v>Stk.</v>
      </c>
      <c r="C47" s="75" t="e" vm="19">
        <v>#VALUE!</v>
      </c>
      <c r="D47" s="75" t="str">
        <f>IF(H47=Formeln!B18,AS47,IF(H47=Formeln!B19,AT47,""))</f>
        <v/>
      </c>
      <c r="E47" s="618" t="str">
        <f>VLOOKUP(2187,Sprachindex!$A:$Z,Info!$O$7,FALSE)</f>
        <v>Dichtschraube NIRO, 4,5x25</v>
      </c>
      <c r="F47" s="619"/>
      <c r="G47" s="619"/>
      <c r="H47" s="624"/>
      <c r="I47" s="625"/>
      <c r="J47" s="625"/>
      <c r="K47" s="626"/>
      <c r="L47" s="76" t="str">
        <f t="shared" si="4"/>
        <v/>
      </c>
      <c r="M47" s="161" t="str">
        <f>VLOOKUP(878,Sprachindex!$A:$Z,Info!$O$7,FALSE)</f>
        <v>Stk.</v>
      </c>
      <c r="N47" s="77"/>
      <c r="O47" s="204" t="str">
        <f>IF(ISNUMBER(L47),IF(H47=Formeln!$B$19,L47*S47,$L47*R47), "")</f>
        <v/>
      </c>
      <c r="P47" s="267"/>
      <c r="Q47" s="5"/>
      <c r="R47" s="182">
        <v>0.47</v>
      </c>
      <c r="S47" s="182">
        <v>0.36</v>
      </c>
      <c r="T47" s="179"/>
      <c r="U47" s="179"/>
      <c r="V47" s="179"/>
      <c r="W47" s="209"/>
      <c r="X47" s="209"/>
      <c r="Y47" s="209"/>
      <c r="Z47" s="209"/>
      <c r="AA47" s="209"/>
      <c r="AB47" s="209"/>
      <c r="AC47" s="139">
        <f>ROUNDUP($A47/200,0)*200</f>
        <v>0</v>
      </c>
      <c r="AD47" s="139">
        <f t="shared" ref="AD47:AD50" si="9">ROUNDUP($A47,0)</f>
        <v>0</v>
      </c>
      <c r="AH47" s="433">
        <v>340044</v>
      </c>
      <c r="AI47" s="433">
        <v>340041</v>
      </c>
      <c r="AJ47" s="433">
        <v>340048</v>
      </c>
      <c r="AK47" s="433">
        <v>340045</v>
      </c>
      <c r="AL47" s="433">
        <v>340042</v>
      </c>
      <c r="AM47" s="433">
        <v>340047</v>
      </c>
      <c r="AN47" s="433">
        <v>340043</v>
      </c>
      <c r="AO47" s="433">
        <v>340046</v>
      </c>
      <c r="AP47" s="433">
        <v>340049</v>
      </c>
      <c r="AQ47" s="433" t="s">
        <v>2349</v>
      </c>
      <c r="AR47" s="498" t="s">
        <v>2349</v>
      </c>
      <c r="AS47" s="507" t="e" vm="2">
        <f t="shared" si="7"/>
        <v>#VALUE!</v>
      </c>
      <c r="AT47" s="505">
        <v>340040</v>
      </c>
      <c r="AU47" s="505"/>
      <c r="AV47" s="505"/>
    </row>
    <row r="48" spans="1:57" ht="32.1" customHeight="1">
      <c r="A48" s="93"/>
      <c r="B48" s="76" t="str">
        <f>VLOOKUP(878,Sprachindex!$A:$Z,Info!$O$7,FALSE)</f>
        <v>Stk.</v>
      </c>
      <c r="C48" s="75" t="e" vm="20">
        <v>#VALUE!</v>
      </c>
      <c r="D48" s="75" t="str">
        <f>IF(H48=Formeln!A18,AS48,IF(H48=Formeln!A19,AT48,""))</f>
        <v/>
      </c>
      <c r="E48" s="618" t="str">
        <f>VLOOKUP(2188,Sprachindex!$A:$Z,Info!$O$7,FALSE)</f>
        <v>Dichtschraube NIRO 4,5 x 45 mm, für Grat- und Firstreiter</v>
      </c>
      <c r="F48" s="619"/>
      <c r="G48" s="619"/>
      <c r="H48" s="624"/>
      <c r="I48" s="625"/>
      <c r="J48" s="625"/>
      <c r="K48" s="626"/>
      <c r="L48" s="76" t="str">
        <f>IF(A48=0,"",IF(H48=Formeln!$A$17," ",IF($P$11=1,AC48,AD48)))</f>
        <v/>
      </c>
      <c r="M48" s="161" t="str">
        <f>VLOOKUP(878,Sprachindex!$A:$Z,Info!$O$7,FALSE)</f>
        <v>Stk.</v>
      </c>
      <c r="N48" s="77"/>
      <c r="O48" s="204" t="str">
        <f>IF(ISNUMBER(L48),IF(H48=Formeln!$A$19,L48*S48,$L48*R48), "")</f>
        <v/>
      </c>
      <c r="P48" s="267"/>
      <c r="Q48" s="5"/>
      <c r="R48" s="182">
        <v>0.7</v>
      </c>
      <c r="S48" s="182">
        <v>0.62</v>
      </c>
      <c r="T48" s="179"/>
      <c r="U48" s="179"/>
      <c r="V48" s="179"/>
      <c r="W48" s="209"/>
      <c r="X48" s="209"/>
      <c r="Y48" s="209"/>
      <c r="Z48" s="209"/>
      <c r="AA48" s="209"/>
      <c r="AB48" s="209"/>
      <c r="AC48" s="139">
        <f>ROUNDUP($A48/250,0)*250</f>
        <v>0</v>
      </c>
      <c r="AD48" s="139">
        <f t="shared" si="9"/>
        <v>0</v>
      </c>
      <c r="AH48" s="433">
        <v>340104</v>
      </c>
      <c r="AI48" s="433">
        <v>340001</v>
      </c>
      <c r="AJ48" s="433">
        <v>340014</v>
      </c>
      <c r="AK48" s="433">
        <v>340002</v>
      </c>
      <c r="AL48" s="433">
        <v>340004</v>
      </c>
      <c r="AM48" s="433">
        <v>340011</v>
      </c>
      <c r="AN48" s="433">
        <v>340003</v>
      </c>
      <c r="AO48" s="433">
        <v>340016</v>
      </c>
      <c r="AP48" s="433">
        <v>340013</v>
      </c>
      <c r="AQ48" s="433" t="s">
        <v>2349</v>
      </c>
      <c r="AR48" s="433">
        <v>340012</v>
      </c>
      <c r="AS48" s="507" t="e" vm="2">
        <f t="shared" si="7"/>
        <v>#VALUE!</v>
      </c>
      <c r="AT48" s="505">
        <v>340103</v>
      </c>
      <c r="AU48" s="505">
        <v>340017</v>
      </c>
      <c r="AV48" s="505">
        <v>340010</v>
      </c>
    </row>
    <row r="49" spans="1:426" ht="32.1" customHeight="1">
      <c r="A49" s="93"/>
      <c r="B49" s="76" t="str">
        <f>VLOOKUP(878,Sprachindex!$A:$Z,Info!$O$7,FALSE)</f>
        <v>Stk.</v>
      </c>
      <c r="C49" s="75" t="e" vm="21">
        <v>#VALUE!</v>
      </c>
      <c r="D49" s="75" t="str">
        <f>IF(H49=Formeln!A21,AS49,IF(H49=Formeln!A22,AT49,""))</f>
        <v/>
      </c>
      <c r="E49" s="618" t="str">
        <f>VLOOKUP(2189,Sprachindex!$A:$Z,Info!$O$7,FALSE)</f>
        <v>Dichtschraube NIRO 4,5 x 60 mm, für Jet-Lüfter</v>
      </c>
      <c r="F49" s="619"/>
      <c r="G49" s="619"/>
      <c r="H49" s="624"/>
      <c r="I49" s="625"/>
      <c r="J49" s="625"/>
      <c r="K49" s="626"/>
      <c r="L49" s="76" t="str">
        <f>IF(A49=0,"",IF(H49=Formeln!$A$17," ",IF($P$11=1,AC49,AD49)))</f>
        <v/>
      </c>
      <c r="M49" s="161" t="str">
        <f>VLOOKUP(878,Sprachindex!$A:$Z,Info!$O$7,FALSE)</f>
        <v>Stk.</v>
      </c>
      <c r="N49" s="77"/>
      <c r="O49" s="204" t="str">
        <f>IF(ISNUMBER(L49),IF(H49=Formeln!$A$22,L49*S49,$L49*R49), "")</f>
        <v/>
      </c>
      <c r="P49" s="267"/>
      <c r="Q49" s="5"/>
      <c r="R49" s="182">
        <v>0.89</v>
      </c>
      <c r="S49" s="182">
        <v>0.7</v>
      </c>
      <c r="T49" s="179"/>
      <c r="U49" s="179"/>
      <c r="V49" s="179"/>
      <c r="W49" s="209"/>
      <c r="X49" s="209"/>
      <c r="Y49" s="209"/>
      <c r="Z49" s="209"/>
      <c r="AA49" s="209"/>
      <c r="AB49" s="209"/>
      <c r="AC49" s="139">
        <f>ROUNDUP($A49/100,0)*100</f>
        <v>0</v>
      </c>
      <c r="AD49" s="139">
        <f t="shared" si="9"/>
        <v>0</v>
      </c>
      <c r="AH49" s="433">
        <v>340021</v>
      </c>
      <c r="AI49" s="433">
        <v>340020</v>
      </c>
      <c r="AJ49" s="433">
        <v>340030</v>
      </c>
      <c r="AK49" s="433">
        <v>340025</v>
      </c>
      <c r="AL49" s="433">
        <v>340024</v>
      </c>
      <c r="AM49" s="433">
        <v>340027</v>
      </c>
      <c r="AN49" s="433">
        <v>340022</v>
      </c>
      <c r="AO49" s="433">
        <v>340032</v>
      </c>
      <c r="AP49" s="433">
        <v>340036</v>
      </c>
      <c r="AQ49" s="433" t="s">
        <v>2349</v>
      </c>
      <c r="AR49" s="433">
        <v>340035</v>
      </c>
      <c r="AS49" s="507" t="e" vm="2">
        <f t="shared" si="7"/>
        <v>#VALUE!</v>
      </c>
      <c r="AT49" s="505">
        <v>340106</v>
      </c>
      <c r="AU49" s="505">
        <v>340037</v>
      </c>
      <c r="AV49" s="505">
        <v>340034</v>
      </c>
    </row>
    <row r="50" spans="1:426" ht="32.1" customHeight="1">
      <c r="A50" s="93"/>
      <c r="B50" s="76" t="str">
        <f>VLOOKUP(878,Sprachindex!$A:$Z,Info!$O$7,FALSE)</f>
        <v>Stk.</v>
      </c>
      <c r="C50" s="75" t="e" vm="94">
        <v>#VALUE!</v>
      </c>
      <c r="D50" s="75" t="str">
        <f>IF(ISNUMBER(A50),AS50,"")</f>
        <v/>
      </c>
      <c r="E50" s="618" t="str">
        <f>VLOOKUP(409,Sprachindex!$A:$Z,Info!$O$7,FALSE)</f>
        <v>Froschmaullukenhaube</v>
      </c>
      <c r="F50" s="619"/>
      <c r="G50" s="619"/>
      <c r="H50" s="619"/>
      <c r="I50" s="619"/>
      <c r="J50" s="619"/>
      <c r="K50" s="620"/>
      <c r="L50" s="76" t="str">
        <f>IF(A50=0,"",IF($P$11=1,AC50,AD50))</f>
        <v/>
      </c>
      <c r="M50" s="399" t="str">
        <f t="shared" si="3"/>
        <v>Stk.</v>
      </c>
      <c r="N50" s="77"/>
      <c r="O50" s="184" t="str">
        <f>IF(ISNUMBER(A50),$L50*R50, "")</f>
        <v/>
      </c>
      <c r="P50" s="5"/>
      <c r="Q50" s="5"/>
      <c r="R50" s="182">
        <v>25.39</v>
      </c>
      <c r="S50" s="179"/>
      <c r="T50" s="5"/>
      <c r="U50" s="5"/>
      <c r="V50" s="5"/>
      <c r="W50" s="5"/>
      <c r="X50" s="5"/>
      <c r="Y50" s="5"/>
      <c r="Z50" s="5"/>
      <c r="AB50" s="5"/>
      <c r="AC50" s="139">
        <f>ROUNDUP($A50/20,0)*20</f>
        <v>0</v>
      </c>
      <c r="AD50" s="139">
        <f t="shared" si="9"/>
        <v>0</v>
      </c>
      <c r="AH50" s="433">
        <v>110103</v>
      </c>
      <c r="AI50" s="433">
        <v>110100</v>
      </c>
      <c r="AJ50" s="433">
        <v>110108</v>
      </c>
      <c r="AK50" s="433">
        <v>110105</v>
      </c>
      <c r="AL50" s="433">
        <v>110101</v>
      </c>
      <c r="AM50" s="433">
        <v>110107</v>
      </c>
      <c r="AN50" s="433">
        <v>110102</v>
      </c>
      <c r="AO50" s="433">
        <v>110106</v>
      </c>
      <c r="AP50" s="433">
        <v>121005</v>
      </c>
      <c r="AQ50" s="433">
        <v>110104</v>
      </c>
      <c r="AR50" s="433">
        <v>15611028</v>
      </c>
      <c r="AS50" s="507" t="e" vm="2">
        <f t="shared" si="7"/>
        <v>#VALUE!</v>
      </c>
      <c r="AT50" s="506" t="s">
        <v>28580</v>
      </c>
      <c r="AU50" s="506" t="s">
        <v>39050</v>
      </c>
      <c r="AV50" s="506" t="s">
        <v>39051</v>
      </c>
    </row>
    <row r="51" spans="1:426" ht="32.1" customHeight="1">
      <c r="A51" s="93"/>
      <c r="B51" s="76" t="str">
        <f>VLOOKUP(878,Sprachindex!$A:$Z,Info!$O$7,FALSE)</f>
        <v>Stk.</v>
      </c>
      <c r="C51" s="75"/>
      <c r="D51" s="75" t="str">
        <f>IF($P$9=1,BE51,IF($P$9=2,AS51,""))</f>
        <v/>
      </c>
      <c r="E51" s="618" t="str">
        <f>VLOOKUP(2221,Sprachindex!$A:$Z,Info!$O$7,FALSE)</f>
        <v>Froschmaulluke stucco für DR44x44</v>
      </c>
      <c r="F51" s="619"/>
      <c r="G51" s="619"/>
      <c r="H51" s="619"/>
      <c r="I51" s="619"/>
      <c r="J51" s="619"/>
      <c r="K51" s="620"/>
      <c r="L51" s="76" t="str">
        <f>IF(A51=0,"",IF($P$11=1,AC51,AD51))</f>
        <v/>
      </c>
      <c r="M51" s="399" t="str">
        <f t="shared" si="3"/>
        <v>Stk.</v>
      </c>
      <c r="N51" s="77"/>
      <c r="O51" s="184" t="str">
        <f>IF(ISNUMBER(A51),$L51*R51, "")</f>
        <v/>
      </c>
      <c r="P51" s="5"/>
      <c r="Q51" s="5"/>
      <c r="R51" s="182">
        <v>58.5</v>
      </c>
      <c r="S51" s="179"/>
      <c r="T51" s="179"/>
      <c r="U51" s="179"/>
      <c r="V51" s="179"/>
      <c r="W51" s="179"/>
      <c r="X51" s="179"/>
      <c r="Y51" s="179"/>
      <c r="Z51" s="179"/>
      <c r="AA51" s="179"/>
      <c r="AB51" s="1"/>
      <c r="AC51" s="139">
        <f>ROUNDUP($A51/6,0)*6</f>
        <v>0</v>
      </c>
      <c r="AD51" s="139">
        <f>ROUNDUP($A51,0)</f>
        <v>0</v>
      </c>
      <c r="AH51" s="433">
        <v>112454</v>
      </c>
      <c r="AI51" s="433">
        <v>112451</v>
      </c>
      <c r="AJ51" s="433">
        <v>112459</v>
      </c>
      <c r="AK51" s="433">
        <v>112456</v>
      </c>
      <c r="AL51" s="433">
        <v>112452</v>
      </c>
      <c r="AM51" s="433">
        <v>112458</v>
      </c>
      <c r="AN51" s="433">
        <v>112453</v>
      </c>
      <c r="AO51" s="433">
        <v>112457</v>
      </c>
      <c r="AP51" s="433">
        <v>112460</v>
      </c>
      <c r="AQ51" s="433">
        <v>112455</v>
      </c>
      <c r="AR51" s="433">
        <v>1238102</v>
      </c>
      <c r="AS51" s="507" t="e" vm="2">
        <f t="shared" si="7"/>
        <v>#VALUE!</v>
      </c>
      <c r="AT51" s="432">
        <v>112434</v>
      </c>
      <c r="AU51" s="432">
        <v>112431</v>
      </c>
      <c r="AV51" s="432">
        <v>112439</v>
      </c>
      <c r="AW51" s="432">
        <v>112436</v>
      </c>
      <c r="AX51" s="432">
        <v>112432</v>
      </c>
      <c r="AY51" s="432">
        <v>112438</v>
      </c>
      <c r="AZ51" s="432">
        <v>112433</v>
      </c>
      <c r="BA51" s="432">
        <v>112437</v>
      </c>
      <c r="BB51" s="432">
        <v>112440</v>
      </c>
      <c r="BC51" s="432">
        <v>112435</v>
      </c>
      <c r="BD51" s="432">
        <v>12371028</v>
      </c>
      <c r="BE51" s="507" t="e" vm="2">
        <f t="shared" ref="BE51" si="10">VLOOKUP(AT51,AT51:BD51,$P$21,FALSE)</f>
        <v>#VALUE!</v>
      </c>
    </row>
    <row r="52" spans="1:426" ht="32.1" customHeight="1">
      <c r="A52" s="93"/>
      <c r="B52" s="76" t="str">
        <f>VLOOKUP(878,Sprachindex!$A:$Z,Info!$O$7,FALSE)</f>
        <v>Stk.</v>
      </c>
      <c r="C52" s="75" t="e" vm="89">
        <v>#VALUE!</v>
      </c>
      <c r="D52" s="75">
        <v>545106</v>
      </c>
      <c r="E52" s="628" t="str">
        <f>VLOOKUP(1874,Sprachindex!$A:$Z,Info!$O$7,FALSE)</f>
        <v>Einfassung Vario, 120-600 mm, stucco</v>
      </c>
      <c r="F52" s="629"/>
      <c r="G52" s="629"/>
      <c r="H52" s="629"/>
      <c r="I52" s="629"/>
      <c r="J52" s="629"/>
      <c r="K52" s="630"/>
      <c r="L52" s="76" t="str">
        <f>IF(A52=0,"",IF($P$11=1,AC52,AD52))</f>
        <v/>
      </c>
      <c r="M52" s="399" t="str">
        <f t="shared" si="3"/>
        <v>Stk.</v>
      </c>
      <c r="N52" s="77"/>
      <c r="O52" s="184" t="str">
        <f>IF(ISNUMBER(A52),$L52*R52, "")</f>
        <v/>
      </c>
      <c r="P52" s="5"/>
      <c r="Q52" s="5"/>
      <c r="R52" s="182">
        <v>0</v>
      </c>
      <c r="S52" s="179"/>
      <c r="T52" s="179"/>
      <c r="U52" s="179"/>
      <c r="V52" s="179"/>
      <c r="W52" s="179"/>
      <c r="X52" s="179"/>
      <c r="Y52" s="179"/>
      <c r="Z52" s="179"/>
      <c r="AA52" s="179"/>
      <c r="AB52" s="5"/>
      <c r="AC52" s="139">
        <f>ROUNDUP($A52,0)</f>
        <v>0</v>
      </c>
      <c r="AD52" s="139">
        <f t="shared" ref="AD52:AD70" si="11">ROUNDUP($A52,0)</f>
        <v>0</v>
      </c>
      <c r="AH52" s="47" t="s">
        <v>35</v>
      </c>
      <c r="AI52" s="47" t="s">
        <v>32</v>
      </c>
      <c r="AJ52" s="47" t="s">
        <v>40</v>
      </c>
      <c r="AK52" s="47" t="s">
        <v>37</v>
      </c>
      <c r="AL52" s="47" t="s">
        <v>33</v>
      </c>
      <c r="AM52" s="47" t="s">
        <v>39</v>
      </c>
      <c r="AN52" s="47" t="s">
        <v>34</v>
      </c>
      <c r="AO52" s="47" t="s">
        <v>38</v>
      </c>
      <c r="AP52" s="47" t="s">
        <v>41</v>
      </c>
      <c r="AQ52" s="47" t="s">
        <v>36</v>
      </c>
      <c r="AR52" s="47" t="s">
        <v>38962</v>
      </c>
    </row>
    <row r="53" spans="1:426" ht="32.1" customHeight="1" thickBot="1">
      <c r="A53" s="93"/>
      <c r="B53" s="76" t="str">
        <f>VLOOKUP(878,Sprachindex!$A:$Z,Info!$O$7,FALSE)</f>
        <v>Stk.</v>
      </c>
      <c r="C53" s="75" t="e" vm="89">
        <v>#VALUE!</v>
      </c>
      <c r="D53" s="75">
        <v>545106</v>
      </c>
      <c r="E53" s="628" t="str">
        <f>VLOOKUP(1875,Sprachindex!$A:$Z,Info!$O$7,FALSE)</f>
        <v>Einfassung Vario, 600-1.020 mm, stucco</v>
      </c>
      <c r="F53" s="629"/>
      <c r="G53" s="629"/>
      <c r="H53" s="629"/>
      <c r="I53" s="629"/>
      <c r="J53" s="629"/>
      <c r="K53" s="630"/>
      <c r="L53" s="76" t="str">
        <f>IF(A53=0,"",IF($P$11=1,AC53,AD53))</f>
        <v/>
      </c>
      <c r="M53" s="399" t="str">
        <f t="shared" si="3"/>
        <v>Stk.</v>
      </c>
      <c r="N53" s="77"/>
      <c r="O53" s="184" t="str">
        <f>IF(ISNUMBER(A53),$L53*R53, "")</f>
        <v/>
      </c>
      <c r="P53" s="5"/>
      <c r="Q53" s="5"/>
      <c r="R53" s="182">
        <v>0</v>
      </c>
      <c r="S53" s="179"/>
      <c r="T53" s="179"/>
      <c r="U53" s="179"/>
      <c r="V53" s="179"/>
      <c r="W53" s="179"/>
      <c r="X53" s="179"/>
      <c r="Y53" s="179"/>
      <c r="Z53" s="179"/>
      <c r="AA53" s="179"/>
      <c r="AB53" s="5"/>
      <c r="AC53" s="139">
        <f>ROUNDUP($A53,0)</f>
        <v>0</v>
      </c>
      <c r="AD53" s="139">
        <f t="shared" si="11"/>
        <v>0</v>
      </c>
    </row>
    <row r="54" spans="1:426" ht="32.1" customHeight="1" thickBot="1">
      <c r="A54" s="93"/>
      <c r="B54" s="76" t="str">
        <f>VLOOKUP(878,Sprachindex!$A:$Z,Info!$O$7,FALSE)</f>
        <v>Stk.</v>
      </c>
      <c r="C54" s="75" t="e" vm="26">
        <v>#VALUE!</v>
      </c>
      <c r="D54" s="75" t="str">
        <f>IF($P$9=1,BE54,IF($P$9=2,AS54,""))</f>
        <v/>
      </c>
      <c r="E54" s="628" t="str">
        <f>VLOOKUP(254,Sprachindex!$A:$Z,Info!$O$7,FALSE)</f>
        <v>Dachluke (600 × 600 mm); komplett mit Holzrahmen</v>
      </c>
      <c r="F54" s="629"/>
      <c r="G54" s="629"/>
      <c r="H54" s="629"/>
      <c r="I54" s="629"/>
      <c r="J54" s="629"/>
      <c r="K54" s="630"/>
      <c r="L54" s="76" t="str">
        <f>IF(A54=0,"",IF($P$11=1,AC54,AD54))</f>
        <v/>
      </c>
      <c r="M54" s="161" t="str">
        <f>VLOOKUP(878,Sprachindex!$A:$Z,Info!$O$7,FALSE)</f>
        <v>Stk.</v>
      </c>
      <c r="N54" s="77"/>
      <c r="O54" s="204" t="str">
        <f>IF(ISNUMBER(A54),$L54*R54, "")</f>
        <v/>
      </c>
      <c r="P54" s="267"/>
      <c r="Q54" s="5"/>
      <c r="R54" s="182">
        <v>254.93</v>
      </c>
      <c r="S54" s="179"/>
      <c r="T54" s="179"/>
      <c r="U54" s="179"/>
      <c r="V54" s="179"/>
      <c r="W54" s="179"/>
      <c r="X54" s="179"/>
      <c r="Y54" s="179"/>
      <c r="Z54" s="179"/>
      <c r="AA54" s="179"/>
      <c r="AB54" s="179"/>
      <c r="AC54" s="139">
        <f t="shared" ref="AC54:AC63" si="12">ROUNDUP($A54,0)</f>
        <v>0</v>
      </c>
      <c r="AD54" s="139">
        <f t="shared" si="11"/>
        <v>0</v>
      </c>
      <c r="AH54" s="498">
        <v>110023</v>
      </c>
      <c r="AI54" s="498">
        <v>110020</v>
      </c>
      <c r="AJ54" s="498">
        <v>110028</v>
      </c>
      <c r="AK54" s="498">
        <v>110025</v>
      </c>
      <c r="AL54" s="498">
        <v>110021</v>
      </c>
      <c r="AM54" s="498">
        <v>110027</v>
      </c>
      <c r="AN54" s="498">
        <v>110022</v>
      </c>
      <c r="AO54" s="498">
        <v>110026</v>
      </c>
      <c r="AP54" s="498">
        <v>110029</v>
      </c>
      <c r="AQ54" s="498">
        <v>110024</v>
      </c>
      <c r="AR54" s="498">
        <v>16751028</v>
      </c>
      <c r="AS54" s="512" t="e" vm="2">
        <f>VLOOKUP(AH54,AH54:AR54,$P$21,FALSE)</f>
        <v>#VALUE!</v>
      </c>
      <c r="AT54" s="438">
        <v>110033</v>
      </c>
      <c r="AU54" s="438">
        <v>110030</v>
      </c>
      <c r="AV54" s="438">
        <v>110038</v>
      </c>
      <c r="AW54" s="438">
        <v>110035</v>
      </c>
      <c r="AX54" s="438">
        <v>110031</v>
      </c>
      <c r="AY54" s="438">
        <v>110037</v>
      </c>
      <c r="AZ54" s="438">
        <v>110032</v>
      </c>
      <c r="BA54" s="438">
        <v>110036</v>
      </c>
      <c r="BB54" s="438">
        <v>110039</v>
      </c>
      <c r="BC54" s="438">
        <v>110034</v>
      </c>
      <c r="BD54" s="438">
        <v>16761028</v>
      </c>
      <c r="BE54" s="524" t="e" vm="2">
        <f>VLOOKUP(AT54,AT54:BD54,$P$21,FALSE)</f>
        <v>#VALUE!</v>
      </c>
      <c r="BF54" s="525" t="s">
        <v>39079</v>
      </c>
      <c r="BG54" s="523" t="s">
        <v>39080</v>
      </c>
      <c r="BH54" s="519" t="s">
        <v>35</v>
      </c>
      <c r="BI54" s="519" t="s">
        <v>32</v>
      </c>
      <c r="BJ54" s="519" t="s">
        <v>40</v>
      </c>
      <c r="BK54" s="519" t="s">
        <v>37</v>
      </c>
      <c r="BL54" s="519" t="s">
        <v>33</v>
      </c>
      <c r="BM54" s="519" t="s">
        <v>39</v>
      </c>
      <c r="BN54" s="519" t="s">
        <v>34</v>
      </c>
      <c r="BO54" s="519" t="s">
        <v>38</v>
      </c>
      <c r="BP54" s="519" t="s">
        <v>41</v>
      </c>
      <c r="BQ54" s="519" t="s">
        <v>36</v>
      </c>
      <c r="BR54" s="519" t="s">
        <v>38962</v>
      </c>
      <c r="BS54" s="520" t="s">
        <v>39049</v>
      </c>
      <c r="BT54" s="519" t="s">
        <v>35</v>
      </c>
      <c r="BU54" s="519" t="s">
        <v>32</v>
      </c>
      <c r="BV54" s="519" t="s">
        <v>40</v>
      </c>
      <c r="BW54" s="519" t="s">
        <v>37</v>
      </c>
      <c r="BX54" s="519" t="s">
        <v>33</v>
      </c>
      <c r="BY54" s="519" t="s">
        <v>39</v>
      </c>
      <c r="BZ54" s="519" t="s">
        <v>34</v>
      </c>
      <c r="CA54" s="519" t="s">
        <v>38</v>
      </c>
      <c r="CB54" s="519" t="s">
        <v>41</v>
      </c>
      <c r="CC54" s="519" t="s">
        <v>36</v>
      </c>
      <c r="CD54" s="519" t="s">
        <v>38962</v>
      </c>
      <c r="CE54" s="516" t="s">
        <v>39049</v>
      </c>
      <c r="CF54" s="535" t="s">
        <v>39079</v>
      </c>
      <c r="CG54" s="523" t="s">
        <v>39080</v>
      </c>
      <c r="CH54" s="519" t="s">
        <v>35</v>
      </c>
      <c r="CI54" s="519" t="s">
        <v>32</v>
      </c>
      <c r="CJ54" s="519" t="s">
        <v>40</v>
      </c>
      <c r="CK54" s="519" t="s">
        <v>37</v>
      </c>
      <c r="CL54" s="519" t="s">
        <v>33</v>
      </c>
      <c r="CM54" s="519" t="s">
        <v>39</v>
      </c>
      <c r="CN54" s="519" t="s">
        <v>34</v>
      </c>
      <c r="CO54" s="519" t="s">
        <v>38</v>
      </c>
      <c r="CP54" s="519" t="s">
        <v>41</v>
      </c>
      <c r="CQ54" s="519" t="s">
        <v>36</v>
      </c>
      <c r="CR54" s="519" t="s">
        <v>38962</v>
      </c>
      <c r="CS54" s="520" t="s">
        <v>39049</v>
      </c>
      <c r="CT54" s="519" t="s">
        <v>35</v>
      </c>
      <c r="CU54" s="519" t="s">
        <v>32</v>
      </c>
      <c r="CV54" s="519" t="s">
        <v>40</v>
      </c>
      <c r="CW54" s="519" t="s">
        <v>37</v>
      </c>
      <c r="CX54" s="519" t="s">
        <v>33</v>
      </c>
      <c r="CY54" s="519" t="s">
        <v>39</v>
      </c>
      <c r="CZ54" s="519" t="s">
        <v>34</v>
      </c>
      <c r="DA54" s="519" t="s">
        <v>38</v>
      </c>
      <c r="DB54" s="519" t="s">
        <v>41</v>
      </c>
      <c r="DC54" s="519" t="s">
        <v>36</v>
      </c>
      <c r="DD54" s="519" t="s">
        <v>38962</v>
      </c>
      <c r="DE54" s="520" t="s">
        <v>39049</v>
      </c>
      <c r="DF54" s="521" t="s">
        <v>39079</v>
      </c>
      <c r="DG54" s="523" t="s">
        <v>39080</v>
      </c>
      <c r="DH54" s="519" t="s">
        <v>35</v>
      </c>
      <c r="DI54" s="519" t="s">
        <v>32</v>
      </c>
      <c r="DJ54" s="519" t="s">
        <v>40</v>
      </c>
      <c r="DK54" s="519" t="s">
        <v>37</v>
      </c>
      <c r="DL54" s="519" t="s">
        <v>33</v>
      </c>
      <c r="DM54" s="519" t="s">
        <v>39</v>
      </c>
      <c r="DN54" s="519" t="s">
        <v>34</v>
      </c>
      <c r="DO54" s="519" t="s">
        <v>38</v>
      </c>
      <c r="DP54" s="519" t="s">
        <v>41</v>
      </c>
      <c r="DQ54" s="519" t="s">
        <v>36</v>
      </c>
      <c r="DR54" s="519" t="s">
        <v>38962</v>
      </c>
      <c r="DS54" s="520" t="s">
        <v>39049</v>
      </c>
      <c r="DT54" s="519" t="s">
        <v>35</v>
      </c>
      <c r="DU54" s="519" t="s">
        <v>32</v>
      </c>
      <c r="DV54" s="519" t="s">
        <v>40</v>
      </c>
      <c r="DW54" s="519" t="s">
        <v>37</v>
      </c>
      <c r="DX54" s="519" t="s">
        <v>33</v>
      </c>
      <c r="DY54" s="519" t="s">
        <v>39</v>
      </c>
      <c r="DZ54" s="519" t="s">
        <v>34</v>
      </c>
      <c r="EA54" s="519" t="s">
        <v>38</v>
      </c>
      <c r="EB54" s="519" t="s">
        <v>41</v>
      </c>
      <c r="EC54" s="519" t="s">
        <v>36</v>
      </c>
      <c r="ED54" s="519" t="s">
        <v>38962</v>
      </c>
      <c r="EE54" s="520" t="s">
        <v>39049</v>
      </c>
      <c r="EF54" s="521" t="s">
        <v>39079</v>
      </c>
      <c r="EG54" s="523" t="s">
        <v>39080</v>
      </c>
      <c r="EH54" s="519" t="s">
        <v>35</v>
      </c>
      <c r="EI54" s="519" t="s">
        <v>32</v>
      </c>
      <c r="EJ54" s="519" t="s">
        <v>40</v>
      </c>
      <c r="EK54" s="519" t="s">
        <v>37</v>
      </c>
      <c r="EL54" s="519" t="s">
        <v>33</v>
      </c>
      <c r="EM54" s="519" t="s">
        <v>39</v>
      </c>
      <c r="EN54" s="519" t="s">
        <v>34</v>
      </c>
      <c r="EO54" s="519" t="s">
        <v>38</v>
      </c>
      <c r="EP54" s="519" t="s">
        <v>41</v>
      </c>
      <c r="EQ54" s="519" t="s">
        <v>36</v>
      </c>
      <c r="ER54" s="519" t="s">
        <v>38962</v>
      </c>
      <c r="ES54" s="520" t="s">
        <v>39049</v>
      </c>
      <c r="ET54" s="519" t="s">
        <v>35</v>
      </c>
      <c r="EU54" s="519" t="s">
        <v>32</v>
      </c>
      <c r="EV54" s="519" t="s">
        <v>40</v>
      </c>
      <c r="EW54" s="519" t="s">
        <v>37</v>
      </c>
      <c r="EX54" s="519" t="s">
        <v>33</v>
      </c>
      <c r="EY54" s="519" t="s">
        <v>39</v>
      </c>
      <c r="EZ54" s="519" t="s">
        <v>34</v>
      </c>
      <c r="FA54" s="519" t="s">
        <v>38</v>
      </c>
      <c r="FB54" s="519" t="s">
        <v>41</v>
      </c>
      <c r="FC54" s="519" t="s">
        <v>36</v>
      </c>
      <c r="FD54" s="519" t="s">
        <v>38962</v>
      </c>
      <c r="FE54" s="520" t="s">
        <v>39049</v>
      </c>
      <c r="FF54" s="521" t="s">
        <v>39079</v>
      </c>
      <c r="FG54" s="523" t="s">
        <v>39080</v>
      </c>
      <c r="FH54" s="519" t="s">
        <v>35</v>
      </c>
      <c r="FI54" s="519" t="s">
        <v>32</v>
      </c>
      <c r="FJ54" s="519" t="s">
        <v>40</v>
      </c>
      <c r="FK54" s="519" t="s">
        <v>37</v>
      </c>
      <c r="FL54" s="519" t="s">
        <v>33</v>
      </c>
      <c r="FM54" s="519" t="s">
        <v>39</v>
      </c>
      <c r="FN54" s="519" t="s">
        <v>34</v>
      </c>
      <c r="FO54" s="519" t="s">
        <v>38</v>
      </c>
      <c r="FP54" s="519" t="s">
        <v>41</v>
      </c>
      <c r="FQ54" s="519" t="s">
        <v>36</v>
      </c>
      <c r="FR54" s="519" t="s">
        <v>38962</v>
      </c>
      <c r="FS54" s="520" t="s">
        <v>39049</v>
      </c>
      <c r="FT54" s="519" t="s">
        <v>35</v>
      </c>
      <c r="FU54" s="519" t="s">
        <v>32</v>
      </c>
      <c r="FV54" s="519" t="s">
        <v>40</v>
      </c>
      <c r="FW54" s="519" t="s">
        <v>37</v>
      </c>
      <c r="FX54" s="519" t="s">
        <v>33</v>
      </c>
      <c r="FY54" s="519" t="s">
        <v>39</v>
      </c>
      <c r="FZ54" s="519" t="s">
        <v>34</v>
      </c>
      <c r="GA54" s="519" t="s">
        <v>38</v>
      </c>
      <c r="GB54" s="519" t="s">
        <v>41</v>
      </c>
      <c r="GC54" s="519" t="s">
        <v>36</v>
      </c>
      <c r="GD54" s="519" t="s">
        <v>38962</v>
      </c>
      <c r="GE54" s="520" t="s">
        <v>39049</v>
      </c>
      <c r="GF54" s="521" t="s">
        <v>39079</v>
      </c>
      <c r="GG54" s="523" t="s">
        <v>39080</v>
      </c>
      <c r="GH54" s="519" t="s">
        <v>35</v>
      </c>
      <c r="GI54" s="519" t="s">
        <v>32</v>
      </c>
      <c r="GJ54" s="519" t="s">
        <v>40</v>
      </c>
      <c r="GK54" s="519" t="s">
        <v>37</v>
      </c>
      <c r="GL54" s="519" t="s">
        <v>33</v>
      </c>
      <c r="GM54" s="519" t="s">
        <v>39</v>
      </c>
      <c r="GN54" s="519" t="s">
        <v>34</v>
      </c>
      <c r="GO54" s="519" t="s">
        <v>38</v>
      </c>
      <c r="GP54" s="519" t="s">
        <v>41</v>
      </c>
      <c r="GQ54" s="519" t="s">
        <v>36</v>
      </c>
      <c r="GR54" s="519" t="s">
        <v>38962</v>
      </c>
      <c r="GS54" s="520" t="s">
        <v>39049</v>
      </c>
      <c r="GT54" s="519" t="s">
        <v>35</v>
      </c>
      <c r="GU54" s="519" t="s">
        <v>32</v>
      </c>
      <c r="GV54" s="519" t="s">
        <v>40</v>
      </c>
      <c r="GW54" s="519" t="s">
        <v>37</v>
      </c>
      <c r="GX54" s="519" t="s">
        <v>33</v>
      </c>
      <c r="GY54" s="519" t="s">
        <v>39</v>
      </c>
      <c r="GZ54" s="519" t="s">
        <v>34</v>
      </c>
      <c r="HA54" s="519" t="s">
        <v>38</v>
      </c>
      <c r="HB54" s="519" t="s">
        <v>41</v>
      </c>
      <c r="HC54" s="519" t="s">
        <v>36</v>
      </c>
      <c r="HD54" s="519" t="s">
        <v>38962</v>
      </c>
      <c r="HE54" s="520" t="s">
        <v>39049</v>
      </c>
      <c r="HF54" s="521" t="s">
        <v>39079</v>
      </c>
      <c r="HG54" s="523" t="s">
        <v>39080</v>
      </c>
      <c r="HH54" s="519" t="s">
        <v>35</v>
      </c>
      <c r="HI54" s="519" t="s">
        <v>32</v>
      </c>
      <c r="HJ54" s="519" t="s">
        <v>40</v>
      </c>
      <c r="HK54" s="519" t="s">
        <v>37</v>
      </c>
      <c r="HL54" s="519" t="s">
        <v>33</v>
      </c>
      <c r="HM54" s="519" t="s">
        <v>39</v>
      </c>
      <c r="HN54" s="519" t="s">
        <v>34</v>
      </c>
      <c r="HO54" s="519" t="s">
        <v>38</v>
      </c>
      <c r="HP54" s="519" t="s">
        <v>41</v>
      </c>
      <c r="HQ54" s="519" t="s">
        <v>36</v>
      </c>
      <c r="HR54" s="519" t="s">
        <v>38962</v>
      </c>
      <c r="HS54" s="520" t="s">
        <v>39049</v>
      </c>
      <c r="HT54" s="519" t="s">
        <v>35</v>
      </c>
      <c r="HU54" s="519" t="s">
        <v>32</v>
      </c>
      <c r="HV54" s="519" t="s">
        <v>40</v>
      </c>
      <c r="HW54" s="519" t="s">
        <v>37</v>
      </c>
      <c r="HX54" s="519" t="s">
        <v>33</v>
      </c>
      <c r="HY54" s="519" t="s">
        <v>39</v>
      </c>
      <c r="HZ54" s="519" t="s">
        <v>34</v>
      </c>
      <c r="IA54" s="519" t="s">
        <v>38</v>
      </c>
      <c r="IB54" s="519" t="s">
        <v>41</v>
      </c>
      <c r="IC54" s="519" t="s">
        <v>36</v>
      </c>
      <c r="ID54" s="519" t="s">
        <v>38962</v>
      </c>
      <c r="IE54" s="520" t="s">
        <v>39049</v>
      </c>
      <c r="IF54" s="535" t="s">
        <v>39079</v>
      </c>
      <c r="IG54" s="523" t="s">
        <v>39080</v>
      </c>
      <c r="IH54" s="519" t="s">
        <v>35</v>
      </c>
      <c r="II54" s="519" t="s">
        <v>32</v>
      </c>
      <c r="IJ54" s="519" t="s">
        <v>40</v>
      </c>
      <c r="IK54" s="519" t="s">
        <v>37</v>
      </c>
      <c r="IL54" s="519" t="s">
        <v>33</v>
      </c>
      <c r="IM54" s="519" t="s">
        <v>39</v>
      </c>
      <c r="IN54" s="519" t="s">
        <v>34</v>
      </c>
      <c r="IO54" s="519" t="s">
        <v>38</v>
      </c>
      <c r="IP54" s="519" t="s">
        <v>41</v>
      </c>
      <c r="IQ54" s="519" t="s">
        <v>36</v>
      </c>
      <c r="IR54" s="519" t="s">
        <v>38962</v>
      </c>
      <c r="IS54" s="520" t="s">
        <v>39049</v>
      </c>
      <c r="IT54" s="519" t="s">
        <v>35</v>
      </c>
      <c r="IU54" s="519" t="s">
        <v>32</v>
      </c>
      <c r="IV54" s="519" t="s">
        <v>40</v>
      </c>
      <c r="IW54" s="519" t="s">
        <v>37</v>
      </c>
      <c r="IX54" s="519" t="s">
        <v>33</v>
      </c>
      <c r="IY54" s="519" t="s">
        <v>39</v>
      </c>
      <c r="IZ54" s="519" t="s">
        <v>34</v>
      </c>
      <c r="JA54" s="519" t="s">
        <v>38</v>
      </c>
      <c r="JB54" s="519" t="s">
        <v>41</v>
      </c>
      <c r="JC54" s="519" t="s">
        <v>36</v>
      </c>
      <c r="JD54" s="519" t="s">
        <v>38962</v>
      </c>
      <c r="JE54" s="520" t="s">
        <v>39049</v>
      </c>
      <c r="JF54" s="521" t="s">
        <v>39079</v>
      </c>
      <c r="JG54" s="523" t="s">
        <v>39080</v>
      </c>
      <c r="JH54" s="519" t="s">
        <v>35</v>
      </c>
      <c r="JI54" s="519" t="s">
        <v>32</v>
      </c>
      <c r="JJ54" s="519" t="s">
        <v>40</v>
      </c>
      <c r="JK54" s="519" t="s">
        <v>37</v>
      </c>
      <c r="JL54" s="519" t="s">
        <v>33</v>
      </c>
      <c r="JM54" s="519" t="s">
        <v>39</v>
      </c>
      <c r="JN54" s="519" t="s">
        <v>34</v>
      </c>
      <c r="JO54" s="519" t="s">
        <v>38</v>
      </c>
      <c r="JP54" s="519" t="s">
        <v>41</v>
      </c>
      <c r="JQ54" s="519" t="s">
        <v>36</v>
      </c>
      <c r="JR54" s="519" t="s">
        <v>38962</v>
      </c>
      <c r="JS54" s="520" t="s">
        <v>39049</v>
      </c>
      <c r="JT54" s="519" t="s">
        <v>35</v>
      </c>
      <c r="JU54" s="519" t="s">
        <v>32</v>
      </c>
      <c r="JV54" s="519" t="s">
        <v>40</v>
      </c>
      <c r="JW54" s="519" t="s">
        <v>37</v>
      </c>
      <c r="JX54" s="519" t="s">
        <v>33</v>
      </c>
      <c r="JY54" s="519" t="s">
        <v>39</v>
      </c>
      <c r="JZ54" s="519" t="s">
        <v>34</v>
      </c>
      <c r="KA54" s="519" t="s">
        <v>38</v>
      </c>
      <c r="KB54" s="519" t="s">
        <v>41</v>
      </c>
      <c r="KC54" s="519" t="s">
        <v>36</v>
      </c>
      <c r="KD54" s="519" t="s">
        <v>38962</v>
      </c>
      <c r="KE54" s="520" t="s">
        <v>39049</v>
      </c>
    </row>
    <row r="55" spans="1:426" ht="32.1" customHeight="1" thickBot="1">
      <c r="A55" s="93"/>
      <c r="B55" s="76" t="str">
        <f>VLOOKUP(878,Sprachindex!$A:$Z,Info!$O$7,FALSE)</f>
        <v>Stk.</v>
      </c>
      <c r="C55" s="75" t="e" vm="27">
        <v>#VALUE!</v>
      </c>
      <c r="D55" s="75" t="str">
        <f>IF(ISNUMBER(A55),IF(Info!V6=2,'Velux DE Artikelnummern'!C27,Q55),"")</f>
        <v/>
      </c>
      <c r="E55" s="618" t="str">
        <f>VLOOKUP(324,Sprachindex!$A:$Z,Info!$O$7,FALSE)</f>
        <v>Einfassung für Velux-Dachflächenfenster (stucco)</v>
      </c>
      <c r="F55" s="619"/>
      <c r="G55" s="619"/>
      <c r="H55" s="619"/>
      <c r="I55" s="81" t="str">
        <f>VLOOKUP(591,Sprachindex!$A:$Z,Info!$O$7,FALSE)</f>
        <v>Maße:</v>
      </c>
      <c r="J55" s="624"/>
      <c r="K55" s="626"/>
      <c r="L55" s="76" t="str">
        <f>IF($A55=0,"",IF($J55=Formeln!$A$30," ",IF($P$11=1,AC55,AD55)))</f>
        <v/>
      </c>
      <c r="M55" s="161" t="str">
        <f>VLOOKUP(878,Sprachindex!$A:$Z,Info!$O$7,FALSE)</f>
        <v>Stk.</v>
      </c>
      <c r="N55" s="77"/>
      <c r="O55" s="204" t="str">
        <f>IF(ISNUMBER(L55),
IF(OR(J55=Formeln!$A$31,J55=Formeln!$A$32,J55=Formeln!$A$33),R55,
IF(OR(J55=Formeln!$A$34,J55=Formeln!$A$35,J55=Formeln!$A$36),S55,
IF(OR(J55=Formeln!$A$37,J55=Formeln!$A$38,J55=Formeln!$A438),T55,
IF(OR(J55=Formeln!$A$40,J55=Formeln!$A$41),U55,
IF(OR(J55=Formeln!$A$42,J55=Formeln!$A$43,J55=Formeln!$A$44),V55,
IF(OR(J55=Formeln!$A$45),W55,
IF(OR(J55=Formeln!$A$46,J55=Formeln!$A$47),X55,
IF(OR(J55=Formeln!$A$48),Y55,
IF(OR(J55=Formeln!$A$49,J55=Formeln!$A$50),Z55,
IF(OR(J55=Formeln!$A$51),AA55,0)))))))))), "")</f>
        <v/>
      </c>
      <c r="P55" s="267"/>
      <c r="Q55" s="1" t="str" cm="1">
        <f t="array" ref="Q55">_xlfn.IFS(OR(J55=Formeln!$A$31,J55=Formeln!$A$32,J55=Formeln!$A$33),AG55,
OR(J55=Formeln!$A$34,J55=Formeln!$A$35,J55=Formeln!$A$36),BG55,
OR(J55=Formeln!$A$37,J55=Formeln!$A$38,J55=Formeln!$A$39),CG55,
OR(J55=Formeln!$A$40,J55=Formeln!$A$41),DG55,
OR(J55=Formeln!$A$42,J55=Formeln!$A$43,J55=Formeln!$A$44),EG55,
J55=Formeln!$A$45,FG55,
OR(J55=Formeln!$A$46,J55=Formeln!$A$47),GG55,
J55=Formeln!$A$48,HG55,
OR(J55=Formeln!$A$49,J55=Formeln!$A$50),IG55,
J55=Formeln!$A$51,JG55,
TRUE," ")</f>
        <v xml:space="preserve"> </v>
      </c>
      <c r="R55" s="182">
        <v>272.64</v>
      </c>
      <c r="S55" s="182">
        <v>279.95</v>
      </c>
      <c r="T55" s="182">
        <v>280.47000000000003</v>
      </c>
      <c r="U55" s="182">
        <v>294.37</v>
      </c>
      <c r="V55" s="182">
        <v>337.94</v>
      </c>
      <c r="W55" s="182">
        <v>345.15</v>
      </c>
      <c r="X55" s="182">
        <v>345.15</v>
      </c>
      <c r="Y55" s="182">
        <v>145.15</v>
      </c>
      <c r="Z55" s="182">
        <v>347.52</v>
      </c>
      <c r="AA55" s="182">
        <v>347.52</v>
      </c>
      <c r="AB55" s="179"/>
      <c r="AC55" s="139">
        <f t="shared" si="12"/>
        <v>0</v>
      </c>
      <c r="AD55" s="141">
        <f t="shared" si="11"/>
        <v>0</v>
      </c>
      <c r="AF55" s="513" t="s">
        <v>51</v>
      </c>
      <c r="AG55" s="517" t="str">
        <f>IF($P$9=1,BE55,IF($P$9=2,AS55,""))</f>
        <v/>
      </c>
      <c r="AH55" s="514">
        <v>111113</v>
      </c>
      <c r="AI55" s="514">
        <v>111110</v>
      </c>
      <c r="AJ55" s="514">
        <v>111118</v>
      </c>
      <c r="AK55" s="514">
        <v>111115</v>
      </c>
      <c r="AL55" s="514">
        <v>111111</v>
      </c>
      <c r="AM55" s="514">
        <v>111117</v>
      </c>
      <c r="AN55" s="514">
        <v>111112</v>
      </c>
      <c r="AO55" s="514">
        <v>111116</v>
      </c>
      <c r="AP55" s="514">
        <v>111119</v>
      </c>
      <c r="AQ55" s="514">
        <v>111114</v>
      </c>
      <c r="AR55" s="514">
        <v>16211028</v>
      </c>
      <c r="AS55" s="515" t="e" vm="2">
        <f>VLOOKUP(AH55,AH55:AR55,$P$21,FALSE)</f>
        <v>#VALUE!</v>
      </c>
      <c r="AT55" s="518">
        <v>111103</v>
      </c>
      <c r="AU55" s="518">
        <v>111100</v>
      </c>
      <c r="AV55" s="518">
        <v>111108</v>
      </c>
      <c r="AW55" s="518">
        <v>111105</v>
      </c>
      <c r="AX55" s="518">
        <v>111101</v>
      </c>
      <c r="AY55" s="518">
        <v>111107</v>
      </c>
      <c r="AZ55" s="518">
        <v>111102</v>
      </c>
      <c r="BA55" s="518">
        <v>111106</v>
      </c>
      <c r="BB55" s="518">
        <v>111109</v>
      </c>
      <c r="BC55" s="518">
        <v>111104</v>
      </c>
      <c r="BD55" s="518">
        <v>16201028</v>
      </c>
      <c r="BE55" s="516" t="e" vm="2">
        <f>VLOOKUP(AT55,AT55:BD55,$P$21,FALSE)</f>
        <v>#VALUE!</v>
      </c>
      <c r="BF55" s="521" t="s">
        <v>52</v>
      </c>
      <c r="BG55" s="522" t="str">
        <f>IF($P$9=1,CE55,IF($P$9=2,BS55,""))</f>
        <v/>
      </c>
      <c r="BH55" s="514">
        <v>111133</v>
      </c>
      <c r="BI55" s="514">
        <v>111130</v>
      </c>
      <c r="BJ55" s="514">
        <v>111138</v>
      </c>
      <c r="BK55" s="514">
        <v>111135</v>
      </c>
      <c r="BL55" s="514">
        <v>111131</v>
      </c>
      <c r="BM55" s="514">
        <v>111137</v>
      </c>
      <c r="BN55" s="514">
        <v>111132</v>
      </c>
      <c r="BO55" s="514">
        <v>111136</v>
      </c>
      <c r="BP55" s="514">
        <v>111139</v>
      </c>
      <c r="BQ55" s="514">
        <v>111134</v>
      </c>
      <c r="BR55" s="514">
        <v>16231028</v>
      </c>
      <c r="BS55" s="515" t="e" vm="2">
        <f>VLOOKUP(BH55,BH55:BR55,$P$21,FALSE)</f>
        <v>#VALUE!</v>
      </c>
      <c r="BT55" s="518">
        <v>111123</v>
      </c>
      <c r="BU55" s="518">
        <v>111120</v>
      </c>
      <c r="BV55" s="518">
        <v>111128</v>
      </c>
      <c r="BW55" s="518">
        <v>111125</v>
      </c>
      <c r="BX55" s="518">
        <v>111121</v>
      </c>
      <c r="BY55" s="518">
        <v>111127</v>
      </c>
      <c r="BZ55" s="518">
        <v>111122</v>
      </c>
      <c r="CA55" s="518">
        <v>111126</v>
      </c>
      <c r="CB55" s="518">
        <v>111129</v>
      </c>
      <c r="CC55" s="518">
        <v>111124</v>
      </c>
      <c r="CD55" s="518">
        <v>16221028</v>
      </c>
      <c r="CE55" s="516" t="e" vm="2">
        <f>VLOOKUP(BT55,BT55:CD55,$P$21,FALSE)</f>
        <v>#VALUE!</v>
      </c>
      <c r="CF55" s="521" t="s">
        <v>53</v>
      </c>
      <c r="CG55" s="522" t="str">
        <f>IF($P$9=1,DE55,IF($P$9=2,CS55,""))</f>
        <v/>
      </c>
      <c r="CH55" s="514">
        <v>111173</v>
      </c>
      <c r="CI55" s="514">
        <v>111170</v>
      </c>
      <c r="CJ55" s="514">
        <v>111178</v>
      </c>
      <c r="CK55" s="514">
        <v>111175</v>
      </c>
      <c r="CL55" s="514">
        <v>111171</v>
      </c>
      <c r="CM55" s="514">
        <v>111177</v>
      </c>
      <c r="CN55" s="514">
        <v>111172</v>
      </c>
      <c r="CO55" s="514">
        <v>111176</v>
      </c>
      <c r="CP55" s="514">
        <v>111179</v>
      </c>
      <c r="CQ55" s="514">
        <v>111174</v>
      </c>
      <c r="CR55" s="514">
        <v>16251028</v>
      </c>
      <c r="CS55" s="515" t="e" vm="2">
        <f>VLOOKUP(CH55,CH55:CR55,$P$21,FALSE)</f>
        <v>#VALUE!</v>
      </c>
      <c r="CT55" s="526">
        <v>111163</v>
      </c>
      <c r="CU55" s="518">
        <v>111160</v>
      </c>
      <c r="CV55" s="518">
        <v>111168</v>
      </c>
      <c r="CW55" s="518">
        <v>111165</v>
      </c>
      <c r="CX55" s="518">
        <v>111161</v>
      </c>
      <c r="CY55" s="518">
        <v>111167</v>
      </c>
      <c r="CZ55" s="518">
        <v>111162</v>
      </c>
      <c r="DA55" s="518">
        <v>111166</v>
      </c>
      <c r="DB55" s="518">
        <v>111169</v>
      </c>
      <c r="DC55" s="518">
        <v>111164</v>
      </c>
      <c r="DD55" s="518">
        <v>16241028</v>
      </c>
      <c r="DE55" s="516" t="e" vm="2">
        <f>VLOOKUP(CT55,CT55:DD55,$P$21,FALSE)</f>
        <v>#VALUE!</v>
      </c>
      <c r="DF55" s="521" t="s">
        <v>54</v>
      </c>
      <c r="DG55" s="522" t="str">
        <f>IF($P$9=1,EE55,IF($P$9=2,DS55,""))</f>
        <v/>
      </c>
      <c r="DH55" s="514">
        <v>111293</v>
      </c>
      <c r="DI55" s="514">
        <v>111290</v>
      </c>
      <c r="DJ55" s="514">
        <v>111298</v>
      </c>
      <c r="DK55" s="514">
        <v>111295</v>
      </c>
      <c r="DL55" s="514">
        <v>111291</v>
      </c>
      <c r="DM55" s="514">
        <v>111297</v>
      </c>
      <c r="DN55" s="514">
        <v>111292</v>
      </c>
      <c r="DO55" s="514">
        <v>111296</v>
      </c>
      <c r="DP55" s="514">
        <v>111299</v>
      </c>
      <c r="DQ55" s="514">
        <v>111294</v>
      </c>
      <c r="DR55" s="514">
        <v>16271028</v>
      </c>
      <c r="DS55" s="515" t="e" vm="2">
        <f>VLOOKUP(DH55,DH55:DR55,$P$21,FALSE)</f>
        <v>#VALUE!</v>
      </c>
      <c r="DT55" s="526">
        <v>111283</v>
      </c>
      <c r="DU55" s="518">
        <v>111280</v>
      </c>
      <c r="DV55" s="518">
        <v>111288</v>
      </c>
      <c r="DW55" s="518">
        <v>111285</v>
      </c>
      <c r="DX55" s="518">
        <v>111281</v>
      </c>
      <c r="DY55" s="518">
        <v>111287</v>
      </c>
      <c r="DZ55" s="518">
        <v>111282</v>
      </c>
      <c r="EA55" s="518">
        <v>111286</v>
      </c>
      <c r="EB55" s="518">
        <v>111289</v>
      </c>
      <c r="EC55" s="518">
        <v>111284</v>
      </c>
      <c r="ED55" s="518">
        <v>16261028</v>
      </c>
      <c r="EE55" s="516" t="e" vm="2">
        <f>VLOOKUP(DT55,DT55:ED55,$P$21,FALSE)</f>
        <v>#VALUE!</v>
      </c>
      <c r="EF55" s="521" t="s">
        <v>55</v>
      </c>
      <c r="EG55" s="522" t="str">
        <f>IF($P$9=1,FE55,IF($P$9=2,ES55,""))</f>
        <v/>
      </c>
      <c r="EH55" s="514">
        <v>111193</v>
      </c>
      <c r="EI55" s="514">
        <v>111190</v>
      </c>
      <c r="EJ55" s="514">
        <v>111198</v>
      </c>
      <c r="EK55" s="514">
        <v>111195</v>
      </c>
      <c r="EL55" s="514">
        <v>111191</v>
      </c>
      <c r="EM55" s="514">
        <v>111197</v>
      </c>
      <c r="EN55" s="514">
        <v>111192</v>
      </c>
      <c r="EO55" s="514">
        <v>111196</v>
      </c>
      <c r="EP55" s="514">
        <v>111199</v>
      </c>
      <c r="EQ55" s="514">
        <v>111194</v>
      </c>
      <c r="ER55" s="514">
        <v>16291028</v>
      </c>
      <c r="ES55" s="515" t="e" vm="2">
        <f>VLOOKUP(EH55,EH55:ER55,$P$21,FALSE)</f>
        <v>#VALUE!</v>
      </c>
      <c r="ET55" s="526">
        <v>111183</v>
      </c>
      <c r="EU55" s="518">
        <v>111180</v>
      </c>
      <c r="EV55" s="518">
        <v>111188</v>
      </c>
      <c r="EW55" s="518">
        <v>111185</v>
      </c>
      <c r="EX55" s="518">
        <v>111181</v>
      </c>
      <c r="EY55" s="518">
        <v>111187</v>
      </c>
      <c r="EZ55" s="518">
        <v>111182</v>
      </c>
      <c r="FA55" s="518">
        <v>111186</v>
      </c>
      <c r="FB55" s="518">
        <v>111189</v>
      </c>
      <c r="FC55" s="518">
        <v>111184</v>
      </c>
      <c r="FD55" s="518">
        <v>16281028</v>
      </c>
      <c r="FE55" s="516" t="e" vm="2">
        <f>VLOOKUP(ET55,ET55:FD55,$P$21,FALSE)</f>
        <v>#VALUE!</v>
      </c>
      <c r="FF55" s="521" t="s">
        <v>56</v>
      </c>
      <c r="FG55" s="522" t="str">
        <f>IF($P$9=1,GE55,IF($P$9=2,FS55,""))</f>
        <v/>
      </c>
      <c r="FH55" s="514">
        <v>111213</v>
      </c>
      <c r="FI55" s="514">
        <v>111210</v>
      </c>
      <c r="FJ55" s="514">
        <v>111218</v>
      </c>
      <c r="FK55" s="514">
        <v>111215</v>
      </c>
      <c r="FL55" s="514">
        <v>111211</v>
      </c>
      <c r="FM55" s="514">
        <v>111217</v>
      </c>
      <c r="FN55" s="514">
        <v>111212</v>
      </c>
      <c r="FO55" s="514">
        <v>111216</v>
      </c>
      <c r="FP55" s="514">
        <v>111219</v>
      </c>
      <c r="FQ55" s="514">
        <v>111214</v>
      </c>
      <c r="FR55" s="514">
        <v>16311028</v>
      </c>
      <c r="FS55" s="515" t="e" vm="2">
        <f>VLOOKUP(FH55,FH55:FR55,$P$21,FALSE)</f>
        <v>#VALUE!</v>
      </c>
      <c r="FT55" s="526">
        <v>111203</v>
      </c>
      <c r="FU55" s="518">
        <v>111200</v>
      </c>
      <c r="FV55" s="518">
        <v>111208</v>
      </c>
      <c r="FW55" s="518">
        <v>111205</v>
      </c>
      <c r="FX55" s="518">
        <v>111201</v>
      </c>
      <c r="FY55" s="518">
        <v>111207</v>
      </c>
      <c r="FZ55" s="518">
        <v>111202</v>
      </c>
      <c r="GA55" s="518">
        <v>111206</v>
      </c>
      <c r="GB55" s="518">
        <v>111209</v>
      </c>
      <c r="GC55" s="518">
        <v>111204</v>
      </c>
      <c r="GD55" s="518">
        <v>16301028</v>
      </c>
      <c r="GE55" s="516" t="e" vm="2">
        <f>VLOOKUP(FT55,FT55:GD55,$P$21,FALSE)</f>
        <v>#VALUE!</v>
      </c>
      <c r="GF55" s="521" t="s">
        <v>57</v>
      </c>
      <c r="GG55" s="522" t="str">
        <f>IF($P$9=1,HE55,IF($P$9=2,GS55,""))</f>
        <v/>
      </c>
      <c r="GH55" s="514">
        <v>111233</v>
      </c>
      <c r="GI55" s="514">
        <v>111230</v>
      </c>
      <c r="GJ55" s="514">
        <v>111238</v>
      </c>
      <c r="GK55" s="514">
        <v>111235</v>
      </c>
      <c r="GL55" s="514">
        <v>111231</v>
      </c>
      <c r="GM55" s="514">
        <v>111237</v>
      </c>
      <c r="GN55" s="514">
        <v>111232</v>
      </c>
      <c r="GO55" s="514">
        <v>111236</v>
      </c>
      <c r="GP55" s="514">
        <v>111239</v>
      </c>
      <c r="GQ55" s="514">
        <v>111234</v>
      </c>
      <c r="GR55" s="514">
        <v>16331028</v>
      </c>
      <c r="GS55" s="515" t="e" vm="2">
        <f>VLOOKUP(GH55,GH55:GR55,$P$21,FALSE)</f>
        <v>#VALUE!</v>
      </c>
      <c r="GT55" s="526">
        <v>111223</v>
      </c>
      <c r="GU55" s="518">
        <v>111220</v>
      </c>
      <c r="GV55" s="518">
        <v>111228</v>
      </c>
      <c r="GW55" s="518">
        <v>111225</v>
      </c>
      <c r="GX55" s="518">
        <v>111221</v>
      </c>
      <c r="GY55" s="518">
        <v>111227</v>
      </c>
      <c r="GZ55" s="518">
        <v>111222</v>
      </c>
      <c r="HA55" s="518">
        <v>111226</v>
      </c>
      <c r="HB55" s="518">
        <v>111229</v>
      </c>
      <c r="HC55" s="518">
        <v>111224</v>
      </c>
      <c r="HD55" s="518">
        <v>16321028</v>
      </c>
      <c r="HE55" s="516" t="e" vm="2">
        <f>VLOOKUP(GT55,GT55:HD55,$P$21,FALSE)</f>
        <v>#VALUE!</v>
      </c>
      <c r="HF55" s="521" t="s">
        <v>58</v>
      </c>
      <c r="HG55" s="522" t="str">
        <f>IF($P$9=1,IE55,IF($P$9=2,HS55,""))</f>
        <v/>
      </c>
      <c r="HH55" s="514">
        <v>111613</v>
      </c>
      <c r="HI55" s="514">
        <v>111610</v>
      </c>
      <c r="HJ55" s="514">
        <v>111618</v>
      </c>
      <c r="HK55" s="514">
        <v>111615</v>
      </c>
      <c r="HL55" s="514">
        <v>111611</v>
      </c>
      <c r="HM55" s="514">
        <v>111617</v>
      </c>
      <c r="HN55" s="514">
        <v>111612</v>
      </c>
      <c r="HO55" s="514">
        <v>111616</v>
      </c>
      <c r="HP55" s="514">
        <v>111619</v>
      </c>
      <c r="HQ55" s="514">
        <v>111614</v>
      </c>
      <c r="HR55" s="514">
        <v>16351028</v>
      </c>
      <c r="HS55" s="515" t="e" vm="2">
        <f>VLOOKUP(HH55,HH55:HR55,$P$21,FALSE)</f>
        <v>#VALUE!</v>
      </c>
      <c r="HT55" s="526">
        <v>111603</v>
      </c>
      <c r="HU55" s="518">
        <v>111600</v>
      </c>
      <c r="HV55" s="518">
        <v>111608</v>
      </c>
      <c r="HW55" s="518">
        <v>111605</v>
      </c>
      <c r="HX55" s="518">
        <v>111601</v>
      </c>
      <c r="HY55" s="518">
        <v>111607</v>
      </c>
      <c r="HZ55" s="518">
        <v>111602</v>
      </c>
      <c r="IA55" s="518">
        <v>111606</v>
      </c>
      <c r="IB55" s="518">
        <v>111609</v>
      </c>
      <c r="IC55" s="518">
        <v>111604</v>
      </c>
      <c r="ID55" s="518">
        <v>16341028</v>
      </c>
      <c r="IE55" s="516" t="e" vm="2">
        <f>VLOOKUP(HT55,HT55:ID55,$P$21,FALSE)</f>
        <v>#VALUE!</v>
      </c>
      <c r="IF55" s="528" t="s">
        <v>59</v>
      </c>
      <c r="IG55" s="529" t="str">
        <f>IF($P$9=1,JE55,IF($P$9=2,IS55,""))</f>
        <v/>
      </c>
      <c r="IH55" s="530">
        <v>111253</v>
      </c>
      <c r="II55" s="530">
        <v>111250</v>
      </c>
      <c r="IJ55" s="530">
        <v>111258</v>
      </c>
      <c r="IK55" s="530">
        <v>111255</v>
      </c>
      <c r="IL55" s="530">
        <v>111251</v>
      </c>
      <c r="IM55" s="530">
        <v>111257</v>
      </c>
      <c r="IN55" s="530">
        <v>111252</v>
      </c>
      <c r="IO55" s="530">
        <v>111256</v>
      </c>
      <c r="IP55" s="530">
        <v>111259</v>
      </c>
      <c r="IQ55" s="530">
        <v>111254</v>
      </c>
      <c r="IR55" s="530">
        <v>16371028</v>
      </c>
      <c r="IS55" s="531" t="e" vm="2">
        <f>VLOOKUP(IH55,IH55:IR55,$P$21,FALSE)</f>
        <v>#VALUE!</v>
      </c>
      <c r="IT55" s="532">
        <v>111243</v>
      </c>
      <c r="IU55" s="533">
        <v>111240</v>
      </c>
      <c r="IV55" s="533">
        <v>111248</v>
      </c>
      <c r="IW55" s="533">
        <v>111245</v>
      </c>
      <c r="IX55" s="533">
        <v>111241</v>
      </c>
      <c r="IY55" s="533">
        <v>111247</v>
      </c>
      <c r="IZ55" s="533">
        <v>111242</v>
      </c>
      <c r="JA55" s="533">
        <v>111246</v>
      </c>
      <c r="JB55" s="533">
        <v>111249</v>
      </c>
      <c r="JC55" s="533">
        <v>111244</v>
      </c>
      <c r="JD55" s="533">
        <v>16361028</v>
      </c>
      <c r="JE55" s="534" t="e" vm="2">
        <f>VLOOKUP(IT55,IT55:JD55,$P$21,FALSE)</f>
        <v>#VALUE!</v>
      </c>
      <c r="JF55" s="528" t="s">
        <v>60</v>
      </c>
      <c r="JG55" s="529" t="str">
        <f>IF($P$9=1,KE55,IF($P$9=2,JS55,""))</f>
        <v/>
      </c>
      <c r="JH55" s="530">
        <v>111633</v>
      </c>
      <c r="JI55" s="530">
        <v>111630</v>
      </c>
      <c r="JJ55" s="530">
        <v>111638</v>
      </c>
      <c r="JK55" s="530">
        <v>111635</v>
      </c>
      <c r="JL55" s="530">
        <v>111631</v>
      </c>
      <c r="JM55" s="530">
        <v>111637</v>
      </c>
      <c r="JN55" s="530">
        <v>111632</v>
      </c>
      <c r="JO55" s="530">
        <v>111636</v>
      </c>
      <c r="JP55" s="530">
        <v>111639</v>
      </c>
      <c r="JQ55" s="530">
        <v>111634</v>
      </c>
      <c r="JR55" s="530">
        <v>16391028</v>
      </c>
      <c r="JS55" s="531" t="e" vm="2">
        <f>VLOOKUP(JH55,JH55:JR55,$P$21,FALSE)</f>
        <v>#VALUE!</v>
      </c>
      <c r="JT55" s="532">
        <v>111623</v>
      </c>
      <c r="JU55" s="533">
        <v>111620</v>
      </c>
      <c r="JV55" s="533">
        <v>111628</v>
      </c>
      <c r="JW55" s="533">
        <v>111625</v>
      </c>
      <c r="JX55" s="533">
        <v>111621</v>
      </c>
      <c r="JY55" s="533">
        <v>111627</v>
      </c>
      <c r="JZ55" s="533">
        <v>111622</v>
      </c>
      <c r="KA55" s="533">
        <v>111626</v>
      </c>
      <c r="KB55" s="533">
        <v>111629</v>
      </c>
      <c r="KC55" s="533">
        <v>111624</v>
      </c>
      <c r="KD55" s="533">
        <v>16381028</v>
      </c>
      <c r="KE55" s="534" t="e" vm="2">
        <f>VLOOKUP(JT55,JT55:KD55,$P$21,FALSE)</f>
        <v>#VALUE!</v>
      </c>
      <c r="KF55" s="119"/>
      <c r="KG55" s="119"/>
      <c r="KH55" s="119"/>
      <c r="KI55" s="119"/>
      <c r="KJ55" s="119"/>
      <c r="KK55" s="119"/>
      <c r="KL55" s="119"/>
      <c r="KM55" s="119"/>
      <c r="KN55" s="119"/>
      <c r="KP55" s="119"/>
      <c r="KQ55" s="119"/>
      <c r="KR55" s="119"/>
      <c r="KS55" s="119"/>
      <c r="KT55" s="119"/>
      <c r="KU55" s="119"/>
      <c r="KV55" s="119"/>
      <c r="KW55" s="119"/>
      <c r="KX55" s="119"/>
      <c r="KZ55" s="119"/>
      <c r="LA55" s="119"/>
      <c r="LB55" s="119"/>
      <c r="LC55" s="119"/>
      <c r="LD55" s="119"/>
      <c r="LE55" s="119"/>
      <c r="LF55" s="119"/>
      <c r="LG55" s="119"/>
      <c r="LH55" s="119"/>
      <c r="LI55" s="119"/>
      <c r="LK55" s="119"/>
      <c r="LL55" s="119"/>
      <c r="LM55" s="119"/>
      <c r="LN55" s="119"/>
      <c r="LO55" s="119"/>
      <c r="LP55" s="119"/>
      <c r="LQ55" s="119"/>
      <c r="LR55" s="119"/>
      <c r="LS55" s="119"/>
      <c r="LU55" s="119"/>
      <c r="LV55" s="119"/>
      <c r="LW55" s="119"/>
      <c r="LX55" s="119"/>
      <c r="LY55" s="119"/>
      <c r="LZ55" s="119"/>
      <c r="MA55" s="119"/>
      <c r="MB55" s="119"/>
      <c r="MC55" s="119"/>
      <c r="MD55" s="119"/>
      <c r="MF55" s="119"/>
      <c r="MG55" s="119"/>
      <c r="MH55" s="119"/>
      <c r="MI55" s="119"/>
      <c r="MJ55" s="119"/>
      <c r="MK55" s="119"/>
      <c r="ML55" s="119"/>
      <c r="MM55" s="119"/>
      <c r="MN55" s="119"/>
      <c r="MP55" s="119"/>
      <c r="MQ55" s="119"/>
      <c r="MR55" s="119"/>
      <c r="MS55" s="119"/>
      <c r="MT55" s="119"/>
      <c r="MU55" s="119"/>
      <c r="MV55" s="119"/>
      <c r="MW55" s="119"/>
      <c r="MX55" s="119"/>
      <c r="MY55" s="119"/>
      <c r="NA55" s="119"/>
      <c r="NB55" s="119"/>
      <c r="NC55" s="119"/>
      <c r="ND55" s="119"/>
      <c r="NE55" s="119"/>
      <c r="NF55" s="119"/>
      <c r="NG55" s="119"/>
      <c r="NH55" s="119"/>
      <c r="NI55" s="119"/>
      <c r="NK55" s="119"/>
      <c r="NL55" s="119"/>
      <c r="NM55" s="119"/>
      <c r="NN55" s="119"/>
      <c r="NO55" s="119"/>
      <c r="NP55" s="119"/>
      <c r="NQ55" s="119"/>
      <c r="NR55" s="119"/>
      <c r="NS55" s="119"/>
      <c r="NT55" s="119"/>
      <c r="NV55" s="119"/>
      <c r="NW55" s="119"/>
      <c r="NX55" s="119"/>
      <c r="NY55" s="119"/>
      <c r="NZ55" s="119"/>
      <c r="OA55" s="119"/>
      <c r="OB55" s="119"/>
      <c r="OC55" s="119"/>
      <c r="OD55" s="119"/>
      <c r="OF55" s="119"/>
      <c r="OG55" s="119"/>
      <c r="OH55" s="119"/>
      <c r="OI55" s="119"/>
      <c r="OJ55" s="119"/>
      <c r="OK55" s="119"/>
      <c r="OL55" s="119"/>
      <c r="OM55" s="119"/>
      <c r="ON55" s="119"/>
      <c r="OO55" s="119"/>
      <c r="OQ55" s="119"/>
      <c r="OR55" s="119"/>
      <c r="OS55" s="119"/>
      <c r="OT55" s="119"/>
      <c r="OU55" s="119"/>
      <c r="OV55" s="119"/>
      <c r="OW55" s="119"/>
      <c r="OX55" s="119"/>
      <c r="OY55" s="119"/>
      <c r="PA55" s="119"/>
      <c r="PB55" s="119"/>
      <c r="PC55" s="119"/>
      <c r="PD55" s="119"/>
      <c r="PE55" s="119"/>
      <c r="PF55" s="119"/>
      <c r="PG55" s="119"/>
      <c r="PH55" s="119"/>
      <c r="PI55" s="119"/>
      <c r="PJ55" s="119"/>
    </row>
    <row r="56" spans="1:426" ht="32.1" customHeight="1" thickBot="1">
      <c r="A56" s="93"/>
      <c r="B56" s="76" t="str">
        <f>VLOOKUP(878,Sprachindex!$A:$Z,Info!$O$7,FALSE)</f>
        <v>Stk.</v>
      </c>
      <c r="C56" s="75" t="e" vm="28">
        <v>#VALUE!</v>
      </c>
      <c r="D56" s="75" t="str">
        <f>IF(OR(J56=Formeln!$A$54,J56=Formeln!$A$55,J56=Formeln!$A$56),BE56,
IF(OR(J56=Formeln!$A$57,J56=Formeln!$A$58,J56=Formeln!$A$59),BZ56,
IF(OR(J56=Formeln!$A$60,J56=Formeln!$A$61,J56=Formeln!$A$62),CU56,
IF(OR(J56=Formeln!$A$63,J56=Formeln!$A$64),DP56,
IF(OR(J56=Formeln!$A$65,J56=Formeln!$A$66,J56=Formeln!$A$67),EK56,
IF(OR(J56=Formeln!$A$68,J56=Formeln!$A$69),FF56,
IF(OR(J56=Formeln!$A$70,J56=Formeln!$A$71,J56=Formeln!$A$72,J56=Formeln!$A$73,J56=Formeln!$A$74),GA56,
IF(OR(J56=Formeln!$A$75,J56=Formeln!$A$76,J56=Formeln!$A$77),GV56,""))))))))</f>
        <v/>
      </c>
      <c r="E56" s="618" t="str">
        <f>VLOOKUP(321,Sprachindex!$A:$Z,Info!$O$7,FALSE)</f>
        <v>Einfassung für Roto-Dachflächenfenster (stucco)</v>
      </c>
      <c r="F56" s="619"/>
      <c r="G56" s="619"/>
      <c r="H56" s="594" t="s">
        <v>39284</v>
      </c>
      <c r="I56" s="81" t="str">
        <f>VLOOKUP(591,Sprachindex!$A:$Z,Info!$O$7,FALSE)</f>
        <v>Maße:</v>
      </c>
      <c r="J56" s="624"/>
      <c r="K56" s="626"/>
      <c r="L56" s="76" t="str">
        <f>IF($A56=0,"",IF($J56=Formeln!$A$52," ",IF($P$11=1,AC56,AD56)))</f>
        <v/>
      </c>
      <c r="M56" s="161" t="str">
        <f>VLOOKUP(878,Sprachindex!$A:$Z,Info!$O$7,FALSE)</f>
        <v>Stk.</v>
      </c>
      <c r="N56" s="77"/>
      <c r="O56" s="204" t="str" cm="1">
        <f t="array" ref="O56">IF(ISNUMBER(L56),_xlfn.IFS(
OR(J56=Formeln!$A$54,J56=Formeln!$A$55,J56=Formeln!$A$56),R56,
OR(J56=Formeln!$A$57,J56=Formeln!$A$58,J56=Formeln!$A$59),S56,
OR(J56=Formeln!$A$60,J56=Formeln!$A$61,J56=Formeln!$A$62),T56,
OR(J56=Formeln!$A$63,J56=Formeln!$A$64),U56,
OR(J56=Formeln!$A$65,J56=Formeln!$A$66,J56=Formeln!$A$67),V56,
OR(J56=Formeln!$A$68,J56=Formeln!$A$69),W56,
OR(J56=Formeln!$A$70,J56=Formeln!$A$71,J56=Formeln!$A$72,J56=Formeln!$A$73,J56=Formeln!$A$74),X56,
OR(J56=Formeln!$A$75,J56=Formeln!$A$76,J56=Formeln!$A$77),Y56,TRUE,""),"")</f>
        <v/>
      </c>
      <c r="P56" s="267"/>
      <c r="Q56" s="560" t="str" cm="1">
        <f t="array" ref="Q56">_xlfn.IFS(OR(J56=Formeln!$A$54,J56=Formeln!$A$55,J56=Formeln!$A$56),AG56,
OR(J56=Formeln!$A$57,J56=Formeln!$A$58,J56=Formeln!$A$59),BG56,
OR(J56=Formeln!$A$60,J56=Formeln!$A$61,J56=Formeln!$A$62),CG56,
OR(J56=Formeln!$A$63,J56=Formeln!$A$64),DG56,
OR(J56=Formeln!$A$65,J56=Formeln!$A$66,J56=Formeln!$A$67),EG56,
OR(J56=Formeln!$A$68,J56=Formeln!$A$69),FG56,
OR(J56=Formeln!$A$70,J56=Formeln!$A$71,J56=Formeln!$A$72,J56=Formeln!$A$73,J56=Formeln!$A$74),GG56,
OR(J56=Formeln!$A$75,J56=Formeln!$A$76,J56=Formeln!$A$77),HG56,TRUE," ")</f>
        <v xml:space="preserve"> </v>
      </c>
      <c r="R56" s="182">
        <v>272.64</v>
      </c>
      <c r="S56" s="182">
        <v>279.95</v>
      </c>
      <c r="T56" s="182">
        <v>279.95</v>
      </c>
      <c r="U56" s="182">
        <v>294.37</v>
      </c>
      <c r="V56" s="182">
        <v>337.94</v>
      </c>
      <c r="W56" s="182">
        <v>345.15</v>
      </c>
      <c r="X56" s="182">
        <v>345.15</v>
      </c>
      <c r="Y56" s="182">
        <v>347.52</v>
      </c>
      <c r="Z56" s="179"/>
      <c r="AA56" s="179"/>
      <c r="AB56" s="179"/>
      <c r="AC56" s="139">
        <f t="shared" si="12"/>
        <v>0</v>
      </c>
      <c r="AD56" s="139">
        <f t="shared" si="11"/>
        <v>0</v>
      </c>
      <c r="AF56" s="549" t="s">
        <v>61</v>
      </c>
      <c r="AG56" s="550" t="str">
        <f>IF($P$9=1,BE56,IF($P$9=2,AS56,""))</f>
        <v/>
      </c>
      <c r="AH56" s="530">
        <v>111313</v>
      </c>
      <c r="AI56" s="530">
        <v>111310</v>
      </c>
      <c r="AJ56" s="530">
        <v>111318</v>
      </c>
      <c r="AK56" s="530">
        <v>111315</v>
      </c>
      <c r="AL56" s="530">
        <v>111311</v>
      </c>
      <c r="AM56" s="530">
        <v>111317</v>
      </c>
      <c r="AN56" s="530">
        <v>111312</v>
      </c>
      <c r="AO56" s="530">
        <v>111316</v>
      </c>
      <c r="AP56" s="530">
        <v>111319</v>
      </c>
      <c r="AQ56" s="530">
        <v>111314</v>
      </c>
      <c r="AR56" s="530">
        <v>16011028</v>
      </c>
      <c r="AS56" s="531" t="e" vm="2">
        <f>VLOOKUP(AH56,AH56:AR56,$P$21,FALSE)</f>
        <v>#VALUE!</v>
      </c>
      <c r="AT56" s="533">
        <v>111303</v>
      </c>
      <c r="AU56" s="533">
        <v>111300</v>
      </c>
      <c r="AV56" s="533">
        <v>111308</v>
      </c>
      <c r="AW56" s="533">
        <v>111305</v>
      </c>
      <c r="AX56" s="533">
        <v>111301</v>
      </c>
      <c r="AY56" s="533">
        <v>111307</v>
      </c>
      <c r="AZ56" s="533">
        <v>111302</v>
      </c>
      <c r="BA56" s="533">
        <v>111306</v>
      </c>
      <c r="BB56" s="533">
        <v>111309</v>
      </c>
      <c r="BC56" s="533">
        <v>111304</v>
      </c>
      <c r="BD56" s="533">
        <v>16021028</v>
      </c>
      <c r="BE56" s="534" t="e" vm="2">
        <f>VLOOKUP(AT56,AT56:BD56,$P$21,FALSE)</f>
        <v>#VALUE!</v>
      </c>
      <c r="BF56" s="549" t="s">
        <v>62</v>
      </c>
      <c r="BG56" s="550" t="str">
        <f>IF($P$9=1,CE56,IF($P$9=2,BS56,""))</f>
        <v/>
      </c>
      <c r="BH56" s="530">
        <v>111333</v>
      </c>
      <c r="BI56" s="530">
        <v>111330</v>
      </c>
      <c r="BJ56" s="530">
        <v>111338</v>
      </c>
      <c r="BK56" s="530">
        <v>111335</v>
      </c>
      <c r="BL56" s="530">
        <v>111331</v>
      </c>
      <c r="BM56" s="530">
        <v>111337</v>
      </c>
      <c r="BN56" s="530">
        <v>111332</v>
      </c>
      <c r="BO56" s="530">
        <v>111336</v>
      </c>
      <c r="BP56" s="530">
        <v>111339</v>
      </c>
      <c r="BQ56" s="530">
        <v>111334</v>
      </c>
      <c r="BR56" s="530">
        <v>16041028</v>
      </c>
      <c r="BS56" s="531" t="e" vm="2">
        <f>VLOOKUP(BH56,BH56:BR56,$P$21,FALSE)</f>
        <v>#VALUE!</v>
      </c>
      <c r="BT56" s="533">
        <v>111323</v>
      </c>
      <c r="BU56" s="533">
        <v>111320</v>
      </c>
      <c r="BV56" s="533">
        <v>111328</v>
      </c>
      <c r="BW56" s="533">
        <v>111325</v>
      </c>
      <c r="BX56" s="533">
        <v>111321</v>
      </c>
      <c r="BY56" s="533">
        <v>111327</v>
      </c>
      <c r="BZ56" s="533">
        <v>111322</v>
      </c>
      <c r="CA56" s="533">
        <v>111326</v>
      </c>
      <c r="CB56" s="533">
        <v>111329</v>
      </c>
      <c r="CC56" s="533">
        <v>111324</v>
      </c>
      <c r="CD56" s="533">
        <v>16031028</v>
      </c>
      <c r="CE56" s="534" t="e" vm="2">
        <f>VLOOKUP(BT56,BT56:CD56,$P$21,FALSE)</f>
        <v>#VALUE!</v>
      </c>
      <c r="CF56" s="549" t="s">
        <v>39081</v>
      </c>
      <c r="CG56" s="550" t="str">
        <f>IF($P$9=1,DE56,IF($P$9=2,CS56,""))</f>
        <v/>
      </c>
      <c r="CH56" s="530">
        <v>111353</v>
      </c>
      <c r="CI56" s="530">
        <v>111350</v>
      </c>
      <c r="CJ56" s="530">
        <v>111358</v>
      </c>
      <c r="CK56" s="530">
        <v>111355</v>
      </c>
      <c r="CL56" s="530">
        <v>111351</v>
      </c>
      <c r="CM56" s="530">
        <v>111357</v>
      </c>
      <c r="CN56" s="530">
        <v>111352</v>
      </c>
      <c r="CO56" s="530">
        <v>111356</v>
      </c>
      <c r="CP56" s="530">
        <v>111359</v>
      </c>
      <c r="CQ56" s="530">
        <v>111354</v>
      </c>
      <c r="CR56" s="530">
        <v>16061028</v>
      </c>
      <c r="CS56" s="531" t="e" vm="2">
        <f>VLOOKUP(CH56,CH56:CR56,$P$21,FALSE)</f>
        <v>#VALUE!</v>
      </c>
      <c r="CT56" s="532">
        <v>111343</v>
      </c>
      <c r="CU56" s="533">
        <v>111340</v>
      </c>
      <c r="CV56" s="533">
        <v>111348</v>
      </c>
      <c r="CW56" s="533">
        <v>111345</v>
      </c>
      <c r="CX56" s="533">
        <v>111341</v>
      </c>
      <c r="CY56" s="533">
        <v>111347</v>
      </c>
      <c r="CZ56" s="533">
        <v>111342</v>
      </c>
      <c r="DA56" s="533">
        <v>111346</v>
      </c>
      <c r="DB56" s="533">
        <v>111349</v>
      </c>
      <c r="DC56" s="533">
        <v>111344</v>
      </c>
      <c r="DD56" s="533">
        <v>16051028</v>
      </c>
      <c r="DE56" s="534" t="e" vm="2">
        <f>VLOOKUP(CT56,CT56:DD56,$P$21,FALSE)</f>
        <v>#VALUE!</v>
      </c>
      <c r="DF56" s="549" t="s">
        <v>39082</v>
      </c>
      <c r="DG56" s="550" t="str">
        <f>IF($P$9=1,EE56,IF($P$9=2,DS56,""))</f>
        <v/>
      </c>
      <c r="DH56" s="530">
        <v>111373</v>
      </c>
      <c r="DI56" s="530">
        <v>111370</v>
      </c>
      <c r="DJ56" s="530">
        <v>111378</v>
      </c>
      <c r="DK56" s="530">
        <v>111375</v>
      </c>
      <c r="DL56" s="530">
        <v>111371</v>
      </c>
      <c r="DM56" s="530">
        <v>111377</v>
      </c>
      <c r="DN56" s="530">
        <v>111372</v>
      </c>
      <c r="DO56" s="530">
        <v>111376</v>
      </c>
      <c r="DP56" s="530">
        <v>111379</v>
      </c>
      <c r="DQ56" s="530">
        <v>111374</v>
      </c>
      <c r="DR56" s="530">
        <v>16081028</v>
      </c>
      <c r="DS56" s="531" t="e" vm="2">
        <f>VLOOKUP(DH56,DH56:DR56,$P$21,FALSE)</f>
        <v>#VALUE!</v>
      </c>
      <c r="DT56" s="532">
        <v>111363</v>
      </c>
      <c r="DU56" s="533">
        <v>111360</v>
      </c>
      <c r="DV56" s="533">
        <v>111368</v>
      </c>
      <c r="DW56" s="533">
        <v>111365</v>
      </c>
      <c r="DX56" s="533">
        <v>111361</v>
      </c>
      <c r="DY56" s="533">
        <v>111367</v>
      </c>
      <c r="DZ56" s="533">
        <v>111362</v>
      </c>
      <c r="EA56" s="533">
        <v>111366</v>
      </c>
      <c r="EB56" s="533">
        <v>111369</v>
      </c>
      <c r="EC56" s="533">
        <v>111364</v>
      </c>
      <c r="ED56" s="533">
        <v>16071028</v>
      </c>
      <c r="EE56" s="534" t="e" vm="2">
        <f>VLOOKUP(DT56,DT56:ED56,$P$21,FALSE)</f>
        <v>#VALUE!</v>
      </c>
      <c r="EF56" s="549" t="s">
        <v>39083</v>
      </c>
      <c r="EG56" s="550" t="str">
        <f>IF($P$9=1,FE56,IF($P$9=2,ES56,""))</f>
        <v/>
      </c>
      <c r="EH56" s="530">
        <v>111393</v>
      </c>
      <c r="EI56" s="530">
        <v>111390</v>
      </c>
      <c r="EJ56" s="530">
        <v>111398</v>
      </c>
      <c r="EK56" s="530">
        <v>111395</v>
      </c>
      <c r="EL56" s="530">
        <v>111391</v>
      </c>
      <c r="EM56" s="530">
        <v>111397</v>
      </c>
      <c r="EN56" s="530">
        <v>111392</v>
      </c>
      <c r="EO56" s="530">
        <v>111396</v>
      </c>
      <c r="EP56" s="530">
        <v>111399</v>
      </c>
      <c r="EQ56" s="530">
        <v>111394</v>
      </c>
      <c r="ER56" s="530">
        <v>16101028</v>
      </c>
      <c r="ES56" s="531" t="e" vm="2">
        <f>VLOOKUP(EH56,EH56:ER56,$P$21,FALSE)</f>
        <v>#VALUE!</v>
      </c>
      <c r="ET56" s="532">
        <v>111383</v>
      </c>
      <c r="EU56" s="533">
        <v>111380</v>
      </c>
      <c r="EV56" s="533">
        <v>111388</v>
      </c>
      <c r="EW56" s="533">
        <v>111385</v>
      </c>
      <c r="EX56" s="533">
        <v>111381</v>
      </c>
      <c r="EY56" s="533">
        <v>111387</v>
      </c>
      <c r="EZ56" s="533">
        <v>111382</v>
      </c>
      <c r="FA56" s="533">
        <v>111386</v>
      </c>
      <c r="FB56" s="533">
        <v>111389</v>
      </c>
      <c r="FC56" s="533">
        <v>111384</v>
      </c>
      <c r="FD56" s="533">
        <v>16091028</v>
      </c>
      <c r="FE56" s="534" t="e" vm="2">
        <f>VLOOKUP(ET56,ET56:FD56,$P$21,FALSE)</f>
        <v>#VALUE!</v>
      </c>
      <c r="FF56" s="549" t="s">
        <v>39084</v>
      </c>
      <c r="FG56" s="550" t="str">
        <f>IF($P$9=1,GE56,IF($P$9=2,FS56,""))</f>
        <v/>
      </c>
      <c r="FH56" s="530">
        <v>111413</v>
      </c>
      <c r="FI56" s="530">
        <v>111410</v>
      </c>
      <c r="FJ56" s="530">
        <v>111418</v>
      </c>
      <c r="FK56" s="530">
        <v>111415</v>
      </c>
      <c r="FL56" s="530">
        <v>111411</v>
      </c>
      <c r="FM56" s="530">
        <v>111417</v>
      </c>
      <c r="FN56" s="530">
        <v>111412</v>
      </c>
      <c r="FO56" s="530">
        <v>111416</v>
      </c>
      <c r="FP56" s="530">
        <v>111419</v>
      </c>
      <c r="FQ56" s="530">
        <v>111414</v>
      </c>
      <c r="FR56" s="530">
        <v>16121028</v>
      </c>
      <c r="FS56" s="531" t="e" vm="2">
        <f>VLOOKUP(FH56,FH56:FR56,$P$21,FALSE)</f>
        <v>#VALUE!</v>
      </c>
      <c r="FT56" s="532">
        <v>111403</v>
      </c>
      <c r="FU56" s="533">
        <v>111400</v>
      </c>
      <c r="FV56" s="533">
        <v>111408</v>
      </c>
      <c r="FW56" s="533">
        <v>111405</v>
      </c>
      <c r="FX56" s="533">
        <v>111401</v>
      </c>
      <c r="FY56" s="533">
        <v>111407</v>
      </c>
      <c r="FZ56" s="533">
        <v>111402</v>
      </c>
      <c r="GA56" s="533">
        <v>111406</v>
      </c>
      <c r="GB56" s="533">
        <v>111409</v>
      </c>
      <c r="GC56" s="533">
        <v>111404</v>
      </c>
      <c r="GD56" s="533">
        <v>16111028</v>
      </c>
      <c r="GE56" s="534" t="e" vm="2">
        <f>VLOOKUP(FT56,FT56:GD56,$P$21,FALSE)</f>
        <v>#VALUE!</v>
      </c>
      <c r="GF56" s="549" t="s">
        <v>39085</v>
      </c>
      <c r="GG56" s="550" t="str">
        <f>IF($P$9=1,HE56,IF($P$9=2,GS56,""))</f>
        <v/>
      </c>
      <c r="GH56" s="530">
        <v>111433</v>
      </c>
      <c r="GI56" s="530">
        <v>111430</v>
      </c>
      <c r="GJ56" s="530">
        <v>111438</v>
      </c>
      <c r="GK56" s="530">
        <v>111435</v>
      </c>
      <c r="GL56" s="530">
        <v>111431</v>
      </c>
      <c r="GM56" s="530">
        <v>111437</v>
      </c>
      <c r="GN56" s="530">
        <v>111432</v>
      </c>
      <c r="GO56" s="530">
        <v>111436</v>
      </c>
      <c r="GP56" s="530">
        <v>111439</v>
      </c>
      <c r="GQ56" s="530">
        <v>111434</v>
      </c>
      <c r="GR56" s="530">
        <v>16141028</v>
      </c>
      <c r="GS56" s="531" t="e" vm="2">
        <f>VLOOKUP(GH56,GH56:GR56,$P$21,FALSE)</f>
        <v>#VALUE!</v>
      </c>
      <c r="GT56" s="532">
        <v>111423</v>
      </c>
      <c r="GU56" s="533">
        <v>111420</v>
      </c>
      <c r="GV56" s="533">
        <v>111428</v>
      </c>
      <c r="GW56" s="533">
        <v>111425</v>
      </c>
      <c r="GX56" s="533">
        <v>111421</v>
      </c>
      <c r="GY56" s="533">
        <v>111427</v>
      </c>
      <c r="GZ56" s="533">
        <v>111422</v>
      </c>
      <c r="HA56" s="533">
        <v>111426</v>
      </c>
      <c r="HB56" s="533">
        <v>111429</v>
      </c>
      <c r="HC56" s="533">
        <v>111424</v>
      </c>
      <c r="HD56" s="533">
        <v>16131028</v>
      </c>
      <c r="HE56" s="534" t="e" vm="2">
        <f>VLOOKUP(GT56,GT56:HD56,$P$21,FALSE)</f>
        <v>#VALUE!</v>
      </c>
      <c r="HF56" s="549" t="s">
        <v>39086</v>
      </c>
      <c r="HG56" s="550" t="str">
        <f>IF($P$9=1,IE56,IF($P$9=2,HS56,""))</f>
        <v/>
      </c>
      <c r="HH56" s="530">
        <v>111453</v>
      </c>
      <c r="HI56" s="530">
        <v>111450</v>
      </c>
      <c r="HJ56" s="530">
        <v>111458</v>
      </c>
      <c r="HK56" s="530">
        <v>111455</v>
      </c>
      <c r="HL56" s="530">
        <v>111451</v>
      </c>
      <c r="HM56" s="530">
        <v>111457</v>
      </c>
      <c r="HN56" s="530">
        <v>111452</v>
      </c>
      <c r="HO56" s="530">
        <v>111456</v>
      </c>
      <c r="HP56" s="530">
        <v>111459</v>
      </c>
      <c r="HQ56" s="530">
        <v>111454</v>
      </c>
      <c r="HR56" s="530">
        <v>16161028</v>
      </c>
      <c r="HS56" s="531" t="e" vm="2">
        <f>VLOOKUP(HH56,HH56:HR56,$P$21,FALSE)</f>
        <v>#VALUE!</v>
      </c>
      <c r="HT56" s="532">
        <v>111443</v>
      </c>
      <c r="HU56" s="533">
        <v>111440</v>
      </c>
      <c r="HV56" s="533">
        <v>111448</v>
      </c>
      <c r="HW56" s="533">
        <v>111445</v>
      </c>
      <c r="HX56" s="533">
        <v>111441</v>
      </c>
      <c r="HY56" s="533">
        <v>111447</v>
      </c>
      <c r="HZ56" s="533">
        <v>111442</v>
      </c>
      <c r="IA56" s="533">
        <v>111446</v>
      </c>
      <c r="IB56" s="533">
        <v>111449</v>
      </c>
      <c r="IC56" s="533">
        <v>111444</v>
      </c>
      <c r="ID56" s="533">
        <v>16151028</v>
      </c>
      <c r="IE56" s="534" t="e" vm="2">
        <f>VLOOKUP(HT56,HT56:ID56,$P$21,FALSE)</f>
        <v>#VALUE!</v>
      </c>
      <c r="IF56" s="527"/>
      <c r="IH56" s="42"/>
      <c r="II56" s="42"/>
      <c r="IJ56" s="42"/>
      <c r="IK56" s="42"/>
      <c r="IL56" s="42"/>
      <c r="IM56" s="42"/>
      <c r="IN56" s="42"/>
      <c r="IO56" s="42"/>
      <c r="IP56" s="42"/>
      <c r="IQ56" s="42"/>
      <c r="IR56" s="42"/>
      <c r="IS56" s="129"/>
      <c r="IU56" s="119"/>
      <c r="IV56" s="119"/>
      <c r="IW56" s="119"/>
      <c r="IX56" s="119"/>
      <c r="IY56" s="119"/>
      <c r="IZ56" s="119"/>
      <c r="JA56" s="119"/>
      <c r="JB56" s="119"/>
      <c r="JC56" s="119"/>
      <c r="JD56" s="119"/>
      <c r="JE56" s="129"/>
      <c r="JH56" s="42"/>
      <c r="JI56" s="42"/>
      <c r="JJ56" s="42"/>
      <c r="JK56" s="42"/>
      <c r="JL56" s="42"/>
      <c r="JM56" s="42"/>
      <c r="JN56" s="42"/>
      <c r="JO56" s="42"/>
      <c r="JP56" s="42"/>
      <c r="JQ56" s="42"/>
      <c r="JR56" s="42"/>
      <c r="JS56" s="129"/>
      <c r="JU56" s="119"/>
      <c r="JV56" s="119"/>
      <c r="JW56" s="119"/>
      <c r="JX56" s="119"/>
      <c r="JY56" s="119"/>
      <c r="JZ56" s="119"/>
      <c r="KA56" s="119"/>
      <c r="KB56" s="119"/>
      <c r="KC56" s="119"/>
      <c r="KD56" s="119"/>
      <c r="KE56" s="129"/>
    </row>
    <row r="57" spans="1:426" ht="32.1" customHeight="1" thickTop="1">
      <c r="A57" s="93"/>
      <c r="B57" s="76" t="str">
        <f>VLOOKUP(878,Sprachindex!$A:$Z,Info!$O$7,FALSE)</f>
        <v>Stk.</v>
      </c>
      <c r="C57" s="75" t="e" vm="90">
        <v>#VALUE!</v>
      </c>
      <c r="D57" s="75">
        <v>111700</v>
      </c>
      <c r="E57" s="618" t="str">
        <f>VLOOKUP(322,Sprachindex!$A:$Z,Info!$O$7,FALSE)</f>
        <v>Einfassung für Roto-Q-Serie (stucco)</v>
      </c>
      <c r="F57" s="619"/>
      <c r="G57" s="619"/>
      <c r="H57" s="594" t="s">
        <v>39284</v>
      </c>
      <c r="I57" s="81" t="str">
        <f>VLOOKUP(591,Sprachindex!$A:$Z,Info!$O$7,FALSE)</f>
        <v>Maße:</v>
      </c>
      <c r="J57" s="624"/>
      <c r="K57" s="626"/>
      <c r="L57" s="76" t="str">
        <f>IF($A57=0,"",IF($J57=Formeln!$A$52," ",IF($P$11=1,AC57,AD57)))</f>
        <v/>
      </c>
      <c r="M57" s="399" t="str">
        <f t="shared" si="3"/>
        <v>Stk.</v>
      </c>
      <c r="N57" s="77"/>
      <c r="O57" s="204" t="str" cm="1">
        <f t="array" ref="O57">IF(ISNUMBER(L57),
_xlfn.IFS(OR(J57=Formeln!$C$54,J57=Formeln!$C$55,J57=Formeln!$C$56),R57,
OR(J57=Formeln!$C$57,J57=Formeln!$C$58,J57=Formeln!$C$59),S57,
OR(J57=Formeln!$C$60,J57=Formeln!$C$61,J57=Formeln!$C$62,J57=Formeln!$C$63,J57=Formeln!$C$64),T57,
OR(J57=Formeln!$C$65,J57=Formeln!$C$66,J57=Formeln!$C$67,J57=Formeln!$C$68,J57=Formeln!$C$69,J57=Formeln!$C$70),U57,
OR(J57=Formeln!$C$71,J57=Formeln!$C$72,J57=Formeln!$C$73,J57=Formeln!$C$74,J57=Formeln!$C$75,J57=Formeln!$C$76),V57,
OR(J57=Formeln!$C$77,J57=Formeln!$C$78,J57=Formeln!$C$79,J57=Formeln!$C$80,J57=Formeln!$C$81),W57),"")</f>
        <v/>
      </c>
      <c r="P57" s="5"/>
      <c r="Q57" s="5"/>
      <c r="R57" s="182">
        <v>299.99</v>
      </c>
      <c r="S57" s="182">
        <v>307.95</v>
      </c>
      <c r="T57" s="182">
        <v>307.95</v>
      </c>
      <c r="U57" s="182">
        <v>371.6</v>
      </c>
      <c r="V57" s="182">
        <v>379.7</v>
      </c>
      <c r="W57" s="182">
        <v>382.31</v>
      </c>
      <c r="X57" s="179"/>
      <c r="Y57" s="179"/>
      <c r="Z57" s="179"/>
      <c r="AA57" s="179"/>
      <c r="AB57" s="5"/>
      <c r="AC57" s="139">
        <f t="shared" si="12"/>
        <v>0</v>
      </c>
      <c r="AD57" s="139">
        <f t="shared" si="11"/>
        <v>0</v>
      </c>
      <c r="BC57" s="119"/>
      <c r="BD57" s="119"/>
      <c r="BE57" s="119"/>
      <c r="BF57" s="119"/>
      <c r="BG57" s="119"/>
      <c r="BH57" s="119"/>
      <c r="BI57" s="119"/>
      <c r="BJ57" s="119"/>
      <c r="BK57" s="119"/>
      <c r="BM57" s="119"/>
      <c r="BN57" s="119"/>
      <c r="BO57" s="119"/>
      <c r="BP57" s="119"/>
      <c r="BQ57" s="119"/>
      <c r="BR57" s="119"/>
      <c r="BS57" s="119"/>
      <c r="BT57" s="119"/>
      <c r="BU57" s="119"/>
      <c r="BV57" s="119"/>
      <c r="BX57" s="119"/>
      <c r="BY57" s="119"/>
      <c r="BZ57" s="119"/>
      <c r="CA57" s="119"/>
      <c r="CB57" s="119"/>
      <c r="CC57" s="119"/>
      <c r="CD57" s="119"/>
      <c r="CE57" s="119"/>
      <c r="CF57" s="119"/>
      <c r="CH57" s="119"/>
      <c r="CI57" s="119"/>
      <c r="CJ57" s="119"/>
      <c r="CK57" s="119"/>
      <c r="CL57" s="119"/>
      <c r="CM57" s="119"/>
      <c r="CN57" s="119"/>
      <c r="CO57" s="119"/>
      <c r="CP57" s="119"/>
      <c r="CQ57" s="119"/>
      <c r="CS57" s="119"/>
      <c r="CT57" s="119"/>
      <c r="CU57" s="119"/>
      <c r="CV57" s="119"/>
      <c r="CW57" s="119"/>
      <c r="CX57" s="119"/>
      <c r="CY57" s="119"/>
      <c r="CZ57" s="119"/>
      <c r="DA57" s="119"/>
      <c r="DC57" s="119"/>
      <c r="DD57" s="119"/>
      <c r="DE57" s="119"/>
      <c r="DF57" s="119"/>
      <c r="DG57" s="119"/>
      <c r="DH57" s="119"/>
      <c r="DI57" s="119"/>
      <c r="DJ57" s="119"/>
      <c r="DK57" s="119"/>
      <c r="DL57" s="119"/>
      <c r="DX57" s="119"/>
      <c r="DY57" s="119"/>
      <c r="DZ57" s="119"/>
      <c r="EA57" s="119"/>
      <c r="EB57" s="119"/>
      <c r="EC57" s="119"/>
      <c r="ED57" s="119"/>
      <c r="EE57" s="119"/>
      <c r="EF57" s="119"/>
      <c r="EG57" s="119"/>
      <c r="EI57" s="119"/>
      <c r="EJ57" s="119"/>
      <c r="EK57" s="119"/>
      <c r="EL57" s="119"/>
      <c r="EM57" s="119"/>
      <c r="EN57" s="119"/>
      <c r="EO57" s="119"/>
      <c r="EP57" s="119"/>
      <c r="EQ57" s="119"/>
      <c r="ES57" s="119"/>
      <c r="ET57" s="119"/>
      <c r="EU57" s="119"/>
      <c r="EV57" s="119"/>
      <c r="EW57" s="119"/>
      <c r="EX57" s="119"/>
      <c r="EY57" s="119"/>
      <c r="EZ57" s="119"/>
      <c r="FA57" s="119"/>
      <c r="FB57" s="119"/>
    </row>
    <row r="58" spans="1:426" ht="32.1" customHeight="1">
      <c r="A58" s="93"/>
      <c r="B58" s="76" t="str">
        <f>VLOOKUP(878,Sprachindex!$A:$Z,Info!$O$7,FALSE)</f>
        <v>Stk.</v>
      </c>
      <c r="C58" s="75" t="e" vm="30">
        <v>#VALUE!</v>
      </c>
      <c r="D58" s="75" t="str">
        <f>IF(ISNUMBER(A58),AS58,"")</f>
        <v/>
      </c>
      <c r="E58" s="618" t="str">
        <f>VLOOKUP(345,Sprachindex!$A:$Z,Info!$O$7,FALSE)</f>
        <v>Einzeltritt (inkl. zwei Fußteile)</v>
      </c>
      <c r="F58" s="619"/>
      <c r="G58" s="619"/>
      <c r="H58" s="619"/>
      <c r="I58" s="619"/>
      <c r="J58" s="619"/>
      <c r="K58" s="620"/>
      <c r="L58" s="76" t="str">
        <f t="shared" ref="L58:L97" si="13">IF(A58=0,"",IF($P$11=1,AC58,AD58))</f>
        <v/>
      </c>
      <c r="M58" s="161" t="str">
        <f>VLOOKUP(878,Sprachindex!$A:$Z,Info!$O$7,FALSE)</f>
        <v>Stk.</v>
      </c>
      <c r="N58" s="77"/>
      <c r="O58" s="204" t="str">
        <f t="shared" ref="O58:O70" si="14">IF(ISNUMBER(A58),$L58*R58, "")</f>
        <v/>
      </c>
      <c r="P58" s="267"/>
      <c r="Q58" s="5"/>
      <c r="R58" s="182">
        <v>72.87</v>
      </c>
      <c r="S58" s="179"/>
      <c r="T58" s="179"/>
      <c r="U58" s="179"/>
      <c r="V58" s="179"/>
      <c r="W58" s="179"/>
      <c r="X58" s="179"/>
      <c r="Y58" s="179"/>
      <c r="Z58" s="179"/>
      <c r="AA58" s="179"/>
      <c r="AB58" s="179"/>
      <c r="AC58" s="139">
        <f t="shared" si="12"/>
        <v>0</v>
      </c>
      <c r="AD58" s="139">
        <f t="shared" si="11"/>
        <v>0</v>
      </c>
      <c r="AF58" s="135"/>
      <c r="AH58" s="548">
        <v>120073</v>
      </c>
      <c r="AI58" s="548">
        <v>120070</v>
      </c>
      <c r="AJ58" s="548">
        <v>120078</v>
      </c>
      <c r="AK58" s="548">
        <v>120075</v>
      </c>
      <c r="AL58" s="548">
        <v>120071</v>
      </c>
      <c r="AM58" s="548">
        <v>120077</v>
      </c>
      <c r="AN58" s="548">
        <v>120072</v>
      </c>
      <c r="AO58" s="548">
        <v>120076</v>
      </c>
      <c r="AP58" s="548">
        <v>120079</v>
      </c>
      <c r="AQ58" s="548">
        <v>120074</v>
      </c>
      <c r="AR58" s="548">
        <v>15061028</v>
      </c>
      <c r="AS58" s="509" t="e" vm="2">
        <f>VLOOKUP(AH58,AH58:AR58,$P$21,FALSE)</f>
        <v>#VALUE!</v>
      </c>
      <c r="AT58" s="119"/>
      <c r="AU58" s="119"/>
      <c r="AV58" s="119"/>
      <c r="AW58" s="119"/>
      <c r="AX58" s="119"/>
      <c r="AY58" s="119"/>
      <c r="AZ58" s="119"/>
      <c r="BA58" s="119"/>
      <c r="BB58" s="119"/>
      <c r="BC58" s="119"/>
    </row>
    <row r="59" spans="1:426" ht="32.1" customHeight="1">
      <c r="A59" s="93"/>
      <c r="B59" s="76" t="str">
        <f>VLOOKUP(878,Sprachindex!$A:$Z,Info!$O$7,FALSE)</f>
        <v>Stk.</v>
      </c>
      <c r="C59" s="75" t="e" vm="31">
        <v>#VALUE!</v>
      </c>
      <c r="D59" s="75" t="str">
        <f>IF(ISNUMBER(A59),AS59,"")</f>
        <v/>
      </c>
      <c r="E59" s="618" t="str">
        <f>VLOOKUP(567,Sprachindex!$A:$Z,Info!$O$7,FALSE)</f>
        <v>Laufstegstütze auf einem Fußteil</v>
      </c>
      <c r="F59" s="619"/>
      <c r="G59" s="619"/>
      <c r="H59" s="619"/>
      <c r="I59" s="619"/>
      <c r="J59" s="619"/>
      <c r="K59" s="620"/>
      <c r="L59" s="76" t="str">
        <f t="shared" si="13"/>
        <v/>
      </c>
      <c r="M59" s="161" t="str">
        <f>VLOOKUP(878,Sprachindex!$A:$Z,Info!$O$7,FALSE)</f>
        <v>Stk.</v>
      </c>
      <c r="N59" s="77"/>
      <c r="O59" s="204" t="str">
        <f t="shared" si="14"/>
        <v/>
      </c>
      <c r="P59" s="267"/>
      <c r="Q59" s="5"/>
      <c r="R59" s="182">
        <v>53.89</v>
      </c>
      <c r="S59" s="179"/>
      <c r="T59" s="179"/>
      <c r="U59" s="179"/>
      <c r="V59" s="179"/>
      <c r="W59" s="179"/>
      <c r="X59" s="179"/>
      <c r="Y59" s="179"/>
      <c r="Z59" s="179"/>
      <c r="AA59" s="179"/>
      <c r="AB59" s="179"/>
      <c r="AC59" s="139">
        <f t="shared" si="12"/>
        <v>0</v>
      </c>
      <c r="AD59" s="139">
        <f t="shared" si="11"/>
        <v>0</v>
      </c>
      <c r="AF59" s="135"/>
      <c r="AH59" s="498">
        <v>120083</v>
      </c>
      <c r="AI59" s="498">
        <v>120080</v>
      </c>
      <c r="AJ59" s="498">
        <v>120088</v>
      </c>
      <c r="AK59" s="498">
        <v>120085</v>
      </c>
      <c r="AL59" s="498">
        <v>120081</v>
      </c>
      <c r="AM59" s="498">
        <v>120087</v>
      </c>
      <c r="AN59" s="498">
        <v>120082</v>
      </c>
      <c r="AO59" s="498">
        <v>120086</v>
      </c>
      <c r="AP59" s="498">
        <v>120089</v>
      </c>
      <c r="AQ59" s="498">
        <v>120084</v>
      </c>
      <c r="AR59" s="498">
        <v>15391028</v>
      </c>
      <c r="AS59" s="507"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2">
        <v>#VALUE!</v>
      </c>
      <c r="D60" s="75">
        <v>649304</v>
      </c>
      <c r="E60" s="618" t="str">
        <f>VLOOKUP(568,Sprachindex!$A:$Z,Info!$O$7,FALSE)</f>
        <v>Laufstegstütze auf zwei Fußteilen</v>
      </c>
      <c r="F60" s="619"/>
      <c r="G60" s="619"/>
      <c r="H60" s="619"/>
      <c r="I60" s="619"/>
      <c r="J60" s="619"/>
      <c r="K60" s="620"/>
      <c r="L60" s="76" t="str">
        <f t="shared" si="13"/>
        <v/>
      </c>
      <c r="M60" s="161" t="str">
        <f>VLOOKUP(878,Sprachindex!$A:$Z,Info!$O$7,FALSE)</f>
        <v>Stk.</v>
      </c>
      <c r="N60" s="77"/>
      <c r="O60" s="184" t="str">
        <f t="shared" si="14"/>
        <v/>
      </c>
      <c r="P60" s="267"/>
      <c r="Q60" s="5"/>
      <c r="R60" s="182">
        <v>76.349999999999994</v>
      </c>
      <c r="S60" s="179"/>
      <c r="T60" s="179"/>
      <c r="U60" s="179"/>
      <c r="V60" s="179"/>
      <c r="W60" s="179"/>
      <c r="X60" s="179"/>
      <c r="Y60" s="179"/>
      <c r="Z60" s="179"/>
      <c r="AA60" s="179"/>
      <c r="AB60" s="179"/>
      <c r="AC60" s="139">
        <f t="shared" si="12"/>
        <v>0</v>
      </c>
      <c r="AD60" s="139">
        <f t="shared" si="11"/>
        <v>0</v>
      </c>
      <c r="AF60" s="135"/>
      <c r="AH60" s="498"/>
      <c r="AI60" s="498"/>
      <c r="AJ60" s="498"/>
      <c r="AK60" s="498"/>
      <c r="AL60" s="498"/>
      <c r="AM60" s="498"/>
      <c r="AN60" s="498"/>
      <c r="AO60" s="498"/>
      <c r="AP60" s="498"/>
      <c r="AQ60" s="498"/>
      <c r="AR60" s="498"/>
      <c r="AS60" s="507"/>
      <c r="AT60" s="119"/>
      <c r="AU60" s="119"/>
      <c r="AV60" s="119"/>
      <c r="AW60" s="119"/>
      <c r="AX60" s="119"/>
      <c r="AY60" s="119"/>
      <c r="AZ60" s="119"/>
      <c r="BA60" s="119"/>
      <c r="BB60" s="119"/>
      <c r="BC60" s="119"/>
    </row>
    <row r="61" spans="1:426" ht="32.1" customHeight="1">
      <c r="A61" s="93"/>
      <c r="B61" s="76" t="str">
        <f>VLOOKUP(878,Sprachindex!$A:$Z,Info!$O$7,FALSE)</f>
        <v>Stk.</v>
      </c>
      <c r="C61" s="75" t="e" vm="33">
        <v>#VALUE!</v>
      </c>
      <c r="D61" s="75" t="str">
        <f>IF(ISNUMBER(A61),AS61,"")</f>
        <v/>
      </c>
      <c r="E61" s="618" t="str">
        <f>VLOOKUP(560,Sprachindex!$A:$Z,Info!$O$7,FALSE)</f>
        <v>Laufsteg (250 × 1.200 mm)</v>
      </c>
      <c r="F61" s="619"/>
      <c r="G61" s="619"/>
      <c r="H61" s="619"/>
      <c r="I61" s="619"/>
      <c r="J61" s="619"/>
      <c r="K61" s="620"/>
      <c r="L61" s="76" t="str">
        <f t="shared" si="13"/>
        <v/>
      </c>
      <c r="M61" s="161" t="str">
        <f>VLOOKUP(878,Sprachindex!$A:$Z,Info!$O$7,FALSE)</f>
        <v>Stk.</v>
      </c>
      <c r="N61" s="77"/>
      <c r="O61" s="184" t="str">
        <f t="shared" si="14"/>
        <v/>
      </c>
      <c r="P61" s="267"/>
      <c r="Q61" s="5"/>
      <c r="R61" s="182">
        <v>76.66</v>
      </c>
      <c r="S61" s="179"/>
      <c r="T61" s="179"/>
      <c r="U61" s="179"/>
      <c r="V61" s="179"/>
      <c r="W61" s="179"/>
      <c r="X61" s="179"/>
      <c r="Y61" s="179"/>
      <c r="Z61" s="179"/>
      <c r="AA61" s="179"/>
      <c r="AB61" s="179"/>
      <c r="AC61" s="139">
        <f t="shared" si="12"/>
        <v>0</v>
      </c>
      <c r="AD61" s="139">
        <f t="shared" si="11"/>
        <v>0</v>
      </c>
      <c r="AF61" s="135"/>
      <c r="AH61" s="498">
        <v>120033</v>
      </c>
      <c r="AI61" s="498">
        <v>120030</v>
      </c>
      <c r="AJ61" s="498">
        <v>120038</v>
      </c>
      <c r="AK61" s="498">
        <v>120035</v>
      </c>
      <c r="AL61" s="498">
        <v>120031</v>
      </c>
      <c r="AM61" s="498">
        <v>120037</v>
      </c>
      <c r="AN61" s="498">
        <v>120032</v>
      </c>
      <c r="AO61" s="498">
        <v>120036</v>
      </c>
      <c r="AP61" s="498">
        <v>120039</v>
      </c>
      <c r="AQ61" s="498">
        <v>120034</v>
      </c>
      <c r="AR61" s="498">
        <v>15351028</v>
      </c>
      <c r="AS61" s="507" t="e" vm="2">
        <f>VLOOKUP(AH61,AH61:AR61,$P$21,FALSE)</f>
        <v>#VALUE!</v>
      </c>
      <c r="AT61" s="119"/>
      <c r="AU61" s="119"/>
      <c r="AV61" s="119"/>
      <c r="AW61" s="119"/>
      <c r="AX61" s="119"/>
      <c r="AY61" s="119"/>
      <c r="AZ61" s="119"/>
      <c r="BA61" s="119"/>
      <c r="BB61" s="537"/>
      <c r="BC61" s="119"/>
    </row>
    <row r="62" spans="1:426" ht="32.1" customHeight="1">
      <c r="A62" s="93"/>
      <c r="B62" s="76" t="str">
        <f>VLOOKUP(878,Sprachindex!$A:$Z,Info!$O$7,FALSE)</f>
        <v>Stk.</v>
      </c>
      <c r="C62" s="75" t="e" vm="34">
        <v>#VALUE!</v>
      </c>
      <c r="D62" s="75" t="str">
        <f t="shared" ref="D62:D64" si="15">IF(ISNUMBER(A62),AS62,"")</f>
        <v/>
      </c>
      <c r="E62" s="618" t="str">
        <f>VLOOKUP(563,Sprachindex!$A:$Z,Info!$O$7,FALSE)</f>
        <v>Laufsteg (250 × 800 mm)</v>
      </c>
      <c r="F62" s="619"/>
      <c r="G62" s="619"/>
      <c r="H62" s="619"/>
      <c r="I62" s="619"/>
      <c r="J62" s="619"/>
      <c r="K62" s="620"/>
      <c r="L62" s="76" t="str">
        <f t="shared" si="13"/>
        <v/>
      </c>
      <c r="M62" s="161" t="str">
        <f>VLOOKUP(878,Sprachindex!$A:$Z,Info!$O$7,FALSE)</f>
        <v>Stk.</v>
      </c>
      <c r="N62" s="77"/>
      <c r="O62" s="184" t="str">
        <f t="shared" si="14"/>
        <v/>
      </c>
      <c r="P62" s="267"/>
      <c r="Q62" s="5"/>
      <c r="R62" s="182">
        <v>56.6</v>
      </c>
      <c r="S62" s="179"/>
      <c r="T62" s="179"/>
      <c r="U62" s="179"/>
      <c r="V62" s="179"/>
      <c r="W62" s="179"/>
      <c r="X62" s="179"/>
      <c r="Y62" s="179"/>
      <c r="Z62" s="179"/>
      <c r="AA62" s="179"/>
      <c r="AB62" s="179"/>
      <c r="AC62" s="139">
        <f t="shared" si="12"/>
        <v>0</v>
      </c>
      <c r="AD62" s="139">
        <f t="shared" si="11"/>
        <v>0</v>
      </c>
      <c r="AF62" s="135"/>
      <c r="AH62" s="498">
        <v>120023</v>
      </c>
      <c r="AI62" s="498">
        <v>120020</v>
      </c>
      <c r="AJ62" s="498">
        <v>120028</v>
      </c>
      <c r="AK62" s="498">
        <v>120025</v>
      </c>
      <c r="AL62" s="498">
        <v>120021</v>
      </c>
      <c r="AM62" s="498">
        <v>120027</v>
      </c>
      <c r="AN62" s="498">
        <v>120022</v>
      </c>
      <c r="AO62" s="498">
        <v>120026</v>
      </c>
      <c r="AP62" s="498">
        <v>121075</v>
      </c>
      <c r="AQ62" s="498">
        <v>120024</v>
      </c>
      <c r="AR62" s="498">
        <v>50311028</v>
      </c>
      <c r="AS62" s="507" t="e" vm="2">
        <f>VLOOKUP(AH62,AH62:AR62,$P$21,FALSE)</f>
        <v>#VALUE!</v>
      </c>
      <c r="AT62" s="119"/>
      <c r="AU62" s="119"/>
      <c r="AV62" s="119"/>
      <c r="AW62" s="119"/>
      <c r="AX62" s="119"/>
      <c r="AY62" s="119"/>
      <c r="AZ62" s="119"/>
      <c r="BA62" s="119"/>
      <c r="BB62" s="119"/>
      <c r="BC62" s="119"/>
    </row>
    <row r="63" spans="1:426" ht="32.1" customHeight="1">
      <c r="A63" s="93"/>
      <c r="B63" s="76" t="str">
        <f>VLOOKUP(878,Sprachindex!$A:$Z,Info!$O$7,FALSE)</f>
        <v>Stk.</v>
      </c>
      <c r="C63" s="75" t="e" vm="35">
        <v>#VALUE!</v>
      </c>
      <c r="D63" s="75" t="str">
        <f t="shared" si="15"/>
        <v/>
      </c>
      <c r="E63" s="618" t="str">
        <f>VLOOKUP(562,Sprachindex!$A:$Z,Info!$O$7,FALSE)</f>
        <v>Laufsteg (250 × 600 mm)</v>
      </c>
      <c r="F63" s="619"/>
      <c r="G63" s="619"/>
      <c r="H63" s="619"/>
      <c r="I63" s="619"/>
      <c r="J63" s="619"/>
      <c r="K63" s="620"/>
      <c r="L63" s="76" t="str">
        <f t="shared" si="13"/>
        <v/>
      </c>
      <c r="M63" s="161" t="str">
        <f>VLOOKUP(878,Sprachindex!$A:$Z,Info!$O$7,FALSE)</f>
        <v>Stk.</v>
      </c>
      <c r="N63" s="77"/>
      <c r="O63" s="184" t="str">
        <f t="shared" si="14"/>
        <v/>
      </c>
      <c r="P63" s="267"/>
      <c r="Q63" s="5"/>
      <c r="R63" s="182">
        <v>54.1</v>
      </c>
      <c r="S63" s="179"/>
      <c r="T63" s="179"/>
      <c r="U63" s="179"/>
      <c r="V63" s="179"/>
      <c r="W63" s="179"/>
      <c r="X63" s="179"/>
      <c r="Y63" s="179"/>
      <c r="Z63" s="179"/>
      <c r="AA63" s="179"/>
      <c r="AB63" s="179"/>
      <c r="AC63" s="139">
        <f t="shared" si="12"/>
        <v>0</v>
      </c>
      <c r="AD63" s="139">
        <f t="shared" si="11"/>
        <v>0</v>
      </c>
      <c r="AF63" s="135"/>
      <c r="AH63" s="498">
        <v>120063</v>
      </c>
      <c r="AI63" s="498">
        <v>120060</v>
      </c>
      <c r="AJ63" s="498">
        <v>120068</v>
      </c>
      <c r="AK63" s="498">
        <v>120065</v>
      </c>
      <c r="AL63" s="498">
        <v>120061</v>
      </c>
      <c r="AM63" s="498">
        <v>120067</v>
      </c>
      <c r="AN63" s="498">
        <v>120062</v>
      </c>
      <c r="AO63" s="498">
        <v>120066</v>
      </c>
      <c r="AP63" s="498">
        <v>120069</v>
      </c>
      <c r="AQ63" s="498">
        <v>120064</v>
      </c>
      <c r="AR63" s="498">
        <v>15361028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6">
        <v>#VALUE!</v>
      </c>
      <c r="D64" s="75" t="str">
        <f t="shared" si="15"/>
        <v/>
      </c>
      <c r="E64" s="618" t="str">
        <f>VLOOKUP(561,Sprachindex!$A:$Z,Info!$O$7,FALSE)</f>
        <v>Laufsteg (250 × 420 mm)</v>
      </c>
      <c r="F64" s="619"/>
      <c r="G64" s="619"/>
      <c r="H64" s="619"/>
      <c r="I64" s="619"/>
      <c r="J64" s="619"/>
      <c r="K64" s="620"/>
      <c r="L64" s="76" t="str">
        <f t="shared" si="13"/>
        <v/>
      </c>
      <c r="M64" s="161" t="str">
        <f>VLOOKUP(878,Sprachindex!$A:$Z,Info!$O$7,FALSE)</f>
        <v>Stk.</v>
      </c>
      <c r="N64" s="77"/>
      <c r="O64" s="184" t="str">
        <f t="shared" si="14"/>
        <v/>
      </c>
      <c r="P64" s="267"/>
      <c r="Q64" s="5"/>
      <c r="R64" s="182">
        <v>40.14</v>
      </c>
      <c r="S64" s="179"/>
      <c r="T64" s="179"/>
      <c r="U64" s="179"/>
      <c r="V64" s="179"/>
      <c r="W64" s="179"/>
      <c r="X64" s="179"/>
      <c r="Y64" s="179"/>
      <c r="Z64" s="179"/>
      <c r="AA64" s="179"/>
      <c r="AB64" s="179"/>
      <c r="AC64" s="139">
        <f>ROUNDUP($A64/4,0)*4</f>
        <v>0</v>
      </c>
      <c r="AD64" s="139">
        <f t="shared" si="11"/>
        <v>0</v>
      </c>
      <c r="AF64" s="135"/>
      <c r="AH64" s="498">
        <v>120013</v>
      </c>
      <c r="AI64" s="498">
        <v>120010</v>
      </c>
      <c r="AJ64" s="498">
        <v>120018</v>
      </c>
      <c r="AK64" s="498">
        <v>120015</v>
      </c>
      <c r="AL64" s="498">
        <v>120011</v>
      </c>
      <c r="AM64" s="498">
        <v>120017</v>
      </c>
      <c r="AN64" s="498">
        <v>120012</v>
      </c>
      <c r="AO64" s="498">
        <v>120016</v>
      </c>
      <c r="AP64" s="498">
        <v>120019</v>
      </c>
      <c r="AQ64" s="498">
        <v>120014</v>
      </c>
      <c r="AR64" s="498">
        <v>15341028</v>
      </c>
      <c r="AS64" s="512"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7">
        <v>#VALUE!</v>
      </c>
      <c r="D65" s="75">
        <v>649305</v>
      </c>
      <c r="E65" s="618" t="str">
        <f>VLOOKUP(565,Sprachindex!$A:$Z,Info!$O$7,FALSE)</f>
        <v>Laufsteg (360 × 800 mm)</v>
      </c>
      <c r="F65" s="619"/>
      <c r="G65" s="619"/>
      <c r="H65" s="619"/>
      <c r="I65" s="619"/>
      <c r="J65" s="619"/>
      <c r="K65" s="620"/>
      <c r="L65" s="76" t="str">
        <f t="shared" si="13"/>
        <v/>
      </c>
      <c r="M65" s="161" t="str">
        <f>VLOOKUP(878,Sprachindex!$A:$Z,Info!$O$7,FALSE)</f>
        <v>Stk.</v>
      </c>
      <c r="N65" s="77"/>
      <c r="O65" s="184" t="str">
        <f t="shared" si="14"/>
        <v/>
      </c>
      <c r="P65" s="267"/>
      <c r="Q65" s="5"/>
      <c r="R65" s="182">
        <v>83.23</v>
      </c>
      <c r="S65" s="179"/>
      <c r="T65" s="179"/>
      <c r="U65" s="179"/>
      <c r="V65" s="179"/>
      <c r="W65" s="179"/>
      <c r="X65" s="179"/>
      <c r="Y65" s="179"/>
      <c r="Z65" s="179"/>
      <c r="AA65" s="179"/>
      <c r="AB65" s="179"/>
      <c r="AC65" s="139">
        <f>ROUNDUP($A65,0)</f>
        <v>0</v>
      </c>
      <c r="AD65" s="139">
        <f t="shared" si="11"/>
        <v>0</v>
      </c>
      <c r="AF65" s="135"/>
      <c r="AH65" s="538"/>
      <c r="AI65" s="538"/>
      <c r="AJ65" s="538"/>
      <c r="AK65" s="538"/>
      <c r="AL65" s="538"/>
      <c r="AM65" s="538"/>
      <c r="AN65" s="538"/>
      <c r="AO65" s="538"/>
      <c r="AP65" s="538"/>
      <c r="AQ65" s="538"/>
      <c r="AR65" s="539"/>
      <c r="AS65" s="539"/>
    </row>
    <row r="66" spans="1:58" ht="32.1" customHeight="1">
      <c r="A66" s="93"/>
      <c r="B66" s="76" t="str">
        <f>VLOOKUP(878,Sprachindex!$A:$Z,Info!$O$7,FALSE)</f>
        <v>Stk.</v>
      </c>
      <c r="C66" s="75" t="e" vm="35">
        <v>#VALUE!</v>
      </c>
      <c r="D66" s="75">
        <v>649306</v>
      </c>
      <c r="E66" s="618" t="str">
        <f>VLOOKUP(564,Sprachindex!$A:$Z,Info!$O$7,FALSE)</f>
        <v>Laufsteg (360 × 1.200 mm)</v>
      </c>
      <c r="F66" s="619"/>
      <c r="G66" s="619"/>
      <c r="H66" s="619"/>
      <c r="I66" s="619"/>
      <c r="J66" s="619"/>
      <c r="K66" s="620"/>
      <c r="L66" s="76" t="str">
        <f t="shared" si="13"/>
        <v/>
      </c>
      <c r="M66" s="161" t="str">
        <f>VLOOKUP(878,Sprachindex!$A:$Z,Info!$O$7,FALSE)</f>
        <v>Stk.</v>
      </c>
      <c r="N66" s="77"/>
      <c r="O66" s="184" t="str">
        <f t="shared" si="14"/>
        <v/>
      </c>
      <c r="P66" s="267"/>
      <c r="Q66" s="5"/>
      <c r="R66" s="182">
        <v>123.29</v>
      </c>
      <c r="S66" s="179"/>
      <c r="T66" s="179"/>
      <c r="U66" s="179"/>
      <c r="V66" s="179"/>
      <c r="W66" s="179"/>
      <c r="X66" s="179"/>
      <c r="Y66" s="179"/>
      <c r="Z66" s="179"/>
      <c r="AA66" s="179"/>
      <c r="AB66" s="179"/>
      <c r="AC66" s="139">
        <f>ROUNDUP($A66,0)</f>
        <v>0</v>
      </c>
      <c r="AD66" s="139">
        <f t="shared" si="11"/>
        <v>0</v>
      </c>
      <c r="AF66" s="135"/>
      <c r="AH66" s="119"/>
      <c r="AI66" s="119"/>
      <c r="AJ66" s="119"/>
      <c r="AK66" s="119"/>
      <c r="AL66" s="119"/>
      <c r="AM66" s="119"/>
      <c r="AN66" s="119"/>
      <c r="AO66" s="119"/>
      <c r="AP66" s="119"/>
      <c r="AQ66" s="119"/>
    </row>
    <row r="67" spans="1:58" ht="32.1" customHeight="1">
      <c r="A67" s="93"/>
      <c r="B67" s="76" t="str">
        <f>VLOOKUP(878,Sprachindex!$A:$Z,Info!$O$7,FALSE)</f>
        <v>Stk.</v>
      </c>
      <c r="C67" s="75" t="e" vm="38">
        <v>#VALUE!</v>
      </c>
      <c r="D67" s="80">
        <v>649001</v>
      </c>
      <c r="E67" s="618" t="str">
        <f>VLOOKUP(955,Sprachindex!$A:$Z,Info!$O$7,FALSE)</f>
        <v>Verbinder (verzinkt; für Laufsteg; Breite: 250 mm)</v>
      </c>
      <c r="F67" s="619"/>
      <c r="G67" s="619"/>
      <c r="H67" s="619"/>
      <c r="I67" s="619"/>
      <c r="J67" s="619"/>
      <c r="K67" s="620"/>
      <c r="L67" s="76" t="str">
        <f t="shared" si="13"/>
        <v/>
      </c>
      <c r="M67" s="161" t="str">
        <f>VLOOKUP(878,Sprachindex!$A:$Z,Info!$O$7,FALSE)</f>
        <v>Stk.</v>
      </c>
      <c r="N67" s="77"/>
      <c r="O67" s="184" t="str">
        <f t="shared" si="14"/>
        <v/>
      </c>
      <c r="P67" s="267"/>
      <c r="Q67" s="5"/>
      <c r="R67" s="182">
        <v>24.74</v>
      </c>
      <c r="S67" s="179"/>
      <c r="T67" s="179"/>
      <c r="U67" s="179"/>
      <c r="V67" s="179"/>
      <c r="W67" s="179"/>
      <c r="X67" s="179"/>
      <c r="Y67" s="179"/>
      <c r="Z67" s="179"/>
      <c r="AA67" s="179"/>
      <c r="AB67" s="179"/>
      <c r="AC67" s="139">
        <f>ROUNDUP($A67,0)</f>
        <v>0</v>
      </c>
      <c r="AD67" s="139">
        <f t="shared" si="11"/>
        <v>0</v>
      </c>
      <c r="AF67" s="135"/>
      <c r="AH67" s="540"/>
      <c r="AI67" s="540"/>
      <c r="AJ67" s="540"/>
      <c r="AK67" s="540"/>
      <c r="AL67" s="540"/>
      <c r="AM67" s="540"/>
      <c r="AN67" s="540"/>
      <c r="AO67" s="540"/>
      <c r="AP67" s="540"/>
      <c r="AQ67" s="540"/>
      <c r="AR67" s="540"/>
      <c r="AS67" s="540"/>
      <c r="AT67" s="20"/>
      <c r="AU67" s="20"/>
      <c r="AV67" s="20"/>
      <c r="AW67" s="20"/>
      <c r="AX67" s="20"/>
      <c r="AY67" s="20"/>
      <c r="AZ67" s="20"/>
      <c r="BA67" s="20"/>
    </row>
    <row r="68" spans="1:58" ht="32.1" customHeight="1">
      <c r="A68" s="93"/>
      <c r="B68" s="76" t="str">
        <f>VLOOKUP(878,Sprachindex!$A:$Z,Info!$O$7,FALSE)</f>
        <v>Stk.</v>
      </c>
      <c r="C68" s="75" t="e" vm="39">
        <v>#VALUE!</v>
      </c>
      <c r="D68" s="80">
        <v>649008</v>
      </c>
      <c r="E68" s="618" t="str">
        <f>VLOOKUP(956,Sprachindex!$A:$Z,Info!$O$7,FALSE)</f>
        <v>Verbinder (verzinkt; für Laufsteg; Breite: 360 mm)</v>
      </c>
      <c r="F68" s="619"/>
      <c r="G68" s="619"/>
      <c r="H68" s="619"/>
      <c r="I68" s="619"/>
      <c r="J68" s="619"/>
      <c r="K68" s="620"/>
      <c r="L68" s="76" t="str">
        <f t="shared" si="13"/>
        <v/>
      </c>
      <c r="M68" s="161" t="str">
        <f>VLOOKUP(878,Sprachindex!$A:$Z,Info!$O$7,FALSE)</f>
        <v>Stk.</v>
      </c>
      <c r="N68" s="77"/>
      <c r="O68" s="184" t="str">
        <f t="shared" si="14"/>
        <v/>
      </c>
      <c r="P68" s="267"/>
      <c r="Q68" s="5"/>
      <c r="R68" s="182">
        <v>54.66</v>
      </c>
      <c r="S68" s="179"/>
      <c r="T68" s="179"/>
      <c r="U68" s="179"/>
      <c r="V68" s="179"/>
      <c r="W68" s="179"/>
      <c r="X68" s="179"/>
      <c r="Y68" s="179"/>
      <c r="Z68" s="179"/>
      <c r="AA68" s="179"/>
      <c r="AB68" s="179"/>
      <c r="AC68" s="139">
        <f>ROUNDUP($A68,0)</f>
        <v>0</v>
      </c>
      <c r="AD68" s="139">
        <f t="shared" si="11"/>
        <v>0</v>
      </c>
      <c r="AF68" s="135"/>
      <c r="AH68" s="621" t="s">
        <v>26</v>
      </c>
      <c r="AI68" s="622"/>
      <c r="AJ68" s="622"/>
      <c r="AK68" s="622"/>
      <c r="AL68" s="622"/>
      <c r="AM68" s="622"/>
      <c r="AN68" s="622"/>
      <c r="AO68" s="622"/>
      <c r="AP68" s="622"/>
      <c r="AQ68" s="622"/>
      <c r="AR68" s="622"/>
      <c r="AS68" s="623"/>
      <c r="AT68" s="621" t="s">
        <v>27</v>
      </c>
      <c r="AU68" s="622"/>
      <c r="AV68" s="622"/>
      <c r="AW68" s="622"/>
      <c r="AX68" s="622"/>
      <c r="AY68" s="622"/>
      <c r="AZ68" s="622"/>
      <c r="BA68" s="622"/>
      <c r="BB68" s="622"/>
      <c r="BC68" s="622"/>
      <c r="BD68" s="623"/>
    </row>
    <row r="69" spans="1:58" ht="32.1" customHeight="1">
      <c r="A69" s="93"/>
      <c r="B69" s="76" t="str">
        <f>VLOOKUP(878,Sprachindex!$A:$Z,Info!$O$7,FALSE)</f>
        <v>Stk.</v>
      </c>
      <c r="C69" s="78" t="e" vm="40">
        <v>#VALUE!</v>
      </c>
      <c r="D69" s="80">
        <v>635661</v>
      </c>
      <c r="E69" s="618" t="str">
        <f>VLOOKUP(277,Sprachindex!$A:$Z,Info!$O$7,FALSE)</f>
        <v>Sicherheitsdachhaken auf Fußteilen</v>
      </c>
      <c r="F69" s="619"/>
      <c r="G69" s="619"/>
      <c r="H69" s="619"/>
      <c r="I69" s="619"/>
      <c r="J69" s="619"/>
      <c r="K69" s="620"/>
      <c r="L69" s="76" t="str">
        <f t="shared" si="13"/>
        <v/>
      </c>
      <c r="M69" s="161" t="str">
        <f>VLOOKUP(878,Sprachindex!$A:$Z,Info!$O$7,FALSE)</f>
        <v>Stk.</v>
      </c>
      <c r="N69" s="77"/>
      <c r="O69" s="184" t="str">
        <f t="shared" si="14"/>
        <v/>
      </c>
      <c r="P69" s="267"/>
      <c r="Q69" s="5"/>
      <c r="R69" s="182">
        <v>123.39</v>
      </c>
      <c r="S69" s="179"/>
      <c r="T69" s="179"/>
      <c r="U69" s="179"/>
      <c r="V69" s="179"/>
      <c r="W69" s="179"/>
      <c r="X69" s="179"/>
      <c r="Y69" s="179"/>
      <c r="Z69" s="179"/>
      <c r="AA69" s="179"/>
      <c r="AB69" s="179"/>
      <c r="AC69" s="139">
        <f>ROUNDUP($A69,0)</f>
        <v>0</v>
      </c>
      <c r="AD69" s="139">
        <f t="shared" si="11"/>
        <v>0</v>
      </c>
      <c r="AF69" s="135"/>
      <c r="AH69" s="47" t="s">
        <v>35</v>
      </c>
      <c r="AI69" s="47" t="s">
        <v>32</v>
      </c>
      <c r="AJ69" s="47" t="s">
        <v>40</v>
      </c>
      <c r="AK69" s="47" t="s">
        <v>37</v>
      </c>
      <c r="AL69" s="47" t="s">
        <v>33</v>
      </c>
      <c r="AM69" s="47" t="s">
        <v>39</v>
      </c>
      <c r="AN69" s="47" t="s">
        <v>34</v>
      </c>
      <c r="AO69" s="47" t="s">
        <v>38</v>
      </c>
      <c r="AP69" s="47" t="s">
        <v>41</v>
      </c>
      <c r="AQ69" s="47" t="s">
        <v>36</v>
      </c>
      <c r="AR69" s="47" t="s">
        <v>38962</v>
      </c>
      <c r="AS69" s="503" t="s">
        <v>39049</v>
      </c>
      <c r="AT69" s="47" t="s">
        <v>35</v>
      </c>
      <c r="AU69" s="47" t="s">
        <v>32</v>
      </c>
      <c r="AV69" s="47" t="s">
        <v>40</v>
      </c>
      <c r="AW69" s="47" t="s">
        <v>37</v>
      </c>
      <c r="AX69" s="47" t="s">
        <v>33</v>
      </c>
      <c r="AY69" s="47" t="s">
        <v>39</v>
      </c>
      <c r="AZ69" s="47" t="s">
        <v>34</v>
      </c>
      <c r="BA69" s="47" t="s">
        <v>38</v>
      </c>
      <c r="BB69" s="47" t="s">
        <v>41</v>
      </c>
      <c r="BC69" s="47" t="s">
        <v>36</v>
      </c>
      <c r="BD69" s="47" t="s">
        <v>38962</v>
      </c>
      <c r="BE69" s="503" t="s">
        <v>39049</v>
      </c>
      <c r="BF69" s="543"/>
    </row>
    <row r="70" spans="1:58" ht="32.1" customHeight="1">
      <c r="A70" s="93"/>
      <c r="B70" s="76" t="str">
        <f>VLOOKUP(878,Sprachindex!$A:$Z,Info!$O$7,FALSE)</f>
        <v>Stk.</v>
      </c>
      <c r="C70" s="78" t="e" vm="41">
        <v>#VALUE!</v>
      </c>
      <c r="D70" s="75" t="str">
        <f t="shared" ref="D70" si="16">IF(ISNUMBER(A70),AS70,"")</f>
        <v/>
      </c>
      <c r="E70" s="618" t="str">
        <f>VLOOKUP(822,Sprachindex!$A:$Z,Info!$O$7,FALSE)</f>
        <v>Sicherheitsdachhaken</v>
      </c>
      <c r="F70" s="619"/>
      <c r="G70" s="619"/>
      <c r="H70" s="619"/>
      <c r="I70" s="619"/>
      <c r="J70" s="619"/>
      <c r="K70" s="620"/>
      <c r="L70" s="76" t="str">
        <f t="shared" si="13"/>
        <v/>
      </c>
      <c r="M70" s="161" t="str">
        <f>VLOOKUP(878,Sprachindex!$A:$Z,Info!$O$7,FALSE)</f>
        <v>Stk.</v>
      </c>
      <c r="N70" s="77"/>
      <c r="O70" s="184" t="str">
        <f t="shared" si="14"/>
        <v/>
      </c>
      <c r="P70" s="267"/>
      <c r="Q70" s="5"/>
      <c r="R70" s="182">
        <v>32.479999999999997</v>
      </c>
      <c r="S70" s="179"/>
      <c r="T70" s="179"/>
      <c r="U70" s="179"/>
      <c r="V70" s="179"/>
      <c r="W70" s="179"/>
      <c r="X70" s="179"/>
      <c r="Y70" s="179"/>
      <c r="Z70" s="179"/>
      <c r="AA70" s="179"/>
      <c r="AB70" s="179"/>
      <c r="AC70" s="139">
        <f>ROUNDUP($A70/12,0)*12</f>
        <v>0</v>
      </c>
      <c r="AD70" s="139">
        <f t="shared" si="11"/>
        <v>0</v>
      </c>
      <c r="AF70" s="135"/>
      <c r="AH70" s="44">
        <v>120003</v>
      </c>
      <c r="AI70" s="44">
        <v>120000</v>
      </c>
      <c r="AJ70" s="44">
        <v>120008</v>
      </c>
      <c r="AK70" s="44">
        <v>120005</v>
      </c>
      <c r="AL70" s="44">
        <v>120001</v>
      </c>
      <c r="AM70" s="44">
        <v>120007</v>
      </c>
      <c r="AN70" s="44">
        <v>120002</v>
      </c>
      <c r="AO70" s="44">
        <v>120006</v>
      </c>
      <c r="AP70" s="44">
        <v>120009</v>
      </c>
      <c r="AQ70" s="44">
        <v>120004</v>
      </c>
      <c r="AR70" s="44">
        <v>14031028</v>
      </c>
      <c r="AS70" s="512" t="e" vm="2">
        <f>VLOOKUP(AH70,AH70:AR70,$P$21,FALSE)</f>
        <v>#VALUE!</v>
      </c>
      <c r="BE70" s="132"/>
      <c r="BF70" s="132"/>
    </row>
    <row r="71" spans="1:58" ht="32.1" customHeight="1">
      <c r="A71" s="93"/>
      <c r="B71" s="76" t="str">
        <f>VLOOKUP(878,Sprachindex!$A:$Z,Info!$O$7,FALSE)</f>
        <v>Stk.</v>
      </c>
      <c r="C71" s="78"/>
      <c r="D71" s="75" t="str">
        <f>IF(ISNUMBER(A71),BE71,"")</f>
        <v/>
      </c>
      <c r="E71" s="618" t="str">
        <f>VLOOKUP(2947,Sprachindex!$A:$Z,Info!$O$7,FALSE)</f>
        <v>Einfassungsplatte für Dachraute 44 × 44; Stucco; ⌀ 80–125 mm</v>
      </c>
      <c r="F71" s="619"/>
      <c r="G71" s="619"/>
      <c r="H71" s="619"/>
      <c r="I71" s="619"/>
      <c r="J71" s="619"/>
      <c r="K71" s="620"/>
      <c r="L71" s="76" t="str">
        <f t="shared" si="13"/>
        <v/>
      </c>
      <c r="M71" s="399" t="str">
        <f t="shared" si="3"/>
        <v>Stk.</v>
      </c>
      <c r="N71" s="77"/>
      <c r="O71" s="184" t="str">
        <f t="shared" ref="O71:O106" si="17">IF(ISNUMBER(A71),$L71*R71, "")</f>
        <v/>
      </c>
      <c r="P71" s="5"/>
      <c r="Q71" s="5"/>
      <c r="R71" s="182">
        <v>122.36</v>
      </c>
      <c r="S71" s="179"/>
      <c r="T71" s="179"/>
      <c r="U71" s="179"/>
      <c r="V71" s="179"/>
      <c r="W71" s="179"/>
      <c r="X71" s="179"/>
      <c r="Y71" s="179"/>
      <c r="Z71" s="179"/>
      <c r="AA71" s="179"/>
      <c r="AB71" s="1"/>
      <c r="AC71" s="139">
        <f>ROUNDUP($A71/2,0)*2</f>
        <v>0</v>
      </c>
      <c r="AD71" s="139">
        <f t="shared" ref="AD71:AD79" si="18">ROUNDUP($A71,0)</f>
        <v>0</v>
      </c>
      <c r="AH71" s="542">
        <v>112321</v>
      </c>
      <c r="AI71" s="542">
        <v>112322</v>
      </c>
      <c r="AJ71" s="542">
        <v>112323</v>
      </c>
      <c r="AK71" s="542">
        <v>112324</v>
      </c>
      <c r="AL71" s="542">
        <v>112325</v>
      </c>
      <c r="AM71" s="542">
        <v>112326</v>
      </c>
      <c r="AN71" s="542">
        <v>112328</v>
      </c>
      <c r="AO71" s="542">
        <v>112327</v>
      </c>
      <c r="AP71" s="542">
        <v>112329</v>
      </c>
      <c r="AQ71" s="542">
        <v>112330</v>
      </c>
      <c r="AR71" s="542"/>
      <c r="AS71" s="512"/>
      <c r="AT71" s="432">
        <v>112823</v>
      </c>
      <c r="AU71" s="432">
        <v>112820</v>
      </c>
      <c r="AV71" s="432">
        <v>112828</v>
      </c>
      <c r="AW71" s="432">
        <v>112825</v>
      </c>
      <c r="AX71" s="432">
        <v>112821</v>
      </c>
      <c r="AY71" s="432">
        <v>112827</v>
      </c>
      <c r="AZ71" s="432">
        <v>112822</v>
      </c>
      <c r="BA71" s="432">
        <v>112826</v>
      </c>
      <c r="BB71" s="432">
        <v>112829</v>
      </c>
      <c r="BC71" s="432">
        <v>112824</v>
      </c>
      <c r="BD71" s="432">
        <v>12331028</v>
      </c>
      <c r="BE71" s="512" t="e" vm="2">
        <f>VLOOKUP(AT71,AT71:BD71,$P$21,FALSE)</f>
        <v>#VALUE!</v>
      </c>
    </row>
    <row r="72" spans="1:58" ht="31.95" customHeight="1">
      <c r="A72" s="93"/>
      <c r="B72" s="76" t="str">
        <f>VLOOKUP(878,Sprachindex!$A:$Z,Info!$O$7,FALSE)</f>
        <v>Stk.</v>
      </c>
      <c r="C72" s="78" t="e" vm="98">
        <v>#VALUE!</v>
      </c>
      <c r="D72" s="75" t="str">
        <f>IF(ISNUMBER(A72),BE72,"")</f>
        <v/>
      </c>
      <c r="E72" s="618" t="str">
        <f>VLOOKUP(2942,Sprachindex!$A:$Z,Info!$O$7,FALSE)</f>
        <v>Einfassungsplatte, zum Einfalzen; Stucco</v>
      </c>
      <c r="F72" s="619"/>
      <c r="G72" s="619"/>
      <c r="H72" s="619"/>
      <c r="I72" s="619"/>
      <c r="J72" s="619"/>
      <c r="K72" s="620"/>
      <c r="L72" s="76" t="str">
        <f t="shared" si="13"/>
        <v/>
      </c>
      <c r="M72" s="161" t="str">
        <f>VLOOKUP(878,Sprachindex!$A:$Z,Info!$O$7,FALSE)</f>
        <v>Stk.</v>
      </c>
      <c r="N72" s="77"/>
      <c r="O72" s="184" t="str">
        <f t="shared" si="17"/>
        <v/>
      </c>
      <c r="P72" s="267"/>
      <c r="Q72" s="5"/>
      <c r="R72" s="182">
        <v>115.36</v>
      </c>
      <c r="S72" s="179"/>
      <c r="T72" s="179"/>
      <c r="U72" s="179"/>
      <c r="V72" s="179"/>
      <c r="W72" s="179"/>
      <c r="X72" s="179"/>
      <c r="Y72" s="179"/>
      <c r="Z72" s="179"/>
      <c r="AA72" s="179"/>
      <c r="AB72" s="179"/>
      <c r="AC72" s="139">
        <f>ROUNDUP($A72/5,0)*5</f>
        <v>0</v>
      </c>
      <c r="AD72" s="139">
        <f t="shared" ref="AD72:AD77" si="19">ROUNDUP($A72,0)</f>
        <v>0</v>
      </c>
      <c r="AF72" s="135"/>
      <c r="AH72" s="542">
        <v>110233</v>
      </c>
      <c r="AI72" s="542">
        <v>110230</v>
      </c>
      <c r="AJ72" s="542">
        <v>110238</v>
      </c>
      <c r="AK72" s="542">
        <v>110235</v>
      </c>
      <c r="AL72" s="542">
        <v>110231</v>
      </c>
      <c r="AM72" s="542">
        <v>110237</v>
      </c>
      <c r="AN72" s="542">
        <v>110232</v>
      </c>
      <c r="AO72" s="542">
        <v>110236</v>
      </c>
      <c r="AP72" s="542">
        <v>110239</v>
      </c>
      <c r="AQ72" s="542">
        <v>110234</v>
      </c>
      <c r="AR72" s="542"/>
      <c r="AS72" s="512"/>
      <c r="AT72" s="432">
        <v>112883</v>
      </c>
      <c r="AU72" s="541">
        <v>112880</v>
      </c>
      <c r="AV72" s="432">
        <v>112888</v>
      </c>
      <c r="AW72" s="432">
        <v>112885</v>
      </c>
      <c r="AX72" s="432">
        <v>112881</v>
      </c>
      <c r="AY72" s="432">
        <v>112887</v>
      </c>
      <c r="AZ72" s="432">
        <v>112882</v>
      </c>
      <c r="BA72" s="432">
        <v>112886</v>
      </c>
      <c r="BB72" s="432">
        <v>112889</v>
      </c>
      <c r="BC72" s="432">
        <v>112884</v>
      </c>
      <c r="BD72" s="432">
        <v>15011028</v>
      </c>
      <c r="BE72" s="512" t="e" vm="2">
        <f>VLOOKUP(AT72,AT72:BD72,$P$21,FALSE)</f>
        <v>#VALUE!</v>
      </c>
      <c r="BF72" s="544"/>
    </row>
    <row r="73" spans="1:58" ht="32.1" customHeight="1">
      <c r="A73" s="93"/>
      <c r="B73" s="76" t="str">
        <f>VLOOKUP(878,Sprachindex!$A:$Z,Info!$O$7,FALSE)</f>
        <v>Stk.</v>
      </c>
      <c r="C73" s="78" t="e" vm="44">
        <v>#VALUE!</v>
      </c>
      <c r="D73" s="75" t="str">
        <f>IF(ISNUMBER(A73),BE73,"")</f>
        <v/>
      </c>
      <c r="E73" s="618" t="str">
        <f>VLOOKUP(926,Sprachindex!$A:$Z,Info!$O$7,FALSE)</f>
        <v>Universaleinfassung (2-teilig); stucco; ⌀ 40–120 mm</v>
      </c>
      <c r="F73" s="619"/>
      <c r="G73" s="619"/>
      <c r="H73" s="619"/>
      <c r="I73" s="619"/>
      <c r="J73" s="619"/>
      <c r="K73" s="620"/>
      <c r="L73" s="76" t="str">
        <f t="shared" si="13"/>
        <v/>
      </c>
      <c r="M73" s="161" t="str">
        <f>VLOOKUP(878,Sprachindex!$A:$Z,Info!$O$7,FALSE)</f>
        <v>Stk.</v>
      </c>
      <c r="N73" s="77"/>
      <c r="O73" s="184" t="str">
        <f t="shared" si="17"/>
        <v/>
      </c>
      <c r="P73" s="267"/>
      <c r="Q73" s="5"/>
      <c r="R73" s="182">
        <v>122.16</v>
      </c>
      <c r="S73" s="179"/>
      <c r="T73" s="179"/>
      <c r="U73" s="179"/>
      <c r="V73" s="179"/>
      <c r="W73" s="179"/>
      <c r="X73" s="179"/>
      <c r="Y73" s="179"/>
      <c r="Z73" s="179"/>
      <c r="AA73" s="179"/>
      <c r="AB73" s="179"/>
      <c r="AC73" s="139">
        <f>ROUNDUP($A73,0)</f>
        <v>0</v>
      </c>
      <c r="AD73" s="139">
        <f t="shared" si="19"/>
        <v>0</v>
      </c>
      <c r="AF73" s="135"/>
      <c r="AH73" s="542"/>
      <c r="AI73" s="542"/>
      <c r="AJ73" s="542"/>
      <c r="AK73" s="542"/>
      <c r="AL73" s="542"/>
      <c r="AM73" s="542"/>
      <c r="AN73" s="542"/>
      <c r="AO73" s="542"/>
      <c r="AP73" s="542"/>
      <c r="AQ73" s="542"/>
      <c r="AR73" s="542"/>
      <c r="AS73" s="512"/>
      <c r="AT73" s="432">
        <v>110243</v>
      </c>
      <c r="AU73" s="432">
        <v>110240</v>
      </c>
      <c r="AV73" s="432">
        <v>110248</v>
      </c>
      <c r="AW73" s="432">
        <v>110245</v>
      </c>
      <c r="AX73" s="432">
        <v>110241</v>
      </c>
      <c r="AY73" s="432">
        <v>110247</v>
      </c>
      <c r="AZ73" s="432">
        <v>110242</v>
      </c>
      <c r="BA73" s="432">
        <v>110246</v>
      </c>
      <c r="BB73" s="432">
        <v>110249</v>
      </c>
      <c r="BC73" s="432">
        <v>110244</v>
      </c>
      <c r="BD73" s="432">
        <v>15031028</v>
      </c>
      <c r="BE73" s="512" t="e" vm="2">
        <f>VLOOKUP(AT73,AT73:BD73,$P$21,FALSE)</f>
        <v>#VALUE!</v>
      </c>
    </row>
    <row r="74" spans="1:58" ht="32.1" customHeight="1">
      <c r="A74" s="93"/>
      <c r="B74" s="76" t="str">
        <f>VLOOKUP(878,Sprachindex!$A:$Z,Info!$O$7,FALSE)</f>
        <v>Stk.</v>
      </c>
      <c r="C74" s="78" t="e" vm="45">
        <v>#VALUE!</v>
      </c>
      <c r="D74" s="75" t="str">
        <f t="shared" ref="D74:D76" si="20">IF(ISNUMBER(A74),AS74,"")</f>
        <v/>
      </c>
      <c r="E74" s="618" t="str">
        <f>VLOOKUP(364,Sprachindex!$A:$Z,Info!$O$7,FALSE)</f>
        <v>Entlüftungshaube (⌀ 100; glatt)</v>
      </c>
      <c r="F74" s="619"/>
      <c r="G74" s="619"/>
      <c r="H74" s="619"/>
      <c r="I74" s="619"/>
      <c r="J74" s="619"/>
      <c r="K74" s="620"/>
      <c r="L74" s="76" t="str">
        <f t="shared" si="13"/>
        <v/>
      </c>
      <c r="M74" s="161" t="str">
        <f>VLOOKUP(878,Sprachindex!$A:$Z,Info!$O$7,FALSE)</f>
        <v>Stk.</v>
      </c>
      <c r="N74" s="77"/>
      <c r="O74" s="184" t="str">
        <f t="shared" si="17"/>
        <v/>
      </c>
      <c r="P74" s="267"/>
      <c r="Q74" s="5"/>
      <c r="R74" s="182">
        <v>192.1</v>
      </c>
      <c r="S74" s="179"/>
      <c r="T74" s="179"/>
      <c r="U74" s="179"/>
      <c r="V74" s="179"/>
      <c r="W74" s="179"/>
      <c r="X74" s="179"/>
      <c r="Y74" s="179"/>
      <c r="Z74" s="179"/>
      <c r="AA74" s="179"/>
      <c r="AB74" s="179"/>
      <c r="AC74" s="139">
        <f>ROUNDUP($A74,0)</f>
        <v>0</v>
      </c>
      <c r="AD74" s="139">
        <f t="shared" si="19"/>
        <v>0</v>
      </c>
      <c r="AF74" s="135"/>
      <c r="AH74" s="433">
        <v>110283</v>
      </c>
      <c r="AI74" s="433">
        <v>110280</v>
      </c>
      <c r="AJ74" s="433">
        <v>110288</v>
      </c>
      <c r="AK74" s="433">
        <v>110285</v>
      </c>
      <c r="AL74" s="433">
        <v>110281</v>
      </c>
      <c r="AM74" s="433">
        <v>110287</v>
      </c>
      <c r="AN74" s="433">
        <v>110282</v>
      </c>
      <c r="AO74" s="433">
        <v>110286</v>
      </c>
      <c r="AP74" s="433">
        <v>110289</v>
      </c>
      <c r="AQ74" s="433">
        <v>110284</v>
      </c>
      <c r="AR74" s="433">
        <v>15071028</v>
      </c>
      <c r="AS74" s="512" t="e" vm="2">
        <f>VLOOKUP(AH74,AH74:AR74,$P$21,FALSE)</f>
        <v>#VALUE!</v>
      </c>
    </row>
    <row r="75" spans="1:58" ht="32.1" customHeight="1">
      <c r="A75" s="93"/>
      <c r="B75" s="76" t="str">
        <f>VLOOKUP(878,Sprachindex!$A:$Z,Info!$O$7,FALSE)</f>
        <v>Stk.</v>
      </c>
      <c r="C75" s="78" t="e" vm="46">
        <v>#VALUE!</v>
      </c>
      <c r="D75" s="75" t="str">
        <f t="shared" si="20"/>
        <v/>
      </c>
      <c r="E75" s="618" t="str">
        <f>VLOOKUP(366,Sprachindex!$A:$Z,Info!$O$7,FALSE)</f>
        <v>Entlüftungsrohr (⌀ 100; passend für HT-Rohr [NW 110])</v>
      </c>
      <c r="F75" s="619"/>
      <c r="G75" s="619"/>
      <c r="H75" s="619"/>
      <c r="I75" s="619"/>
      <c r="J75" s="619"/>
      <c r="K75" s="620"/>
      <c r="L75" s="76" t="str">
        <f t="shared" si="13"/>
        <v/>
      </c>
      <c r="M75" s="161" t="str">
        <f>VLOOKUP(878,Sprachindex!$A:$Z,Info!$O$7,FALSE)</f>
        <v>Stk.</v>
      </c>
      <c r="N75" s="77"/>
      <c r="O75" s="184" t="str">
        <f t="shared" si="17"/>
        <v/>
      </c>
      <c r="P75" s="267"/>
      <c r="Q75" s="5"/>
      <c r="R75" s="182">
        <v>79.069999999999993</v>
      </c>
      <c r="S75" s="179"/>
      <c r="T75" s="179"/>
      <c r="U75" s="179"/>
      <c r="V75" s="179"/>
      <c r="W75" s="179"/>
      <c r="X75" s="179"/>
      <c r="Y75" s="179"/>
      <c r="Z75" s="179"/>
      <c r="AA75" s="179"/>
      <c r="AB75" s="179"/>
      <c r="AC75" s="139">
        <f>ROUNDUP($A75,0)</f>
        <v>0</v>
      </c>
      <c r="AD75" s="139">
        <f t="shared" si="19"/>
        <v>0</v>
      </c>
      <c r="AF75" s="135"/>
      <c r="AH75" s="433">
        <v>110203</v>
      </c>
      <c r="AI75" s="433">
        <v>110200</v>
      </c>
      <c r="AJ75" s="433">
        <v>110208</v>
      </c>
      <c r="AK75" s="433">
        <v>110205</v>
      </c>
      <c r="AL75" s="433">
        <v>110201</v>
      </c>
      <c r="AM75" s="433">
        <v>110207</v>
      </c>
      <c r="AN75" s="433">
        <v>110202</v>
      </c>
      <c r="AO75" s="433">
        <v>110206</v>
      </c>
      <c r="AP75" s="433">
        <v>121015</v>
      </c>
      <c r="AQ75" s="433">
        <v>110204</v>
      </c>
      <c r="AR75" s="433">
        <v>15081028</v>
      </c>
      <c r="AS75" s="512" t="e" vm="2">
        <f>VLOOKUP(AH75,AH75:AR75,$P$21,FALSE)</f>
        <v>#VALUE!</v>
      </c>
    </row>
    <row r="76" spans="1:58" ht="32.1" customHeight="1">
      <c r="A76" s="93"/>
      <c r="B76" s="76" t="str">
        <f>VLOOKUP(878,Sprachindex!$A:$Z,Info!$O$7,FALSE)</f>
        <v>Stk.</v>
      </c>
      <c r="C76" s="78" t="e" vm="47">
        <v>#VALUE!</v>
      </c>
      <c r="D76" s="75" t="str">
        <f t="shared" si="20"/>
        <v/>
      </c>
      <c r="E76" s="618" t="str">
        <f>VLOOKUP(368,Sprachindex!$A:$Z,Info!$O$7,FALSE)</f>
        <v>Entlüftungsrohr (⌀ 120; passend für HT-Rohr [NW 125])</v>
      </c>
      <c r="F76" s="619"/>
      <c r="G76" s="619"/>
      <c r="H76" s="619"/>
      <c r="I76" s="619"/>
      <c r="J76" s="619"/>
      <c r="K76" s="620"/>
      <c r="L76" s="76" t="str">
        <f t="shared" si="13"/>
        <v/>
      </c>
      <c r="M76" s="161" t="str">
        <f>VLOOKUP(878,Sprachindex!$A:$Z,Info!$O$7,FALSE)</f>
        <v>Stk.</v>
      </c>
      <c r="N76" s="77"/>
      <c r="O76" s="184" t="str">
        <f t="shared" si="17"/>
        <v/>
      </c>
      <c r="P76" s="267"/>
      <c r="Q76" s="5"/>
      <c r="R76" s="182">
        <v>83.85</v>
      </c>
      <c r="S76" s="179"/>
      <c r="T76" s="179"/>
      <c r="U76" s="179"/>
      <c r="V76" s="179"/>
      <c r="W76" s="179"/>
      <c r="X76" s="179"/>
      <c r="Y76" s="179"/>
      <c r="Z76" s="179"/>
      <c r="AA76" s="179"/>
      <c r="AB76" s="179"/>
      <c r="AC76" s="139">
        <f>ROUNDUP($A76,0)</f>
        <v>0</v>
      </c>
      <c r="AD76" s="139">
        <f t="shared" si="19"/>
        <v>0</v>
      </c>
      <c r="AF76" s="135"/>
      <c r="AH76" s="433">
        <v>110213</v>
      </c>
      <c r="AI76" s="433">
        <v>110210</v>
      </c>
      <c r="AJ76" s="433">
        <v>110218</v>
      </c>
      <c r="AK76" s="433">
        <v>110215</v>
      </c>
      <c r="AL76" s="433">
        <v>110211</v>
      </c>
      <c r="AM76" s="433">
        <v>110217</v>
      </c>
      <c r="AN76" s="433">
        <v>110212</v>
      </c>
      <c r="AO76" s="433">
        <v>110216</v>
      </c>
      <c r="AP76" s="433">
        <v>121025</v>
      </c>
      <c r="AQ76" s="433">
        <v>110214</v>
      </c>
      <c r="AR76" s="433">
        <v>15091028</v>
      </c>
      <c r="AS76" s="512" t="e" vm="2">
        <f>VLOOKUP(AH76,AH76:AR76,$P$21,FALSE)</f>
        <v>#VALUE!</v>
      </c>
    </row>
    <row r="77" spans="1:58" ht="32.1" customHeight="1">
      <c r="A77" s="93"/>
      <c r="B77" s="76" t="str">
        <f>VLOOKUP(878,Sprachindex!$A:$Z,Info!$O$7,FALSE)</f>
        <v>Stk.</v>
      </c>
      <c r="C77" s="78" t="e" vm="48">
        <v>#VALUE!</v>
      </c>
      <c r="D77" s="80">
        <v>340943</v>
      </c>
      <c r="E77" s="618" t="str">
        <f>VLOOKUP(379,Sprachindex!$A:$Z,Info!$O$7,FALSE)</f>
        <v>Faltmanschette (Ø 100–130)</v>
      </c>
      <c r="F77" s="619"/>
      <c r="G77" s="619"/>
      <c r="H77" s="619"/>
      <c r="I77" s="619"/>
      <c r="J77" s="619"/>
      <c r="K77" s="620"/>
      <c r="L77" s="76" t="str">
        <f t="shared" si="13"/>
        <v/>
      </c>
      <c r="M77" s="161" t="str">
        <f>VLOOKUP(878,Sprachindex!$A:$Z,Info!$O$7,FALSE)</f>
        <v>Stk.</v>
      </c>
      <c r="N77" s="77"/>
      <c r="O77" s="184" t="str">
        <f t="shared" si="17"/>
        <v/>
      </c>
      <c r="P77" s="267"/>
      <c r="Q77" s="5"/>
      <c r="R77" s="182">
        <v>38.86</v>
      </c>
      <c r="S77" s="179"/>
      <c r="T77" s="179"/>
      <c r="U77" s="179"/>
      <c r="V77" s="179"/>
      <c r="W77" s="179"/>
      <c r="X77" s="179"/>
      <c r="Y77" s="179"/>
      <c r="Z77" s="179"/>
      <c r="AA77" s="179"/>
      <c r="AB77" s="179"/>
      <c r="AC77" s="139">
        <f>ROUNDUP($A77,0)</f>
        <v>0</v>
      </c>
      <c r="AD77" s="139">
        <f t="shared" si="19"/>
        <v>0</v>
      </c>
      <c r="AF77" s="135"/>
      <c r="AS77" s="512"/>
      <c r="AT77" s="47" t="s">
        <v>35</v>
      </c>
      <c r="AU77" s="47" t="s">
        <v>32</v>
      </c>
      <c r="AV77" s="47" t="s">
        <v>40</v>
      </c>
      <c r="AW77" s="47" t="s">
        <v>37</v>
      </c>
      <c r="AX77" s="47" t="s">
        <v>33</v>
      </c>
      <c r="AY77" s="47" t="s">
        <v>39</v>
      </c>
      <c r="AZ77" s="47" t="s">
        <v>34</v>
      </c>
      <c r="BA77" s="47" t="s">
        <v>38</v>
      </c>
      <c r="BB77" s="47" t="s">
        <v>41</v>
      </c>
      <c r="BC77" s="47" t="s">
        <v>36</v>
      </c>
      <c r="BD77" s="47" t="s">
        <v>38962</v>
      </c>
      <c r="BE77" s="132"/>
      <c r="BF77" s="132"/>
    </row>
    <row r="78" spans="1:58" ht="32.1" customHeight="1">
      <c r="A78" s="93"/>
      <c r="B78" s="76" t="str">
        <f>VLOOKUP(878,Sprachindex!$A:$Z,Info!$O$7,FALSE)</f>
        <v>Stk.</v>
      </c>
      <c r="C78" s="78"/>
      <c r="D78" s="75" t="str">
        <f>IF($P$9=1,BE78,IF($P$9=2,AS78,""))</f>
        <v/>
      </c>
      <c r="E78" s="618" t="str">
        <f>IF($O$9=1,VLOOKUP(2945,Sprachindex!$A:$Z,Info!$O$7,FALSE),VLOOKUP(1421,Sprachindex!$A:$Z,Info!$O$7,FALSE))</f>
        <v>Unterlagsplatte für DR44, DS.19; glatt</v>
      </c>
      <c r="F78" s="619"/>
      <c r="G78" s="619"/>
      <c r="H78" s="619"/>
      <c r="I78" s="619"/>
      <c r="J78" s="619"/>
      <c r="K78" s="620"/>
      <c r="L78" s="76" t="str">
        <f t="shared" si="13"/>
        <v/>
      </c>
      <c r="M78" s="399" t="str">
        <f t="shared" si="3"/>
        <v>Stk.</v>
      </c>
      <c r="N78" s="77"/>
      <c r="O78" s="184" t="str">
        <f t="shared" si="17"/>
        <v/>
      </c>
      <c r="P78" s="5"/>
      <c r="Q78" s="5"/>
      <c r="R78" s="182">
        <v>13</v>
      </c>
      <c r="S78" s="179"/>
      <c r="T78" s="5"/>
      <c r="U78" s="5"/>
      <c r="V78" s="5"/>
      <c r="W78" s="5"/>
      <c r="X78" s="5"/>
      <c r="Y78" s="5"/>
      <c r="Z78" s="5"/>
      <c r="AB78" s="5"/>
      <c r="AC78" s="139">
        <f>ROUNDUP($A78/10,0)*10</f>
        <v>0</v>
      </c>
      <c r="AD78" s="139">
        <f t="shared" ref="AD78" si="21">ROUNDUP($A78,0)</f>
        <v>0</v>
      </c>
      <c r="AF78" s="8"/>
      <c r="AG78" s="5"/>
      <c r="AH78" s="433">
        <v>112384</v>
      </c>
      <c r="AI78" s="433">
        <v>112381</v>
      </c>
      <c r="AJ78" s="433">
        <v>112389</v>
      </c>
      <c r="AK78" s="433">
        <v>112386</v>
      </c>
      <c r="AL78" s="433">
        <v>112382</v>
      </c>
      <c r="AM78" s="433">
        <v>112387</v>
      </c>
      <c r="AN78" s="433">
        <v>112383</v>
      </c>
      <c r="AO78" s="433">
        <v>112388</v>
      </c>
      <c r="AP78" s="433">
        <v>112390</v>
      </c>
      <c r="AQ78" s="433">
        <v>112385</v>
      </c>
      <c r="AR78" s="433">
        <v>15561028</v>
      </c>
      <c r="AS78" s="512" t="e" vm="2">
        <f>VLOOKUP(AH78,AH78:AR78,$P$21,FALSE)</f>
        <v>#VALUE!</v>
      </c>
      <c r="AT78" s="432">
        <v>112364</v>
      </c>
      <c r="AU78" s="432">
        <v>112361</v>
      </c>
      <c r="AV78" s="432">
        <v>112369</v>
      </c>
      <c r="AW78" s="432">
        <v>112366</v>
      </c>
      <c r="AX78" s="432">
        <v>1112362</v>
      </c>
      <c r="AY78" s="432">
        <v>112367</v>
      </c>
      <c r="AZ78" s="432">
        <v>112363</v>
      </c>
      <c r="BA78" s="432">
        <v>112368</v>
      </c>
      <c r="BB78" s="432">
        <v>112370</v>
      </c>
      <c r="BC78" s="432">
        <v>112365</v>
      </c>
      <c r="BD78" s="432">
        <v>15551028</v>
      </c>
      <c r="BE78" s="512" t="e" vm="2">
        <f>VLOOKUP(AT78,AT78:BD78,$P$21,FALSE)</f>
        <v>#VALUE!</v>
      </c>
    </row>
    <row r="79" spans="1:58" ht="32.1" customHeight="1">
      <c r="A79" s="93"/>
      <c r="B79" s="76" t="str">
        <f>VLOOKUP(878,Sprachindex!$A:$Z,Info!$O$7,FALSE)</f>
        <v>Stk.</v>
      </c>
      <c r="C79" s="78"/>
      <c r="D79" s="75" t="str">
        <f>IF(ISNUMBER(A79),AS79,"")</f>
        <v/>
      </c>
      <c r="E79" s="618" t="str">
        <f>VLOOKUP(802,Sprachindex!$A:$Z,Info!$O$7,FALSE)</f>
        <v>Schneestopper für Dachraute 44 × 44</v>
      </c>
      <c r="F79" s="619"/>
      <c r="G79" s="619"/>
      <c r="H79" s="619"/>
      <c r="I79" s="619"/>
      <c r="J79" s="619"/>
      <c r="K79" s="620"/>
      <c r="L79" s="76" t="str">
        <f t="shared" si="13"/>
        <v/>
      </c>
      <c r="M79" s="399" t="str">
        <f t="shared" si="3"/>
        <v>Stk.</v>
      </c>
      <c r="N79" s="77"/>
      <c r="O79" s="184" t="str">
        <f t="shared" si="17"/>
        <v/>
      </c>
      <c r="P79" s="5"/>
      <c r="Q79" s="5"/>
      <c r="R79" s="182">
        <v>1.79</v>
      </c>
      <c r="S79" s="179"/>
      <c r="T79" s="179"/>
      <c r="U79" s="179"/>
      <c r="V79" s="179"/>
      <c r="W79" s="179"/>
      <c r="X79" s="179"/>
      <c r="Y79" s="179"/>
      <c r="Z79" s="179"/>
      <c r="AA79" s="179"/>
      <c r="AB79" s="1"/>
      <c r="AC79" s="139">
        <f>ROUNDUP($A79/100,0)*100</f>
        <v>0</v>
      </c>
      <c r="AD79" s="139">
        <f t="shared" si="18"/>
        <v>0</v>
      </c>
      <c r="AH79" s="44">
        <v>112344</v>
      </c>
      <c r="AI79" s="44">
        <v>112341</v>
      </c>
      <c r="AJ79" s="44">
        <v>112349</v>
      </c>
      <c r="AK79" s="44">
        <v>112346</v>
      </c>
      <c r="AL79" s="44">
        <v>112342</v>
      </c>
      <c r="AM79" s="44">
        <v>112347</v>
      </c>
      <c r="AN79" s="44">
        <v>112343</v>
      </c>
      <c r="AO79" s="44">
        <v>112348</v>
      </c>
      <c r="AP79" s="44">
        <v>112350</v>
      </c>
      <c r="AQ79" s="44">
        <v>112345</v>
      </c>
      <c r="AR79" s="44">
        <v>15471028</v>
      </c>
      <c r="AS79" s="512" t="e" vm="2">
        <f>VLOOKUP(AH79,AH79:AR79,$P$21,FALSE)</f>
        <v>#VALUE!</v>
      </c>
    </row>
    <row r="80" spans="1:58" ht="32.1" customHeight="1">
      <c r="A80" s="93"/>
      <c r="B80" s="76" t="str">
        <f>VLOOKUP(878,Sprachindex!$A:$Z,Info!$O$7,FALSE)</f>
        <v>Stk.</v>
      </c>
      <c r="C80" s="78" t="e" vm="51">
        <v>#VALUE!</v>
      </c>
      <c r="D80" s="75" t="str">
        <f>IF(ISNUMBER(A80),AS80,"")</f>
        <v/>
      </c>
      <c r="E80" s="618" t="str">
        <f>VLOOKUP(2190,Sprachindex!$A:$Z,Info!$O$7,FALSE)</f>
        <v>Haken für Schneerechensystem, inkl. Befestigungsmaterial</v>
      </c>
      <c r="F80" s="619"/>
      <c r="G80" s="619"/>
      <c r="H80" s="619"/>
      <c r="I80" s="619"/>
      <c r="J80" s="619"/>
      <c r="K80" s="620"/>
      <c r="L80" s="76" t="str">
        <f t="shared" si="13"/>
        <v/>
      </c>
      <c r="M80" s="161" t="str">
        <f>VLOOKUP(878,Sprachindex!$A:$Z,Info!$O$7,FALSE)</f>
        <v>Stk.</v>
      </c>
      <c r="N80" s="77"/>
      <c r="O80" s="184" t="str">
        <f t="shared" si="17"/>
        <v/>
      </c>
      <c r="P80" s="267"/>
      <c r="Q80" s="5"/>
      <c r="R80" s="182">
        <v>57.49</v>
      </c>
      <c r="S80" s="179"/>
      <c r="T80" s="179"/>
      <c r="U80" s="179"/>
      <c r="V80" s="179"/>
      <c r="W80" s="179"/>
      <c r="X80" s="179"/>
      <c r="Y80" s="179"/>
      <c r="Z80" s="179"/>
      <c r="AA80" s="179"/>
      <c r="AB80" s="179"/>
      <c r="AC80" s="139">
        <f>ROUNDUP($A80/10,0)*10</f>
        <v>0</v>
      </c>
      <c r="AD80" s="139">
        <f t="shared" ref="AD80:AD81" si="22">ROUNDUP($A80,0)</f>
        <v>0</v>
      </c>
      <c r="AF80" s="135"/>
      <c r="AH80" s="44">
        <v>120183</v>
      </c>
      <c r="AI80" s="44">
        <v>120180</v>
      </c>
      <c r="AJ80" s="44">
        <v>120188</v>
      </c>
      <c r="AK80" s="44">
        <v>120185</v>
      </c>
      <c r="AL80" s="44">
        <v>120181</v>
      </c>
      <c r="AM80" s="44">
        <v>120187</v>
      </c>
      <c r="AN80" s="44">
        <v>120182</v>
      </c>
      <c r="AO80" s="44">
        <v>120186</v>
      </c>
      <c r="AP80" s="44">
        <v>120189</v>
      </c>
      <c r="AQ80" s="44">
        <v>120184</v>
      </c>
      <c r="AR80" s="44">
        <v>14121028</v>
      </c>
      <c r="AS80" s="512" t="e" vm="2">
        <f>VLOOKUP(AH80,AH80:AR80,$P$21,FALSE)</f>
        <v>#VALUE!</v>
      </c>
    </row>
    <row r="81" spans="1:45" ht="32.1" customHeight="1">
      <c r="A81" s="93"/>
      <c r="B81" s="76" t="str">
        <f>VLOOKUP(878,Sprachindex!$A:$Z,Info!$O$7,FALSE)</f>
        <v>Stk.</v>
      </c>
      <c r="C81" s="78" t="e" vm="52">
        <v>#VALUE!</v>
      </c>
      <c r="D81" s="75" t="str">
        <f t="shared" ref="D81:D94" si="23">IF(ISNUMBER(A81),AS81,"")</f>
        <v/>
      </c>
      <c r="E81" s="618" t="str">
        <f>VLOOKUP(2191,Sprachindex!$A:$Z,Info!$O$7,FALSE)</f>
        <v>Haken für Schneerechensystem XL, inkl. Befestigungsmaterial</v>
      </c>
      <c r="F81" s="619"/>
      <c r="G81" s="619"/>
      <c r="H81" s="619"/>
      <c r="I81" s="619"/>
      <c r="J81" s="619"/>
      <c r="K81" s="620"/>
      <c r="L81" s="76" t="str">
        <f t="shared" si="13"/>
        <v/>
      </c>
      <c r="M81" s="161" t="str">
        <f>VLOOKUP(878,Sprachindex!$A:$Z,Info!$O$7,FALSE)</f>
        <v>Stk.</v>
      </c>
      <c r="N81" s="77"/>
      <c r="O81" s="184" t="str">
        <f t="shared" si="17"/>
        <v/>
      </c>
      <c r="P81" s="267"/>
      <c r="Q81" s="5"/>
      <c r="R81" s="182">
        <v>100.84</v>
      </c>
      <c r="S81" s="179"/>
      <c r="T81" s="179"/>
      <c r="U81" s="179"/>
      <c r="V81" s="179"/>
      <c r="W81" s="179"/>
      <c r="X81" s="179"/>
      <c r="Y81" s="179"/>
      <c r="Z81" s="179"/>
      <c r="AA81" s="179"/>
      <c r="AB81" s="179"/>
      <c r="AC81" s="139">
        <f>ROUNDUP($A81/18,0)*18</f>
        <v>0</v>
      </c>
      <c r="AD81" s="139">
        <f t="shared" si="22"/>
        <v>0</v>
      </c>
      <c r="AF81" s="135"/>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512" t="e" vm="2">
        <f t="shared" ref="AS81:AS94" si="24">VLOOKUP(AH81,AH81:AR81,$P$21,FALSE)</f>
        <v>#VALUE!</v>
      </c>
    </row>
    <row r="82" spans="1:45" ht="32.1" customHeight="1">
      <c r="A82" s="93"/>
      <c r="B82" s="76" t="str">
        <f>VLOOKUP(1512,Sprachindex!$A:$Z,Info!$O$7,FALSE)</f>
        <v>lfm</v>
      </c>
      <c r="C82" s="78" t="e" vm="53">
        <v>#VALUE!</v>
      </c>
      <c r="D82" s="75" t="str">
        <f t="shared" si="23"/>
        <v/>
      </c>
      <c r="E82" s="618" t="str">
        <f>VLOOKUP(793,Sprachindex!$A:$Z,Info!$O$7,FALSE)</f>
        <v>Einlegeprofil (3.000 mm)</v>
      </c>
      <c r="F82" s="619"/>
      <c r="G82" s="619"/>
      <c r="H82" s="619"/>
      <c r="I82" s="619"/>
      <c r="J82" s="619"/>
      <c r="K82" s="620"/>
      <c r="L82" s="76" t="str">
        <f t="shared" si="13"/>
        <v/>
      </c>
      <c r="M82" s="161" t="str">
        <f>VLOOKUP(1512,Sprachindex!$A:$Z,Info!$O$7,FALSE)</f>
        <v>lfm</v>
      </c>
      <c r="N82" s="77"/>
      <c r="O82" s="184" t="str">
        <f t="shared" si="17"/>
        <v/>
      </c>
      <c r="P82" s="267"/>
      <c r="Q82" s="5"/>
      <c r="R82" s="182">
        <v>11.03</v>
      </c>
      <c r="S82" s="179"/>
      <c r="T82" s="179"/>
      <c r="U82" s="179"/>
      <c r="V82" s="179"/>
      <c r="W82" s="179"/>
      <c r="X82" s="179"/>
      <c r="Y82" s="179"/>
      <c r="Z82" s="179"/>
      <c r="AA82" s="179"/>
      <c r="AB82" s="179"/>
      <c r="AC82" s="139">
        <f>ROUNDUP($A82/3,0)*3</f>
        <v>0</v>
      </c>
      <c r="AD82" s="139">
        <f>ROUNDUP($A82/3,0)*3</f>
        <v>0</v>
      </c>
      <c r="AF82" s="135"/>
      <c r="AH82" s="44">
        <v>120353</v>
      </c>
      <c r="AI82" s="44">
        <v>120350</v>
      </c>
      <c r="AJ82" s="44">
        <v>120358</v>
      </c>
      <c r="AK82" s="44">
        <v>120355</v>
      </c>
      <c r="AL82" s="44">
        <v>120351</v>
      </c>
      <c r="AM82" s="44">
        <v>120357</v>
      </c>
      <c r="AN82" s="44">
        <v>120352</v>
      </c>
      <c r="AO82" s="44">
        <v>120356</v>
      </c>
      <c r="AP82" s="44">
        <v>120359</v>
      </c>
      <c r="AQ82" s="44">
        <v>120354</v>
      </c>
      <c r="AR82" s="44">
        <v>14231028</v>
      </c>
      <c r="AS82" s="512" t="e" vm="2">
        <f t="shared" si="24"/>
        <v>#VALUE!</v>
      </c>
    </row>
    <row r="83" spans="1:45" ht="32.1" customHeight="1">
      <c r="A83" s="93"/>
      <c r="B83" s="76" t="str">
        <f>VLOOKUP(878,Sprachindex!$A:$Z,Info!$O$7,FALSE)</f>
        <v>Stk.</v>
      </c>
      <c r="C83" s="78" t="e" vm="54">
        <v>#VALUE!</v>
      </c>
      <c r="D83" s="75" t="str">
        <f t="shared" si="23"/>
        <v/>
      </c>
      <c r="E83" s="618" t="str">
        <f>VLOOKUP(794,Sprachindex!$A:$Z,Info!$O$7,FALSE)</f>
        <v>Eiskralle</v>
      </c>
      <c r="F83" s="619"/>
      <c r="G83" s="619"/>
      <c r="H83" s="619"/>
      <c r="I83" s="619"/>
      <c r="J83" s="619"/>
      <c r="K83" s="620"/>
      <c r="L83" s="76" t="str">
        <f t="shared" si="13"/>
        <v/>
      </c>
      <c r="M83" s="161" t="str">
        <f>VLOOKUP(878,Sprachindex!$A:$Z,Info!$O$7,FALSE)</f>
        <v>Stk.</v>
      </c>
      <c r="N83" s="77"/>
      <c r="O83" s="184" t="str">
        <f t="shared" si="17"/>
        <v/>
      </c>
      <c r="P83" s="267"/>
      <c r="Q83" s="5"/>
      <c r="R83" s="182">
        <v>4.78</v>
      </c>
      <c r="S83" s="179"/>
      <c r="T83" s="179"/>
      <c r="U83" s="179"/>
      <c r="V83" s="179"/>
      <c r="W83" s="179"/>
      <c r="X83" s="179"/>
      <c r="Y83" s="179"/>
      <c r="Z83" s="179"/>
      <c r="AA83" s="179"/>
      <c r="AB83" s="179"/>
      <c r="AC83" s="139">
        <f>ROUNDUP($A83/100,0)*100</f>
        <v>0</v>
      </c>
      <c r="AD83" s="139">
        <f t="shared" ref="AD83:AD92" si="25">ROUNDUP($A83,0)</f>
        <v>0</v>
      </c>
      <c r="AF83" s="135"/>
      <c r="AH83" s="44">
        <v>120703</v>
      </c>
      <c r="AI83" s="44">
        <v>120700</v>
      </c>
      <c r="AJ83" s="44">
        <v>120708</v>
      </c>
      <c r="AK83" s="44">
        <v>120705</v>
      </c>
      <c r="AL83" s="44">
        <v>120701</v>
      </c>
      <c r="AM83" s="44">
        <v>120707</v>
      </c>
      <c r="AN83" s="44">
        <v>120702</v>
      </c>
      <c r="AO83" s="44">
        <v>120706</v>
      </c>
      <c r="AP83" s="44">
        <v>120709</v>
      </c>
      <c r="AQ83" s="44">
        <v>120704</v>
      </c>
      <c r="AR83" s="44">
        <v>14111028</v>
      </c>
      <c r="AS83" s="512" t="e" vm="2">
        <f t="shared" si="24"/>
        <v>#VALUE!</v>
      </c>
    </row>
    <row r="84" spans="1:45" ht="32.1" customHeight="1">
      <c r="A84" s="93"/>
      <c r="B84" s="76" t="str">
        <f>VLOOKUP(878,Sprachindex!$A:$Z,Info!$O$7,FALSE)</f>
        <v>Stk.</v>
      </c>
      <c r="C84" s="78" t="e" vm="55">
        <v>#VALUE!</v>
      </c>
      <c r="D84" s="75" t="str">
        <f t="shared" si="23"/>
        <v/>
      </c>
      <c r="E84" s="618" t="str">
        <f>VLOOKUP(791,Sprachindex!$A:$Z,Info!$O$7,FALSE)</f>
        <v>Abschluss für Schneerechensystem</v>
      </c>
      <c r="F84" s="619"/>
      <c r="G84" s="619"/>
      <c r="H84" s="619"/>
      <c r="I84" s="619"/>
      <c r="J84" s="619"/>
      <c r="K84" s="620"/>
      <c r="L84" s="76" t="str">
        <f t="shared" si="13"/>
        <v/>
      </c>
      <c r="M84" s="161" t="str">
        <f>VLOOKUP(878,Sprachindex!$A:$Z,Info!$O$7,FALSE)</f>
        <v>Stk.</v>
      </c>
      <c r="N84" s="77"/>
      <c r="O84" s="184" t="str">
        <f t="shared" si="17"/>
        <v/>
      </c>
      <c r="P84" s="267"/>
      <c r="Q84" s="5"/>
      <c r="R84" s="182">
        <v>6.52</v>
      </c>
      <c r="S84" s="179"/>
      <c r="T84" s="179"/>
      <c r="U84" s="179"/>
      <c r="V84" s="179"/>
      <c r="W84" s="179"/>
      <c r="X84" s="179"/>
      <c r="Y84" s="179"/>
      <c r="Z84" s="179"/>
      <c r="AA84" s="179"/>
      <c r="AB84" s="179"/>
      <c r="AC84" s="139">
        <f>ROUNDUP($A84/2,0)*2</f>
        <v>0</v>
      </c>
      <c r="AD84" s="139">
        <f t="shared" si="25"/>
        <v>0</v>
      </c>
      <c r="AF84" s="135"/>
      <c r="AH84" s="44">
        <v>120393</v>
      </c>
      <c r="AI84" s="44">
        <v>120390</v>
      </c>
      <c r="AJ84" s="44">
        <v>120398</v>
      </c>
      <c r="AK84" s="44">
        <v>120395</v>
      </c>
      <c r="AL84" s="44">
        <v>120391</v>
      </c>
      <c r="AM84" s="44">
        <v>120397</v>
      </c>
      <c r="AN84" s="44">
        <v>120392</v>
      </c>
      <c r="AO84" s="44">
        <v>120396</v>
      </c>
      <c r="AP84" s="44">
        <v>120399</v>
      </c>
      <c r="AQ84" s="44">
        <v>120394</v>
      </c>
      <c r="AR84" s="44">
        <v>14101028</v>
      </c>
      <c r="AS84" s="512" t="e" vm="2">
        <f t="shared" si="24"/>
        <v>#VALUE!</v>
      </c>
    </row>
    <row r="85" spans="1:45" ht="32.1" customHeight="1">
      <c r="A85" s="93"/>
      <c r="B85" s="76" t="str">
        <f>VLOOKUP(878,Sprachindex!$A:$Z,Info!$O$7,FALSE)</f>
        <v>Stk.</v>
      </c>
      <c r="C85" s="78" t="e" vm="56">
        <v>#VALUE!</v>
      </c>
      <c r="D85" s="75" t="str">
        <f t="shared" si="23"/>
        <v/>
      </c>
      <c r="E85" s="618" t="str">
        <f>VLOOKUP(2192,Sprachindex!$A:$Z,Info!$O$7,FALSE)</f>
        <v>Abschluss für Schneerechensystem XL</v>
      </c>
      <c r="F85" s="619"/>
      <c r="G85" s="619"/>
      <c r="H85" s="619"/>
      <c r="I85" s="619"/>
      <c r="J85" s="619"/>
      <c r="K85" s="620"/>
      <c r="L85" s="76" t="str">
        <f t="shared" si="13"/>
        <v/>
      </c>
      <c r="M85" s="161" t="str">
        <f>VLOOKUP(878,Sprachindex!$A:$Z,Info!$O$7,FALSE)</f>
        <v>Stk.</v>
      </c>
      <c r="N85" s="77"/>
      <c r="O85" s="184" t="str">
        <f t="shared" si="17"/>
        <v/>
      </c>
      <c r="P85" s="267"/>
      <c r="Q85" s="5"/>
      <c r="R85" s="182">
        <v>8.5500000000000007</v>
      </c>
      <c r="S85" s="179"/>
      <c r="T85" s="179"/>
      <c r="U85" s="179"/>
      <c r="V85" s="179"/>
      <c r="W85" s="179"/>
      <c r="X85" s="179"/>
      <c r="Y85" s="179"/>
      <c r="Z85" s="179"/>
      <c r="AA85" s="179"/>
      <c r="AB85" s="179"/>
      <c r="AC85" s="139">
        <f>ROUNDUP($A85/18,0)*18</f>
        <v>0</v>
      </c>
      <c r="AD85" s="139">
        <f t="shared" si="25"/>
        <v>0</v>
      </c>
      <c r="AF85" s="135"/>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512" t="e" vm="2">
        <f t="shared" si="24"/>
        <v>#VALUE!</v>
      </c>
    </row>
    <row r="86" spans="1:45" ht="32.1" customHeight="1">
      <c r="A86" s="93"/>
      <c r="B86" s="76" t="str">
        <f>VLOOKUP(878,Sprachindex!$A:$Z,Info!$O$7,FALSE)</f>
        <v>Stk.</v>
      </c>
      <c r="C86" s="78" t="e" vm="57">
        <v>#VALUE!</v>
      </c>
      <c r="D86" s="75" t="str">
        <f t="shared" si="23"/>
        <v/>
      </c>
      <c r="E86" s="618" t="str">
        <f>VLOOKUP(424,Sprachindex!$A:$Z,Info!$O$7,FALSE)</f>
        <v>Gebirgsschneefangstütze</v>
      </c>
      <c r="F86" s="619"/>
      <c r="G86" s="619"/>
      <c r="H86" s="619"/>
      <c r="I86" s="619"/>
      <c r="J86" s="619"/>
      <c r="K86" s="620"/>
      <c r="L86" s="76" t="str">
        <f t="shared" si="13"/>
        <v/>
      </c>
      <c r="M86" s="161" t="str">
        <f>VLOOKUP(878,Sprachindex!$A:$Z,Info!$O$7,FALSE)</f>
        <v>Stk.</v>
      </c>
      <c r="N86" s="77"/>
      <c r="O86" s="184" t="str">
        <f t="shared" si="17"/>
        <v/>
      </c>
      <c r="P86" s="267"/>
      <c r="Q86" s="5"/>
      <c r="R86" s="182">
        <v>57.49</v>
      </c>
      <c r="S86" s="179"/>
      <c r="T86" s="179"/>
      <c r="U86" s="179"/>
      <c r="V86" s="179"/>
      <c r="W86" s="179"/>
      <c r="X86" s="179"/>
      <c r="Y86" s="179"/>
      <c r="Z86" s="179"/>
      <c r="AA86" s="179"/>
      <c r="AB86" s="179"/>
      <c r="AC86" s="139">
        <f>ROUNDUP($A86/2,0)*2</f>
        <v>0</v>
      </c>
      <c r="AD86" s="139">
        <f t="shared" si="25"/>
        <v>0</v>
      </c>
      <c r="AF86" s="135"/>
      <c r="AH86" s="44">
        <v>120153</v>
      </c>
      <c r="AI86" s="44">
        <v>120150</v>
      </c>
      <c r="AJ86" s="44">
        <v>120158</v>
      </c>
      <c r="AK86" s="44">
        <v>120155</v>
      </c>
      <c r="AL86" s="44">
        <v>120151</v>
      </c>
      <c r="AM86" s="44">
        <v>120157</v>
      </c>
      <c r="AN86" s="44">
        <v>120152</v>
      </c>
      <c r="AO86" s="44">
        <v>120156</v>
      </c>
      <c r="AP86" s="44">
        <v>120159</v>
      </c>
      <c r="AQ86" s="44">
        <v>120154</v>
      </c>
      <c r="AR86" s="119">
        <v>14061028</v>
      </c>
      <c r="AS86" s="512" t="e" vm="2">
        <f t="shared" si="24"/>
        <v>#VALUE!</v>
      </c>
    </row>
    <row r="87" spans="1:45" ht="32.1" customHeight="1">
      <c r="A87" s="93"/>
      <c r="B87" s="76" t="str">
        <f>VLOOKUP(878,Sprachindex!$A:$Z,Info!$O$7,FALSE)</f>
        <v>Stk.</v>
      </c>
      <c r="C87" s="78" t="e" vm="58">
        <v>#VALUE!</v>
      </c>
      <c r="D87" s="75" t="str">
        <f t="shared" si="23"/>
        <v/>
      </c>
      <c r="E87" s="618" t="str">
        <f>VLOOKUP(510,Sprachindex!$A:$Z,Info!$O$7,FALSE)</f>
        <v>Kaminhut (700 × 700 mm)</v>
      </c>
      <c r="F87" s="619"/>
      <c r="G87" s="619"/>
      <c r="H87" s="619"/>
      <c r="I87" s="619"/>
      <c r="J87" s="619"/>
      <c r="K87" s="620"/>
      <c r="L87" s="76" t="str">
        <f t="shared" si="13"/>
        <v/>
      </c>
      <c r="M87" s="161" t="str">
        <f>VLOOKUP(878,Sprachindex!$A:$Z,Info!$O$7,FALSE)</f>
        <v>Stk.</v>
      </c>
      <c r="N87" s="77"/>
      <c r="O87" s="184" t="str">
        <f t="shared" si="17"/>
        <v/>
      </c>
      <c r="P87" s="267"/>
      <c r="Q87" s="5"/>
      <c r="R87" s="182">
        <v>157.28</v>
      </c>
      <c r="S87" s="179"/>
      <c r="T87" s="179"/>
      <c r="U87" s="179"/>
      <c r="V87" s="179"/>
      <c r="W87" s="179"/>
      <c r="X87" s="179"/>
      <c r="Y87" s="179"/>
      <c r="Z87" s="179"/>
      <c r="AA87" s="179"/>
      <c r="AB87" s="179"/>
      <c r="AC87" s="139">
        <f>ROUNDUP($A87,0)</f>
        <v>0</v>
      </c>
      <c r="AD87" s="139">
        <f t="shared" si="25"/>
        <v>0</v>
      </c>
      <c r="AF87" s="135"/>
      <c r="AH87" s="44">
        <v>110423</v>
      </c>
      <c r="AI87" s="44">
        <v>110420</v>
      </c>
      <c r="AJ87" s="44">
        <v>110428</v>
      </c>
      <c r="AK87" s="44">
        <v>110425</v>
      </c>
      <c r="AL87" s="44">
        <v>110421</v>
      </c>
      <c r="AM87" s="44">
        <v>110427</v>
      </c>
      <c r="AN87" s="44">
        <v>110422</v>
      </c>
      <c r="AO87" s="44">
        <v>110426</v>
      </c>
      <c r="AP87" s="44">
        <v>110429</v>
      </c>
      <c r="AQ87" s="44">
        <v>110424</v>
      </c>
      <c r="AR87" s="44">
        <v>15261028</v>
      </c>
      <c r="AS87" s="512" t="e" vm="2">
        <f t="shared" si="24"/>
        <v>#VALUE!</v>
      </c>
    </row>
    <row r="88" spans="1:45" ht="32.1" customHeight="1">
      <c r="A88" s="93"/>
      <c r="B88" s="76" t="str">
        <f>VLOOKUP(878,Sprachindex!$A:$Z,Info!$O$7,FALSE)</f>
        <v>Stk.</v>
      </c>
      <c r="C88" s="78" t="e" vm="59">
        <v>#VALUE!</v>
      </c>
      <c r="D88" s="75" t="str">
        <f t="shared" si="23"/>
        <v/>
      </c>
      <c r="E88" s="618" t="str">
        <f>VLOOKUP(511,Sprachindex!$A:$Z,Info!$O$7,FALSE)</f>
        <v>Kaminhut (800 × 800 mm)</v>
      </c>
      <c r="F88" s="619"/>
      <c r="G88" s="619"/>
      <c r="H88" s="619"/>
      <c r="I88" s="619"/>
      <c r="J88" s="619"/>
      <c r="K88" s="620"/>
      <c r="L88" s="76" t="str">
        <f t="shared" si="13"/>
        <v/>
      </c>
      <c r="M88" s="161" t="str">
        <f>VLOOKUP(878,Sprachindex!$A:$Z,Info!$O$7,FALSE)</f>
        <v>Stk.</v>
      </c>
      <c r="N88" s="77"/>
      <c r="O88" s="184" t="str">
        <f t="shared" si="17"/>
        <v/>
      </c>
      <c r="P88" s="267"/>
      <c r="Q88" s="5"/>
      <c r="R88" s="182">
        <v>169.95</v>
      </c>
      <c r="S88" s="179"/>
      <c r="T88" s="179"/>
      <c r="U88" s="179"/>
      <c r="V88" s="179"/>
      <c r="W88" s="179"/>
      <c r="X88" s="179"/>
      <c r="Y88" s="179"/>
      <c r="Z88" s="179"/>
      <c r="AA88" s="179"/>
      <c r="AB88" s="179"/>
      <c r="AC88" s="139">
        <f>ROUNDUP($A88,0)</f>
        <v>0</v>
      </c>
      <c r="AD88" s="139">
        <f t="shared" si="25"/>
        <v>0</v>
      </c>
      <c r="AF88" s="135"/>
      <c r="AH88" s="44">
        <v>110433</v>
      </c>
      <c r="AI88" s="44">
        <v>110430</v>
      </c>
      <c r="AJ88" s="44">
        <v>110438</v>
      </c>
      <c r="AK88" s="44">
        <v>110435</v>
      </c>
      <c r="AL88" s="44">
        <v>110431</v>
      </c>
      <c r="AM88" s="44">
        <v>110437</v>
      </c>
      <c r="AN88" s="44">
        <v>110432</v>
      </c>
      <c r="AO88" s="44">
        <v>110436</v>
      </c>
      <c r="AP88" s="44">
        <v>110439</v>
      </c>
      <c r="AQ88" s="44">
        <v>110434</v>
      </c>
      <c r="AR88" s="44">
        <v>15271028</v>
      </c>
      <c r="AS88" s="512" t="e" vm="2">
        <f t="shared" si="24"/>
        <v>#VALUE!</v>
      </c>
    </row>
    <row r="89" spans="1:45" ht="32.1" customHeight="1">
      <c r="A89" s="93"/>
      <c r="B89" s="76" t="str">
        <f>VLOOKUP(878,Sprachindex!$A:$Z,Info!$O$7,FALSE)</f>
        <v>Stk.</v>
      </c>
      <c r="C89" s="78" t="e" vm="60">
        <v>#VALUE!</v>
      </c>
      <c r="D89" s="75" t="str">
        <f t="shared" si="23"/>
        <v/>
      </c>
      <c r="E89" s="618" t="str">
        <f>VLOOKUP(507,Sprachindex!$A:$Z,Info!$O$7,FALSE)</f>
        <v>Kaminhut (1.000 × 700 mm)</v>
      </c>
      <c r="F89" s="619"/>
      <c r="G89" s="619"/>
      <c r="H89" s="619"/>
      <c r="I89" s="619"/>
      <c r="J89" s="619"/>
      <c r="K89" s="620"/>
      <c r="L89" s="76" t="str">
        <f t="shared" si="13"/>
        <v/>
      </c>
      <c r="M89" s="161" t="str">
        <f>VLOOKUP(878,Sprachindex!$A:$Z,Info!$O$7,FALSE)</f>
        <v>Stk.</v>
      </c>
      <c r="N89" s="77"/>
      <c r="O89" s="184" t="str">
        <f t="shared" si="17"/>
        <v/>
      </c>
      <c r="P89" s="267"/>
      <c r="Q89" s="5"/>
      <c r="R89" s="182">
        <v>170.57</v>
      </c>
      <c r="S89" s="179"/>
      <c r="T89" s="179"/>
      <c r="U89" s="179"/>
      <c r="V89" s="179"/>
      <c r="W89" s="179"/>
      <c r="X89" s="179"/>
      <c r="Y89" s="179"/>
      <c r="Z89" s="179"/>
      <c r="AA89" s="179"/>
      <c r="AB89" s="179"/>
      <c r="AC89" s="139">
        <f>ROUNDUP($A89,0)</f>
        <v>0</v>
      </c>
      <c r="AD89" s="139">
        <f t="shared" si="25"/>
        <v>0</v>
      </c>
      <c r="AF89" s="135"/>
      <c r="AH89" s="44">
        <v>110443</v>
      </c>
      <c r="AI89" s="44">
        <v>110440</v>
      </c>
      <c r="AJ89" s="44">
        <v>110448</v>
      </c>
      <c r="AK89" s="44">
        <v>110445</v>
      </c>
      <c r="AL89" s="44">
        <v>110441</v>
      </c>
      <c r="AM89" s="44">
        <v>110447</v>
      </c>
      <c r="AN89" s="44">
        <v>110442</v>
      </c>
      <c r="AO89" s="44">
        <v>110446</v>
      </c>
      <c r="AP89" s="44">
        <v>110449</v>
      </c>
      <c r="AQ89" s="44">
        <v>110444</v>
      </c>
      <c r="AR89" s="44">
        <v>15281028</v>
      </c>
      <c r="AS89" s="512" t="e" vm="2">
        <f t="shared" si="24"/>
        <v>#VALUE!</v>
      </c>
    </row>
    <row r="90" spans="1:45" ht="32.1" customHeight="1">
      <c r="A90" s="93"/>
      <c r="B90" s="76" t="str">
        <f>VLOOKUP(878,Sprachindex!$A:$Z,Info!$O$7,FALSE)</f>
        <v>Stk.</v>
      </c>
      <c r="C90" s="78" t="e" vm="61">
        <v>#VALUE!</v>
      </c>
      <c r="D90" s="75" t="str">
        <f t="shared" si="23"/>
        <v/>
      </c>
      <c r="E90" s="618" t="str">
        <f>VLOOKUP(508,Sprachindex!$A:$Z,Info!$O$7,FALSE)</f>
        <v>Kaminhut (1.100 × 800 mm)</v>
      </c>
      <c r="F90" s="619"/>
      <c r="G90" s="619"/>
      <c r="H90" s="619"/>
      <c r="I90" s="619"/>
      <c r="J90" s="619"/>
      <c r="K90" s="620"/>
      <c r="L90" s="76" t="str">
        <f t="shared" si="13"/>
        <v/>
      </c>
      <c r="M90" s="161" t="str">
        <f>VLOOKUP(878,Sprachindex!$A:$Z,Info!$O$7,FALSE)</f>
        <v>Stk.</v>
      </c>
      <c r="N90" s="77"/>
      <c r="O90" s="184" t="str">
        <f t="shared" si="17"/>
        <v/>
      </c>
      <c r="P90" s="267"/>
      <c r="Q90" s="5"/>
      <c r="R90" s="182">
        <v>204.46</v>
      </c>
      <c r="S90" s="179"/>
      <c r="T90" s="179"/>
      <c r="U90" s="179"/>
      <c r="V90" s="179"/>
      <c r="W90" s="179"/>
      <c r="X90" s="179"/>
      <c r="Y90" s="179"/>
      <c r="Z90" s="179"/>
      <c r="AA90" s="179"/>
      <c r="AB90" s="179"/>
      <c r="AC90" s="139">
        <f>ROUNDUP($A90,0)</f>
        <v>0</v>
      </c>
      <c r="AD90" s="139">
        <f t="shared" si="25"/>
        <v>0</v>
      </c>
      <c r="AF90" s="135"/>
      <c r="AH90" s="44">
        <v>110453</v>
      </c>
      <c r="AI90" s="44">
        <v>110450</v>
      </c>
      <c r="AJ90" s="44">
        <v>110458</v>
      </c>
      <c r="AK90" s="44">
        <v>110455</v>
      </c>
      <c r="AL90" s="44">
        <v>110451</v>
      </c>
      <c r="AM90" s="44">
        <v>110457</v>
      </c>
      <c r="AN90" s="44">
        <v>110452</v>
      </c>
      <c r="AO90" s="44">
        <v>110456</v>
      </c>
      <c r="AP90" s="44">
        <v>110459</v>
      </c>
      <c r="AQ90" s="44">
        <v>110454</v>
      </c>
      <c r="AR90" s="44">
        <v>15291028</v>
      </c>
      <c r="AS90" s="512" t="e" vm="2">
        <f t="shared" si="24"/>
        <v>#VALUE!</v>
      </c>
    </row>
    <row r="91" spans="1:45" ht="32.1" customHeight="1">
      <c r="A91" s="93"/>
      <c r="B91" s="76" t="str">
        <f>VLOOKUP(878,Sprachindex!$A:$Z,Info!$O$7,FALSE)</f>
        <v>Stk.</v>
      </c>
      <c r="C91" s="78" t="e" vm="59">
        <v>#VALUE!</v>
      </c>
      <c r="D91" s="75" t="str">
        <f t="shared" si="23"/>
        <v/>
      </c>
      <c r="E91" s="618" t="str">
        <f>VLOOKUP(509,Sprachindex!$A:$Z,Info!$O$7,FALSE)</f>
        <v>Kaminhut (1.500 × 800 mm)</v>
      </c>
      <c r="F91" s="619"/>
      <c r="G91" s="619"/>
      <c r="H91" s="619"/>
      <c r="I91" s="619"/>
      <c r="J91" s="619"/>
      <c r="K91" s="620"/>
      <c r="L91" s="76" t="str">
        <f t="shared" si="13"/>
        <v/>
      </c>
      <c r="M91" s="161" t="str">
        <f>VLOOKUP(878,Sprachindex!$A:$Z,Info!$O$7,FALSE)</f>
        <v>Stk.</v>
      </c>
      <c r="N91" s="77"/>
      <c r="O91" s="184" t="str">
        <f t="shared" si="17"/>
        <v/>
      </c>
      <c r="P91" s="267"/>
      <c r="Q91" s="5"/>
      <c r="R91" s="182">
        <v>279.54000000000002</v>
      </c>
      <c r="S91" s="179"/>
      <c r="T91" s="179"/>
      <c r="U91" s="179"/>
      <c r="V91" s="179"/>
      <c r="W91" s="179"/>
      <c r="X91" s="179"/>
      <c r="Y91" s="179"/>
      <c r="Z91" s="179"/>
      <c r="AA91" s="179"/>
      <c r="AB91" s="179"/>
      <c r="AC91" s="139">
        <f>ROUNDUP($A91,0)</f>
        <v>0</v>
      </c>
      <c r="AD91" s="139">
        <f t="shared" si="25"/>
        <v>0</v>
      </c>
      <c r="AF91" s="135"/>
      <c r="AH91" s="44">
        <v>110463</v>
      </c>
      <c r="AI91" s="44">
        <v>110460</v>
      </c>
      <c r="AJ91" s="44">
        <v>110468</v>
      </c>
      <c r="AK91" s="44">
        <v>110465</v>
      </c>
      <c r="AL91" s="44">
        <v>110461</v>
      </c>
      <c r="AM91" s="44">
        <v>110467</v>
      </c>
      <c r="AN91" s="44">
        <v>110462</v>
      </c>
      <c r="AO91" s="44">
        <v>110466</v>
      </c>
      <c r="AP91" s="44">
        <v>110469</v>
      </c>
      <c r="AQ91" s="44">
        <v>110464</v>
      </c>
      <c r="AR91" s="44">
        <v>15301028</v>
      </c>
      <c r="AS91" s="512" t="e" vm="2">
        <f t="shared" si="24"/>
        <v>#VALUE!</v>
      </c>
    </row>
    <row r="92" spans="1:45" ht="32.1" customHeight="1">
      <c r="A92" s="93"/>
      <c r="B92" s="76" t="str">
        <f>VLOOKUP(878,Sprachindex!$A:$Z,Info!$O$7,FALSE)</f>
        <v>Stk.</v>
      </c>
      <c r="C92" s="78" t="e" vm="62">
        <v>#VALUE!</v>
      </c>
      <c r="D92" s="75" t="str">
        <f t="shared" si="23"/>
        <v/>
      </c>
      <c r="E92" s="618" t="str">
        <f>VLOOKUP(512,Sprachindex!$A:$Z,Info!$O$7,FALSE)</f>
        <v>Kaminstrebe gebogen</v>
      </c>
      <c r="F92" s="619"/>
      <c r="G92" s="619"/>
      <c r="H92" s="619"/>
      <c r="I92" s="619"/>
      <c r="J92" s="619"/>
      <c r="K92" s="620"/>
      <c r="L92" s="76" t="str">
        <f t="shared" si="13"/>
        <v/>
      </c>
      <c r="M92" s="161" t="str">
        <f>VLOOKUP(878,Sprachindex!$A:$Z,Info!$O$7,FALSE)</f>
        <v>Stk.</v>
      </c>
      <c r="N92" s="77"/>
      <c r="O92" s="184" t="str">
        <f t="shared" si="17"/>
        <v/>
      </c>
      <c r="P92" s="267"/>
      <c r="Q92" s="5"/>
      <c r="R92" s="182">
        <v>17.27</v>
      </c>
      <c r="S92" s="179"/>
      <c r="T92" s="179"/>
      <c r="U92" s="179"/>
      <c r="V92" s="179"/>
      <c r="W92" s="179"/>
      <c r="X92" s="179"/>
      <c r="Y92" s="179"/>
      <c r="Z92" s="179"/>
      <c r="AA92" s="179"/>
      <c r="AB92" s="179"/>
      <c r="AC92" s="139">
        <f>ROUNDUP($A92/10,0)*10</f>
        <v>0</v>
      </c>
      <c r="AD92" s="139">
        <f t="shared" si="25"/>
        <v>0</v>
      </c>
      <c r="AF92" s="135"/>
      <c r="AH92" s="44">
        <v>110413</v>
      </c>
      <c r="AI92" s="44">
        <v>110410</v>
      </c>
      <c r="AJ92" s="44">
        <v>110418</v>
      </c>
      <c r="AK92" s="44">
        <v>110415</v>
      </c>
      <c r="AL92" s="44">
        <v>110411</v>
      </c>
      <c r="AM92" s="44">
        <v>110417</v>
      </c>
      <c r="AN92" s="44">
        <v>110412</v>
      </c>
      <c r="AO92" s="44">
        <v>110416</v>
      </c>
      <c r="AP92" s="44">
        <v>110419</v>
      </c>
      <c r="AQ92" s="44">
        <v>110414</v>
      </c>
      <c r="AR92" s="44">
        <v>15331028</v>
      </c>
      <c r="AS92" s="512" t="e" vm="2">
        <f t="shared" si="24"/>
        <v>#VALUE!</v>
      </c>
    </row>
    <row r="93" spans="1:45" ht="32.1" customHeight="1">
      <c r="A93" s="93"/>
      <c r="B93" s="76" t="str">
        <f>VLOOKUP(1512,Sprachindex!$A:$Z,Info!$O$7,FALSE)</f>
        <v>lfm</v>
      </c>
      <c r="C93" s="78" t="e" vm="63">
        <v>#VALUE!</v>
      </c>
      <c r="D93" s="75" t="str">
        <f t="shared" si="23"/>
        <v/>
      </c>
      <c r="E93" s="618" t="str">
        <f>VLOOKUP(402,Sprachindex!$A:$Z,Info!$O$7,FALSE)</f>
        <v>Flachprofil (35 × 7 × 3.000 mm)</v>
      </c>
      <c r="F93" s="619"/>
      <c r="G93" s="619"/>
      <c r="H93" s="619"/>
      <c r="I93" s="619"/>
      <c r="J93" s="619"/>
      <c r="K93" s="620"/>
      <c r="L93" s="76" t="str">
        <f t="shared" si="13"/>
        <v/>
      </c>
      <c r="M93" s="161" t="str">
        <f>VLOOKUP(1512,Sprachindex!$A:$Z,Info!$O$7,FALSE)</f>
        <v>lfm</v>
      </c>
      <c r="N93" s="77"/>
      <c r="O93" s="184" t="str">
        <f t="shared" si="17"/>
        <v/>
      </c>
      <c r="P93" s="267"/>
      <c r="Q93" s="5"/>
      <c r="R93" s="182">
        <v>11.66</v>
      </c>
      <c r="S93" s="179"/>
      <c r="T93" s="179"/>
      <c r="U93" s="179"/>
      <c r="V93" s="179"/>
      <c r="W93" s="179"/>
      <c r="X93" s="179"/>
      <c r="Y93" s="179"/>
      <c r="Z93" s="179"/>
      <c r="AA93" s="179"/>
      <c r="AB93" s="179"/>
      <c r="AC93" s="139">
        <f>ROUNDUP($A93/3,0)*3</f>
        <v>0</v>
      </c>
      <c r="AD93" s="139">
        <f>ROUNDUP($A93/3,0)*3</f>
        <v>0</v>
      </c>
      <c r="AF93" s="135"/>
      <c r="AH93" s="44">
        <v>110403</v>
      </c>
      <c r="AI93" s="44">
        <v>110400</v>
      </c>
      <c r="AJ93" s="44">
        <v>110408</v>
      </c>
      <c r="AK93" s="44">
        <v>110405</v>
      </c>
      <c r="AL93" s="44">
        <v>110401</v>
      </c>
      <c r="AM93" s="44">
        <v>110407</v>
      </c>
      <c r="AN93" s="44">
        <v>110402</v>
      </c>
      <c r="AO93" s="44">
        <v>110406</v>
      </c>
      <c r="AP93" s="111" t="s">
        <v>63</v>
      </c>
      <c r="AQ93" s="44">
        <v>110404</v>
      </c>
      <c r="AR93" s="111">
        <v>15321028</v>
      </c>
      <c r="AS93" s="512" t="e" vm="2">
        <f t="shared" si="24"/>
        <v>#VALUE!</v>
      </c>
    </row>
    <row r="94" spans="1:45" ht="32.1" customHeight="1">
      <c r="A94" s="93"/>
      <c r="B94" s="76" t="str">
        <f>VLOOKUP(878,Sprachindex!$A:$Z,Info!$O$7,FALSE)</f>
        <v>Stk.</v>
      </c>
      <c r="C94" s="78"/>
      <c r="D94" s="75" t="str">
        <f t="shared" si="23"/>
        <v/>
      </c>
      <c r="E94" s="618" t="str">
        <f>VLOOKUP(459,Sprachindex!$A:$Z,Info!$O$7,FALSE)</f>
        <v>Hauerbuckel; zum Abdecken von Befestigungsmitteln</v>
      </c>
      <c r="F94" s="619"/>
      <c r="G94" s="619"/>
      <c r="H94" s="619"/>
      <c r="I94" s="619"/>
      <c r="J94" s="619"/>
      <c r="K94" s="620"/>
      <c r="L94" s="76" t="str">
        <f t="shared" si="13"/>
        <v/>
      </c>
      <c r="M94" s="161" t="str">
        <f>VLOOKUP(878,Sprachindex!$A:$Z,Info!$O$7,FALSE)</f>
        <v>Stk.</v>
      </c>
      <c r="N94" s="77"/>
      <c r="O94" s="184" t="str">
        <f t="shared" si="17"/>
        <v/>
      </c>
      <c r="P94" s="267"/>
      <c r="Q94" s="5"/>
      <c r="R94" s="182">
        <v>2.12</v>
      </c>
      <c r="S94" s="179"/>
      <c r="T94" s="179"/>
      <c r="U94" s="179"/>
      <c r="V94" s="179"/>
      <c r="W94" s="179"/>
      <c r="X94" s="179"/>
      <c r="Y94" s="179"/>
      <c r="Z94" s="179"/>
      <c r="AA94" s="179"/>
      <c r="AB94" s="179"/>
      <c r="AC94" s="139">
        <f>ROUNDUP($A94,0)</f>
        <v>0</v>
      </c>
      <c r="AD94" s="139">
        <f>ROUNDUP($A94,0)</f>
        <v>0</v>
      </c>
      <c r="AF94" s="135"/>
      <c r="AH94" s="44">
        <v>112404</v>
      </c>
      <c r="AI94" s="44">
        <v>112401</v>
      </c>
      <c r="AJ94" s="44">
        <v>112409</v>
      </c>
      <c r="AK94" s="44">
        <v>112406</v>
      </c>
      <c r="AL94" s="44">
        <v>112402</v>
      </c>
      <c r="AM94" s="44">
        <v>112408</v>
      </c>
      <c r="AN94" s="44">
        <v>112403</v>
      </c>
      <c r="AO94" s="44">
        <v>112407</v>
      </c>
      <c r="AP94" s="44">
        <v>112410</v>
      </c>
      <c r="AQ94" s="44">
        <v>112405</v>
      </c>
      <c r="AR94" s="44">
        <v>58581028</v>
      </c>
      <c r="AS94" s="512" t="e" vm="2">
        <f t="shared" si="24"/>
        <v>#VALUE!</v>
      </c>
    </row>
    <row r="95" spans="1:45" ht="32.1" customHeight="1">
      <c r="A95" s="93"/>
      <c r="B95" s="76" t="s">
        <v>31</v>
      </c>
      <c r="C95" s="78" t="e" vm="65">
        <v>#VALUE!</v>
      </c>
      <c r="D95" s="75">
        <v>340404</v>
      </c>
      <c r="E95" s="618" t="str">
        <f>VLOOKUP(1422,Sprachindex!$A:$Z,Info!$O$7,FALSE)</f>
        <v>Dachleitungshalter für Blitzschutzdraht</v>
      </c>
      <c r="F95" s="619"/>
      <c r="G95" s="619"/>
      <c r="H95" s="619"/>
      <c r="I95" s="619"/>
      <c r="J95" s="619"/>
      <c r="K95" s="620"/>
      <c r="L95" s="76" t="str">
        <f t="shared" si="13"/>
        <v/>
      </c>
      <c r="M95" s="161" t="s">
        <v>31</v>
      </c>
      <c r="N95" s="77"/>
      <c r="O95" s="184" t="str">
        <f t="shared" si="17"/>
        <v/>
      </c>
      <c r="P95" s="267"/>
      <c r="Q95" s="5"/>
      <c r="R95" s="182">
        <v>7.37</v>
      </c>
      <c r="S95" s="179"/>
      <c r="T95" s="179"/>
      <c r="U95" s="179"/>
      <c r="V95" s="179"/>
      <c r="W95" s="179"/>
      <c r="X95" s="179"/>
      <c r="Y95" s="179"/>
      <c r="Z95" s="179"/>
      <c r="AA95" s="179"/>
      <c r="AB95" s="179"/>
      <c r="AC95" s="139">
        <f>ROUNDUP($A95/50,0)*50</f>
        <v>0</v>
      </c>
      <c r="AD95" s="139">
        <f t="shared" ref="AD95:AD103" si="26">ROUNDUP($A95,0)</f>
        <v>0</v>
      </c>
      <c r="AF95" s="135"/>
      <c r="AH95" s="119"/>
      <c r="AI95" s="119"/>
      <c r="AJ95" s="119"/>
      <c r="AK95" s="119"/>
      <c r="AL95" s="119"/>
      <c r="AM95" s="119"/>
      <c r="AN95" s="119"/>
      <c r="AO95" s="119"/>
      <c r="AP95" s="119"/>
      <c r="AQ95" s="119"/>
      <c r="AR95" s="119"/>
      <c r="AS95" s="547"/>
    </row>
    <row r="96" spans="1:45" ht="32.1" customHeight="1">
      <c r="A96" s="93"/>
      <c r="B96" s="76" t="str">
        <f>VLOOKUP(878,Sprachindex!$A:$Z,Info!$O$7,FALSE)</f>
        <v>Stk.</v>
      </c>
      <c r="C96" s="75" t="e" vm="66">
        <v>#VALUE!</v>
      </c>
      <c r="D96" s="75">
        <v>420501</v>
      </c>
      <c r="E96" s="654" t="str">
        <f>VLOOKUP(851,Sprachindex!$A:$Z,Info!$O$7,FALSE)</f>
        <v>Spezialkleber</v>
      </c>
      <c r="F96" s="655"/>
      <c r="G96" s="655"/>
      <c r="H96" s="655"/>
      <c r="I96" s="655"/>
      <c r="J96" s="655"/>
      <c r="K96" s="656"/>
      <c r="L96" s="76" t="str">
        <f t="shared" si="13"/>
        <v/>
      </c>
      <c r="M96" s="161" t="str">
        <f>VLOOKUP(878,Sprachindex!$A:$Z,Info!$O$7,FALSE)</f>
        <v>Stk.</v>
      </c>
      <c r="N96" s="77"/>
      <c r="O96" s="184" t="str">
        <f t="shared" si="17"/>
        <v/>
      </c>
      <c r="P96" s="267"/>
      <c r="Q96" s="5"/>
      <c r="R96" s="182">
        <v>40.299999999999997</v>
      </c>
      <c r="S96" s="179"/>
      <c r="T96" s="179"/>
      <c r="U96" s="179"/>
      <c r="V96" s="179"/>
      <c r="W96" s="179"/>
      <c r="X96" s="179"/>
      <c r="Y96" s="179"/>
      <c r="Z96" s="179"/>
      <c r="AA96" s="179"/>
      <c r="AB96" s="179"/>
      <c r="AC96" s="139">
        <f>ROUNDUP($A96/24,0)*24</f>
        <v>0</v>
      </c>
      <c r="AD96" s="139">
        <f t="shared" si="26"/>
        <v>0</v>
      </c>
      <c r="AF96" s="140"/>
      <c r="AS96" s="20"/>
    </row>
    <row r="97" spans="1:57" ht="32.1" customHeight="1">
      <c r="A97" s="93"/>
      <c r="B97" s="76" t="str">
        <f>VLOOKUP(821,Sprachindex!$A:$Z,Info!$O$7,FALSE)</f>
        <v>Set</v>
      </c>
      <c r="C97" s="75" t="e" vm="67">
        <v>#VALUE!</v>
      </c>
      <c r="D97" s="75">
        <v>420500</v>
      </c>
      <c r="E97" s="618" t="str">
        <f>VLOOKUP(852,Sprachindex!$A:$Z,Info!$O$7,FALSE)</f>
        <v>Spezialkleberset</v>
      </c>
      <c r="F97" s="619"/>
      <c r="G97" s="619"/>
      <c r="H97" s="619"/>
      <c r="I97" s="619"/>
      <c r="J97" s="619"/>
      <c r="K97" s="620"/>
      <c r="L97" s="76" t="str">
        <f t="shared" si="13"/>
        <v/>
      </c>
      <c r="M97" s="161" t="str">
        <f>VLOOKUP(821,Sprachindex!$A:$Z,Info!$O$7,FALSE)</f>
        <v>Set</v>
      </c>
      <c r="N97" s="77"/>
      <c r="O97" s="184" t="str">
        <f t="shared" si="17"/>
        <v/>
      </c>
      <c r="P97" s="267"/>
      <c r="Q97" s="5"/>
      <c r="R97" s="182">
        <v>55.18</v>
      </c>
      <c r="S97" s="179"/>
      <c r="T97" s="179"/>
      <c r="U97" s="179"/>
      <c r="V97" s="179"/>
      <c r="W97" s="179"/>
      <c r="X97" s="179"/>
      <c r="Y97" s="179"/>
      <c r="Z97" s="179"/>
      <c r="AA97" s="179"/>
      <c r="AB97" s="179"/>
      <c r="AC97" s="139">
        <f t="shared" ref="AC97:AC101" si="27">ROUNDUP($A97,0)</f>
        <v>0</v>
      </c>
      <c r="AD97" s="139">
        <f t="shared" si="26"/>
        <v>0</v>
      </c>
      <c r="AF97" s="135"/>
      <c r="AH97" s="47" t="s">
        <v>35</v>
      </c>
      <c r="AI97" s="47" t="s">
        <v>32</v>
      </c>
      <c r="AJ97" s="47" t="s">
        <v>40</v>
      </c>
      <c r="AK97" s="47" t="s">
        <v>37</v>
      </c>
      <c r="AL97" s="47" t="s">
        <v>33</v>
      </c>
      <c r="AM97" s="47" t="s">
        <v>39</v>
      </c>
      <c r="AN97" s="47" t="s">
        <v>34</v>
      </c>
      <c r="AO97" s="47" t="s">
        <v>38</v>
      </c>
      <c r="AP97" s="47" t="s">
        <v>41</v>
      </c>
      <c r="AQ97" s="47" t="s">
        <v>36</v>
      </c>
      <c r="AR97" s="439" t="s">
        <v>38962</v>
      </c>
      <c r="AS97" s="20"/>
      <c r="AT97" s="149" t="s">
        <v>35</v>
      </c>
      <c r="AU97" s="47" t="s">
        <v>32</v>
      </c>
      <c r="AV97" s="47" t="s">
        <v>40</v>
      </c>
      <c r="AW97" s="47" t="s">
        <v>37</v>
      </c>
      <c r="AX97" s="47" t="s">
        <v>33</v>
      </c>
      <c r="AY97" s="47" t="s">
        <v>39</v>
      </c>
      <c r="AZ97" s="47" t="s">
        <v>34</v>
      </c>
      <c r="BA97" s="47" t="s">
        <v>38</v>
      </c>
      <c r="BB97" s="47" t="s">
        <v>41</v>
      </c>
      <c r="BC97" s="47" t="s">
        <v>36</v>
      </c>
      <c r="BD97" s="47" t="s">
        <v>38962</v>
      </c>
    </row>
    <row r="98" spans="1:57" ht="32.1" customHeight="1">
      <c r="A98" s="93"/>
      <c r="B98" s="76" t="str">
        <f>VLOOKUP(878,Sprachindex!$A:$Z,Info!$O$7,FALSE)</f>
        <v>Stk.</v>
      </c>
      <c r="C98" s="78" t="e" vm="70">
        <v>#VALUE!</v>
      </c>
      <c r="D98" s="75">
        <v>340415</v>
      </c>
      <c r="E98" s="618" t="str">
        <f>VLOOKUP(184,Sprachindex!$A:$Z,Info!$O$7,FALSE)</f>
        <v>Aufsparrenschraubenpaket</v>
      </c>
      <c r="F98" s="619"/>
      <c r="G98" s="619"/>
      <c r="H98" s="619"/>
      <c r="I98" s="619"/>
      <c r="J98" s="619"/>
      <c r="K98" s="620"/>
      <c r="L98" s="76" t="str">
        <f>IF($A98=0,"",IF($P$11=1,AC98,AD98))</f>
        <v/>
      </c>
      <c r="M98" s="161" t="str">
        <f>VLOOKUP(878,Sprachindex!$A:$Z,Info!$O$7,FALSE)</f>
        <v>Stk.</v>
      </c>
      <c r="N98" s="77"/>
      <c r="O98" s="184" t="str">
        <f t="shared" si="17"/>
        <v/>
      </c>
      <c r="P98" s="267"/>
      <c r="Q98" s="5"/>
      <c r="R98" s="182">
        <v>26.8</v>
      </c>
      <c r="S98" s="179"/>
      <c r="T98" s="179"/>
      <c r="U98" s="179"/>
      <c r="V98" s="179"/>
      <c r="W98" s="179"/>
      <c r="X98" s="179"/>
      <c r="Y98" s="179"/>
      <c r="Z98" s="179"/>
      <c r="AA98" s="179"/>
      <c r="AB98" s="179"/>
      <c r="AC98" s="139">
        <f t="shared" si="27"/>
        <v>0</v>
      </c>
      <c r="AD98" s="139">
        <f t="shared" si="26"/>
        <v>0</v>
      </c>
      <c r="AF98" s="135"/>
      <c r="AS98" s="20"/>
    </row>
    <row r="99" spans="1:57" ht="32.1" customHeight="1">
      <c r="A99" s="93"/>
      <c r="B99" s="76" t="str">
        <f>VLOOKUP(878,Sprachindex!$A:$Z,Info!$O$7,FALSE)</f>
        <v>Stk.</v>
      </c>
      <c r="C99" s="78" t="e" vm="71">
        <v>#VALUE!</v>
      </c>
      <c r="D99" s="75">
        <v>340416</v>
      </c>
      <c r="E99" s="618" t="str">
        <f>VLOOKUP(183,Sprachindex!$A:$Z,Info!$O$7,FALSE)</f>
        <v>Aufsparrenmontagepaket</v>
      </c>
      <c r="F99" s="619"/>
      <c r="G99" s="619"/>
      <c r="H99" s="619"/>
      <c r="I99" s="619"/>
      <c r="J99" s="619"/>
      <c r="K99" s="620"/>
      <c r="L99" s="76" t="str">
        <f>IF($A99=0,"",IF($P$11=1,AC99,AD99))</f>
        <v/>
      </c>
      <c r="M99" s="161" t="str">
        <f>VLOOKUP(878,Sprachindex!$A:$Z,Info!$O$7,FALSE)</f>
        <v>Stk.</v>
      </c>
      <c r="N99" s="77"/>
      <c r="O99" s="184" t="str">
        <f t="shared" si="17"/>
        <v/>
      </c>
      <c r="P99" s="267"/>
      <c r="Q99" s="5"/>
      <c r="R99" s="182">
        <v>44.93</v>
      </c>
      <c r="S99" s="179"/>
      <c r="T99" s="179"/>
      <c r="U99" s="179"/>
      <c r="V99" s="179"/>
      <c r="W99" s="179"/>
      <c r="X99" s="179"/>
      <c r="Y99" s="179"/>
      <c r="Z99" s="179"/>
      <c r="AA99" s="179"/>
      <c r="AB99" s="179"/>
      <c r="AC99" s="139">
        <f t="shared" si="27"/>
        <v>0</v>
      </c>
      <c r="AD99" s="139">
        <f t="shared" si="26"/>
        <v>0</v>
      </c>
      <c r="AF99" s="135"/>
      <c r="AS99" s="20"/>
    </row>
    <row r="100" spans="1:57" ht="32.1" customHeight="1">
      <c r="A100" s="93"/>
      <c r="B100" s="76" t="str">
        <f>VLOOKUP(878,Sprachindex!$A:$Z,Info!$O$7,FALSE)</f>
        <v>Stk.</v>
      </c>
      <c r="C100" s="78" t="e" vm="72">
        <v>#VALUE!</v>
      </c>
      <c r="D100" s="75">
        <v>119008</v>
      </c>
      <c r="E100" s="618" t="str">
        <f>VLOOKUP(2237,Sprachindex!$A:$Z,Info!$O$7,FALSE) &amp; " (" &amp; VLOOKUP(2668,Sprachindex!$A:$Z,Info!$O$7,FALSE) &amp; ")"</f>
        <v>Taurus-BEF-10 auf Fußteilen (P.10 Schwarz)</v>
      </c>
      <c r="F100" s="619"/>
      <c r="G100" s="619"/>
      <c r="H100" s="619"/>
      <c r="I100" s="619"/>
      <c r="J100" s="619"/>
      <c r="K100" s="620"/>
      <c r="L100" s="76" t="str">
        <f>IF($A100=0,"",IF($P$11=1,AC100,AD100))</f>
        <v/>
      </c>
      <c r="M100" s="161" t="str">
        <f>VLOOKUP(878,Sprachindex!$A:$Z,Info!$O$7,FALSE)</f>
        <v>Stk.</v>
      </c>
      <c r="N100" s="77"/>
      <c r="O100" s="184" t="str">
        <f t="shared" si="17"/>
        <v/>
      </c>
      <c r="P100" s="267"/>
      <c r="Q100" s="5"/>
      <c r="R100" s="182">
        <v>142.76</v>
      </c>
      <c r="S100" s="179"/>
      <c r="T100" s="179"/>
      <c r="U100" s="179"/>
      <c r="V100" s="179"/>
      <c r="W100" s="179"/>
      <c r="X100" s="179"/>
      <c r="Y100" s="179"/>
      <c r="Z100" s="179"/>
      <c r="AA100" s="179"/>
      <c r="AB100" s="179"/>
      <c r="AC100" s="139">
        <f t="shared" si="27"/>
        <v>0</v>
      </c>
      <c r="AD100" s="139">
        <f t="shared" si="26"/>
        <v>0</v>
      </c>
      <c r="AF100" s="135"/>
      <c r="AS100" s="20"/>
    </row>
    <row r="101" spans="1:57" ht="32.1" customHeight="1">
      <c r="A101" s="93"/>
      <c r="B101" s="76" t="str">
        <f>VLOOKUP(878,Sprachindex!$A:$Z,Info!$O$7,FALSE)</f>
        <v>Stk.</v>
      </c>
      <c r="C101" s="78" t="e" vm="73">
        <v>#VALUE!</v>
      </c>
      <c r="D101" s="75">
        <v>120268</v>
      </c>
      <c r="E101" s="618" t="str">
        <f>VLOOKUP(2238,Sprachindex!$A:$Z,Info!$O$7,FALSE) &amp; " (" &amp; VLOOKUP(2668,Sprachindex!$A:$Z,Info!$O$7,FALSE) &amp; ")"</f>
        <v>Einzelanschlagspunkt auf Fußteilen (P.10 Schwarz)</v>
      </c>
      <c r="F101" s="619"/>
      <c r="G101" s="619"/>
      <c r="H101" s="619"/>
      <c r="I101" s="619"/>
      <c r="J101" s="619"/>
      <c r="K101" s="620"/>
      <c r="L101" s="76" t="str">
        <f>IF($A101=0,"",IF($P$11=1,AC101,AD101))</f>
        <v/>
      </c>
      <c r="M101" s="161" t="str">
        <f>VLOOKUP(878,Sprachindex!$A:$Z,Info!$O$7,FALSE)</f>
        <v>Stk.</v>
      </c>
      <c r="N101" s="77"/>
      <c r="O101" s="184" t="str">
        <f t="shared" si="17"/>
        <v/>
      </c>
      <c r="P101" s="267"/>
      <c r="Q101" s="5"/>
      <c r="R101" s="182">
        <v>139.66999999999999</v>
      </c>
      <c r="S101" s="179"/>
      <c r="T101" s="179"/>
      <c r="U101" s="179"/>
      <c r="V101" s="179"/>
      <c r="W101" s="179"/>
      <c r="X101" s="179"/>
      <c r="Y101" s="179"/>
      <c r="Z101" s="179"/>
      <c r="AA101" s="179"/>
      <c r="AB101" s="179"/>
      <c r="AC101" s="139">
        <f t="shared" si="27"/>
        <v>0</v>
      </c>
      <c r="AD101" s="139">
        <f t="shared" si="26"/>
        <v>0</v>
      </c>
      <c r="AF101" s="135"/>
      <c r="AS101" s="20"/>
    </row>
    <row r="102" spans="1:57" ht="32.1" customHeight="1">
      <c r="A102" s="93"/>
      <c r="B102" s="76" t="str">
        <f>VLOOKUP(531,Sprachindex!$A:$Z,Info!$O$7,FALSE)</f>
        <v>kg</v>
      </c>
      <c r="C102" s="78" t="e" vm="74">
        <v>#VALUE!</v>
      </c>
      <c r="D102" s="75" t="str" cm="1">
        <f t="array" ref="D102">_xlfn.IFS(I102=Formeln!$A$107,AI102,I102=Formeln!$A$108,AH102,I102=Formeln!$A$109,AK102,I102=Formeln!$A$110,AJ102,TRUE,"")</f>
        <v/>
      </c>
      <c r="E102" s="618" t="str">
        <f>VLOOKUP(583,Sprachindex!$A:$Z,Info!$O$7,FALSE)</f>
        <v>Lochblech (⌀ 5 mm) ca. 24 kg/Rolle (0,7 × 1.000 mm)</v>
      </c>
      <c r="F102" s="619"/>
      <c r="G102" s="619"/>
      <c r="H102" s="647"/>
      <c r="I102" s="624"/>
      <c r="J102" s="625"/>
      <c r="K102" s="626"/>
      <c r="L102" s="76" t="str">
        <f>IF($A102=0,"",IF($I102=Formeln!$A$106," ",IF($P$11=1,AC102,AD102)))</f>
        <v/>
      </c>
      <c r="M102" s="161" t="str">
        <f>VLOOKUP(531,Sprachindex!$A:$Z,Info!$O$7,FALSE)</f>
        <v>kg</v>
      </c>
      <c r="N102" s="77"/>
      <c r="O102" s="204" t="str">
        <f t="shared" si="17"/>
        <v/>
      </c>
      <c r="P102" s="267"/>
      <c r="Q102" s="5"/>
      <c r="R102" s="182">
        <v>0</v>
      </c>
      <c r="S102" s="179"/>
      <c r="T102" s="179"/>
      <c r="U102" s="179"/>
      <c r="V102" s="179"/>
      <c r="W102" s="179"/>
      <c r="X102" s="179"/>
      <c r="Y102" s="179"/>
      <c r="Z102" s="179"/>
      <c r="AA102" s="179"/>
      <c r="AB102" s="179"/>
      <c r="AC102" s="139">
        <f>ROUNDUP($A102/24,0)*24</f>
        <v>0</v>
      </c>
      <c r="AD102" s="139">
        <f t="shared" si="26"/>
        <v>0</v>
      </c>
      <c r="AF102" s="141" t="str">
        <f>IF(A102&gt;24, Formeln!$A$119, Formeln!$A$118)</f>
        <v>Rolle</v>
      </c>
      <c r="AH102" s="44">
        <v>507202</v>
      </c>
      <c r="AI102" s="44">
        <v>507206</v>
      </c>
      <c r="AJ102" s="44">
        <v>507205</v>
      </c>
      <c r="AK102" s="163">
        <v>507203</v>
      </c>
      <c r="AL102" s="559"/>
      <c r="AS102" s="510"/>
    </row>
    <row r="103" spans="1:57" ht="32.1" customHeight="1">
      <c r="A103" s="93"/>
      <c r="B103" s="76" t="str">
        <f>VLOOKUP(531,Sprachindex!$A:$Z,Info!$O$7,FALSE)</f>
        <v>kg</v>
      </c>
      <c r="C103" s="78" t="e" vm="75">
        <v>#VALUE!</v>
      </c>
      <c r="D103" s="75" t="str">
        <f>IF($P$9=1,BE103,IF($P$9=2,AS103,""))</f>
        <v/>
      </c>
      <c r="E103" s="618" t="str">
        <f>VLOOKUP(669,Sprachindex!$A:$Z,Info!$O$7,FALSE)</f>
        <v>PREFALZ Ergänzungsband; 0,7 × 1.000 mm (für Zusatzverblechungen)</v>
      </c>
      <c r="F103" s="619"/>
      <c r="G103" s="619"/>
      <c r="H103" s="619"/>
      <c r="I103" s="619"/>
      <c r="J103" s="619"/>
      <c r="K103" s="620"/>
      <c r="L103" s="76" t="str">
        <f>IF(A103=0,"",IF($P$11=1,AC103,AD103))</f>
        <v/>
      </c>
      <c r="M103" s="161" t="str">
        <f>VLOOKUP(531,Sprachindex!$A:$Z,Info!$O$7,FALSE)</f>
        <v>kg</v>
      </c>
      <c r="N103" s="77"/>
      <c r="O103" s="204" t="str">
        <f t="shared" si="17"/>
        <v/>
      </c>
      <c r="P103" s="267"/>
      <c r="Q103" s="5"/>
      <c r="R103" s="182">
        <v>0</v>
      </c>
      <c r="S103" s="179"/>
      <c r="T103" s="179"/>
      <c r="U103" s="179"/>
      <c r="V103" s="179"/>
      <c r="W103" s="179"/>
      <c r="X103" s="179"/>
      <c r="Y103" s="179"/>
      <c r="Z103" s="179"/>
      <c r="AA103" s="179"/>
      <c r="AB103" s="179"/>
      <c r="AC103" s="151">
        <f>ROUNDUP($A103/30,0)*30</f>
        <v>0</v>
      </c>
      <c r="AD103" s="151">
        <f t="shared" si="26"/>
        <v>0</v>
      </c>
      <c r="AF103" s="141" t="str">
        <f>IF(A103&gt;60, Formeln!$A$119, Formeln!$A$118)</f>
        <v>Rolle</v>
      </c>
      <c r="AH103" s="545" t="s">
        <v>85</v>
      </c>
      <c r="AI103" s="433" t="s">
        <v>65</v>
      </c>
      <c r="AJ103" s="433" t="s">
        <v>72</v>
      </c>
      <c r="AK103" s="433" t="s">
        <v>69</v>
      </c>
      <c r="AL103" s="433" t="s">
        <v>66</v>
      </c>
      <c r="AM103" s="433" t="s">
        <v>71</v>
      </c>
      <c r="AN103" s="433" t="s">
        <v>67</v>
      </c>
      <c r="AO103" s="433" t="s">
        <v>70</v>
      </c>
      <c r="AP103" s="433" t="s">
        <v>73</v>
      </c>
      <c r="AQ103" s="433" t="s">
        <v>68</v>
      </c>
      <c r="AR103" s="545" t="s">
        <v>277</v>
      </c>
      <c r="AS103" s="512" t="e" vm="2">
        <f>VLOOKUP(AH103,AH103:AR103,$P$21,FALSE)</f>
        <v>#VALUE!</v>
      </c>
      <c r="AT103" s="432" t="s">
        <v>77</v>
      </c>
      <c r="AU103" s="432" t="s">
        <v>74</v>
      </c>
      <c r="AV103" s="432" t="s">
        <v>82</v>
      </c>
      <c r="AW103" s="432" t="s">
        <v>79</v>
      </c>
      <c r="AX103" s="432" t="s">
        <v>75</v>
      </c>
      <c r="AY103" s="432" t="s">
        <v>81</v>
      </c>
      <c r="AZ103" s="432" t="s">
        <v>76</v>
      </c>
      <c r="BA103" s="432" t="s">
        <v>80</v>
      </c>
      <c r="BB103" s="432" t="s">
        <v>83</v>
      </c>
      <c r="BC103" s="432" t="s">
        <v>78</v>
      </c>
      <c r="BD103" s="546" t="s">
        <v>293</v>
      </c>
      <c r="BE103" s="512" t="e" vm="2">
        <f>VLOOKUP(AT103,AT103:BD103,$P$21,FALSE)</f>
        <v>#VALUE!</v>
      </c>
    </row>
    <row r="104" spans="1:57" ht="32.1" customHeight="1">
      <c r="A104" s="93"/>
      <c r="B104" s="98"/>
      <c r="C104" s="98"/>
      <c r="D104" s="98"/>
      <c r="E104" s="648"/>
      <c r="F104" s="649"/>
      <c r="G104" s="649"/>
      <c r="H104" s="649"/>
      <c r="I104" s="649"/>
      <c r="J104" s="649"/>
      <c r="K104" s="650"/>
      <c r="L104" s="98"/>
      <c r="M104" s="399"/>
      <c r="N104" s="412"/>
      <c r="O104" s="184" t="str">
        <f t="shared" si="17"/>
        <v/>
      </c>
      <c r="P104" s="5"/>
      <c r="Q104" s="5"/>
      <c r="R104" s="182"/>
      <c r="S104" s="179"/>
      <c r="T104" s="179"/>
      <c r="U104" s="179"/>
      <c r="V104" s="179"/>
      <c r="W104" s="179"/>
      <c r="X104" s="179"/>
      <c r="Y104" s="179"/>
      <c r="Z104" s="179"/>
      <c r="AA104" s="179"/>
      <c r="AB104" s="1"/>
      <c r="AC104" s="8"/>
      <c r="AD104" s="8"/>
      <c r="AH104" s="47" t="s">
        <v>32</v>
      </c>
      <c r="AI104" s="47" t="s">
        <v>33</v>
      </c>
      <c r="AJ104" s="47" t="s">
        <v>34</v>
      </c>
      <c r="AK104" s="47" t="s">
        <v>35</v>
      </c>
      <c r="AL104" s="47" t="s">
        <v>36</v>
      </c>
      <c r="AM104" s="47" t="s">
        <v>37</v>
      </c>
      <c r="AN104" s="47" t="s">
        <v>38</v>
      </c>
      <c r="AO104" s="47" t="s">
        <v>39</v>
      </c>
      <c r="AP104" s="47" t="s">
        <v>40</v>
      </c>
      <c r="AQ104" s="47" t="s">
        <v>41</v>
      </c>
      <c r="AR104" s="47" t="s">
        <v>32</v>
      </c>
      <c r="AS104" s="47" t="s">
        <v>33</v>
      </c>
      <c r="AT104" s="47" t="s">
        <v>34</v>
      </c>
      <c r="AU104" s="47" t="s">
        <v>35</v>
      </c>
      <c r="AV104" s="47" t="s">
        <v>36</v>
      </c>
      <c r="AW104" s="47" t="s">
        <v>37</v>
      </c>
      <c r="AX104" s="47" t="s">
        <v>38</v>
      </c>
      <c r="AY104" s="47" t="s">
        <v>39</v>
      </c>
      <c r="AZ104" s="47" t="s">
        <v>40</v>
      </c>
      <c r="BA104" s="47" t="s">
        <v>41</v>
      </c>
    </row>
    <row r="105" spans="1:57" ht="32.1" customHeight="1">
      <c r="A105" s="93"/>
      <c r="B105" s="98"/>
      <c r="C105" s="98"/>
      <c r="D105" s="98"/>
      <c r="E105" s="648"/>
      <c r="F105" s="649"/>
      <c r="G105" s="649"/>
      <c r="H105" s="649"/>
      <c r="I105" s="649"/>
      <c r="J105" s="649"/>
      <c r="K105" s="650"/>
      <c r="L105" s="98"/>
      <c r="M105" s="399"/>
      <c r="N105" s="412"/>
      <c r="O105" s="184" t="str">
        <f t="shared" si="17"/>
        <v/>
      </c>
      <c r="P105" s="5"/>
      <c r="Q105" s="5"/>
      <c r="R105" s="182"/>
      <c r="S105" s="179"/>
      <c r="T105" s="179"/>
      <c r="U105" s="179"/>
      <c r="V105" s="179"/>
      <c r="W105" s="179"/>
      <c r="X105" s="179"/>
      <c r="Y105" s="179"/>
      <c r="Z105" s="179"/>
      <c r="AA105" s="179"/>
      <c r="AB105" s="1"/>
      <c r="AC105" s="8"/>
      <c r="AD105" s="8"/>
    </row>
    <row r="106" spans="1:57" ht="32.1" customHeight="1" thickBot="1">
      <c r="A106" s="143"/>
      <c r="B106" s="144"/>
      <c r="C106" s="144"/>
      <c r="D106" s="144"/>
      <c r="E106" s="651"/>
      <c r="F106" s="652"/>
      <c r="G106" s="652"/>
      <c r="H106" s="652"/>
      <c r="I106" s="652"/>
      <c r="J106" s="652"/>
      <c r="K106" s="653"/>
      <c r="L106" s="144"/>
      <c r="M106" s="400"/>
      <c r="N106" s="413"/>
      <c r="O106" s="184" t="str">
        <f t="shared" si="17"/>
        <v/>
      </c>
      <c r="P106" s="5"/>
      <c r="Q106" s="5"/>
      <c r="R106" s="186"/>
      <c r="S106" s="179"/>
      <c r="T106" s="179"/>
      <c r="U106" s="179"/>
      <c r="V106" s="179"/>
      <c r="W106" s="179"/>
      <c r="X106" s="179"/>
      <c r="Y106" s="179"/>
      <c r="Z106" s="179"/>
      <c r="AA106" s="179"/>
      <c r="AB106" s="1"/>
      <c r="AC106" s="8"/>
      <c r="AD106" s="8"/>
    </row>
    <row r="107" spans="1:57" ht="15" customHeight="1">
      <c r="A107" s="67"/>
      <c r="B107" s="67"/>
      <c r="C107" s="67"/>
      <c r="D107" s="641"/>
      <c r="E107" s="641"/>
      <c r="F107" s="641"/>
      <c r="G107" s="641"/>
      <c r="H107" s="641"/>
      <c r="I107" s="641"/>
      <c r="J107" s="641"/>
      <c r="K107" s="641"/>
      <c r="L107" s="641"/>
      <c r="M107" s="641"/>
      <c r="N107" s="641"/>
      <c r="O107" s="186"/>
      <c r="P107" s="186"/>
      <c r="Q107" s="186"/>
      <c r="R107" s="186"/>
      <c r="S107" s="186"/>
      <c r="T107" s="186"/>
      <c r="U107" s="186"/>
      <c r="V107" s="186"/>
      <c r="W107" s="186"/>
      <c r="X107" s="186"/>
      <c r="Y107" s="186"/>
      <c r="Z107" s="186"/>
    </row>
    <row r="108" spans="1:57" ht="17.399999999999999">
      <c r="A108" s="67"/>
      <c r="B108" s="67"/>
      <c r="C108" s="84" t="str">
        <f>VLOOKUP(1035,Sprachindex!$A:$Z,Info!$O$7,FALSE)</f>
        <v>Zusatzvermerk:</v>
      </c>
      <c r="D108" s="642"/>
      <c r="E108" s="642"/>
      <c r="F108" s="642"/>
      <c r="G108" s="642"/>
      <c r="H108" s="642"/>
      <c r="I108" s="642"/>
      <c r="J108" s="642"/>
      <c r="K108" s="642"/>
      <c r="L108" s="642"/>
      <c r="M108" s="642"/>
      <c r="N108" s="642"/>
      <c r="O108" s="180">
        <f>SUM(O31:O106)</f>
        <v>0</v>
      </c>
      <c r="P108" s="186"/>
      <c r="Q108" s="186"/>
      <c r="R108" s="186"/>
      <c r="S108" s="186"/>
      <c r="T108" s="186"/>
      <c r="U108" s="186"/>
      <c r="V108" s="186"/>
      <c r="W108" s="186"/>
      <c r="X108" s="186"/>
      <c r="Y108" s="186"/>
      <c r="Z108" s="186"/>
    </row>
    <row r="109" spans="1:57" ht="17.399999999999999">
      <c r="A109" s="67"/>
      <c r="B109" s="67"/>
      <c r="C109" s="67"/>
      <c r="D109" s="643"/>
      <c r="E109" s="643"/>
      <c r="F109" s="643"/>
      <c r="G109" s="643"/>
      <c r="H109" s="643"/>
      <c r="I109" s="643"/>
      <c r="J109" s="643"/>
      <c r="K109" s="643"/>
      <c r="L109" s="643"/>
      <c r="M109" s="643"/>
      <c r="N109" s="643"/>
      <c r="P109" s="186"/>
      <c r="Q109" s="186"/>
      <c r="R109" s="186"/>
      <c r="S109" s="186"/>
      <c r="T109" s="186"/>
      <c r="U109" s="186"/>
      <c r="V109" s="186"/>
      <c r="W109" s="186"/>
      <c r="X109" s="186"/>
      <c r="Y109" s="186"/>
      <c r="Z109" s="186"/>
    </row>
    <row r="110" spans="1:57" ht="17.399999999999999">
      <c r="A110" s="67"/>
      <c r="B110" s="67"/>
      <c r="C110" s="67"/>
      <c r="D110" s="642"/>
      <c r="E110" s="642"/>
      <c r="F110" s="642"/>
      <c r="G110" s="642"/>
      <c r="H110" s="642"/>
      <c r="I110" s="642"/>
      <c r="J110" s="642"/>
      <c r="K110" s="642"/>
      <c r="L110" s="642"/>
      <c r="M110" s="642"/>
      <c r="N110" s="642"/>
      <c r="O110" s="186"/>
      <c r="P110" s="186"/>
      <c r="Q110" s="186"/>
      <c r="R110" s="186"/>
      <c r="S110" s="186"/>
      <c r="T110" s="186"/>
      <c r="U110" s="186"/>
      <c r="V110" s="186"/>
      <c r="W110" s="186"/>
      <c r="X110" s="186"/>
      <c r="Y110" s="186"/>
      <c r="Z110" s="186"/>
    </row>
    <row r="111" spans="1:57" ht="17.399999999999999">
      <c r="A111" s="67"/>
      <c r="B111" s="67"/>
      <c r="C111" s="67"/>
      <c r="D111" s="643"/>
      <c r="E111" s="643"/>
      <c r="F111" s="643"/>
      <c r="G111" s="643"/>
      <c r="H111" s="643"/>
      <c r="I111" s="643"/>
      <c r="J111" s="643"/>
      <c r="K111" s="643"/>
      <c r="L111" s="643"/>
      <c r="M111" s="643"/>
      <c r="N111" s="643"/>
      <c r="O111" s="186"/>
      <c r="P111" s="186"/>
      <c r="Q111" s="186"/>
      <c r="R111" s="186"/>
      <c r="S111" s="186"/>
      <c r="T111" s="186"/>
      <c r="U111" s="186"/>
      <c r="V111" s="186"/>
      <c r="W111" s="186"/>
      <c r="X111" s="186"/>
      <c r="Y111" s="186"/>
      <c r="Z111" s="186"/>
    </row>
    <row r="112" spans="1:57" ht="17.399999999999999">
      <c r="A112" s="67"/>
      <c r="B112" s="67"/>
      <c r="C112" s="67"/>
      <c r="D112" s="642"/>
      <c r="E112" s="642"/>
      <c r="F112" s="642"/>
      <c r="G112" s="642"/>
      <c r="H112" s="642"/>
      <c r="I112" s="642"/>
      <c r="J112" s="642"/>
      <c r="K112" s="642"/>
      <c r="L112" s="642"/>
      <c r="M112" s="642"/>
      <c r="N112" s="642"/>
      <c r="O112" s="186"/>
      <c r="P112" s="186"/>
      <c r="Q112" s="186"/>
      <c r="R112" s="67"/>
      <c r="S112" s="186"/>
      <c r="T112" s="186"/>
      <c r="U112" s="186"/>
      <c r="V112" s="186"/>
      <c r="W112" s="186"/>
      <c r="X112" s="186"/>
      <c r="Y112" s="186"/>
      <c r="Z112" s="186"/>
    </row>
    <row r="113" spans="1:26" ht="17.399999999999999">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7.399999999999999">
      <c r="A114" s="67"/>
      <c r="B114" s="67"/>
      <c r="C114" s="67"/>
      <c r="D114" s="67"/>
      <c r="E114" s="67"/>
      <c r="F114" s="67"/>
      <c r="G114" s="67"/>
      <c r="H114" s="67"/>
      <c r="I114" s="67"/>
      <c r="J114" s="67"/>
      <c r="K114" s="67"/>
      <c r="L114" s="67"/>
      <c r="M114" s="67"/>
      <c r="N114" s="67"/>
      <c r="O114" s="67"/>
      <c r="P114" s="67"/>
      <c r="Q114" s="67"/>
      <c r="R114" s="66"/>
      <c r="S114" s="67"/>
      <c r="T114" s="67"/>
      <c r="U114" s="67"/>
      <c r="V114" s="67"/>
      <c r="W114" s="67"/>
      <c r="X114" s="67"/>
      <c r="Y114" s="67"/>
      <c r="Z114" s="67"/>
    </row>
    <row r="115" spans="1:26" ht="17.399999999999999">
      <c r="A115" s="85" t="str">
        <f>VLOOKUP(2097,Sprachindex!$A:$Z,Info!$O$7,FALSE)</f>
        <v>Produkttechnik</v>
      </c>
      <c r="B115" s="86"/>
      <c r="C115" s="86"/>
      <c r="D115" s="646"/>
      <c r="E115" s="646"/>
      <c r="F115" s="646"/>
      <c r="G115" s="646"/>
      <c r="H115" s="646"/>
      <c r="I115" s="646"/>
      <c r="J115" s="646"/>
      <c r="K115" s="87" t="str">
        <f>VLOOKUP(856,Sprachindex!$A:$Z,Info!$O$7,FALSE)</f>
        <v>Stand:</v>
      </c>
      <c r="L115" s="644">
        <f>Info!M59</f>
        <v>45728</v>
      </c>
      <c r="M115" s="644"/>
      <c r="N115" s="645"/>
      <c r="O115" s="66"/>
      <c r="P115" s="66"/>
      <c r="Q115" s="66"/>
      <c r="S115" s="66"/>
      <c r="T115" s="66"/>
      <c r="U115" s="66"/>
      <c r="V115" s="66"/>
      <c r="W115" s="66"/>
      <c r="X115" s="66"/>
      <c r="Y115" s="66"/>
      <c r="Z115" s="66"/>
    </row>
    <row r="116" spans="1:26" ht="13.8"/>
    <row r="117" spans="1:26" ht="13.8" hidden="1"/>
    <row r="118" spans="1:26" ht="13.8" hidden="1"/>
    <row r="119" spans="1:26" ht="13.8" hidden="1"/>
    <row r="120" spans="1:26" ht="13.8" hidden="1"/>
    <row r="121" spans="1:26" ht="13.8" hidden="1"/>
    <row r="122" spans="1:26" ht="13.8" hidden="1"/>
    <row r="123" spans="1:26" ht="13.8" hidden="1"/>
    <row r="124" spans="1:26" ht="13.8" hidden="1"/>
    <row r="125" spans="1:26" ht="14.25" hidden="1" customHeight="1"/>
    <row r="126" spans="1:26" ht="14.25" hidden="1" customHeight="1"/>
    <row r="127" spans="1:26" ht="14.25" hidden="1" customHeight="1"/>
  </sheetData>
  <sheetProtection algorithmName="SHA-512" hashValue="7H0M1FfBDcO38EwAKMWaRmbMLv+DxrXvlrFOgFwt3CuebngLTaQUOUFpB4d19g2r5zS4eW+lKgLz/T6bpbQYeQ==" saltValue="0z5HEF9lCt+0PkVeSI2V+g==" spinCount="100000" sheet="1" objects="1" scenarios="1" selectLockedCells="1" autoFilter="0"/>
  <protectedRanges>
    <protectedRange password="DEBF" sqref="AC104:AD106" name="darf vom Benutzer nicht verändert werden_1_5_10"/>
    <protectedRange password="DEBF" sqref="AC31" name="darf vom Benutzer nicht verändert werden_1_5_2_2_2_1_1"/>
    <protectedRange password="DEBF" sqref="AC32:AD33" name="darf vom Benutzer nicht verändert werden_1_5_2_10"/>
    <protectedRange password="DEBF" sqref="AC71:AD71" name="darf vom Benutzer nicht verändert werden_1_5_14"/>
    <protectedRange password="DEBF" sqref="AC79:AD79" name="darf vom Benutzer nicht verändert werden_1_5_17"/>
    <protectedRange password="DEBF" sqref="AC51:AD51" name="darf vom Benutzer nicht verändert werden_1_5_14_1"/>
    <protectedRange password="DEBF" sqref="AC34" name="darf vom Benutzer nicht verändert werden_1_5_2_7_1"/>
    <protectedRange password="DEBF" sqref="AD34" name="darf vom Benutzer nicht verändert werden_1_3_1"/>
    <protectedRange password="DEBF" sqref="AD35" name="darf vom Benutzer nicht verändert werden_1_1_5"/>
    <protectedRange password="DEBF" sqref="AC35" name="darf vom Benutzer nicht verändert werden_1_4_5"/>
    <protectedRange password="DEBF" sqref="AD38" name="darf vom Benutzer nicht verändert werden_1_2_6"/>
    <protectedRange password="DEBF" sqref="AC38" name="darf vom Benutzer nicht verändert werden_1_5_12_1"/>
    <protectedRange password="DEBF" sqref="AC40:AD46 AC50:AD50" name="darf vom Benutzer nicht verändert werden_1_5_14_2"/>
    <protectedRange password="DEBF" sqref="AC39:AD39" name="darf vom Benutzer nicht verändert werden_1_5_27"/>
    <protectedRange password="DEBF" sqref="AC37:AD37" name="darf vom Benutzer nicht verändert werden_1_5_1_1"/>
    <protectedRange password="DEBF" sqref="AC47:AD49" name="darf vom Benutzer nicht verändert werden_1_5_5"/>
    <protectedRange password="DEBF" sqref="AC52:AD53 AC57:AD57" name="darf vom Benutzer nicht verändert werden_1_5_14_3"/>
    <protectedRange password="DEBF" sqref="AC54:AD56" name="darf vom Benutzer nicht verändert werden_1_5_6"/>
    <protectedRange password="DEBF" sqref="AC58:AD60" name="darf vom Benutzer nicht verändert werden_1_5_11_1"/>
    <protectedRange password="DEBF" sqref="AC61:AD70" name="darf vom Benutzer nicht verändert werden_1_5_11_2"/>
    <protectedRange password="DEBF" sqref="AC78:AD78 AF78" name="darf vom Benutzer nicht verändert werden_1_5_1_2"/>
    <protectedRange password="DEBF" sqref="AC72:AD77" name="darf vom Benutzer nicht verändert werden_1_5_9_1"/>
    <protectedRange password="DEBF" sqref="AC98:AD101 AC103:AD103" name="darf vom Benutzer nicht verändert werden_1_5_7"/>
    <protectedRange password="DEBF" sqref="AF103" name="darf vom Benutzer nicht verändert werden_1_12_1"/>
    <protectedRange password="DEBF" sqref="AC80:AD97" name="darf vom Benutzer nicht verändert werden_1_5_8"/>
    <protectedRange password="DEBF" sqref="AC102:AD102" name="darf vom Benutzer nicht verändert werden_1_5_7_1"/>
    <protectedRange password="DEBF" sqref="AF102" name="darf vom Benutzer nicht verändert werden_1_12_1_1"/>
    <protectedRange password="DEBF" sqref="AE36" name="darf vom Benutzer nicht verändert werden_1_2_2"/>
    <protectedRange password="DEBF" sqref="AD36" name="darf vom Benutzer nicht verändert werden_1_5_2_5_2"/>
  </protectedRanges>
  <autoFilter ref="A29:A106" xr:uid="{00000000-0009-0000-0000-000005000000}"/>
  <mergeCells count="113">
    <mergeCell ref="E70:K70"/>
    <mergeCell ref="E91:K91"/>
    <mergeCell ref="E87:K87"/>
    <mergeCell ref="E72:K72"/>
    <mergeCell ref="E83:K83"/>
    <mergeCell ref="E75:K75"/>
    <mergeCell ref="E80:K80"/>
    <mergeCell ref="E82:K82"/>
    <mergeCell ref="E81:K81"/>
    <mergeCell ref="E85:K85"/>
    <mergeCell ref="AH68:AS68"/>
    <mergeCell ref="AT68:BD68"/>
    <mergeCell ref="H38:K38"/>
    <mergeCell ref="E39:K39"/>
    <mergeCell ref="E40:K40"/>
    <mergeCell ref="E52:K52"/>
    <mergeCell ref="E53:K53"/>
    <mergeCell ref="E51:K51"/>
    <mergeCell ref="J57:K57"/>
    <mergeCell ref="E41:K41"/>
    <mergeCell ref="E48:G48"/>
    <mergeCell ref="H48:K48"/>
    <mergeCell ref="E50:K50"/>
    <mergeCell ref="E55:H55"/>
    <mergeCell ref="J55:K55"/>
    <mergeCell ref="H49:K49"/>
    <mergeCell ref="E54:K54"/>
    <mergeCell ref="E49:G49"/>
    <mergeCell ref="E60:K60"/>
    <mergeCell ref="E65:K65"/>
    <mergeCell ref="E62:K62"/>
    <mergeCell ref="E63:K63"/>
    <mergeCell ref="E64:K64"/>
    <mergeCell ref="E61:K61"/>
    <mergeCell ref="H36:K36"/>
    <mergeCell ref="E37:K37"/>
    <mergeCell ref="E38:G38"/>
    <mergeCell ref="AH38:AR38"/>
    <mergeCell ref="AT38:BD38"/>
    <mergeCell ref="E47:G47"/>
    <mergeCell ref="H47:K47"/>
    <mergeCell ref="E43:K43"/>
    <mergeCell ref="E44:K44"/>
    <mergeCell ref="E45:K45"/>
    <mergeCell ref="E46:K46"/>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C24:E24"/>
    <mergeCell ref="C25:E25"/>
    <mergeCell ref="C27:E27"/>
    <mergeCell ref="B24:B27"/>
    <mergeCell ref="C26:E26"/>
    <mergeCell ref="C11:E11"/>
    <mergeCell ref="AC29:AD29"/>
    <mergeCell ref="E102:H102"/>
    <mergeCell ref="I102:K102"/>
    <mergeCell ref="E86:K86"/>
    <mergeCell ref="E99:K99"/>
    <mergeCell ref="E89:K89"/>
    <mergeCell ref="E90:K90"/>
    <mergeCell ref="E88:K88"/>
    <mergeCell ref="E71:K71"/>
    <mergeCell ref="E93:K93"/>
    <mergeCell ref="E84:K84"/>
    <mergeCell ref="J56:K56"/>
    <mergeCell ref="E58:K58"/>
    <mergeCell ref="E59:K59"/>
    <mergeCell ref="E42:K42"/>
    <mergeCell ref="E67:K67"/>
    <mergeCell ref="E34:K34"/>
    <mergeCell ref="E76:K76"/>
    <mergeCell ref="E77:K77"/>
    <mergeCell ref="E35:G35"/>
    <mergeCell ref="H35:K35"/>
    <mergeCell ref="E78:K78"/>
    <mergeCell ref="E79:K79"/>
    <mergeCell ref="E36:G36"/>
    <mergeCell ref="E56:G56"/>
    <mergeCell ref="E57:G57"/>
    <mergeCell ref="D115:J115"/>
    <mergeCell ref="E104:K104"/>
    <mergeCell ref="E105:K105"/>
    <mergeCell ref="E106:K106"/>
    <mergeCell ref="E95:K95"/>
    <mergeCell ref="E98:K98"/>
    <mergeCell ref="E97:K97"/>
    <mergeCell ref="E92:K92"/>
    <mergeCell ref="D107:N108"/>
    <mergeCell ref="D109:N110"/>
    <mergeCell ref="D111:N112"/>
    <mergeCell ref="L115:N115"/>
    <mergeCell ref="E94:K94"/>
    <mergeCell ref="E96:K96"/>
    <mergeCell ref="E100:K100"/>
    <mergeCell ref="E101:K101"/>
    <mergeCell ref="E103:K103"/>
    <mergeCell ref="E73:K73"/>
    <mergeCell ref="E74:K74"/>
    <mergeCell ref="E69:K69"/>
    <mergeCell ref="E66:K66"/>
    <mergeCell ref="E68:K68"/>
  </mergeCells>
  <conditionalFormatting sqref="A31:A36">
    <cfRule type="cellIs" dxfId="987" priority="6" operator="equal">
      <formula>""</formula>
    </cfRule>
  </conditionalFormatting>
  <conditionalFormatting sqref="A37:A101">
    <cfRule type="cellIs" dxfId="986" priority="44" operator="equal">
      <formula>""</formula>
    </cfRule>
  </conditionalFormatting>
  <conditionalFormatting sqref="A102:A103">
    <cfRule type="cellIs" dxfId="985" priority="12" operator="equal">
      <formula>""</formula>
    </cfRule>
  </conditionalFormatting>
  <conditionalFormatting sqref="A104:E106">
    <cfRule type="cellIs" dxfId="984" priority="177" operator="equal">
      <formula>""</formula>
    </cfRule>
  </conditionalFormatting>
  <conditionalFormatting sqref="C9:E11">
    <cfRule type="cellIs" dxfId="982" priority="918" operator="equal">
      <formula>""</formula>
    </cfRule>
  </conditionalFormatting>
  <conditionalFormatting sqref="C13:E15">
    <cfRule type="cellIs" dxfId="981" priority="915" operator="equal">
      <formula>""</formula>
    </cfRule>
  </conditionalFormatting>
  <conditionalFormatting sqref="C18:E21">
    <cfRule type="cellIs" dxfId="980" priority="911" operator="equal">
      <formula>""</formula>
    </cfRule>
  </conditionalFormatting>
  <conditionalFormatting sqref="C24:E27">
    <cfRule type="cellIs" dxfId="979" priority="429" operator="equal">
      <formula>""</formula>
    </cfRule>
  </conditionalFormatting>
  <conditionalFormatting sqref="D67">
    <cfRule type="duplicateValues" dxfId="978" priority="78"/>
  </conditionalFormatting>
  <conditionalFormatting sqref="D68">
    <cfRule type="duplicateValues" dxfId="977" priority="82"/>
  </conditionalFormatting>
  <conditionalFormatting sqref="D69">
    <cfRule type="duplicateValues" dxfId="976" priority="81"/>
  </conditionalFormatting>
  <conditionalFormatting sqref="D77">
    <cfRule type="duplicateValues" dxfId="975" priority="61"/>
  </conditionalFormatting>
  <conditionalFormatting sqref="H36:K36">
    <cfRule type="cellIs" dxfId="969" priority="7" operator="equal">
      <formula>""</formula>
    </cfRule>
  </conditionalFormatting>
  <conditionalFormatting sqref="I13">
    <cfRule type="expression" dxfId="966" priority="2160">
      <formula>$P$13=1</formula>
    </cfRule>
    <cfRule type="expression" dxfId="965" priority="2159">
      <formula>$P$13=2</formula>
    </cfRule>
  </conditionalFormatting>
  <conditionalFormatting sqref="I21:I22 I28">
    <cfRule type="expression" dxfId="964" priority="2161">
      <formula>$P$21=10</formula>
    </cfRule>
  </conditionalFormatting>
  <conditionalFormatting sqref="I24:I26">
    <cfRule type="cellIs" dxfId="963" priority="175" operator="equal">
      <formula>""</formula>
    </cfRule>
  </conditionalFormatting>
  <conditionalFormatting sqref="I102:K102">
    <cfRule type="expression" dxfId="962" priority="14">
      <formula>$I$102=""</formula>
    </cfRule>
  </conditionalFormatting>
  <conditionalFormatting sqref="L13">
    <cfRule type="expression" dxfId="960" priority="2164">
      <formula>$P$13=2</formula>
    </cfRule>
    <cfRule type="expression" dxfId="959" priority="2163">
      <formula>$P$13=1</formula>
    </cfRule>
  </conditionalFormatting>
  <conditionalFormatting sqref="L104:M106">
    <cfRule type="cellIs" dxfId="958" priority="827" operator="equal">
      <formula>""</formula>
    </cfRule>
  </conditionalFormatting>
  <conditionalFormatting sqref="AH86 AJ86:AR86">
    <cfRule type="duplicateValues" dxfId="955" priority="40"/>
  </conditionalFormatting>
  <conditionalFormatting sqref="AH102:AL102">
    <cfRule type="duplicateValues" dxfId="954" priority="13"/>
  </conditionalFormatting>
  <conditionalFormatting sqref="AH82:AO82 AQ82">
    <cfRule type="duplicateValues" dxfId="953" priority="38"/>
  </conditionalFormatting>
  <conditionalFormatting sqref="AH83:AO83 AQ83">
    <cfRule type="duplicateValues" dxfId="952" priority="37"/>
  </conditionalFormatting>
  <conditionalFormatting sqref="AH87:AO87 AQ87">
    <cfRule type="duplicateValues" dxfId="951" priority="36"/>
  </conditionalFormatting>
  <conditionalFormatting sqref="AH88:AO88 AQ88">
    <cfRule type="duplicateValues" dxfId="950" priority="35"/>
  </conditionalFormatting>
  <conditionalFormatting sqref="AH89:AO89 AQ89">
    <cfRule type="duplicateValues" dxfId="949" priority="34"/>
  </conditionalFormatting>
  <conditionalFormatting sqref="AH90:AO90 AQ90">
    <cfRule type="duplicateValues" dxfId="948" priority="33"/>
  </conditionalFormatting>
  <conditionalFormatting sqref="AH91:AO91 AQ91">
    <cfRule type="duplicateValues" dxfId="947" priority="32"/>
  </conditionalFormatting>
  <conditionalFormatting sqref="AH93:AO93 AQ93">
    <cfRule type="duplicateValues" dxfId="946" priority="31"/>
  </conditionalFormatting>
  <conditionalFormatting sqref="AH65:AP65">
    <cfRule type="duplicateValues" dxfId="945" priority="80"/>
  </conditionalFormatting>
  <conditionalFormatting sqref="AH66:AP66">
    <cfRule type="duplicateValues" dxfId="944" priority="84"/>
  </conditionalFormatting>
  <conditionalFormatting sqref="AH79:AP79">
    <cfRule type="duplicateValues" dxfId="943" priority="635"/>
  </conditionalFormatting>
  <conditionalFormatting sqref="AH95:AP95 AH94:AO94 AQ94">
    <cfRule type="duplicateValues" dxfId="942" priority="30"/>
  </conditionalFormatting>
  <conditionalFormatting sqref="AH37:AR37">
    <cfRule type="duplicateValues" dxfId="941" priority="156"/>
  </conditionalFormatting>
  <conditionalFormatting sqref="AH47:AR47">
    <cfRule type="duplicateValues" dxfId="940" priority="152"/>
  </conditionalFormatting>
  <conditionalFormatting sqref="AH48:AR48">
    <cfRule type="duplicateValues" dxfId="939" priority="151"/>
  </conditionalFormatting>
  <conditionalFormatting sqref="AH49:AR49">
    <cfRule type="duplicateValues" dxfId="938" priority="150"/>
  </conditionalFormatting>
  <conditionalFormatting sqref="AH50:AR50">
    <cfRule type="duplicateValues" dxfId="937" priority="147"/>
  </conditionalFormatting>
  <conditionalFormatting sqref="AH51:AR51">
    <cfRule type="duplicateValues" dxfId="936" priority="20"/>
  </conditionalFormatting>
  <conditionalFormatting sqref="AH54:AR54">
    <cfRule type="duplicateValues" dxfId="935" priority="136"/>
  </conditionalFormatting>
  <conditionalFormatting sqref="AH55:AR56">
    <cfRule type="duplicateValues" dxfId="934" priority="108"/>
  </conditionalFormatting>
  <conditionalFormatting sqref="AH58:AR60">
    <cfRule type="duplicateValues" dxfId="933" priority="86"/>
  </conditionalFormatting>
  <conditionalFormatting sqref="AH61:AR64">
    <cfRule type="duplicateValues" dxfId="932" priority="70"/>
  </conditionalFormatting>
  <conditionalFormatting sqref="AH70:AR70">
    <cfRule type="duplicateValues" dxfId="931" priority="85"/>
  </conditionalFormatting>
  <conditionalFormatting sqref="AH71:AR71">
    <cfRule type="duplicateValues" dxfId="930" priority="16"/>
  </conditionalFormatting>
  <conditionalFormatting sqref="AH74:AR76">
    <cfRule type="duplicateValues" dxfId="929" priority="58"/>
  </conditionalFormatting>
  <conditionalFormatting sqref="AH78:AR78 AT78:AW78">
    <cfRule type="duplicateValues" dxfId="928" priority="67"/>
  </conditionalFormatting>
  <conditionalFormatting sqref="AH80:AR81">
    <cfRule type="duplicateValues" dxfId="927" priority="45"/>
  </conditionalFormatting>
  <conditionalFormatting sqref="AH84:AR84">
    <cfRule type="duplicateValues" dxfId="926" priority="46"/>
  </conditionalFormatting>
  <conditionalFormatting sqref="AH85:AR85">
    <cfRule type="duplicateValues" dxfId="925" priority="47"/>
  </conditionalFormatting>
  <conditionalFormatting sqref="AH92:AR92">
    <cfRule type="duplicateValues" dxfId="924" priority="39"/>
  </conditionalFormatting>
  <conditionalFormatting sqref="AI86">
    <cfRule type="duplicateValues" dxfId="923" priority="26"/>
  </conditionalFormatting>
  <conditionalFormatting sqref="AP31 AR31">
    <cfRule type="duplicateValues" dxfId="922" priority="2598"/>
  </conditionalFormatting>
  <conditionalFormatting sqref="AP32:AR33">
    <cfRule type="duplicateValues" dxfId="921" priority="21"/>
  </conditionalFormatting>
  <conditionalFormatting sqref="AQ31 AZ31:AZ33 AX31:AX33 AT31:AU33 AH31:AO33">
    <cfRule type="duplicateValues" dxfId="920" priority="173"/>
  </conditionalFormatting>
  <conditionalFormatting sqref="AQ65">
    <cfRule type="duplicateValues" dxfId="919" priority="79"/>
  </conditionalFormatting>
  <conditionalFormatting sqref="AQ66">
    <cfRule type="duplicateValues" dxfId="918" priority="83"/>
  </conditionalFormatting>
  <conditionalFormatting sqref="AQ79">
    <cfRule type="duplicateValues" dxfId="917" priority="636"/>
  </conditionalFormatting>
  <conditionalFormatting sqref="AQ95:AR95 AR94 AP94">
    <cfRule type="duplicateValues" dxfId="916" priority="25"/>
  </conditionalFormatting>
  <conditionalFormatting sqref="AR79">
    <cfRule type="duplicateValues" dxfId="915" priority="15"/>
  </conditionalFormatting>
  <conditionalFormatting sqref="AR82 AP82">
    <cfRule type="duplicateValues" dxfId="914" priority="27"/>
  </conditionalFormatting>
  <conditionalFormatting sqref="AR83 AP83">
    <cfRule type="duplicateValues" dxfId="913" priority="28"/>
  </conditionalFormatting>
  <conditionalFormatting sqref="AR87 AP87">
    <cfRule type="duplicateValues" dxfId="912" priority="29"/>
  </conditionalFormatting>
  <conditionalFormatting sqref="AR88 AP88">
    <cfRule type="duplicateValues" dxfId="911" priority="48"/>
  </conditionalFormatting>
  <conditionalFormatting sqref="AR89 AP89">
    <cfRule type="duplicateValues" dxfId="910" priority="49"/>
  </conditionalFormatting>
  <conditionalFormatting sqref="AR90 AP90">
    <cfRule type="duplicateValues" dxfId="909" priority="50"/>
  </conditionalFormatting>
  <conditionalFormatting sqref="AR91 AP91">
    <cfRule type="duplicateValues" dxfId="908" priority="51"/>
  </conditionalFormatting>
  <conditionalFormatting sqref="AR93 AP93">
    <cfRule type="duplicateValues" dxfId="907" priority="52"/>
  </conditionalFormatting>
  <conditionalFormatting sqref="AT72:AU72 AX72 AZ72 AH72:AR73">
    <cfRule type="duplicateValues" dxfId="906" priority="63"/>
  </conditionalFormatting>
  <conditionalFormatting sqref="AT103:AU103 AX103 AZ103 AH103:AR103">
    <cfRule type="duplicateValues" dxfId="905" priority="53"/>
  </conditionalFormatting>
  <conditionalFormatting sqref="AT47:AV49">
    <cfRule type="duplicateValues" dxfId="904" priority="149"/>
  </conditionalFormatting>
  <conditionalFormatting sqref="AT50:AV50">
    <cfRule type="duplicateValues" dxfId="903" priority="148"/>
  </conditionalFormatting>
  <conditionalFormatting sqref="AT71:AW71">
    <cfRule type="duplicateValues" dxfId="902" priority="2629"/>
  </conditionalFormatting>
  <conditionalFormatting sqref="AT54:BA54 BC54:BD54">
    <cfRule type="duplicateValues" dxfId="901" priority="137"/>
  </conditionalFormatting>
  <conditionalFormatting sqref="AT51:BC51">
    <cfRule type="duplicateValues" dxfId="900" priority="18"/>
  </conditionalFormatting>
  <conditionalFormatting sqref="AT58:BC58">
    <cfRule type="duplicateValues" dxfId="899" priority="89"/>
  </conditionalFormatting>
  <conditionalFormatting sqref="AT59:BC59">
    <cfRule type="duplicateValues" dxfId="898" priority="87"/>
  </conditionalFormatting>
  <conditionalFormatting sqref="AT60:BC60">
    <cfRule type="duplicateValues" dxfId="897" priority="88"/>
  </conditionalFormatting>
  <conditionalFormatting sqref="AT55:BD55">
    <cfRule type="duplicateValues" dxfId="896" priority="135"/>
  </conditionalFormatting>
  <conditionalFormatting sqref="AT56:BD56">
    <cfRule type="duplicateValues" dxfId="895" priority="90"/>
  </conditionalFormatting>
  <conditionalFormatting sqref="AT73:BD73">
    <cfRule type="duplicateValues" dxfId="894" priority="59"/>
  </conditionalFormatting>
  <conditionalFormatting sqref="AV72:AW72 AY72 BA72:BC72">
    <cfRule type="duplicateValues" dxfId="893" priority="62"/>
  </conditionalFormatting>
  <conditionalFormatting sqref="AV103:AW103 AY103 BA103:BD103">
    <cfRule type="duplicateValues" dxfId="892" priority="54"/>
  </conditionalFormatting>
  <conditionalFormatting sqref="AX71:BC71">
    <cfRule type="duplicateValues" dxfId="891" priority="164"/>
  </conditionalFormatting>
  <conditionalFormatting sqref="AX78:BD78">
    <cfRule type="duplicateValues" dxfId="890" priority="66"/>
  </conditionalFormatting>
  <conditionalFormatting sqref="AY31:AY33 AV31:AW33 BA31:BC33">
    <cfRule type="duplicateValues" dxfId="889" priority="172"/>
  </conditionalFormatting>
  <conditionalFormatting sqref="AY40:AY46 BA40:BD46 AV40:AW46">
    <cfRule type="duplicateValues" dxfId="888" priority="155"/>
  </conditionalFormatting>
  <conditionalFormatting sqref="AZ40:AZ46 AT40:AU46 AX40:AX46 AH40:AR46">
    <cfRule type="duplicateValues" dxfId="887" priority="154"/>
  </conditionalFormatting>
  <conditionalFormatting sqref="BB54">
    <cfRule type="duplicateValues" dxfId="886" priority="17"/>
  </conditionalFormatting>
  <conditionalFormatting sqref="BB61:BB64 BC61 AT61:BA61">
    <cfRule type="duplicateValues" dxfId="885" priority="77"/>
  </conditionalFormatting>
  <conditionalFormatting sqref="BB62">
    <cfRule type="duplicateValues" dxfId="884" priority="75"/>
  </conditionalFormatting>
  <conditionalFormatting sqref="BB63">
    <cfRule type="duplicateValues" dxfId="883" priority="73"/>
  </conditionalFormatting>
  <conditionalFormatting sqref="BB64">
    <cfRule type="duplicateValues" dxfId="882" priority="71"/>
  </conditionalFormatting>
  <conditionalFormatting sqref="BC62 AT62:BA62">
    <cfRule type="duplicateValues" dxfId="881" priority="76"/>
  </conditionalFormatting>
  <conditionalFormatting sqref="BC63 AT63:BA63">
    <cfRule type="duplicateValues" dxfId="880" priority="74"/>
  </conditionalFormatting>
  <conditionalFormatting sqref="BC64 AT64:BA64">
    <cfRule type="duplicateValues" dxfId="879" priority="72"/>
  </conditionalFormatting>
  <conditionalFormatting sqref="BC57:BK57 BM57:BV57">
    <cfRule type="duplicateValues" dxfId="878" priority="142"/>
  </conditionalFormatting>
  <conditionalFormatting sqref="BD31:BD33">
    <cfRule type="duplicateValues" dxfId="877" priority="2628"/>
  </conditionalFormatting>
  <conditionalFormatting sqref="BD51">
    <cfRule type="duplicateValues" dxfId="876" priority="19"/>
  </conditionalFormatting>
  <conditionalFormatting sqref="BD71:BD72">
    <cfRule type="duplicateValues" dxfId="875" priority="60"/>
  </conditionalFormatting>
  <conditionalFormatting sqref="BT55:CD56">
    <cfRule type="duplicateValues" dxfId="874" priority="107"/>
  </conditionalFormatting>
  <conditionalFormatting sqref="BX57:CF57 CH57:CQ57">
    <cfRule type="duplicateValues" dxfId="873" priority="141"/>
  </conditionalFormatting>
  <conditionalFormatting sqref="CH55:CR56 BH55:BR56">
    <cfRule type="duplicateValues" dxfId="872" priority="106"/>
  </conditionalFormatting>
  <conditionalFormatting sqref="CS57:DA57 DX57:EG57">
    <cfRule type="duplicateValues" dxfId="871" priority="140"/>
  </conditionalFormatting>
  <conditionalFormatting sqref="CU55:DD56">
    <cfRule type="duplicateValues" dxfId="870" priority="105"/>
  </conditionalFormatting>
  <conditionalFormatting sqref="DC57:DL57">
    <cfRule type="duplicateValues" dxfId="869" priority="138"/>
  </conditionalFormatting>
  <conditionalFormatting sqref="DH55:DR56">
    <cfRule type="duplicateValues" dxfId="868" priority="104"/>
  </conditionalFormatting>
  <conditionalFormatting sqref="DU55:ED56">
    <cfRule type="duplicateValues" dxfId="867" priority="103"/>
  </conditionalFormatting>
  <conditionalFormatting sqref="EH55:ER56">
    <cfRule type="duplicateValues" dxfId="866" priority="102"/>
  </conditionalFormatting>
  <conditionalFormatting sqref="EI57:EQ57 ES57:FB57">
    <cfRule type="duplicateValues" dxfId="865" priority="139"/>
  </conditionalFormatting>
  <conditionalFormatting sqref="EU55:FD56">
    <cfRule type="duplicateValues" dxfId="864" priority="101"/>
  </conditionalFormatting>
  <conditionalFormatting sqref="FH55:FR56">
    <cfRule type="duplicateValues" dxfId="863" priority="100"/>
  </conditionalFormatting>
  <conditionalFormatting sqref="FU55:GD56">
    <cfRule type="duplicateValues" dxfId="862" priority="99"/>
  </conditionalFormatting>
  <conditionalFormatting sqref="GH55:GR56">
    <cfRule type="duplicateValues" dxfId="861" priority="98"/>
  </conditionalFormatting>
  <conditionalFormatting sqref="GU55:HD56">
    <cfRule type="duplicateValues" dxfId="860" priority="97"/>
  </conditionalFormatting>
  <conditionalFormatting sqref="HH55:HR56">
    <cfRule type="duplicateValues" dxfId="859" priority="96"/>
  </conditionalFormatting>
  <conditionalFormatting sqref="HU55:ID56">
    <cfRule type="duplicateValues" dxfId="858" priority="95"/>
  </conditionalFormatting>
  <conditionalFormatting sqref="IH55:IR56">
    <cfRule type="duplicateValues" dxfId="857" priority="94"/>
  </conditionalFormatting>
  <conditionalFormatting sqref="IU55:JD56">
    <cfRule type="duplicateValues" dxfId="856" priority="93"/>
  </conditionalFormatting>
  <conditionalFormatting sqref="JH55:JR56">
    <cfRule type="duplicateValues" dxfId="855" priority="92"/>
  </conditionalFormatting>
  <conditionalFormatting sqref="JU55:KD56">
    <cfRule type="duplicateValues" dxfId="854" priority="91"/>
  </conditionalFormatting>
  <conditionalFormatting sqref="KF55:KM55">
    <cfRule type="duplicateValues" dxfId="853" priority="134"/>
  </conditionalFormatting>
  <conditionalFormatting sqref="KN55">
    <cfRule type="duplicateValues" dxfId="852" priority="109"/>
  </conditionalFormatting>
  <conditionalFormatting sqref="KP55">
    <cfRule type="duplicateValues" dxfId="851" priority="121"/>
  </conditionalFormatting>
  <conditionalFormatting sqref="KQ55:KX55">
    <cfRule type="duplicateValues" dxfId="850" priority="133"/>
  </conditionalFormatting>
  <conditionalFormatting sqref="KZ55:LH55">
    <cfRule type="duplicateValues" dxfId="849" priority="132"/>
  </conditionalFormatting>
  <conditionalFormatting sqref="LI55">
    <cfRule type="duplicateValues" dxfId="848" priority="110"/>
  </conditionalFormatting>
  <conditionalFormatting sqref="LK55">
    <cfRule type="duplicateValues" dxfId="847" priority="120"/>
  </conditionalFormatting>
  <conditionalFormatting sqref="LL55:LS55">
    <cfRule type="duplicateValues" dxfId="846" priority="131"/>
  </conditionalFormatting>
  <conditionalFormatting sqref="LU55:MC55">
    <cfRule type="duplicateValues" dxfId="845" priority="130"/>
  </conditionalFormatting>
  <conditionalFormatting sqref="MD55">
    <cfRule type="duplicateValues" dxfId="844" priority="111"/>
  </conditionalFormatting>
  <conditionalFormatting sqref="MF55">
    <cfRule type="duplicateValues" dxfId="843" priority="119"/>
  </conditionalFormatting>
  <conditionalFormatting sqref="MG55:MN55">
    <cfRule type="duplicateValues" dxfId="842" priority="129"/>
  </conditionalFormatting>
  <conditionalFormatting sqref="MP55:MX55">
    <cfRule type="duplicateValues" dxfId="841" priority="128"/>
  </conditionalFormatting>
  <conditionalFormatting sqref="MY55">
    <cfRule type="duplicateValues" dxfId="840" priority="112"/>
  </conditionalFormatting>
  <conditionalFormatting sqref="NA55">
    <cfRule type="duplicateValues" dxfId="839" priority="118"/>
  </conditionalFormatting>
  <conditionalFormatting sqref="NB55:NI55">
    <cfRule type="duplicateValues" dxfId="838" priority="127"/>
  </conditionalFormatting>
  <conditionalFormatting sqref="NK55:NS55">
    <cfRule type="duplicateValues" dxfId="837" priority="126"/>
  </conditionalFormatting>
  <conditionalFormatting sqref="NT55">
    <cfRule type="duplicateValues" dxfId="836" priority="113"/>
  </conditionalFormatting>
  <conditionalFormatting sqref="NV55">
    <cfRule type="duplicateValues" dxfId="835" priority="117"/>
  </conditionalFormatting>
  <conditionalFormatting sqref="NW55:OD55">
    <cfRule type="duplicateValues" dxfId="834" priority="125"/>
  </conditionalFormatting>
  <conditionalFormatting sqref="OF55:ON55">
    <cfRule type="duplicateValues" dxfId="833" priority="124"/>
  </conditionalFormatting>
  <conditionalFormatting sqref="OO55">
    <cfRule type="duplicateValues" dxfId="832" priority="114"/>
  </conditionalFormatting>
  <conditionalFormatting sqref="OQ55">
    <cfRule type="duplicateValues" dxfId="831" priority="116"/>
  </conditionalFormatting>
  <conditionalFormatting sqref="OR55:OY55">
    <cfRule type="duplicateValues" dxfId="830" priority="123"/>
  </conditionalFormatting>
  <conditionalFormatting sqref="PA55:PJ55">
    <cfRule type="duplicateValues" dxfId="829" priority="122"/>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4817"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34825" r:id="rId6" name="Option Button 9">
              <controlPr defaultSize="0" autoFill="0" autoLine="0" autoPict="0" altText="">
                <anchor moveWithCells="1">
                  <from>
                    <xdr:col>5</xdr:col>
                    <xdr:colOff>556260</xdr:colOff>
                    <xdr:row>15</xdr:row>
                    <xdr:rowOff>22860</xdr:rowOff>
                  </from>
                  <to>
                    <xdr:col>7</xdr:col>
                    <xdr:colOff>297180</xdr:colOff>
                    <xdr:row>15</xdr:row>
                    <xdr:rowOff>175260</xdr:rowOff>
                  </to>
                </anchor>
              </controlPr>
            </control>
          </mc:Choice>
        </mc:AlternateContent>
        <mc:AlternateContent xmlns:mc="http://schemas.openxmlformats.org/markup-compatibility/2006">
          <mc:Choice Requires="x14">
            <control shapeId="34826" r:id="rId7" name="Option Button 10">
              <controlPr defaultSize="0" autoFill="0" autoLine="0" autoPict="0" altText="">
                <anchor moveWithCells="1">
                  <from>
                    <xdr:col>5</xdr:col>
                    <xdr:colOff>556260</xdr:colOff>
                    <xdr:row>16</xdr:row>
                    <xdr:rowOff>22860</xdr:rowOff>
                  </from>
                  <to>
                    <xdr:col>7</xdr:col>
                    <xdr:colOff>297180</xdr:colOff>
                    <xdr:row>16</xdr:row>
                    <xdr:rowOff>175260</xdr:rowOff>
                  </to>
                </anchor>
              </controlPr>
            </control>
          </mc:Choice>
        </mc:AlternateContent>
        <mc:AlternateContent xmlns:mc="http://schemas.openxmlformats.org/markup-compatibility/2006">
          <mc:Choice Requires="x14">
            <control shapeId="34827" r:id="rId8" name="Option Button 11">
              <controlPr defaultSize="0" autoFill="0" autoLine="0" autoPict="0" altText="">
                <anchor moveWithCells="1">
                  <from>
                    <xdr:col>5</xdr:col>
                    <xdr:colOff>556260</xdr:colOff>
                    <xdr:row>17</xdr:row>
                    <xdr:rowOff>22860</xdr:rowOff>
                  </from>
                  <to>
                    <xdr:col>7</xdr:col>
                    <xdr:colOff>297180</xdr:colOff>
                    <xdr:row>17</xdr:row>
                    <xdr:rowOff>175260</xdr:rowOff>
                  </to>
                </anchor>
              </controlPr>
            </control>
          </mc:Choice>
        </mc:AlternateContent>
        <mc:AlternateContent xmlns:mc="http://schemas.openxmlformats.org/markup-compatibility/2006">
          <mc:Choice Requires="x14">
            <control shapeId="34828" r:id="rId9" name="Option Button 12">
              <controlPr defaultSize="0" autoFill="0" autoLine="0" autoPict="0" altText="">
                <anchor moveWithCells="1">
                  <from>
                    <xdr:col>5</xdr:col>
                    <xdr:colOff>556260</xdr:colOff>
                    <xdr:row>18</xdr:row>
                    <xdr:rowOff>22860</xdr:rowOff>
                  </from>
                  <to>
                    <xdr:col>7</xdr:col>
                    <xdr:colOff>297180</xdr:colOff>
                    <xdr:row>18</xdr:row>
                    <xdr:rowOff>175260</xdr:rowOff>
                  </to>
                </anchor>
              </controlPr>
            </control>
          </mc:Choice>
        </mc:AlternateContent>
        <mc:AlternateContent xmlns:mc="http://schemas.openxmlformats.org/markup-compatibility/2006">
          <mc:Choice Requires="x14">
            <control shapeId="34829" r:id="rId10" name="Option Button 13">
              <controlPr defaultSize="0" autoFill="0" autoLine="0" autoPict="0" altText="">
                <anchor moveWithCells="1">
                  <from>
                    <xdr:col>5</xdr:col>
                    <xdr:colOff>556260</xdr:colOff>
                    <xdr:row>19</xdr:row>
                    <xdr:rowOff>22860</xdr:rowOff>
                  </from>
                  <to>
                    <xdr:col>7</xdr:col>
                    <xdr:colOff>304800</xdr:colOff>
                    <xdr:row>19</xdr:row>
                    <xdr:rowOff>175260</xdr:rowOff>
                  </to>
                </anchor>
              </controlPr>
            </control>
          </mc:Choice>
        </mc:AlternateContent>
        <mc:AlternateContent xmlns:mc="http://schemas.openxmlformats.org/markup-compatibility/2006">
          <mc:Choice Requires="x14">
            <control shapeId="34830" r:id="rId11" name="Option Button 14">
              <controlPr defaultSize="0" autoFill="0" autoLine="0" autoPict="0" altText="">
                <anchor moveWithCells="1">
                  <from>
                    <xdr:col>5</xdr:col>
                    <xdr:colOff>556260</xdr:colOff>
                    <xdr:row>20</xdr:row>
                    <xdr:rowOff>22860</xdr:rowOff>
                  </from>
                  <to>
                    <xdr:col>7</xdr:col>
                    <xdr:colOff>304800</xdr:colOff>
                    <xdr:row>21</xdr:row>
                    <xdr:rowOff>7620</xdr:rowOff>
                  </to>
                </anchor>
              </controlPr>
            </control>
          </mc:Choice>
        </mc:AlternateContent>
        <mc:AlternateContent xmlns:mc="http://schemas.openxmlformats.org/markup-compatibility/2006">
          <mc:Choice Requires="x14">
            <control shapeId="34831" r:id="rId12" name="Option Button 15">
              <controlPr defaultSize="0" autoFill="0" autoLine="0" autoPict="0" altText="">
                <anchor moveWithCells="1">
                  <from>
                    <xdr:col>8</xdr:col>
                    <xdr:colOff>754380</xdr:colOff>
                    <xdr:row>15</xdr:row>
                    <xdr:rowOff>22860</xdr:rowOff>
                  </from>
                  <to>
                    <xdr:col>10</xdr:col>
                    <xdr:colOff>304800</xdr:colOff>
                    <xdr:row>15</xdr:row>
                    <xdr:rowOff>175260</xdr:rowOff>
                  </to>
                </anchor>
              </controlPr>
            </control>
          </mc:Choice>
        </mc:AlternateContent>
        <mc:AlternateContent xmlns:mc="http://schemas.openxmlformats.org/markup-compatibility/2006">
          <mc:Choice Requires="x14">
            <control shapeId="34832" r:id="rId13" name="Option Button 16">
              <controlPr defaultSize="0" autoFill="0" autoLine="0" autoPict="0" altText="">
                <anchor moveWithCells="1">
                  <from>
                    <xdr:col>8</xdr:col>
                    <xdr:colOff>754380</xdr:colOff>
                    <xdr:row>16</xdr:row>
                    <xdr:rowOff>7620</xdr:rowOff>
                  </from>
                  <to>
                    <xdr:col>10</xdr:col>
                    <xdr:colOff>723900</xdr:colOff>
                    <xdr:row>17</xdr:row>
                    <xdr:rowOff>7620</xdr:rowOff>
                  </to>
                </anchor>
              </controlPr>
            </control>
          </mc:Choice>
        </mc:AlternateContent>
        <mc:AlternateContent xmlns:mc="http://schemas.openxmlformats.org/markup-compatibility/2006">
          <mc:Choice Requires="x14">
            <control shapeId="34833" r:id="rId14" name="Option Button 17">
              <controlPr defaultSize="0" autoFill="0" autoLine="0" autoPict="0" altText="">
                <anchor moveWithCells="1">
                  <from>
                    <xdr:col>8</xdr:col>
                    <xdr:colOff>754380</xdr:colOff>
                    <xdr:row>17</xdr:row>
                    <xdr:rowOff>30480</xdr:rowOff>
                  </from>
                  <to>
                    <xdr:col>10</xdr:col>
                    <xdr:colOff>297180</xdr:colOff>
                    <xdr:row>17</xdr:row>
                    <xdr:rowOff>182880</xdr:rowOff>
                  </to>
                </anchor>
              </controlPr>
            </control>
          </mc:Choice>
        </mc:AlternateContent>
        <mc:AlternateContent xmlns:mc="http://schemas.openxmlformats.org/markup-compatibility/2006">
          <mc:Choice Requires="x14">
            <control shapeId="34834" r:id="rId15"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34840" r:id="rId16"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34841" r:id="rId17"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34844" r:id="rId18" name="Option Button 28">
              <controlPr defaultSize="0" autoFill="0" autoLine="0" autoPict="0" altText="">
                <anchor moveWithCells="1">
                  <from>
                    <xdr:col>8</xdr:col>
                    <xdr:colOff>754380</xdr:colOff>
                    <xdr:row>18</xdr:row>
                    <xdr:rowOff>22860</xdr:rowOff>
                  </from>
                  <to>
                    <xdr:col>10</xdr:col>
                    <xdr:colOff>297180</xdr:colOff>
                    <xdr:row>18</xdr:row>
                    <xdr:rowOff>175260</xdr:rowOff>
                  </to>
                </anchor>
              </controlPr>
            </control>
          </mc:Choice>
        </mc:AlternateContent>
        <mc:AlternateContent xmlns:mc="http://schemas.openxmlformats.org/markup-compatibility/2006">
          <mc:Choice Requires="x14">
            <control shapeId="34845" r:id="rId19"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34846" r:id="rId20"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34849" r:id="rId21" name="Group Box 33">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34850" r:id="rId22" name="Option Button 34">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34851" r:id="rId23" name="Option Button 35">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34852" r:id="rId24" name="Option Button 36">
              <controlPr defaultSize="0" autoFill="0" autoLine="0" autoPict="0" altText="">
                <anchor moveWithCells="1">
                  <from>
                    <xdr:col>8</xdr:col>
                    <xdr:colOff>754380</xdr:colOff>
                    <xdr:row>19</xdr:row>
                    <xdr:rowOff>0</xdr:rowOff>
                  </from>
                  <to>
                    <xdr:col>10</xdr:col>
                    <xdr:colOff>304800</xdr:colOff>
                    <xdr:row>19</xdr:row>
                    <xdr:rowOff>160020</xdr:rowOff>
                  </to>
                </anchor>
              </controlPr>
            </control>
          </mc:Choice>
        </mc:AlternateContent>
        <mc:AlternateContent xmlns:mc="http://schemas.openxmlformats.org/markup-compatibility/2006">
          <mc:Choice Requires="x14">
            <control shapeId="34857" r:id="rId25" name="Group Box 41">
              <controlPr defaultSize="0" autoFill="0" autoPict="0">
                <anchor moveWithCells="1">
                  <from>
                    <xdr:col>5</xdr:col>
                    <xdr:colOff>541020</xdr:colOff>
                    <xdr:row>13</xdr:row>
                    <xdr:rowOff>167640</xdr:rowOff>
                  </from>
                  <to>
                    <xdr:col>13</xdr:col>
                    <xdr:colOff>655320</xdr:colOff>
                    <xdr:row>21</xdr:row>
                    <xdr:rowOff>83820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3" id="{96725693-6378-4E97-B98C-20069E359917}">
            <xm:f>Info!$V$7=2</xm:f>
            <x14:dxf>
              <font>
                <color theme="0" tint="-4.9989318521683403E-2"/>
              </font>
              <fill>
                <patternFill>
                  <bgColor theme="0"/>
                </patternFill>
              </fill>
              <border>
                <vertical/>
                <horizontal/>
              </border>
            </x14:dxf>
          </x14:cfRule>
          <xm:sqref>A100:N100</xm:sqref>
        </x14:conditionalFormatting>
        <x14:conditionalFormatting xmlns:xm="http://schemas.microsoft.com/office/excel/2006/main">
          <x14:cfRule type="expression" priority="145" id="{D3005B92-BDD7-41F8-AD8E-860164B19504}">
            <xm:f>$H$47=Formeln!$B$1</xm:f>
            <x14:dxf>
              <fill>
                <patternFill>
                  <bgColor theme="0" tint="-0.14996795556505021"/>
                </patternFill>
              </fill>
            </x14:dxf>
          </x14:cfRule>
          <xm:sqref>H47</xm:sqref>
        </x14:conditionalFormatting>
        <x14:conditionalFormatting xmlns:xm="http://schemas.microsoft.com/office/excel/2006/main">
          <x14:cfRule type="expression" priority="146" id="{102EF620-9403-4F30-844E-A204EACB85F2}">
            <xm:f>$H$48=Formeln!$A$1</xm:f>
            <x14:dxf>
              <fill>
                <patternFill>
                  <bgColor theme="0" tint="-0.14996795556505021"/>
                </patternFill>
              </fill>
            </x14:dxf>
          </x14:cfRule>
          <xm:sqref>H48</xm:sqref>
        </x14:conditionalFormatting>
        <x14:conditionalFormatting xmlns:xm="http://schemas.microsoft.com/office/excel/2006/main">
          <x14:cfRule type="expression" priority="1" id="{151ACE9B-2D53-463C-8992-E3B450558666}">
            <xm:f>$H$56=Formeln!$G$63</xm:f>
            <x14:dxf>
              <fill>
                <patternFill>
                  <bgColor theme="0" tint="-0.14996795556505021"/>
                </patternFill>
              </fill>
            </x14:dxf>
          </x14:cfRule>
          <xm:sqref>H56</xm:sqref>
        </x14:conditionalFormatting>
        <x14:conditionalFormatting xmlns:xm="http://schemas.microsoft.com/office/excel/2006/main">
          <x14:cfRule type="expression" priority="2" id="{EEF3A963-4DE0-4592-9EC8-51C70CF1E33D}">
            <xm:f>$H$57=Formeln!$G$63</xm:f>
            <x14:dxf>
              <fill>
                <patternFill>
                  <bgColor theme="0" tint="-0.14996795556505021"/>
                </patternFill>
              </fill>
            </x14:dxf>
          </x14:cfRule>
          <xm:sqref>H57</xm:sqref>
        </x14:conditionalFormatting>
        <x14:conditionalFormatting xmlns:xm="http://schemas.microsoft.com/office/excel/2006/main">
          <x14:cfRule type="expression" priority="159" id="{8E0E6983-EFDC-4481-9C83-4F70A4896ACB}">
            <xm:f>$H$35=Formeln!$A$1</xm:f>
            <x14:dxf>
              <fill>
                <patternFill>
                  <bgColor theme="0" tint="-0.14996795556505021"/>
                </patternFill>
              </fill>
            </x14:dxf>
          </x14:cfRule>
          <xm:sqref>H35:K35</xm:sqref>
        </x14:conditionalFormatting>
        <x14:conditionalFormatting xmlns:xm="http://schemas.microsoft.com/office/excel/2006/main">
          <x14:cfRule type="expression" priority="158" id="{857A5083-769C-432F-99A3-C094D4C146DD}">
            <xm:f>$H$38=Formeln!$A$1</xm:f>
            <x14:dxf>
              <fill>
                <patternFill>
                  <bgColor theme="0" tint="-0.14996795556505021"/>
                </patternFill>
              </fill>
            </x14:dxf>
          </x14:cfRule>
          <xm:sqref>H38:K38</xm:sqref>
        </x14:conditionalFormatting>
        <x14:conditionalFormatting xmlns:xm="http://schemas.microsoft.com/office/excel/2006/main">
          <x14:cfRule type="expression" priority="153" id="{BF04C683-4365-4E0E-A614-7E6458F9ADF2}">
            <xm:f>$H$49=Formeln!$A$1</xm:f>
            <x14:dxf>
              <fill>
                <patternFill>
                  <bgColor theme="0" tint="-0.14996795556505021"/>
                </patternFill>
              </fill>
            </x14:dxf>
          </x14:cfRule>
          <xm:sqref>H49:K49</xm:sqref>
        </x14:conditionalFormatting>
        <x14:conditionalFormatting xmlns:xm="http://schemas.microsoft.com/office/excel/2006/main">
          <x14:cfRule type="expression" priority="115" id="{15ED44D8-0E83-41A8-8378-DD3E3DA594FF}">
            <xm:f>$J55=Formeln!$A$1</xm:f>
            <x14:dxf>
              <fill>
                <patternFill>
                  <bgColor theme="0" tint="-0.14996795556505021"/>
                </patternFill>
              </fill>
            </x14:dxf>
          </x14:cfRule>
          <xm:sqref>J55:K57</xm:sqref>
        </x14:conditionalFormatting>
        <x14:conditionalFormatting xmlns:xm="http://schemas.microsoft.com/office/excel/2006/main">
          <x14:cfRule type="expression" priority="3" id="{3A789346-7F00-4599-A049-DC16F555496F}">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180" id="{F6A4373A-0628-4FAF-97DD-1AF3FC6BFCFE}">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F04FA3F3-224B-4D10-9C07-57F18F6CE451}">
          <x14:formula1>
            <xm:f>Formeln!$A$30:$A$51</xm:f>
          </x14:formula1>
          <xm:sqref>J55:K55</xm:sqref>
        </x14:dataValidation>
        <x14:dataValidation type="list" allowBlank="1" showInputMessage="1" showErrorMessage="1" xr:uid="{409B46CF-1AC7-4F2E-A72E-6BFE1251C2BF}">
          <x14:formula1>
            <xm:f>Formeln!$A$20:$A$22</xm:f>
          </x14:formula1>
          <xm:sqref>H49:K49</xm:sqref>
        </x14:dataValidation>
        <x14:dataValidation type="list" allowBlank="1" showInputMessage="1" showErrorMessage="1" xr:uid="{F91DB28E-FECC-4BA8-B559-FC4CB010383D}">
          <x14:formula1>
            <xm:f>Formeln!$A$17:$A$19</xm:f>
          </x14:formula1>
          <xm:sqref>H48:K48</xm:sqref>
        </x14:dataValidation>
        <x14:dataValidation type="list" allowBlank="1" showInputMessage="1" showErrorMessage="1" xr:uid="{E90BEB91-FC8A-4697-A906-8B20791A14DD}">
          <x14:formula1>
            <xm:f>Formeln!$A$9:$A$15</xm:f>
          </x14:formula1>
          <xm:sqref>H38:K38</xm:sqref>
        </x14:dataValidation>
        <x14:dataValidation type="list" allowBlank="1" showInputMessage="1" showErrorMessage="1" xr:uid="{E97D909D-4B70-4A6D-84B2-5263017BD521}">
          <x14:formula1>
            <xm:f>Formeln!$A$5:$A$8</xm:f>
          </x14:formula1>
          <xm:sqref>H36:K36</xm:sqref>
        </x14:dataValidation>
        <x14:dataValidation type="list" allowBlank="1" showInputMessage="1" showErrorMessage="1" xr:uid="{749C42C6-2DA1-4407-82B8-44AC220E57C5}">
          <x14:formula1>
            <xm:f>Formeln!$A$1:$A$4</xm:f>
          </x14:formula1>
          <xm:sqref>H35:K35</xm:sqref>
        </x14:dataValidation>
        <x14:dataValidation type="list" allowBlank="1" showInputMessage="1" showErrorMessage="1" xr:uid="{FD4A9CE3-8CE7-4DB0-BCE7-27622AAB5BE7}">
          <x14:formula1>
            <xm:f>Formeln!$A$52:$A$103</xm:f>
          </x14:formula1>
          <xm:sqref>J56:K56</xm:sqref>
        </x14:dataValidation>
        <x14:dataValidation type="list" allowBlank="1" showInputMessage="1" showErrorMessage="1" xr:uid="{6FF927E2-B5DF-4354-A771-63B89C9878BC}">
          <x14:formula1>
            <xm:f>Formeln!$C$52:$C$111</xm:f>
          </x14:formula1>
          <xm:sqref>J57:K57</xm:sqref>
        </x14:dataValidation>
        <x14:dataValidation type="list" allowBlank="1" showInputMessage="1" showErrorMessage="1" xr:uid="{084298CD-5364-4740-9FE9-BE1BC863A3E0}">
          <x14:formula1>
            <xm:f>Formeln!$B$17:$B$19</xm:f>
          </x14:formula1>
          <xm:sqref>H47:K47</xm:sqref>
        </x14:dataValidation>
        <x14:dataValidation type="list" allowBlank="1" showInputMessage="1" showErrorMessage="1" xr:uid="{AAE84CDC-43CF-47FF-B4C9-DBC3CA78A91F}">
          <x14:formula1>
            <xm:f>Formeln!$A$106:$A$110</xm:f>
          </x14:formula1>
          <xm:sqref>I102:K102</xm:sqref>
        </x14:dataValidation>
        <x14:dataValidation type="list" allowBlank="1" showInputMessage="1" showErrorMessage="1" xr:uid="{C8538BD1-1075-4661-A048-EB1E454D9F2C}">
          <x14:formula1>
            <xm:f>Formeln!$G$63:$G$65</xm:f>
          </x14:formula1>
          <xm:sqref>H56:H57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PJ128"/>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16" width="9.6640625" style="1" customWidth="1"/>
    <col min="17" max="25" width="9.6640625" style="1" hidden="1" customWidth="1"/>
    <col min="26" max="26" width="10.88671875" style="5" hidden="1" customWidth="1"/>
    <col min="27" max="27" width="15" style="5" hidden="1" customWidth="1"/>
    <col min="28" max="28" width="10.44140625" style="9" hidden="1" customWidth="1"/>
    <col min="29" max="29" width="26" style="9" hidden="1" customWidth="1"/>
    <col min="30" max="30" width="26" style="1" hidden="1" customWidth="1"/>
    <col min="31" max="31" width="5.6640625" style="1" hidden="1" customWidth="1"/>
    <col min="32" max="32" width="11.6640625" style="1" hidden="1" customWidth="1"/>
    <col min="33" max="33" width="1.33203125" style="1" hidden="1" customWidth="1"/>
    <col min="34" max="34" width="18.88671875" style="1" hidden="1" customWidth="1"/>
    <col min="35" max="35" width="12.33203125" style="1" hidden="1" customWidth="1"/>
    <col min="36" max="36" width="11.44140625" style="1" hidden="1" customWidth="1"/>
    <col min="37" max="37" width="15" style="1" hidden="1" customWidth="1"/>
    <col min="38" max="38" width="12.88671875" style="1" hidden="1" customWidth="1"/>
    <col min="39" max="39" width="12.44140625" style="1" hidden="1" customWidth="1"/>
    <col min="40" max="40" width="13.6640625" style="1" hidden="1" customWidth="1"/>
    <col min="41" max="41" width="13.109375" style="1" hidden="1" customWidth="1"/>
    <col min="42" max="42" width="12" style="1" hidden="1" customWidth="1"/>
    <col min="43" max="43" width="17.44140625" style="1" hidden="1" customWidth="1"/>
    <col min="44" max="44" width="12.6640625" style="1" hidden="1" customWidth="1"/>
    <col min="45" max="45" width="11.6640625" style="1" hidden="1" customWidth="1"/>
    <col min="46" max="46" width="11.44140625" style="1" hidden="1" customWidth="1"/>
    <col min="47" max="47" width="10.109375" style="1" hidden="1" customWidth="1"/>
    <col min="48" max="48" width="12.88671875" style="1" hidden="1" customWidth="1"/>
    <col min="49" max="49" width="12.44140625" style="1" hidden="1" customWidth="1"/>
    <col min="50" max="50" width="13.6640625" style="1" hidden="1" customWidth="1"/>
    <col min="51" max="51" width="13.109375" style="1" hidden="1" customWidth="1"/>
    <col min="52" max="52" width="12" style="1" hidden="1" customWidth="1"/>
    <col min="53" max="53" width="17.44140625" style="1" hidden="1" customWidth="1"/>
    <col min="54" max="426" width="12.6640625" style="1" hidden="1" customWidth="1"/>
    <col min="427" max="16384" width="4.33203125" style="1" hidden="1"/>
  </cols>
  <sheetData>
    <row r="1" spans="1:30" ht="28.2">
      <c r="N1" s="2" t="str">
        <f>VLOOKUP(279,Sprachindex!$A:$Z,Info!$O$7,FALSE)</f>
        <v>Dachsysteme</v>
      </c>
      <c r="O1" s="2"/>
      <c r="P1" s="2"/>
      <c r="Q1" s="2"/>
      <c r="R1" s="2"/>
      <c r="S1" s="2"/>
      <c r="T1" s="2"/>
      <c r="U1" s="2"/>
      <c r="V1" s="2"/>
      <c r="W1" s="2"/>
      <c r="X1" s="2"/>
      <c r="Y1" s="2"/>
    </row>
    <row r="2" spans="1:30" ht="28.2">
      <c r="D2" s="18"/>
      <c r="N2" s="2" t="str">
        <f>VLOOKUP(267,Sprachindex!$A:$Z,Info!$O$7,FALSE)</f>
        <v>Dachraute 29 × 29</v>
      </c>
      <c r="O2" s="2"/>
      <c r="P2" s="2"/>
      <c r="Q2" s="2"/>
      <c r="R2" s="2"/>
      <c r="S2" s="2"/>
      <c r="T2" s="2"/>
      <c r="U2" s="2"/>
      <c r="V2" s="2"/>
      <c r="W2" s="2"/>
      <c r="X2" s="2"/>
      <c r="Y2" s="2"/>
    </row>
    <row r="3" spans="1:30" ht="15" customHeight="1"/>
    <row r="4" spans="1:30" ht="17.25" customHeight="1">
      <c r="N4" s="186"/>
      <c r="O4" s="186"/>
      <c r="P4" s="186"/>
      <c r="Q4" s="186"/>
      <c r="R4" s="186"/>
      <c r="S4" s="186"/>
      <c r="T4" s="186"/>
      <c r="U4" s="186"/>
      <c r="V4" s="186"/>
      <c r="W4" s="186"/>
      <c r="X4" s="186"/>
      <c r="Y4" s="186"/>
      <c r="AD4" s="3"/>
    </row>
    <row r="5" spans="1:30" ht="17.25" customHeight="1">
      <c r="N5" s="186"/>
      <c r="O5" s="186"/>
      <c r="P5" s="186"/>
      <c r="Q5" s="186"/>
      <c r="R5" s="186"/>
      <c r="S5" s="186"/>
      <c r="T5" s="186"/>
      <c r="U5" s="186"/>
      <c r="V5" s="186"/>
      <c r="W5" s="186"/>
      <c r="X5" s="186"/>
      <c r="Y5" s="186"/>
      <c r="AD5" s="3"/>
    </row>
    <row r="6" spans="1:30" ht="17.25" customHeight="1">
      <c r="N6" s="186"/>
      <c r="O6" s="186"/>
      <c r="P6" s="100"/>
      <c r="Q6" s="186"/>
      <c r="R6" s="186"/>
      <c r="S6" s="186"/>
      <c r="T6" s="186"/>
      <c r="U6" s="186"/>
      <c r="V6" s="186"/>
      <c r="W6" s="186"/>
      <c r="X6" s="186"/>
      <c r="Y6" s="186"/>
      <c r="Z6" s="50">
        <v>0</v>
      </c>
      <c r="AA6" s="50"/>
      <c r="AD6" s="3"/>
    </row>
    <row r="7" spans="1:30" ht="17.25" customHeight="1">
      <c r="N7" s="186"/>
      <c r="O7" s="186"/>
      <c r="P7" s="100"/>
      <c r="Q7" s="186"/>
      <c r="R7" s="186"/>
      <c r="S7" s="186"/>
      <c r="T7" s="186"/>
      <c r="U7" s="186"/>
      <c r="V7" s="186"/>
      <c r="W7" s="186"/>
      <c r="X7" s="186"/>
      <c r="Y7" s="186"/>
      <c r="Z7" s="50"/>
      <c r="AA7" s="50"/>
      <c r="AD7" s="3"/>
    </row>
    <row r="8" spans="1:30" ht="17.25" customHeight="1">
      <c r="A8" s="83" t="str">
        <f>VLOOKUP(393,Sprachindex!$A:$Z,Info!$O$7,FALSE)</f>
        <v>Firma / Besteller:</v>
      </c>
      <c r="B8" s="67"/>
      <c r="C8" s="67"/>
      <c r="D8" s="67"/>
      <c r="E8" s="67"/>
      <c r="F8" s="67"/>
      <c r="G8" s="67"/>
      <c r="H8" s="67"/>
      <c r="I8" s="67"/>
      <c r="J8" s="67"/>
      <c r="K8" s="67"/>
      <c r="L8" s="67"/>
      <c r="M8" s="67"/>
      <c r="N8" s="67"/>
      <c r="O8" s="67"/>
      <c r="P8" s="68"/>
      <c r="Q8" s="67"/>
      <c r="R8" s="67"/>
      <c r="S8" s="67"/>
      <c r="T8" s="67"/>
      <c r="U8" s="67"/>
      <c r="V8" s="67"/>
      <c r="W8" s="67"/>
      <c r="X8" s="67"/>
      <c r="Y8" s="67"/>
      <c r="AC8" s="10"/>
    </row>
    <row r="9" spans="1:30" ht="15" customHeight="1">
      <c r="A9" s="67"/>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M9" s="67"/>
      <c r="N9" s="67"/>
      <c r="O9" s="67"/>
      <c r="P9" s="51">
        <v>0</v>
      </c>
      <c r="Q9" s="67"/>
      <c r="R9" s="67"/>
      <c r="S9" s="67"/>
      <c r="T9" s="67"/>
      <c r="U9" s="67"/>
      <c r="V9" s="67"/>
      <c r="W9" s="67"/>
      <c r="X9" s="67"/>
      <c r="Y9" s="67"/>
      <c r="AA9" s="51"/>
      <c r="AB9" s="11"/>
      <c r="AD9" s="4"/>
    </row>
    <row r="10" spans="1:30" ht="15" customHeight="1">
      <c r="A10" s="67"/>
      <c r="B10" s="71" t="str">
        <f>VLOOKUP(884,Sprachindex!$A:$Z,Info!$O$7,FALSE)</f>
        <v>Straße:</v>
      </c>
      <c r="C10" s="615"/>
      <c r="D10" s="616"/>
      <c r="E10" s="617"/>
      <c r="F10" s="67"/>
      <c r="G10" s="67"/>
      <c r="H10" s="67"/>
      <c r="I10" s="88"/>
      <c r="J10" s="68">
        <v>1</v>
      </c>
      <c r="K10" s="67"/>
      <c r="L10" s="67"/>
      <c r="M10" s="67"/>
      <c r="N10" s="67"/>
      <c r="O10" s="67"/>
      <c r="P10" s="5"/>
      <c r="Q10" s="67"/>
      <c r="R10" s="67"/>
      <c r="S10" s="67"/>
      <c r="T10" s="67"/>
      <c r="U10" s="67"/>
      <c r="V10" s="67"/>
      <c r="W10" s="67"/>
      <c r="X10" s="67"/>
      <c r="Y10" s="67"/>
      <c r="AD10" s="4"/>
    </row>
    <row r="11" spans="1:30"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67"/>
      <c r="P11" s="51">
        <v>0</v>
      </c>
      <c r="Q11" s="67"/>
      <c r="R11" s="67"/>
      <c r="S11" s="67"/>
      <c r="T11" s="67"/>
      <c r="U11" s="67"/>
      <c r="V11" s="67"/>
      <c r="W11" s="67"/>
      <c r="X11" s="67"/>
      <c r="Y11" s="67"/>
      <c r="AA11" s="51"/>
      <c r="AB11" s="11"/>
      <c r="AD11" s="4"/>
    </row>
    <row r="12" spans="1:30" ht="15" customHeight="1">
      <c r="A12" s="67"/>
      <c r="B12" s="67"/>
      <c r="C12" s="67"/>
      <c r="D12" s="67"/>
      <c r="E12" s="67"/>
      <c r="F12" s="67"/>
      <c r="G12" s="67"/>
      <c r="H12" s="67"/>
      <c r="I12" s="84"/>
      <c r="J12" s="68">
        <v>1</v>
      </c>
      <c r="K12" s="67"/>
      <c r="L12" s="67"/>
      <c r="M12" s="67"/>
      <c r="N12" s="67"/>
      <c r="O12" s="67"/>
      <c r="P12" s="5"/>
      <c r="Q12" s="67"/>
      <c r="R12" s="67"/>
      <c r="S12" s="67"/>
      <c r="T12" s="67"/>
      <c r="U12" s="67"/>
      <c r="V12" s="67"/>
      <c r="W12" s="67"/>
      <c r="X12" s="67"/>
      <c r="Y12" s="67"/>
    </row>
    <row r="13" spans="1:30"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7"/>
      <c r="P13" s="50">
        <v>0</v>
      </c>
      <c r="Q13" s="67"/>
      <c r="R13" s="67"/>
      <c r="S13" s="67"/>
      <c r="T13" s="67"/>
      <c r="U13" s="67"/>
      <c r="V13" s="67"/>
      <c r="W13" s="67"/>
      <c r="X13" s="67"/>
      <c r="Y13" s="67"/>
      <c r="AA13" s="50"/>
      <c r="AB13" s="12"/>
      <c r="AD13" s="4"/>
    </row>
    <row r="14" spans="1:30" ht="15" customHeight="1">
      <c r="A14" s="67"/>
      <c r="B14" s="71" t="str">
        <f>VLOOKUP(901,Sprachindex!$A:$Z,Info!$O$7,FALSE)</f>
        <v>Telefon:</v>
      </c>
      <c r="C14" s="615"/>
      <c r="D14" s="616"/>
      <c r="E14" s="617"/>
      <c r="F14" s="67"/>
      <c r="G14" s="67"/>
      <c r="H14" s="67"/>
      <c r="I14" s="67"/>
      <c r="J14" s="67"/>
      <c r="K14" s="67"/>
      <c r="L14" s="67"/>
      <c r="M14" s="67"/>
      <c r="N14" s="67"/>
      <c r="O14" s="67"/>
      <c r="P14" s="5"/>
      <c r="Q14" s="67"/>
      <c r="R14" s="67"/>
      <c r="S14" s="67"/>
      <c r="T14" s="67"/>
      <c r="U14" s="67"/>
      <c r="V14" s="67"/>
      <c r="W14" s="67"/>
      <c r="X14" s="67"/>
      <c r="Y14" s="67"/>
      <c r="AD14" s="4"/>
    </row>
    <row r="15" spans="1:30"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67"/>
      <c r="P15" s="5"/>
      <c r="Q15" s="67"/>
      <c r="R15" s="67"/>
      <c r="S15" s="67"/>
      <c r="T15" s="67"/>
      <c r="U15" s="67"/>
      <c r="V15" s="67"/>
      <c r="W15" s="67"/>
      <c r="X15" s="67"/>
      <c r="Y15" s="67"/>
      <c r="AD15" s="4"/>
    </row>
    <row r="16" spans="1:30"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7"/>
      <c r="P16" s="5"/>
      <c r="Q16" s="67"/>
      <c r="R16" s="67"/>
      <c r="S16" s="67"/>
      <c r="T16" s="67"/>
      <c r="U16" s="67"/>
      <c r="V16" s="67"/>
      <c r="W16" s="67"/>
      <c r="X16" s="67"/>
      <c r="Y16" s="67"/>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7"/>
      <c r="P17" s="5"/>
      <c r="Q17" s="67"/>
      <c r="R17" s="67"/>
      <c r="S17" s="67"/>
      <c r="T17" s="67"/>
      <c r="U17" s="67"/>
      <c r="V17" s="67"/>
      <c r="W17" s="67"/>
      <c r="X17" s="67"/>
      <c r="Y17" s="67"/>
      <c r="AC17" s="10"/>
    </row>
    <row r="18" spans="1:57" ht="15" customHeight="1">
      <c r="A18" s="67"/>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M18" s="67"/>
      <c r="N18" s="67"/>
      <c r="O18" s="67"/>
      <c r="P18" s="14"/>
      <c r="Q18" s="67"/>
      <c r="R18" s="67"/>
      <c r="S18" s="67"/>
      <c r="T18" s="67"/>
      <c r="U18" s="67"/>
      <c r="V18" s="67"/>
      <c r="W18" s="67"/>
      <c r="X18" s="67"/>
      <c r="Y18" s="67"/>
      <c r="AA18" s="14"/>
      <c r="AD18" s="4"/>
    </row>
    <row r="19" spans="1:57" ht="15" customHeight="1">
      <c r="A19" s="67"/>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M19" s="67"/>
      <c r="N19" s="67"/>
      <c r="O19" s="67"/>
      <c r="P19" s="5"/>
      <c r="Q19" s="67"/>
      <c r="R19" s="67"/>
      <c r="S19" s="67"/>
      <c r="T19" s="67"/>
      <c r="U19" s="67"/>
      <c r="V19" s="67"/>
      <c r="W19" s="67"/>
      <c r="X19" s="67"/>
      <c r="Y19" s="67"/>
      <c r="AD19" s="4"/>
    </row>
    <row r="20" spans="1:57" ht="15" customHeight="1">
      <c r="A20" s="67"/>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M20" s="67"/>
      <c r="N20" s="67"/>
      <c r="O20" s="67"/>
      <c r="P20" s="5"/>
      <c r="Q20" s="67"/>
      <c r="R20" s="67"/>
      <c r="S20" s="67"/>
      <c r="T20" s="67"/>
      <c r="U20" s="67"/>
      <c r="V20" s="67"/>
      <c r="W20" s="67"/>
      <c r="X20" s="67"/>
      <c r="Y20" s="67"/>
      <c r="AD20" s="4"/>
      <c r="AG20" s="35"/>
    </row>
    <row r="21" spans="1:57" ht="15" customHeight="1">
      <c r="A21" s="67"/>
      <c r="B21" s="71" t="str">
        <f>VLOOKUP(641,Sprachindex!$A:$Z,Info!$O$7,FALSE)</f>
        <v>Ort:</v>
      </c>
      <c r="C21" s="615"/>
      <c r="D21" s="616"/>
      <c r="E21" s="617"/>
      <c r="F21" s="67"/>
      <c r="G21" s="67" t="str">
        <f>VLOOKUP(35,Sprachindex!$A:$Z,Info!$O$7,FALSE)</f>
        <v>06 P.10 Moosgrün</v>
      </c>
      <c r="H21" s="67"/>
      <c r="I21" s="90"/>
      <c r="J21" s="91"/>
      <c r="K21" s="91"/>
      <c r="L21" s="67"/>
      <c r="M21" s="67"/>
      <c r="N21" s="67"/>
      <c r="P21" s="50">
        <v>0</v>
      </c>
      <c r="Q21" s="67"/>
      <c r="R21" s="67"/>
      <c r="S21" s="67"/>
      <c r="T21" s="67"/>
      <c r="U21" s="67"/>
      <c r="V21" s="67"/>
      <c r="W21" s="67"/>
      <c r="X21" s="67"/>
      <c r="Y21" s="67"/>
      <c r="AA21" s="50"/>
      <c r="AD21" s="4"/>
    </row>
    <row r="22" spans="1:57" ht="15" customHeight="1">
      <c r="A22" s="67"/>
      <c r="B22" s="71"/>
      <c r="C22" s="71"/>
      <c r="D22" s="71"/>
      <c r="E22" s="71"/>
      <c r="F22" s="67"/>
      <c r="G22" s="67"/>
      <c r="H22" s="67"/>
      <c r="I22" s="90"/>
      <c r="J22" s="91"/>
      <c r="K22" s="91"/>
      <c r="L22" s="67"/>
      <c r="M22" s="67"/>
      <c r="N22" s="67"/>
      <c r="O22" s="67"/>
      <c r="P22" s="68"/>
      <c r="Q22" s="67"/>
      <c r="R22" s="67"/>
      <c r="S22" s="67"/>
      <c r="T22" s="67"/>
      <c r="U22" s="67"/>
      <c r="V22" s="67"/>
      <c r="W22" s="67"/>
      <c r="X22" s="67"/>
      <c r="Y22" s="67"/>
      <c r="Z22" s="50"/>
      <c r="AA22" s="50"/>
      <c r="AD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7"/>
      <c r="P23" s="68"/>
      <c r="Q23" s="67"/>
      <c r="R23" s="67"/>
      <c r="S23" s="67"/>
      <c r="T23" s="67"/>
      <c r="U23" s="67"/>
      <c r="V23" s="67"/>
      <c r="W23" s="67"/>
      <c r="X23" s="67"/>
      <c r="Y23" s="67"/>
      <c r="Z23" s="50"/>
      <c r="AA23" s="50"/>
      <c r="AD23" s="4"/>
    </row>
    <row r="24" spans="1:57" ht="15" customHeight="1">
      <c r="B24" s="640" t="str">
        <f>VLOOKUP(1430,Sprachindex!$A:$Z,Info!$O$7,FALSE)</f>
        <v>Beschreibung</v>
      </c>
      <c r="C24" s="615"/>
      <c r="D24" s="616"/>
      <c r="E24" s="617"/>
      <c r="F24" s="67"/>
      <c r="G24" s="83"/>
      <c r="H24" s="71" t="str">
        <f>VLOOKUP(1429,Sprachindex!$A:$Z,Info!$O$7,FALSE)</f>
        <v>Bearbeiter:</v>
      </c>
      <c r="I24" s="415"/>
      <c r="J24" s="67"/>
      <c r="K24" s="67"/>
      <c r="L24" s="67"/>
      <c r="M24" s="67"/>
      <c r="N24" s="67"/>
      <c r="O24" s="67"/>
      <c r="P24" s="68"/>
      <c r="Q24" s="67"/>
      <c r="R24" s="67"/>
      <c r="S24" s="67"/>
      <c r="T24" s="67"/>
      <c r="U24" s="67"/>
      <c r="V24" s="67"/>
      <c r="W24" s="67"/>
      <c r="X24" s="67"/>
      <c r="Y24" s="67"/>
      <c r="Z24" s="50"/>
      <c r="AA24" s="50"/>
      <c r="AD24" s="4"/>
    </row>
    <row r="25" spans="1:57" ht="15" customHeight="1">
      <c r="B25" s="640"/>
      <c r="C25" s="615"/>
      <c r="D25" s="616"/>
      <c r="E25" s="617"/>
      <c r="F25" s="67"/>
      <c r="G25" s="83"/>
      <c r="H25" s="71" t="str">
        <f>VLOOKUP(2243,Sprachindex!$A:$Z,Info!$O$7,FALSE)</f>
        <v>Projekt-ID:</v>
      </c>
      <c r="I25" s="415"/>
      <c r="J25" s="67"/>
      <c r="K25" s="67"/>
      <c r="L25" s="67"/>
      <c r="M25" s="67"/>
      <c r="N25" s="67"/>
      <c r="O25" s="67"/>
      <c r="P25" s="68"/>
      <c r="Q25" s="67"/>
      <c r="R25" s="67"/>
      <c r="S25" s="67"/>
      <c r="T25" s="67"/>
      <c r="U25" s="67"/>
      <c r="V25" s="67"/>
      <c r="W25" s="67"/>
      <c r="X25" s="67"/>
      <c r="Y25" s="67"/>
      <c r="Z25" s="50"/>
      <c r="AA25" s="50"/>
      <c r="AD25" s="4"/>
    </row>
    <row r="26" spans="1:57" ht="15" customHeight="1">
      <c r="B26" s="640"/>
      <c r="C26" s="615"/>
      <c r="D26" s="616"/>
      <c r="E26" s="617"/>
      <c r="F26" s="67"/>
      <c r="G26" s="83"/>
      <c r="H26" s="71" t="str">
        <f>VLOOKUP(286,Sprachindex!$A:$Z,Info!$O$7,FALSE)</f>
        <v>Datum:</v>
      </c>
      <c r="I26" s="483">
        <f ca="1">TODAY()</f>
        <v>45770</v>
      </c>
      <c r="J26" s="67"/>
      <c r="K26" s="67"/>
      <c r="L26" s="67"/>
      <c r="M26" s="67"/>
      <c r="N26" s="67"/>
      <c r="O26" s="67"/>
      <c r="P26" s="67"/>
      <c r="Q26" s="67"/>
      <c r="R26" s="67"/>
      <c r="S26" s="67"/>
      <c r="T26" s="67"/>
      <c r="U26" s="67"/>
      <c r="V26" s="67"/>
      <c r="W26" s="67"/>
      <c r="X26" s="67"/>
      <c r="Y26" s="67"/>
      <c r="Z26" s="50"/>
      <c r="AA26" s="50"/>
      <c r="AD26" s="4"/>
    </row>
    <row r="27" spans="1:57" ht="15" customHeight="1">
      <c r="B27" s="640"/>
      <c r="C27" s="615"/>
      <c r="D27" s="616"/>
      <c r="E27" s="617"/>
      <c r="F27" s="67"/>
      <c r="G27" s="5"/>
      <c r="H27" s="5"/>
      <c r="I27" s="5"/>
      <c r="J27" s="5"/>
      <c r="K27" s="5"/>
      <c r="L27" s="67"/>
      <c r="M27" s="67"/>
      <c r="N27" s="67"/>
      <c r="O27" s="67"/>
      <c r="P27" s="67"/>
      <c r="Q27" s="67"/>
      <c r="R27" s="67"/>
      <c r="S27" s="67"/>
      <c r="T27" s="67"/>
      <c r="U27" s="67"/>
      <c r="V27" s="67"/>
      <c r="W27" s="67"/>
      <c r="X27" s="67"/>
      <c r="Y27" s="67"/>
      <c r="Z27" s="50"/>
      <c r="AA27" s="50"/>
      <c r="AD27" s="4"/>
    </row>
    <row r="28" spans="1:57"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AD28" s="4"/>
    </row>
    <row r="29" spans="1:57" ht="15" customHeight="1" thickBot="1">
      <c r="A29" s="95" t="str">
        <f>VLOOKUP(392,Sprachindex!$A:$Z,Info!$O$7,FALSE)</f>
        <v>Filter:</v>
      </c>
      <c r="B29" s="633"/>
      <c r="C29" s="633"/>
      <c r="D29" s="633"/>
      <c r="E29" s="633"/>
      <c r="F29" s="67"/>
      <c r="G29" s="67"/>
      <c r="H29" s="67"/>
      <c r="I29" s="67"/>
      <c r="J29" s="67"/>
      <c r="K29" s="67"/>
      <c r="L29" s="67"/>
      <c r="M29" s="67"/>
      <c r="N29" s="67"/>
      <c r="O29" s="67"/>
      <c r="P29" s="67"/>
      <c r="Q29" s="67"/>
      <c r="R29" s="67"/>
      <c r="S29" s="67"/>
      <c r="T29" s="67"/>
      <c r="U29" s="67"/>
      <c r="V29" s="67"/>
      <c r="W29" s="67"/>
      <c r="X29" s="67"/>
      <c r="Y29" s="67"/>
      <c r="AC29" s="627" t="s">
        <v>25</v>
      </c>
      <c r="AD29" s="627"/>
      <c r="AH29" s="45" t="s">
        <v>26</v>
      </c>
      <c r="AI29" s="13"/>
      <c r="AJ29" s="13"/>
      <c r="AK29" s="13"/>
      <c r="AL29" s="13"/>
      <c r="AM29" s="13"/>
      <c r="AN29" s="13"/>
      <c r="AO29" s="13"/>
      <c r="AP29" s="13"/>
      <c r="AQ29" s="13"/>
      <c r="AR29" s="13"/>
      <c r="AS29" s="13"/>
      <c r="AT29" s="45" t="s">
        <v>27</v>
      </c>
      <c r="AU29" s="13"/>
      <c r="AV29" s="13"/>
      <c r="AW29" s="13"/>
      <c r="AX29" s="13"/>
      <c r="AY29" s="13"/>
      <c r="AZ29" s="13"/>
      <c r="BA29" s="13"/>
      <c r="BB29" s="13"/>
      <c r="BC29" s="46"/>
      <c r="BD29" s="46"/>
      <c r="BE29" s="294"/>
    </row>
    <row r="30" spans="1:57"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
        <v>29</v>
      </c>
      <c r="S30" s="75" t="s">
        <v>29</v>
      </c>
      <c r="T30" s="179"/>
      <c r="U30" s="179"/>
      <c r="V30" s="179"/>
      <c r="W30" s="179"/>
      <c r="X30" s="179"/>
      <c r="Y30" s="179"/>
      <c r="Z30" s="179"/>
      <c r="AA30" s="179"/>
      <c r="AB30" s="179"/>
      <c r="AC30" s="153" t="s">
        <v>30</v>
      </c>
      <c r="AD30" s="153" t="s">
        <v>31</v>
      </c>
      <c r="AH30" s="47" t="s">
        <v>35</v>
      </c>
      <c r="AI30" s="47" t="s">
        <v>32</v>
      </c>
      <c r="AJ30" s="47" t="s">
        <v>40</v>
      </c>
      <c r="AK30" s="47" t="s">
        <v>37</v>
      </c>
      <c r="AL30" s="47" t="s">
        <v>33</v>
      </c>
      <c r="AM30" s="47" t="s">
        <v>39</v>
      </c>
      <c r="AN30" s="556" t="s">
        <v>34</v>
      </c>
      <c r="AO30" s="47" t="s">
        <v>38</v>
      </c>
      <c r="AP30" s="47" t="s">
        <v>41</v>
      </c>
      <c r="AQ30" s="47" t="s">
        <v>36</v>
      </c>
      <c r="AR30" s="47" t="s">
        <v>38962</v>
      </c>
      <c r="AS30" s="503" t="s">
        <v>39049</v>
      </c>
      <c r="AT30" s="47" t="s">
        <v>35</v>
      </c>
      <c r="AU30" s="47" t="s">
        <v>32</v>
      </c>
      <c r="AV30" s="47" t="s">
        <v>40</v>
      </c>
      <c r="AW30" s="47" t="s">
        <v>37</v>
      </c>
      <c r="AX30" s="47" t="s">
        <v>33</v>
      </c>
      <c r="AY30" s="47" t="s">
        <v>39</v>
      </c>
      <c r="AZ30" s="47" t="s">
        <v>34</v>
      </c>
      <c r="BA30" s="47" t="s">
        <v>38</v>
      </c>
      <c r="BB30" s="47" t="s">
        <v>41</v>
      </c>
      <c r="BC30" s="47" t="s">
        <v>36</v>
      </c>
      <c r="BD30" s="20" t="s">
        <v>38962</v>
      </c>
      <c r="BE30" s="503" t="s">
        <v>39049</v>
      </c>
    </row>
    <row r="31" spans="1:57" ht="32.1" customHeight="1">
      <c r="A31" s="96"/>
      <c r="B31" s="74" t="str">
        <f>VLOOKUP(588,Sprachindex!$A:$Z,Info!$O$7,FALSE)</f>
        <v>m²</v>
      </c>
      <c r="C31" s="97"/>
      <c r="D31" s="75" t="str" cm="1">
        <f t="array" ref="D31">_xlfn.IFS($P$9=1,BE31,$P$9=2,AS31,TRUE,"")</f>
        <v/>
      </c>
      <c r="E31" s="665" t="str">
        <f>VLOOKUP(267,Sprachindex!$A:$Z,Info!$O$7,FALSE)</f>
        <v>Dachraute 29 × 29</v>
      </c>
      <c r="F31" s="666"/>
      <c r="G31" s="666"/>
      <c r="H31" s="666"/>
      <c r="I31" s="666"/>
      <c r="J31" s="666"/>
      <c r="K31" s="667"/>
      <c r="L31" s="74" t="str">
        <f>IF(A31=0,"",IF($P$11=1,AC31,AD31))</f>
        <v/>
      </c>
      <c r="M31" s="398" t="str">
        <f>B31</f>
        <v>m²</v>
      </c>
      <c r="N31" s="403"/>
      <c r="O31" s="184" t="str">
        <f>IF(ISNUMBER(A31), IF(P21=7, $L31*S31, $L31*R31), "")</f>
        <v/>
      </c>
      <c r="P31" s="5"/>
      <c r="Q31" s="5"/>
      <c r="R31" s="182">
        <v>41.09</v>
      </c>
      <c r="S31" s="182">
        <v>42.16</v>
      </c>
      <c r="T31" s="179"/>
      <c r="U31" s="179"/>
      <c r="V31" s="179"/>
      <c r="W31" s="179"/>
      <c r="X31" s="179"/>
      <c r="Y31" s="179"/>
      <c r="Z31" s="179"/>
      <c r="AA31" s="179"/>
      <c r="AB31" s="179"/>
      <c r="AC31" s="154">
        <f>ROUNDUP($A31/10,0)*10</f>
        <v>0</v>
      </c>
      <c r="AD31" s="188">
        <f>TRUNC(ROUNDUP(A31/(1/12),0)*(1/12),2)</f>
        <v>0</v>
      </c>
      <c r="AH31" s="433">
        <v>110803</v>
      </c>
      <c r="AI31" s="433">
        <v>110800</v>
      </c>
      <c r="AJ31" s="433">
        <v>110808</v>
      </c>
      <c r="AK31" s="433">
        <v>110805</v>
      </c>
      <c r="AL31" s="433">
        <v>110801</v>
      </c>
      <c r="AM31" s="433">
        <v>110807</v>
      </c>
      <c r="AN31" s="433">
        <v>110802</v>
      </c>
      <c r="AO31" s="433">
        <v>110806</v>
      </c>
      <c r="AP31" s="433"/>
      <c r="AQ31" s="433">
        <v>110804</v>
      </c>
      <c r="AR31" s="557"/>
      <c r="AS31" s="507" t="e" vm="2">
        <f>VLOOKUP(AH31,AH31:AR31,$P$21,FALSE)</f>
        <v>#VALUE!</v>
      </c>
      <c r="AT31" s="432">
        <v>110813</v>
      </c>
      <c r="AU31" s="432">
        <v>110810</v>
      </c>
      <c r="AV31" s="432">
        <v>110818</v>
      </c>
      <c r="AW31" s="432">
        <v>110815</v>
      </c>
      <c r="AX31" s="432">
        <v>110811</v>
      </c>
      <c r="AY31" s="432">
        <v>110817</v>
      </c>
      <c r="AZ31" s="432">
        <v>110812</v>
      </c>
      <c r="BA31" s="432">
        <v>110816</v>
      </c>
      <c r="BB31" s="432">
        <v>110819</v>
      </c>
      <c r="BC31" s="432">
        <v>110814</v>
      </c>
      <c r="BD31" s="555">
        <v>11721028</v>
      </c>
      <c r="BE31" s="507" t="e" vm="2">
        <f>VLOOKUP(AT31,AT31:BD31,$P$21,FALSE)</f>
        <v>#VALUE!</v>
      </c>
    </row>
    <row r="32" spans="1:57" ht="32.1" customHeight="1">
      <c r="A32" s="93"/>
      <c r="B32" s="76" t="str">
        <f>VLOOKUP(878,Sprachindex!$A:$Z,Info!$O$7,FALSE)</f>
        <v>Stk.</v>
      </c>
      <c r="C32" s="75"/>
      <c r="D32" s="75" t="str" cm="1">
        <f t="array" ref="D32">_xlfn.IFS($P$9=1,BE32,$P$9=2,AS32,TRUE,"")</f>
        <v/>
      </c>
      <c r="E32" s="618" t="str">
        <f>VLOOKUP(865,Sprachindex!$A:$Z,Info!$O$7,FALSE)</f>
        <v>Startplatte für Dachraute 29 × 29</v>
      </c>
      <c r="F32" s="619"/>
      <c r="G32" s="619"/>
      <c r="H32" s="619"/>
      <c r="I32" s="619"/>
      <c r="J32" s="619"/>
      <c r="K32" s="620"/>
      <c r="L32" s="76" t="str">
        <f>IF(A32=0,"",IF($P$11=1,AC32,AD32))</f>
        <v/>
      </c>
      <c r="M32" s="399" t="str">
        <f t="shared" ref="M32:M80" si="0">B32</f>
        <v>Stk.</v>
      </c>
      <c r="N32" s="77"/>
      <c r="O32" s="184" t="str">
        <f>IF(ISNUMBER(A32),$L32*R32, "")</f>
        <v/>
      </c>
      <c r="P32" s="5"/>
      <c r="Q32" s="5"/>
      <c r="R32" s="182">
        <v>4.47</v>
      </c>
      <c r="S32" s="179"/>
      <c r="T32" s="179"/>
      <c r="U32" s="179"/>
      <c r="V32" s="179"/>
      <c r="W32" s="179"/>
      <c r="X32" s="179"/>
      <c r="Y32" s="179"/>
      <c r="Z32" s="179"/>
      <c r="AA32" s="179"/>
      <c r="AB32" s="179"/>
      <c r="AC32" s="139">
        <f>ROUNDUP(ROUNDUP($A32/100,0)*100,1)</f>
        <v>0</v>
      </c>
      <c r="AD32" s="139">
        <f>ROUNDUP($A32,0)</f>
        <v>0</v>
      </c>
      <c r="AH32" s="433">
        <v>110823</v>
      </c>
      <c r="AI32" s="433">
        <v>110820</v>
      </c>
      <c r="AJ32" s="433">
        <v>110828</v>
      </c>
      <c r="AK32" s="433">
        <v>110825</v>
      </c>
      <c r="AL32" s="433">
        <v>110821</v>
      </c>
      <c r="AM32" s="433">
        <v>110827</v>
      </c>
      <c r="AN32" s="433">
        <v>110822</v>
      </c>
      <c r="AO32" s="433">
        <v>110826</v>
      </c>
      <c r="AP32" s="433"/>
      <c r="AQ32" s="433">
        <v>110824</v>
      </c>
      <c r="AR32" s="557"/>
      <c r="AS32" s="507" t="e" vm="2">
        <f t="shared" ref="AS32:AS33" si="1">VLOOKUP(AH32,AH32:AR32,$P$21,FALSE)</f>
        <v>#VALUE!</v>
      </c>
      <c r="AT32" s="432">
        <v>110833</v>
      </c>
      <c r="AU32" s="432">
        <v>110830</v>
      </c>
      <c r="AV32" s="432">
        <v>110838</v>
      </c>
      <c r="AW32" s="432">
        <v>110835</v>
      </c>
      <c r="AX32" s="432">
        <v>110831</v>
      </c>
      <c r="AY32" s="432">
        <v>110837</v>
      </c>
      <c r="AZ32" s="432">
        <v>110832</v>
      </c>
      <c r="BA32" s="432">
        <v>110836</v>
      </c>
      <c r="BB32" s="432">
        <v>110839</v>
      </c>
      <c r="BC32" s="432">
        <v>110834</v>
      </c>
      <c r="BD32" s="555">
        <v>11791028</v>
      </c>
      <c r="BE32" s="507" t="e" vm="2">
        <f t="shared" ref="BE32:BE33" si="2">VLOOKUP(AT32,AT32:BD32,$P$21,FALSE)</f>
        <v>#VALUE!</v>
      </c>
    </row>
    <row r="33" spans="1:57" ht="32.1" customHeight="1">
      <c r="A33" s="93"/>
      <c r="B33" s="76" t="str">
        <f>VLOOKUP(878,Sprachindex!$A:$Z,Info!$O$7,FALSE)</f>
        <v>Stk.</v>
      </c>
      <c r="C33" s="75"/>
      <c r="D33" s="75" t="str" cm="1">
        <f t="array" ref="D33">_xlfn.IFS($P$9=1,BE33,$P$9=2,AS33,TRUE,"")</f>
        <v/>
      </c>
      <c r="E33" s="618" t="str">
        <f>VLOOKUP(356,Sprachindex!$A:$Z,Info!$O$7,FALSE)</f>
        <v>Endplatte für Dachraute 29 × 29</v>
      </c>
      <c r="F33" s="619"/>
      <c r="G33" s="619"/>
      <c r="H33" s="619"/>
      <c r="I33" s="619"/>
      <c r="J33" s="619"/>
      <c r="K33" s="620"/>
      <c r="L33" s="76" t="str">
        <f>IF(A33=0,"",IF($P$11=1,AC33,AD33))</f>
        <v/>
      </c>
      <c r="M33" s="399" t="str">
        <f t="shared" si="0"/>
        <v>Stk.</v>
      </c>
      <c r="N33" s="77"/>
      <c r="O33" s="184" t="str">
        <f>IF(ISNUMBER(A33),$L33*R33, "")</f>
        <v/>
      </c>
      <c r="P33" s="5"/>
      <c r="Q33" s="5"/>
      <c r="R33" s="182">
        <v>4.47</v>
      </c>
      <c r="S33" s="179"/>
      <c r="T33" s="179"/>
      <c r="U33" s="179"/>
      <c r="V33" s="179"/>
      <c r="W33" s="179"/>
      <c r="X33" s="179"/>
      <c r="Y33" s="179"/>
      <c r="Z33" s="179"/>
      <c r="AA33" s="179"/>
      <c r="AB33" s="179"/>
      <c r="AC33" s="139">
        <f>ROUNDUP(ROUNDUP($A33/100,0)*100,1)</f>
        <v>0</v>
      </c>
      <c r="AD33" s="139">
        <f>ROUNDUP($A33,0)</f>
        <v>0</v>
      </c>
      <c r="AH33" s="433">
        <v>110843</v>
      </c>
      <c r="AI33" s="433">
        <v>110840</v>
      </c>
      <c r="AJ33" s="433">
        <v>110848</v>
      </c>
      <c r="AK33" s="433">
        <v>110845</v>
      </c>
      <c r="AL33" s="433">
        <v>110841</v>
      </c>
      <c r="AM33" s="433">
        <v>110847</v>
      </c>
      <c r="AN33" s="433">
        <v>110842</v>
      </c>
      <c r="AO33" s="433">
        <v>110846</v>
      </c>
      <c r="AP33" s="433"/>
      <c r="AQ33" s="433">
        <v>110844</v>
      </c>
      <c r="AR33" s="557"/>
      <c r="AS33" s="507" t="e" vm="2">
        <f t="shared" si="1"/>
        <v>#VALUE!</v>
      </c>
      <c r="AT33" s="432">
        <v>110853</v>
      </c>
      <c r="AU33" s="432">
        <v>110850</v>
      </c>
      <c r="AV33" s="432">
        <v>110858</v>
      </c>
      <c r="AW33" s="432">
        <v>110855</v>
      </c>
      <c r="AX33" s="432">
        <v>110851</v>
      </c>
      <c r="AY33" s="432">
        <v>110857</v>
      </c>
      <c r="AZ33" s="432">
        <v>110852</v>
      </c>
      <c r="BA33" s="432">
        <v>110856</v>
      </c>
      <c r="BB33" s="432">
        <v>110859</v>
      </c>
      <c r="BC33" s="432">
        <v>110854</v>
      </c>
      <c r="BD33" s="555">
        <v>11751028</v>
      </c>
      <c r="BE33" s="507" t="e" vm="2">
        <f t="shared" si="2"/>
        <v>#VALUE!</v>
      </c>
    </row>
    <row r="34" spans="1:57" ht="32.1" customHeight="1">
      <c r="A34" s="93"/>
      <c r="B34" s="76" t="str">
        <f>VLOOKUP(878,Sprachindex!$A:$Z,Info!$O$7,FALSE)</f>
        <v>Stk.</v>
      </c>
      <c r="C34" s="75"/>
      <c r="D34" s="75">
        <v>505003</v>
      </c>
      <c r="E34" s="618" t="str">
        <f>VLOOKUP(270,Sprachindex!$A:$Z,Info!$O$7,FALSE)</f>
        <v>Dachrautenhaft 29 × 29</v>
      </c>
      <c r="F34" s="619"/>
      <c r="G34" s="619"/>
      <c r="H34" s="619"/>
      <c r="I34" s="619"/>
      <c r="J34" s="619"/>
      <c r="K34" s="620"/>
      <c r="L34" s="76" t="str">
        <f>IF(A34=0,"",IF($P$11=1,AC34,AD34))</f>
        <v/>
      </c>
      <c r="M34" s="399" t="str">
        <f t="shared" si="0"/>
        <v>Stk.</v>
      </c>
      <c r="N34" s="77"/>
      <c r="O34" s="184" t="str">
        <f>IF(ISNUMBER(A34),$L34*R34, "")</f>
        <v/>
      </c>
      <c r="P34" s="5"/>
      <c r="Q34" s="5"/>
      <c r="R34" s="182">
        <v>7.0000000000000007E-2</v>
      </c>
      <c r="S34" s="179"/>
      <c r="T34" s="179"/>
      <c r="U34" s="179"/>
      <c r="V34" s="179"/>
      <c r="W34" s="179"/>
      <c r="X34" s="179"/>
      <c r="Y34" s="179"/>
      <c r="Z34" s="179"/>
      <c r="AA34" s="179"/>
      <c r="AB34" s="179"/>
      <c r="AC34" s="139">
        <f>ROUNDUP($A34/320,0)*320</f>
        <v>0</v>
      </c>
      <c r="AD34" s="139">
        <f>ROUNDUP($A34,0)</f>
        <v>0</v>
      </c>
    </row>
    <row r="35" spans="1:57" ht="32.1" customHeight="1">
      <c r="A35" s="93"/>
      <c r="B35" s="76" t="str">
        <f>VLOOKUP(1512,Sprachindex!$A:$Z,Info!$O$7,FALSE)</f>
        <v>lfm</v>
      </c>
      <c r="C35" s="75" t="e" vm="79">
        <v>#VALUE!</v>
      </c>
      <c r="D35" s="79">
        <v>562005</v>
      </c>
      <c r="E35" s="618" t="str">
        <f>VLOOKUP(768,Sprachindex!$A:$Z,Info!$O$7,FALSE)</f>
        <v>Saumstreifen (1.800 × 158 × 1,00 mm)</v>
      </c>
      <c r="F35" s="619"/>
      <c r="G35" s="619"/>
      <c r="H35" s="619"/>
      <c r="I35" s="619"/>
      <c r="J35" s="619"/>
      <c r="K35" s="620"/>
      <c r="L35" s="76" t="str">
        <f>IF(A35=0,"",IF($P$11=1,AC35,AD35))</f>
        <v/>
      </c>
      <c r="M35" s="399" t="str">
        <f t="shared" si="0"/>
        <v>lfm</v>
      </c>
      <c r="N35" s="77"/>
      <c r="O35" s="184" t="str">
        <f>IF(ISNUMBER(A35),$L35*R35, "")</f>
        <v/>
      </c>
      <c r="P35" s="5"/>
      <c r="Q35" s="5"/>
      <c r="R35" s="182">
        <v>6.74</v>
      </c>
      <c r="S35" s="179"/>
      <c r="T35" s="5"/>
      <c r="U35" s="5"/>
      <c r="V35" s="5"/>
      <c r="W35" s="5"/>
      <c r="X35" s="5"/>
      <c r="Y35" s="5"/>
      <c r="AB35" s="5"/>
      <c r="AC35" s="137">
        <f>ROUNDUP($A35/1.8,0)*1.8</f>
        <v>0</v>
      </c>
      <c r="AD35" s="137">
        <f>ROUNDUP($A35/1.8,0)*1.8</f>
        <v>0</v>
      </c>
    </row>
    <row r="36" spans="1:57" ht="32.1" customHeight="1">
      <c r="A36" s="93"/>
      <c r="B36" s="76" t="str">
        <f>VLOOKUP(531,Sprachindex!$A:$Z,Info!$O$7,FALSE)</f>
        <v>kg</v>
      </c>
      <c r="C36" s="75" t="e" vm="80">
        <v>#VALUE!</v>
      </c>
      <c r="D36" s="75" t="str" cm="1">
        <f t="array" ref="D36">_xlfn.IFS(H36=Formeln!$A$2,340392,H36=Formeln!$A$3,340394,H36=Formeln!$A$4,341392,TRUE,"")</f>
        <v/>
      </c>
      <c r="E36" s="618" t="str">
        <f>VLOOKUP(707,Sprachindex!$A:$Z,Info!$O$7,FALSE)</f>
        <v>Rillennagel (verzinkt)</v>
      </c>
      <c r="F36" s="619"/>
      <c r="G36" s="619"/>
      <c r="H36" s="624"/>
      <c r="I36" s="625"/>
      <c r="J36" s="625"/>
      <c r="K36" s="626"/>
      <c r="L36" s="76" t="str">
        <f>IF(A36=0,"",IF(H36=Formeln!$A$1,"",IF($P$11=1,AC36,AD36)))</f>
        <v/>
      </c>
      <c r="M36" s="399" t="str">
        <f t="shared" si="0"/>
        <v>kg</v>
      </c>
      <c r="N36" s="77"/>
      <c r="O36" s="184" t="str">
        <f>IF(ISNUMBER(A36),$L36*R36, "")</f>
        <v/>
      </c>
      <c r="P36" s="5"/>
      <c r="Q36" s="5"/>
      <c r="R36" s="182">
        <v>9.6300000000000008</v>
      </c>
      <c r="S36" s="179"/>
      <c r="T36" s="179"/>
      <c r="U36" s="5"/>
      <c r="V36" s="5"/>
      <c r="W36" s="5"/>
      <c r="X36" s="5"/>
      <c r="Y36" s="5"/>
      <c r="AB36" s="5"/>
      <c r="AC36" s="138">
        <f>IF(OR($H36=Formeln!$A$2,$H36=Formeln!$A$3),ROUNDUP($A36/2.5,0)*2.5,ROUNDUP($A36/2,0)*2)</f>
        <v>0</v>
      </c>
      <c r="AD36" s="138">
        <f>ROUNDUP($A36,2)</f>
        <v>0</v>
      </c>
      <c r="AF36" s="6">
        <f>IF(H36=Formeln!A2,570,IF(H36=Formeln!A3,480,IF(H36=Formeln!A4,380,0)))</f>
        <v>0</v>
      </c>
    </row>
    <row r="37" spans="1:57" ht="32.1" customHeight="1">
      <c r="A37" s="93"/>
      <c r="B37" s="76" t="str">
        <f>IF(A37&lt;2,VLOOKUP(748,Sprachindex!$A:$Z,Info!$O$7,FALSE),VLOOKUP(749,Sprachindex!$A:$Z,Info!$O$7,FALSE))</f>
        <v>Rolle</v>
      </c>
      <c r="C37" s="75" t="e" vm="8">
        <v>#VALUE!</v>
      </c>
      <c r="D37" s="78" t="str">
        <f>IF(H37=Formeln!$A$6,341395,IF(H37=Formeln!$A$7,341396,IF(H37=Formeln!$A$8,341398,"")))</f>
        <v/>
      </c>
      <c r="E37" s="618" t="str">
        <f>VLOOKUP(2186,Sprachindex!$A:$Z,Info!$O$7,FALSE)</f>
        <v>Rillennägel gebunden</v>
      </c>
      <c r="F37" s="619"/>
      <c r="G37" s="619"/>
      <c r="H37" s="624"/>
      <c r="I37" s="625"/>
      <c r="J37" s="625"/>
      <c r="K37" s="626"/>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P37" s="267"/>
      <c r="Q37" s="5"/>
      <c r="R37" s="182">
        <v>31.5</v>
      </c>
      <c r="S37" s="182">
        <v>47.3</v>
      </c>
      <c r="T37" s="582">
        <v>66.3</v>
      </c>
      <c r="U37" s="179"/>
      <c r="V37" s="179"/>
      <c r="W37" s="179"/>
      <c r="X37" s="179"/>
      <c r="Y37" s="179"/>
      <c r="Z37" s="179"/>
      <c r="AA37" s="179"/>
      <c r="AB37" s="179"/>
      <c r="AC37" s="179" t="b">
        <f>IF(OR(H37=Formeln!$A$6,H37=Formeln!$A$8),A37*3200,IF(H37=Formeln!$A$7,A37*2400))</f>
        <v>0</v>
      </c>
      <c r="AD37" s="138">
        <f>IF(OR($H37=Formeln!$A$6,$H37=Formeln!$A$8),ROUNDUP($A37/3200,0)*3200,ROUNDUP($A37/2400,0)*2400)</f>
        <v>0</v>
      </c>
      <c r="AE37" s="139">
        <f>ROUNDUP($A37/1000,0)*1000</f>
        <v>0</v>
      </c>
      <c r="AF37" s="140">
        <f>IF($H37=Formeln!$A$7,2400,3200)</f>
        <v>3200</v>
      </c>
      <c r="AH37" s="47" t="s">
        <v>35</v>
      </c>
      <c r="AI37" s="47" t="s">
        <v>32</v>
      </c>
      <c r="AJ37" s="47" t="s">
        <v>40</v>
      </c>
      <c r="AK37" s="47" t="s">
        <v>37</v>
      </c>
      <c r="AL37" s="47" t="s">
        <v>33</v>
      </c>
      <c r="AM37" s="47" t="s">
        <v>39</v>
      </c>
      <c r="AN37" s="47" t="s">
        <v>34</v>
      </c>
      <c r="AO37" s="47" t="s">
        <v>38</v>
      </c>
      <c r="AP37" s="47" t="s">
        <v>41</v>
      </c>
      <c r="AQ37" s="47" t="s">
        <v>36</v>
      </c>
      <c r="AR37" s="47" t="s">
        <v>38962</v>
      </c>
      <c r="AS37" s="503" t="s">
        <v>39049</v>
      </c>
    </row>
    <row r="38" spans="1:57" ht="32.1" customHeight="1">
      <c r="A38" s="93"/>
      <c r="B38" s="76" t="str">
        <f>VLOOKUP(1512,Sprachindex!$A:$Z,Info!$O$7,FALSE)</f>
        <v>lfm</v>
      </c>
      <c r="C38" s="75" t="e" vm="81">
        <v>#VALUE!</v>
      </c>
      <c r="D38" s="75" t="str">
        <f>IF(ISNUMBER(A38),AS38,"")</f>
        <v/>
      </c>
      <c r="E38" s="618" t="str">
        <f>VLOOKUP(333,Sprachindex!$A:$Z,Info!$O$7,FALSE)</f>
        <v>Einlaufblech</v>
      </c>
      <c r="F38" s="619"/>
      <c r="G38" s="619"/>
      <c r="H38" s="619"/>
      <c r="I38" s="619"/>
      <c r="J38" s="619"/>
      <c r="K38" s="620"/>
      <c r="L38" s="76" t="str">
        <f>IF(A38=0,"",IF($P$11=1,AC38,AD38))</f>
        <v/>
      </c>
      <c r="M38" s="399" t="str">
        <f t="shared" si="0"/>
        <v>lfm</v>
      </c>
      <c r="N38" s="77"/>
      <c r="O38" s="184" t="str">
        <f>IF(ISNUMBER(A38),$L38*R38, "")</f>
        <v/>
      </c>
      <c r="P38" s="5"/>
      <c r="Q38" s="5"/>
      <c r="R38" s="182">
        <v>8.91</v>
      </c>
      <c r="S38" s="179"/>
      <c r="T38" s="179"/>
      <c r="U38" s="5"/>
      <c r="V38" s="5"/>
      <c r="W38" s="5"/>
      <c r="X38" s="5"/>
      <c r="Y38" s="5"/>
      <c r="AB38" s="5"/>
      <c r="AC38" s="139">
        <f>ROUNDUP($A38/2,0)*2</f>
        <v>0</v>
      </c>
      <c r="AD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VLOOKUP(AH38,AH38:AR38,$P$21,FALSE)</f>
        <v>#VALUE!</v>
      </c>
    </row>
    <row r="39" spans="1:57" ht="32.1" customHeight="1">
      <c r="A39" s="93"/>
      <c r="B39" s="76" t="str">
        <f>VLOOKUP(1512,Sprachindex!$A:$Z,Info!$O$7,FALSE)</f>
        <v>lfm</v>
      </c>
      <c r="C39" s="79" t="e" vm="82">
        <v>#VALUE!</v>
      </c>
      <c r="D39" s="79" t="str" cm="1">
        <f t="array" ref="D39">_xlfn.IFS(H39=Formeln!$A$10,507403,H39=Formeln!$A$11,507404,H39=Formeln!$A$12,507402,H39=Formeln!$A$13,507405,H39=Formeln!$A$14,507412,H39=Formeln!$A$15,507413,TRUE,"")</f>
        <v/>
      </c>
      <c r="E39" s="618" t="str">
        <f>VLOOKUP(586,Sprachindex!$A:$Z,Info!$O$7,FALSE)</f>
        <v>Lüftungsband</v>
      </c>
      <c r="F39" s="619"/>
      <c r="G39" s="619"/>
      <c r="H39" s="624"/>
      <c r="I39" s="625"/>
      <c r="J39" s="625"/>
      <c r="K39" s="626"/>
      <c r="L39" s="76" t="str">
        <f>IF($H39=Formeln!$A$9," ",IF(A39=0,"",IF($P$11=1,AC39,AD39)))</f>
        <v xml:space="preserve"> </v>
      </c>
      <c r="M39" s="399" t="str">
        <f t="shared" si="0"/>
        <v>lfm</v>
      </c>
      <c r="N39" s="77"/>
      <c r="O39" s="184" t="str">
        <f>IF(ISNUMBER(A39), IF(OR(H39=Formeln!$A$10,H39=Formeln!$A$11), $L39*R39, $L39*S39), "")</f>
        <v/>
      </c>
      <c r="P39" s="5"/>
      <c r="Q39" s="5"/>
      <c r="R39" s="182">
        <v>13.63</v>
      </c>
      <c r="S39" s="182">
        <v>21.91</v>
      </c>
      <c r="T39" s="179"/>
      <c r="U39" s="5"/>
      <c r="V39" s="5"/>
      <c r="W39" s="5"/>
      <c r="X39" s="5"/>
      <c r="Y39" s="5"/>
      <c r="AB39" s="5"/>
      <c r="AC39" s="139">
        <f>ROUNDUP($A39/40,0)*40</f>
        <v>0</v>
      </c>
      <c r="AD39" s="139">
        <f>$A39</f>
        <v>0</v>
      </c>
      <c r="AH39" s="661" t="s">
        <v>26</v>
      </c>
      <c r="AI39" s="661"/>
      <c r="AJ39" s="661"/>
      <c r="AK39" s="661"/>
      <c r="AL39" s="661"/>
      <c r="AM39" s="661"/>
      <c r="AN39" s="661"/>
      <c r="AO39" s="661"/>
      <c r="AP39" s="661"/>
      <c r="AQ39" s="661"/>
      <c r="AR39" s="661"/>
      <c r="AS39" s="49"/>
      <c r="AT39" s="662" t="s">
        <v>27</v>
      </c>
      <c r="AU39" s="662"/>
      <c r="AV39" s="662"/>
      <c r="AW39" s="662"/>
      <c r="AX39" s="662"/>
      <c r="AY39" s="662"/>
      <c r="AZ39" s="662"/>
      <c r="BA39" s="662"/>
      <c r="BB39" s="662"/>
      <c r="BC39" s="662"/>
      <c r="BD39" s="662"/>
    </row>
    <row r="40" spans="1:57" ht="31.95" customHeight="1">
      <c r="A40" s="93"/>
      <c r="B40" s="76" t="str">
        <f>VLOOKUP(1512,Sprachindex!$A:$Z,Info!$O$7,FALSE)</f>
        <v>lfm</v>
      </c>
      <c r="C40" s="75" t="e" vm="83">
        <v>#VALUE!</v>
      </c>
      <c r="D40" s="75">
        <v>507300</v>
      </c>
      <c r="E40" s="618" t="str">
        <f>VLOOKUP(986,Sprachindex!$A:$Z,Info!$O$7,FALSE)</f>
        <v>Vogelschutzgitter (Braun/Anthrazit; 125 × 2.000 × 0,7 mm)</v>
      </c>
      <c r="F40" s="619"/>
      <c r="G40" s="619"/>
      <c r="H40" s="619"/>
      <c r="I40" s="619"/>
      <c r="J40" s="619"/>
      <c r="K40" s="620"/>
      <c r="L40" s="76" t="str">
        <f t="shared" ref="L40:L48" si="3">IF(A40=0,"",IF($P$11=1,AC40,AD40))</f>
        <v/>
      </c>
      <c r="M40" s="399" t="str">
        <f t="shared" si="0"/>
        <v>lfm</v>
      </c>
      <c r="N40" s="77"/>
      <c r="O40" s="184" t="str">
        <f t="shared" ref="O40:O47" si="4">IF(ISNUMBER(A40),$L40*R40, "")</f>
        <v/>
      </c>
      <c r="P40" s="5"/>
      <c r="Q40" s="5"/>
      <c r="R40" s="182">
        <v>4.13</v>
      </c>
      <c r="S40" s="179"/>
      <c r="T40" s="179"/>
      <c r="U40" s="5"/>
      <c r="V40" s="5"/>
      <c r="W40" s="5"/>
      <c r="X40" s="5"/>
      <c r="Y40" s="5"/>
      <c r="AB40" s="5"/>
      <c r="AC40" s="139">
        <f>ROUNDUP($A40/2,0)*2</f>
        <v>0</v>
      </c>
      <c r="AD40" s="139">
        <f>ROUNDUP($A40/2,0)*2</f>
        <v>0</v>
      </c>
      <c r="AH40" s="47" t="s">
        <v>35</v>
      </c>
      <c r="AI40" s="47" t="s">
        <v>32</v>
      </c>
      <c r="AJ40" s="47" t="s">
        <v>40</v>
      </c>
      <c r="AK40" s="47" t="s">
        <v>37</v>
      </c>
      <c r="AL40" s="47" t="s">
        <v>33</v>
      </c>
      <c r="AM40" s="47" t="s">
        <v>39</v>
      </c>
      <c r="AN40" s="47" t="s">
        <v>34</v>
      </c>
      <c r="AO40" s="47" t="s">
        <v>38</v>
      </c>
      <c r="AP40" s="47" t="s">
        <v>41</v>
      </c>
      <c r="AQ40" s="47" t="s">
        <v>36</v>
      </c>
      <c r="AR40" s="47" t="s">
        <v>38962</v>
      </c>
      <c r="AS40" s="503" t="s">
        <v>39049</v>
      </c>
      <c r="AT40" s="47" t="s">
        <v>35</v>
      </c>
      <c r="AU40" s="47" t="s">
        <v>32</v>
      </c>
      <c r="AV40" s="47" t="s">
        <v>40</v>
      </c>
      <c r="AW40" s="47" t="s">
        <v>37</v>
      </c>
      <c r="AX40" s="47" t="s">
        <v>33</v>
      </c>
      <c r="AY40" s="47" t="s">
        <v>39</v>
      </c>
      <c r="AZ40" s="47" t="s">
        <v>34</v>
      </c>
      <c r="BA40" s="47" t="s">
        <v>38</v>
      </c>
      <c r="BB40" s="47" t="s">
        <v>41</v>
      </c>
      <c r="BC40" s="47" t="s">
        <v>36</v>
      </c>
      <c r="BD40" s="47" t="s">
        <v>38962</v>
      </c>
      <c r="BE40" s="503" t="s">
        <v>39049</v>
      </c>
    </row>
    <row r="41" spans="1:57" ht="32.1" customHeight="1">
      <c r="A41" s="93"/>
      <c r="B41" s="76" t="str">
        <f>VLOOKUP(1512,Sprachindex!$A:$Z,Info!$O$7,FALSE)</f>
        <v>lfm</v>
      </c>
      <c r="C41" s="75" t="e" vm="84">
        <v>#VALUE!</v>
      </c>
      <c r="D41" s="75" t="str">
        <f>IF($P$9=1,BE41,IF($P$9=2,AS41,""))</f>
        <v/>
      </c>
      <c r="E41" s="618" t="str">
        <f>VLOOKUP(647,Sprachindex!$A:$Z,Info!$O$7,FALSE)</f>
        <v>Ortgangstreifen (95 × 2.000 × 0,70 mm)</v>
      </c>
      <c r="F41" s="619"/>
      <c r="G41" s="619"/>
      <c r="H41" s="619"/>
      <c r="I41" s="619"/>
      <c r="J41" s="619"/>
      <c r="K41" s="620"/>
      <c r="L41" s="76" t="str">
        <f t="shared" si="3"/>
        <v/>
      </c>
      <c r="M41" s="399" t="str">
        <f t="shared" si="0"/>
        <v>lfm</v>
      </c>
      <c r="N41" s="77"/>
      <c r="O41" s="184" t="str">
        <f t="shared" si="4"/>
        <v/>
      </c>
      <c r="P41" s="5"/>
      <c r="Q41" s="5"/>
      <c r="R41" s="182">
        <v>9.86</v>
      </c>
      <c r="S41" s="179"/>
      <c r="T41" s="179"/>
      <c r="U41" s="5"/>
      <c r="V41" s="5"/>
      <c r="W41" s="5"/>
      <c r="X41" s="5"/>
      <c r="Y41" s="5"/>
      <c r="AB41" s="5"/>
      <c r="AC41" s="139">
        <f>ROUNDUP($A41/2,0)*2</f>
        <v>0</v>
      </c>
      <c r="AD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 t="shared" ref="AS41:AS52" si="5">VLOOKUP(AH41,AH41:AR41,$P$21,FALSE)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 t="shared" ref="BE41:BE47" si="6">VLOOKUP(AT41,AT41:BD41,$P$21,FALSE)</f>
        <v>#VALUE!</v>
      </c>
    </row>
    <row r="42" spans="1:57" ht="32.1" customHeight="1">
      <c r="A42" s="93"/>
      <c r="B42" s="76" t="str">
        <f>VLOOKUP(1512,Sprachindex!$A:$Z,Info!$O$7,FALSE)</f>
        <v>lfm</v>
      </c>
      <c r="C42" s="75" t="e" vm="85">
        <v>#VALUE!</v>
      </c>
      <c r="D42" s="75" t="str">
        <f t="shared" ref="D42:D47" si="7">IF($P$9=1,BE42,IF($P$9=2,AS42,""))</f>
        <v/>
      </c>
      <c r="E42" s="618" t="str">
        <f>VLOOKUP(825,Sprachindex!$A:$Z,Info!$O$7,FALSE)</f>
        <v>Sicherheitskehle (stucco; Länge: 3.000 mm)</v>
      </c>
      <c r="F42" s="619"/>
      <c r="G42" s="619"/>
      <c r="H42" s="619"/>
      <c r="I42" s="619"/>
      <c r="J42" s="619"/>
      <c r="K42" s="620"/>
      <c r="L42" s="76" t="str">
        <f t="shared" si="3"/>
        <v/>
      </c>
      <c r="M42" s="399" t="str">
        <f t="shared" si="0"/>
        <v>lfm</v>
      </c>
      <c r="N42" s="77"/>
      <c r="O42" s="184" t="str">
        <f t="shared" si="4"/>
        <v/>
      </c>
      <c r="P42" s="5"/>
      <c r="Q42" s="5"/>
      <c r="R42" s="182">
        <v>33.1</v>
      </c>
      <c r="S42" s="179"/>
      <c r="T42" s="179"/>
      <c r="U42" s="5"/>
      <c r="V42" s="5"/>
      <c r="W42" s="5"/>
      <c r="X42" s="5"/>
      <c r="Y42" s="5"/>
      <c r="AB42" s="5"/>
      <c r="AC42" s="139">
        <f>ROUNDUP($A42/3,0)*3</f>
        <v>0</v>
      </c>
      <c r="AD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si="5"/>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si="6"/>
        <v>#VALUE!</v>
      </c>
    </row>
    <row r="43" spans="1:57" ht="32.1" customHeight="1">
      <c r="A43" s="93"/>
      <c r="B43" s="76" t="str">
        <f>VLOOKUP(1512,Sprachindex!$A:$Z,Info!$O$7,FALSE)</f>
        <v>lfm</v>
      </c>
      <c r="C43" s="75" t="e" vm="86">
        <v>#VALUE!</v>
      </c>
      <c r="D43" s="75" t="str">
        <f t="shared" si="7"/>
        <v/>
      </c>
      <c r="E43" s="618" t="str">
        <f>VLOOKUP(440,Sprachindex!$A:$Z,Info!$O$7,FALSE)</f>
        <v>Grat- und Firstreiter (500 × 1,00 mm; stucco) inkl. Niro-Schraube 4,5 × 45 mm und Dichtscheibe</v>
      </c>
      <c r="F43" s="619"/>
      <c r="G43" s="619"/>
      <c r="H43" s="619"/>
      <c r="I43" s="619"/>
      <c r="J43" s="619"/>
      <c r="K43" s="620"/>
      <c r="L43" s="76" t="str">
        <f t="shared" si="3"/>
        <v/>
      </c>
      <c r="M43" s="399" t="str">
        <f t="shared" si="0"/>
        <v>lfm</v>
      </c>
      <c r="N43" s="77"/>
      <c r="O43" s="184" t="str">
        <f t="shared" si="4"/>
        <v/>
      </c>
      <c r="P43" s="5"/>
      <c r="Q43" s="5"/>
      <c r="R43" s="182">
        <v>15.21</v>
      </c>
      <c r="S43" s="179"/>
      <c r="T43" s="5"/>
      <c r="U43" s="5"/>
      <c r="V43" s="5"/>
      <c r="W43" s="5"/>
      <c r="X43" s="5"/>
      <c r="Y43" s="5"/>
      <c r="AB43" s="5"/>
      <c r="AC43" s="139">
        <f>ROUNDUP($A43/10,0)*10</f>
        <v>0</v>
      </c>
      <c r="AD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5"/>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6"/>
        <v>#VALUE!</v>
      </c>
    </row>
    <row r="44" spans="1:57" ht="32.1" customHeight="1">
      <c r="A44" s="93"/>
      <c r="B44" s="76" t="str">
        <f>VLOOKUP(878,Sprachindex!$A:$Z,Info!$O$7,FALSE)</f>
        <v>Stk.</v>
      </c>
      <c r="C44" s="75"/>
      <c r="D44" s="75" t="str">
        <f t="shared" si="7"/>
        <v/>
      </c>
      <c r="E44" s="618" t="str">
        <f>VLOOKUP(441,Sprachindex!$A:$Z,Info!$O$7,FALSE)</f>
        <v>Gratreitervorkopf (stucco)</v>
      </c>
      <c r="F44" s="619"/>
      <c r="G44" s="619"/>
      <c r="H44" s="619"/>
      <c r="I44" s="619"/>
      <c r="J44" s="619"/>
      <c r="K44" s="620"/>
      <c r="L44" s="76" t="str">
        <f t="shared" si="3"/>
        <v/>
      </c>
      <c r="M44" s="399" t="str">
        <f t="shared" si="0"/>
        <v>Stk.</v>
      </c>
      <c r="N44" s="77"/>
      <c r="O44" s="184" t="str">
        <f t="shared" si="4"/>
        <v/>
      </c>
      <c r="P44" s="5"/>
      <c r="Q44" s="5"/>
      <c r="R44" s="182">
        <v>8.26</v>
      </c>
      <c r="S44" s="179"/>
      <c r="T44" s="5"/>
      <c r="U44" s="5"/>
      <c r="V44" s="5"/>
      <c r="W44" s="5"/>
      <c r="X44" s="5"/>
      <c r="Y44" s="5"/>
      <c r="AB44" s="5"/>
      <c r="AC44" s="139">
        <f>ROUNDUP($A44/10,0)*10</f>
        <v>0</v>
      </c>
      <c r="AD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5"/>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6"/>
        <v>#VALUE!</v>
      </c>
    </row>
    <row r="45" spans="1:57" ht="32.1" customHeight="1">
      <c r="A45" s="93"/>
      <c r="B45" s="76" t="str">
        <f>VLOOKUP(1512,Sprachindex!$A:$Z,Info!$O$7,FALSE)</f>
        <v>lfm</v>
      </c>
      <c r="C45" s="75" t="e" vm="87">
        <v>#VALUE!</v>
      </c>
      <c r="D45" s="75" t="str">
        <f t="shared" si="7"/>
        <v/>
      </c>
      <c r="E45" s="618" t="str">
        <f>VLOOKUP(501,Sprachindex!$A:$Z,Info!$O$7,FALSE)</f>
        <v>Jet-Lüfter (stucco; 1.200 mm); inkl. Niro-Schraube und Dichtscheibe</v>
      </c>
      <c r="F45" s="619"/>
      <c r="G45" s="619"/>
      <c r="H45" s="619"/>
      <c r="I45" s="619"/>
      <c r="J45" s="619"/>
      <c r="K45" s="620"/>
      <c r="L45" s="76" t="str">
        <f t="shared" si="3"/>
        <v/>
      </c>
      <c r="M45" s="399" t="str">
        <f t="shared" si="0"/>
        <v>lfm</v>
      </c>
      <c r="N45" s="77"/>
      <c r="O45" s="184" t="str">
        <f t="shared" si="4"/>
        <v/>
      </c>
      <c r="P45" s="5"/>
      <c r="Q45" s="5"/>
      <c r="R45" s="182">
        <v>69.22</v>
      </c>
      <c r="S45" s="179"/>
      <c r="T45" s="5"/>
      <c r="U45" s="5"/>
      <c r="V45" s="5"/>
      <c r="W45" s="5"/>
      <c r="X45" s="5"/>
      <c r="Y45" s="5"/>
      <c r="AB45" s="5"/>
      <c r="AC45" s="139">
        <f>ROUNDUP($A45/1.2,0)*1.2</f>
        <v>0</v>
      </c>
      <c r="AD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5"/>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6"/>
        <v>#VALUE!</v>
      </c>
    </row>
    <row r="46" spans="1:57" ht="32.1" customHeight="1">
      <c r="A46" s="93"/>
      <c r="B46" s="76" t="str">
        <f>VLOOKUP(1512,Sprachindex!$A:$Z,Info!$O$7,FALSE)</f>
        <v>lfm</v>
      </c>
      <c r="C46" s="75" t="e" vm="87">
        <v>#VALUE!</v>
      </c>
      <c r="D46" s="75" t="str">
        <f t="shared" si="7"/>
        <v/>
      </c>
      <c r="E46" s="618" t="str">
        <f>VLOOKUP(502,Sprachindex!$A:$Z,Info!$O$7,FALSE)</f>
        <v>Jet-Lüfter (stucco; 3.000 mm); inkl. Niro-Schraube und Dichtscheibe</v>
      </c>
      <c r="F46" s="619"/>
      <c r="G46" s="619"/>
      <c r="H46" s="619"/>
      <c r="I46" s="619"/>
      <c r="J46" s="619"/>
      <c r="K46" s="620"/>
      <c r="L46" s="76" t="str">
        <f t="shared" si="3"/>
        <v/>
      </c>
      <c r="M46" s="399" t="str">
        <f t="shared" si="0"/>
        <v>lfm</v>
      </c>
      <c r="N46" s="77"/>
      <c r="O46" s="184" t="str">
        <f t="shared" si="4"/>
        <v/>
      </c>
      <c r="P46" s="5"/>
      <c r="Q46" s="5"/>
      <c r="R46" s="182">
        <v>62.51</v>
      </c>
      <c r="S46" s="179"/>
      <c r="T46" s="5"/>
      <c r="U46" s="5"/>
      <c r="V46" s="5"/>
      <c r="W46" s="5"/>
      <c r="X46" s="5"/>
      <c r="Y46" s="5"/>
      <c r="AB46" s="5"/>
      <c r="AC46" s="139">
        <f>ROUNDUP($A46/9,0)*9</f>
        <v>0</v>
      </c>
      <c r="AD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5"/>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6"/>
        <v>#VALUE!</v>
      </c>
    </row>
    <row r="47" spans="1:57" ht="32.1" customHeight="1">
      <c r="A47" s="93"/>
      <c r="B47" s="76" t="str">
        <f>VLOOKUP(878,Sprachindex!$A:$Z,Info!$O$7,FALSE)</f>
        <v>Stk.</v>
      </c>
      <c r="C47" s="75" t="e" vm="88">
        <v>#VALUE!</v>
      </c>
      <c r="D47" s="75" t="str">
        <f t="shared" si="7"/>
        <v/>
      </c>
      <c r="E47" s="618" t="str">
        <f>VLOOKUP(503,Sprachindex!$A:$Z,Info!$O$7,FALSE)</f>
        <v>Jet-Lüfter-Vorkopf (stucco)</v>
      </c>
      <c r="F47" s="619"/>
      <c r="G47" s="619"/>
      <c r="H47" s="619"/>
      <c r="I47" s="619"/>
      <c r="J47" s="619"/>
      <c r="K47" s="620"/>
      <c r="L47" s="76" t="str">
        <f t="shared" si="3"/>
        <v/>
      </c>
      <c r="M47" s="399" t="str">
        <f t="shared" si="0"/>
        <v>Stk.</v>
      </c>
      <c r="N47" s="77"/>
      <c r="O47" s="184" t="str">
        <f t="shared" si="4"/>
        <v/>
      </c>
      <c r="P47" s="5"/>
      <c r="Q47" s="5"/>
      <c r="R47" s="182">
        <v>8.9700000000000006</v>
      </c>
      <c r="S47" s="179"/>
      <c r="T47" s="5"/>
      <c r="U47" s="5"/>
      <c r="V47" s="5"/>
      <c r="W47" s="5"/>
      <c r="X47" s="5"/>
      <c r="Y47" s="5"/>
      <c r="AB47" s="5"/>
      <c r="AC47" s="139">
        <f>ROUNDUP($A47/2,0)*2</f>
        <v>0</v>
      </c>
      <c r="AD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5"/>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6"/>
        <v>#VALUE!</v>
      </c>
    </row>
    <row r="48" spans="1:57" ht="32.1" customHeight="1">
      <c r="A48" s="93"/>
      <c r="B48" s="76" t="str">
        <f>VLOOKUP(878,Sprachindex!$A:$Z,Info!$O$7,FALSE)</f>
        <v>Stk.</v>
      </c>
      <c r="C48" s="75" t="e" vm="19">
        <v>#VALUE!</v>
      </c>
      <c r="D48" s="75" t="str" cm="1">
        <f t="array" ref="D48">_xlfn.IFS(H48=Formeln!$B$18,AS48,H48=Formeln!$B$19,AT48,TRUE,"")</f>
        <v/>
      </c>
      <c r="E48" s="618" t="str">
        <f>VLOOKUP(2187,Sprachindex!$A:$Z,Info!$O$7,FALSE)</f>
        <v>Dichtschraube NIRO, 4,5x25</v>
      </c>
      <c r="F48" s="619"/>
      <c r="G48" s="619"/>
      <c r="H48" s="624"/>
      <c r="I48" s="625"/>
      <c r="J48" s="625"/>
      <c r="K48" s="626"/>
      <c r="L48" s="76" t="str">
        <f t="shared" si="3"/>
        <v/>
      </c>
      <c r="M48" s="161" t="str">
        <f>VLOOKUP(878,Sprachindex!$A:$Z,Info!$O$7,FALSE)</f>
        <v>Stk.</v>
      </c>
      <c r="N48" s="77"/>
      <c r="O48" s="204" t="str">
        <f>IF(ISNUMBER(L48),IF(H48=Formeln!$B$19,L48*S48,$L48*R48), "")</f>
        <v/>
      </c>
      <c r="P48" s="267"/>
      <c r="Q48" s="5"/>
      <c r="R48" s="182">
        <v>0.47</v>
      </c>
      <c r="S48" s="179">
        <v>0.36</v>
      </c>
      <c r="T48" s="179"/>
      <c r="U48" s="179"/>
      <c r="V48" s="179"/>
      <c r="W48" s="209"/>
      <c r="X48" s="209"/>
      <c r="Y48" s="209"/>
      <c r="Z48" s="209"/>
      <c r="AA48" s="209"/>
      <c r="AB48" s="209"/>
      <c r="AC48" s="139">
        <f>ROUNDUP($A48/200,0)*200</f>
        <v>0</v>
      </c>
      <c r="AD48" s="139">
        <f t="shared" ref="AD48:AD51" si="8">ROUNDUP($A48,0)</f>
        <v>0</v>
      </c>
      <c r="AH48" s="433">
        <v>340044</v>
      </c>
      <c r="AI48" s="433">
        <v>340041</v>
      </c>
      <c r="AJ48" s="433">
        <v>340048</v>
      </c>
      <c r="AK48" s="433">
        <v>340045</v>
      </c>
      <c r="AL48" s="433">
        <v>340042</v>
      </c>
      <c r="AM48" s="433">
        <v>340047</v>
      </c>
      <c r="AN48" s="433">
        <v>340043</v>
      </c>
      <c r="AO48" s="433">
        <v>340046</v>
      </c>
      <c r="AP48" s="433">
        <v>340049</v>
      </c>
      <c r="AQ48" s="433" t="s">
        <v>2349</v>
      </c>
      <c r="AR48" s="498" t="s">
        <v>2349</v>
      </c>
      <c r="AS48" s="507" t="e" vm="2">
        <f t="shared" si="5"/>
        <v>#VALUE!</v>
      </c>
      <c r="AT48" s="505">
        <v>340040</v>
      </c>
      <c r="AU48" s="505"/>
      <c r="AV48" s="505"/>
    </row>
    <row r="49" spans="1:426" ht="32.1" customHeight="1">
      <c r="A49" s="93"/>
      <c r="B49" s="76" t="str">
        <f>VLOOKUP(878,Sprachindex!$A:$Z,Info!$O$7,FALSE)</f>
        <v>Stk.</v>
      </c>
      <c r="C49" s="75" t="e" vm="20">
        <v>#VALUE!</v>
      </c>
      <c r="D49" s="75" t="str" cm="1">
        <f t="array" ref="D49">_xlfn.IFS(H49=Formeln!$A$18,AS49,H49=Formeln!$A$19,AT49,TRUE,"")</f>
        <v/>
      </c>
      <c r="E49" s="618" t="str">
        <f>VLOOKUP(2188,Sprachindex!$A:$Z,Info!$O$7,FALSE)</f>
        <v>Dichtschraube NIRO 4,5 x 45 mm, für Grat- und Firstreiter</v>
      </c>
      <c r="F49" s="619"/>
      <c r="G49" s="619"/>
      <c r="H49" s="624"/>
      <c r="I49" s="625"/>
      <c r="J49" s="625"/>
      <c r="K49" s="626"/>
      <c r="L49" s="76" t="str">
        <f>IF(A49=0,"",IF(H49=Formeln!$A$17," ",IF($P$11=1,AC49,AD49)))</f>
        <v/>
      </c>
      <c r="M49" s="161" t="str">
        <f>VLOOKUP(878,Sprachindex!$A:$Z,Info!$O$7,FALSE)</f>
        <v>Stk.</v>
      </c>
      <c r="N49" s="77"/>
      <c r="O49" s="204" t="str">
        <f>IF(ISNUMBER(L49),IF(H49=Formeln!$A$19,L49*S49,$L49*R49), "")</f>
        <v/>
      </c>
      <c r="P49" s="267"/>
      <c r="Q49" s="5"/>
      <c r="R49" s="182">
        <v>0.7</v>
      </c>
      <c r="S49" s="179">
        <v>0.62</v>
      </c>
      <c r="T49" s="179"/>
      <c r="U49" s="179"/>
      <c r="V49" s="179"/>
      <c r="W49" s="209"/>
      <c r="X49" s="209"/>
      <c r="Y49" s="209"/>
      <c r="Z49" s="209"/>
      <c r="AA49" s="209"/>
      <c r="AB49" s="209"/>
      <c r="AC49" s="139">
        <f>ROUNDUP($A49/250,0)*250</f>
        <v>0</v>
      </c>
      <c r="AD49" s="139">
        <f t="shared" si="8"/>
        <v>0</v>
      </c>
      <c r="AH49" s="433">
        <v>340104</v>
      </c>
      <c r="AI49" s="433">
        <v>340001</v>
      </c>
      <c r="AJ49" s="433">
        <v>340014</v>
      </c>
      <c r="AK49" s="433">
        <v>340002</v>
      </c>
      <c r="AL49" s="433">
        <v>340004</v>
      </c>
      <c r="AM49" s="433">
        <v>340011</v>
      </c>
      <c r="AN49" s="433">
        <v>340003</v>
      </c>
      <c r="AO49" s="433">
        <v>340016</v>
      </c>
      <c r="AP49" s="433">
        <v>340013</v>
      </c>
      <c r="AQ49" s="433" t="s">
        <v>2349</v>
      </c>
      <c r="AR49" s="433">
        <v>340012</v>
      </c>
      <c r="AS49" s="507" t="e" vm="2">
        <f t="shared" si="5"/>
        <v>#VALUE!</v>
      </c>
      <c r="AT49" s="505">
        <v>340103</v>
      </c>
      <c r="AU49" s="505">
        <v>340017</v>
      </c>
      <c r="AV49" s="505">
        <v>340010</v>
      </c>
    </row>
    <row r="50" spans="1:426" ht="32.1" customHeight="1">
      <c r="A50" s="93"/>
      <c r="B50" s="76" t="str">
        <f>VLOOKUP(878,Sprachindex!$A:$Z,Info!$O$7,FALSE)</f>
        <v>Stk.</v>
      </c>
      <c r="C50" s="75" t="e" vm="21">
        <v>#VALUE!</v>
      </c>
      <c r="D50" s="75" t="str" cm="1">
        <f t="array" ref="D50">_xlfn.IFS(H50=Formeln!$A$21,AS50,H50=Formeln!$A$22,AT50,TRUE,"")</f>
        <v/>
      </c>
      <c r="E50" s="618" t="str">
        <f>VLOOKUP(2189,Sprachindex!$A:$Z,Info!$O$7,FALSE)</f>
        <v>Dichtschraube NIRO 4,5 x 60 mm, für Jet-Lüfter</v>
      </c>
      <c r="F50" s="619"/>
      <c r="G50" s="619"/>
      <c r="H50" s="624"/>
      <c r="I50" s="625"/>
      <c r="J50" s="625"/>
      <c r="K50" s="626"/>
      <c r="L50" s="76" t="str">
        <f>IF(A50=0,"",IF(H50=Formeln!$A$17," ",IF($P$11=1,AC50,AD50)))</f>
        <v/>
      </c>
      <c r="M50" s="161" t="str">
        <f>VLOOKUP(878,Sprachindex!$A:$Z,Info!$O$7,FALSE)</f>
        <v>Stk.</v>
      </c>
      <c r="N50" s="77"/>
      <c r="O50" s="204" t="str">
        <f>IF(ISNUMBER(L50),IF(H50=Formeln!$A$22,L50*S50,$L50*R50), "")</f>
        <v/>
      </c>
      <c r="P50" s="267"/>
      <c r="Q50" s="5"/>
      <c r="R50" s="182">
        <v>0.89</v>
      </c>
      <c r="S50" s="179">
        <v>0.7</v>
      </c>
      <c r="T50" s="179"/>
      <c r="U50" s="179"/>
      <c r="V50" s="179"/>
      <c r="W50" s="209"/>
      <c r="X50" s="209"/>
      <c r="Y50" s="209"/>
      <c r="Z50" s="209"/>
      <c r="AA50" s="209"/>
      <c r="AB50" s="209"/>
      <c r="AC50" s="139">
        <f>ROUNDUP($A50/100,0)*100</f>
        <v>0</v>
      </c>
      <c r="AD50" s="139">
        <f t="shared" si="8"/>
        <v>0</v>
      </c>
      <c r="AH50" s="433">
        <v>340021</v>
      </c>
      <c r="AI50" s="433">
        <v>340020</v>
      </c>
      <c r="AJ50" s="433">
        <v>340030</v>
      </c>
      <c r="AK50" s="433">
        <v>340025</v>
      </c>
      <c r="AL50" s="433">
        <v>340024</v>
      </c>
      <c r="AM50" s="433">
        <v>340027</v>
      </c>
      <c r="AN50" s="433">
        <v>340022</v>
      </c>
      <c r="AO50" s="433">
        <v>340032</v>
      </c>
      <c r="AP50" s="433">
        <v>340036</v>
      </c>
      <c r="AQ50" s="433" t="s">
        <v>2349</v>
      </c>
      <c r="AR50" s="433">
        <v>340035</v>
      </c>
      <c r="AS50" s="507" t="e" vm="2">
        <f t="shared" si="5"/>
        <v>#VALUE!</v>
      </c>
      <c r="AT50" s="505">
        <v>340106</v>
      </c>
      <c r="AU50" s="505">
        <v>340037</v>
      </c>
      <c r="AV50" s="505">
        <v>340034</v>
      </c>
    </row>
    <row r="51" spans="1:426" ht="32.1" customHeight="1">
      <c r="A51" s="93"/>
      <c r="B51" s="76" t="str">
        <f>VLOOKUP(878,Sprachindex!$A:$Z,Info!$O$7,FALSE)</f>
        <v>Stk.</v>
      </c>
      <c r="C51" s="75" t="e" vm="94">
        <v>#VALUE!</v>
      </c>
      <c r="D51" s="75" t="str">
        <f>IF(ISNUMBER(A51),AS51,"")</f>
        <v/>
      </c>
      <c r="E51" s="618" t="str">
        <f>VLOOKUP(409,Sprachindex!$A:$Z,Info!$O$7,FALSE)</f>
        <v>Froschmaullukenhaube</v>
      </c>
      <c r="F51" s="619"/>
      <c r="G51" s="619"/>
      <c r="H51" s="619"/>
      <c r="I51" s="619"/>
      <c r="J51" s="619"/>
      <c r="K51" s="620"/>
      <c r="L51" s="76" t="str">
        <f>IF(A51=0,"",IF($P$11=1,AC51,AD51))</f>
        <v/>
      </c>
      <c r="M51" s="399" t="str">
        <f t="shared" si="0"/>
        <v>Stk.</v>
      </c>
      <c r="N51" s="77"/>
      <c r="O51" s="184" t="str">
        <f>IF(ISNUMBER(A51),$L51*R51, "")</f>
        <v/>
      </c>
      <c r="P51" s="5"/>
      <c r="Q51" s="5"/>
      <c r="R51" s="182">
        <v>25.39</v>
      </c>
      <c r="S51" s="179"/>
      <c r="T51" s="5"/>
      <c r="U51" s="5"/>
      <c r="V51" s="5"/>
      <c r="W51" s="5"/>
      <c r="X51" s="5"/>
      <c r="Y51" s="5"/>
      <c r="AB51" s="5"/>
      <c r="AC51" s="139">
        <f>ROUNDUP($A51/20,0)*20</f>
        <v>0</v>
      </c>
      <c r="AD51" s="139">
        <f t="shared" si="8"/>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 t="shared" si="5"/>
        <v>#VALUE!</v>
      </c>
      <c r="AT51" s="506" t="s">
        <v>28580</v>
      </c>
      <c r="AU51" s="506" t="s">
        <v>39050</v>
      </c>
      <c r="AV51" s="506" t="s">
        <v>39051</v>
      </c>
    </row>
    <row r="52" spans="1:426" ht="32.1" customHeight="1">
      <c r="A52" s="93"/>
      <c r="B52" s="76" t="str">
        <f>VLOOKUP(878,Sprachindex!$A:$Z,Info!$O$7,FALSE)</f>
        <v>Stk.</v>
      </c>
      <c r="C52" s="75"/>
      <c r="D52" s="75" t="str" cm="1">
        <f t="array" ref="D52">_xlfn.IFS($P$9=1,BE52,$P$9=2,AS52,TRUE,"")</f>
        <v/>
      </c>
      <c r="E52" s="618" t="str">
        <f>VLOOKUP(2220,Sprachindex!$A:$Z,Info!$O$7,FALSE)</f>
        <v>Froschmaulluke stucco für DR29x29</v>
      </c>
      <c r="F52" s="619"/>
      <c r="G52" s="619"/>
      <c r="H52" s="619"/>
      <c r="I52" s="619"/>
      <c r="J52" s="619"/>
      <c r="K52" s="620"/>
      <c r="L52" s="76" t="str">
        <f>IF(A52=0,"",IF($P$11=1,AC52,AD52))</f>
        <v/>
      </c>
      <c r="M52" s="399" t="str">
        <f t="shared" si="0"/>
        <v>Stk.</v>
      </c>
      <c r="N52" s="77"/>
      <c r="O52" s="184" t="str">
        <f>IF(ISNUMBER(A52),$L52*R52, "")</f>
        <v/>
      </c>
      <c r="P52" s="5"/>
      <c r="Q52" s="5"/>
      <c r="R52" s="182">
        <v>45.02</v>
      </c>
      <c r="S52" s="179"/>
      <c r="T52" s="179"/>
      <c r="U52" s="179"/>
      <c r="V52" s="179"/>
      <c r="W52" s="179"/>
      <c r="X52" s="179"/>
      <c r="Y52" s="179"/>
      <c r="Z52" s="179"/>
      <c r="AA52" s="179"/>
      <c r="AB52" s="179"/>
      <c r="AC52" s="139">
        <f>ROUNDUP($A52/10,0)*10</f>
        <v>0</v>
      </c>
      <c r="AD52" s="139">
        <f>ROUNDUP($A52,0)</f>
        <v>0</v>
      </c>
      <c r="AH52" s="433">
        <v>110153</v>
      </c>
      <c r="AI52" s="433">
        <v>110150</v>
      </c>
      <c r="AJ52" s="433">
        <v>110158</v>
      </c>
      <c r="AK52" s="433">
        <v>110155</v>
      </c>
      <c r="AL52" s="433">
        <v>110151</v>
      </c>
      <c r="AM52" s="433">
        <v>110157</v>
      </c>
      <c r="AN52" s="433">
        <v>110152</v>
      </c>
      <c r="AO52" s="433">
        <v>110156</v>
      </c>
      <c r="AP52" s="433">
        <v>110159</v>
      </c>
      <c r="AQ52" s="433">
        <v>110154</v>
      </c>
      <c r="AR52" s="433">
        <v>11761028</v>
      </c>
      <c r="AS52" s="507" t="e" vm="2">
        <f t="shared" si="5"/>
        <v>#VALUE!</v>
      </c>
      <c r="AT52" s="438">
        <v>110163</v>
      </c>
      <c r="AU52" s="438">
        <v>110160</v>
      </c>
      <c r="AV52" s="432">
        <v>110168</v>
      </c>
      <c r="AW52" s="432">
        <v>110165</v>
      </c>
      <c r="AX52" s="432">
        <v>110161</v>
      </c>
      <c r="AY52" s="432">
        <v>110167</v>
      </c>
      <c r="AZ52" s="432">
        <v>110162</v>
      </c>
      <c r="BA52" s="432">
        <v>110166</v>
      </c>
      <c r="BB52" s="432">
        <v>110169</v>
      </c>
      <c r="BC52" s="432">
        <v>110164</v>
      </c>
      <c r="BD52" s="432">
        <v>11771028</v>
      </c>
      <c r="BE52" s="507" t="e" vm="2">
        <f t="shared" ref="BE52" si="9">VLOOKUP(AT52,AT52:BD52,$P$21,FALSE)</f>
        <v>#VALUE!</v>
      </c>
    </row>
    <row r="53" spans="1:426" ht="32.1" customHeight="1">
      <c r="A53" s="93"/>
      <c r="B53" s="76" t="str">
        <f>VLOOKUP(878,Sprachindex!$A:$Z,Info!$O$7,FALSE)</f>
        <v>Stk.</v>
      </c>
      <c r="C53" s="75" t="e" vm="89">
        <v>#VALUE!</v>
      </c>
      <c r="D53" s="75">
        <v>545106</v>
      </c>
      <c r="E53" s="628" t="str">
        <f>VLOOKUP(1874,Sprachindex!$A:$Z,Info!$O$7,FALSE)</f>
        <v>Einfassung Vario, 120-600 mm, stucco</v>
      </c>
      <c r="F53" s="629"/>
      <c r="G53" s="629"/>
      <c r="H53" s="629"/>
      <c r="I53" s="629"/>
      <c r="J53" s="629"/>
      <c r="K53" s="630"/>
      <c r="L53" s="76" t="str">
        <f>IF(A53=0,"",IF($P$11=1,AC53,AD53))</f>
        <v/>
      </c>
      <c r="M53" s="399" t="str">
        <f t="shared" si="0"/>
        <v>Stk.</v>
      </c>
      <c r="N53" s="77"/>
      <c r="O53" s="184" t="str">
        <f>IF(ISNUMBER(A53),$L53*R53, "")</f>
        <v/>
      </c>
      <c r="P53" s="5"/>
      <c r="Q53" s="5"/>
      <c r="R53" s="182">
        <v>0</v>
      </c>
      <c r="S53" s="179"/>
      <c r="T53" s="179"/>
      <c r="U53" s="179"/>
      <c r="V53" s="179"/>
      <c r="W53" s="179"/>
      <c r="X53" s="179"/>
      <c r="Y53" s="179"/>
      <c r="Z53" s="179"/>
      <c r="AA53" s="179"/>
      <c r="AB53" s="5"/>
      <c r="AC53" s="139">
        <f>ROUNDUP($A53,0)</f>
        <v>0</v>
      </c>
      <c r="AD53" s="139">
        <f t="shared" ref="AD53:AD71" si="10">ROUNDUP($A53,0)</f>
        <v>0</v>
      </c>
      <c r="AH53" s="47" t="s">
        <v>35</v>
      </c>
      <c r="AI53" s="47" t="s">
        <v>32</v>
      </c>
      <c r="AJ53" s="47" t="s">
        <v>40</v>
      </c>
      <c r="AK53" s="47" t="s">
        <v>37</v>
      </c>
      <c r="AL53" s="47" t="s">
        <v>33</v>
      </c>
      <c r="AM53" s="47" t="s">
        <v>39</v>
      </c>
      <c r="AN53" s="47" t="s">
        <v>34</v>
      </c>
      <c r="AO53" s="47" t="s">
        <v>38</v>
      </c>
      <c r="AP53" s="47" t="s">
        <v>41</v>
      </c>
      <c r="AQ53" s="47" t="s">
        <v>36</v>
      </c>
      <c r="AR53" s="47" t="s">
        <v>38962</v>
      </c>
    </row>
    <row r="54" spans="1:426" ht="32.1" customHeight="1" thickBot="1">
      <c r="A54" s="93"/>
      <c r="B54" s="76" t="str">
        <f>VLOOKUP(878,Sprachindex!$A:$Z,Info!$O$7,FALSE)</f>
        <v>Stk.</v>
      </c>
      <c r="C54" s="75" t="e" vm="89">
        <v>#VALUE!</v>
      </c>
      <c r="D54" s="75">
        <v>545106</v>
      </c>
      <c r="E54" s="628" t="str">
        <f>VLOOKUP(1875,Sprachindex!$A:$Z,Info!$O$7,FALSE)</f>
        <v>Einfassung Vario, 600-1.020 mm, stucco</v>
      </c>
      <c r="F54" s="629"/>
      <c r="G54" s="629"/>
      <c r="H54" s="629"/>
      <c r="I54" s="629"/>
      <c r="J54" s="629"/>
      <c r="K54" s="630"/>
      <c r="L54" s="76" t="str">
        <f>IF(A54=0,"",IF($P$11=1,AC54,AD54))</f>
        <v/>
      </c>
      <c r="M54" s="399" t="str">
        <f t="shared" si="0"/>
        <v>Stk.</v>
      </c>
      <c r="N54" s="77"/>
      <c r="O54" s="184" t="str">
        <f>IF(ISNUMBER(A54),$L54*R54, "")</f>
        <v/>
      </c>
      <c r="P54" s="5"/>
      <c r="Q54" s="5"/>
      <c r="R54" s="182">
        <v>0</v>
      </c>
      <c r="S54" s="179"/>
      <c r="T54" s="179"/>
      <c r="U54" s="179"/>
      <c r="V54" s="179"/>
      <c r="W54" s="179"/>
      <c r="X54" s="179"/>
      <c r="Y54" s="179"/>
      <c r="Z54" s="179"/>
      <c r="AA54" s="179"/>
      <c r="AB54" s="5"/>
      <c r="AC54" s="139">
        <f>ROUNDUP($A54,0)</f>
        <v>0</v>
      </c>
      <c r="AD54" s="139">
        <f t="shared" si="10"/>
        <v>0</v>
      </c>
    </row>
    <row r="55" spans="1:426" ht="32.1" customHeight="1" thickBot="1">
      <c r="A55" s="93"/>
      <c r="B55" s="76" t="str">
        <f>VLOOKUP(878,Sprachindex!$A:$Z,Info!$O$7,FALSE)</f>
        <v>Stk.</v>
      </c>
      <c r="C55" s="75" t="e" vm="26">
        <v>#VALUE!</v>
      </c>
      <c r="D55" s="75" t="str">
        <f>IF($P$9=1,BE55,IF($P$9=2,AS55,""))</f>
        <v/>
      </c>
      <c r="E55" s="628" t="str">
        <f>VLOOKUP(254,Sprachindex!$A:$Z,Info!$O$7,FALSE)</f>
        <v>Dachluke (600 × 600 mm); komplett mit Holzrahmen</v>
      </c>
      <c r="F55" s="629"/>
      <c r="G55" s="629"/>
      <c r="H55" s="629"/>
      <c r="I55" s="629"/>
      <c r="J55" s="629"/>
      <c r="K55" s="630"/>
      <c r="L55" s="76" t="str">
        <f>IF(A55=0,"",IF($P$11=1,AC55,AD55))</f>
        <v/>
      </c>
      <c r="M55" s="161" t="str">
        <f>VLOOKUP(878,Sprachindex!$A:$Z,Info!$O$7,FALSE)</f>
        <v>Stk.</v>
      </c>
      <c r="N55" s="77"/>
      <c r="O55" s="204" t="str">
        <f>IF(ISNUMBER(A55),$L55*R55, "")</f>
        <v/>
      </c>
      <c r="P55" s="267"/>
      <c r="Q55" s="5"/>
      <c r="R55" s="182">
        <v>254.93</v>
      </c>
      <c r="S55" s="179"/>
      <c r="T55" s="179"/>
      <c r="U55" s="179"/>
      <c r="V55" s="179"/>
      <c r="W55" s="179"/>
      <c r="X55" s="179"/>
      <c r="Y55" s="179"/>
      <c r="Z55" s="179"/>
      <c r="AA55" s="179"/>
      <c r="AB55" s="179"/>
      <c r="AC55" s="139">
        <f t="shared" ref="AC55:AC64" si="11">ROUNDUP($A55,0)</f>
        <v>0</v>
      </c>
      <c r="AD55" s="139">
        <f t="shared" si="10"/>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VLOOKUP(AH55,AH55:AR55,$P$21,FALSE)</f>
        <v>#VALUE!</v>
      </c>
      <c r="AT55" s="438">
        <v>110033</v>
      </c>
      <c r="AU55" s="438">
        <v>110030</v>
      </c>
      <c r="AV55" s="438">
        <v>110038</v>
      </c>
      <c r="AW55" s="438">
        <v>110035</v>
      </c>
      <c r="AX55" s="438">
        <v>110031</v>
      </c>
      <c r="AY55" s="438">
        <v>110037</v>
      </c>
      <c r="AZ55" s="438">
        <v>110032</v>
      </c>
      <c r="BA55" s="438">
        <v>110036</v>
      </c>
      <c r="BB55" s="438">
        <v>110039</v>
      </c>
      <c r="BC55" s="438">
        <v>110034</v>
      </c>
      <c r="BD55" s="438">
        <v>16761028</v>
      </c>
      <c r="BE55" s="524" t="e" vm="2">
        <f>VLOOKUP(AT55,AT55:BD55,$P$21,FALSE)</f>
        <v>#VALUE!</v>
      </c>
      <c r="BF55" s="525" t="s">
        <v>39079</v>
      </c>
      <c r="BG55" s="523" t="s">
        <v>39080</v>
      </c>
      <c r="BH55" s="519" t="s">
        <v>35</v>
      </c>
      <c r="BI55" s="519" t="s">
        <v>32</v>
      </c>
      <c r="BJ55" s="519" t="s">
        <v>40</v>
      </c>
      <c r="BK55" s="519" t="s">
        <v>37</v>
      </c>
      <c r="BL55" s="519" t="s">
        <v>33</v>
      </c>
      <c r="BM55" s="519" t="s">
        <v>39</v>
      </c>
      <c r="BN55" s="519" t="s">
        <v>34</v>
      </c>
      <c r="BO55" s="519" t="s">
        <v>38</v>
      </c>
      <c r="BP55" s="519" t="s">
        <v>41</v>
      </c>
      <c r="BQ55" s="519" t="s">
        <v>36</v>
      </c>
      <c r="BR55" s="519" t="s">
        <v>38962</v>
      </c>
      <c r="BS55" s="520" t="s">
        <v>39049</v>
      </c>
      <c r="BT55" s="519" t="s">
        <v>35</v>
      </c>
      <c r="BU55" s="519" t="s">
        <v>32</v>
      </c>
      <c r="BV55" s="519" t="s">
        <v>40</v>
      </c>
      <c r="BW55" s="519" t="s">
        <v>37</v>
      </c>
      <c r="BX55" s="519" t="s">
        <v>33</v>
      </c>
      <c r="BY55" s="519" t="s">
        <v>39</v>
      </c>
      <c r="BZ55" s="519" t="s">
        <v>34</v>
      </c>
      <c r="CA55" s="519" t="s">
        <v>38</v>
      </c>
      <c r="CB55" s="519" t="s">
        <v>41</v>
      </c>
      <c r="CC55" s="519" t="s">
        <v>36</v>
      </c>
      <c r="CD55" s="519" t="s">
        <v>38962</v>
      </c>
      <c r="CE55" s="516" t="s">
        <v>39049</v>
      </c>
      <c r="CF55" s="535" t="s">
        <v>39079</v>
      </c>
      <c r="CG55" s="523" t="s">
        <v>39080</v>
      </c>
      <c r="CH55" s="519" t="s">
        <v>35</v>
      </c>
      <c r="CI55" s="519" t="s">
        <v>32</v>
      </c>
      <c r="CJ55" s="519" t="s">
        <v>40</v>
      </c>
      <c r="CK55" s="519" t="s">
        <v>37</v>
      </c>
      <c r="CL55" s="519" t="s">
        <v>33</v>
      </c>
      <c r="CM55" s="519" t="s">
        <v>39</v>
      </c>
      <c r="CN55" s="519" t="s">
        <v>34</v>
      </c>
      <c r="CO55" s="519" t="s">
        <v>38</v>
      </c>
      <c r="CP55" s="519" t="s">
        <v>41</v>
      </c>
      <c r="CQ55" s="519" t="s">
        <v>36</v>
      </c>
      <c r="CR55" s="519" t="s">
        <v>38962</v>
      </c>
      <c r="CS55" s="520" t="s">
        <v>39049</v>
      </c>
      <c r="CT55" s="519" t="s">
        <v>35</v>
      </c>
      <c r="CU55" s="519" t="s">
        <v>32</v>
      </c>
      <c r="CV55" s="519" t="s">
        <v>40</v>
      </c>
      <c r="CW55" s="519" t="s">
        <v>37</v>
      </c>
      <c r="CX55" s="519" t="s">
        <v>33</v>
      </c>
      <c r="CY55" s="519" t="s">
        <v>39</v>
      </c>
      <c r="CZ55" s="519" t="s">
        <v>34</v>
      </c>
      <c r="DA55" s="519" t="s">
        <v>38</v>
      </c>
      <c r="DB55" s="519" t="s">
        <v>41</v>
      </c>
      <c r="DC55" s="519" t="s">
        <v>36</v>
      </c>
      <c r="DD55" s="519" t="s">
        <v>38962</v>
      </c>
      <c r="DE55" s="520" t="s">
        <v>39049</v>
      </c>
      <c r="DF55" s="521" t="s">
        <v>39079</v>
      </c>
      <c r="DG55" s="523" t="s">
        <v>39080</v>
      </c>
      <c r="DH55" s="519" t="s">
        <v>35</v>
      </c>
      <c r="DI55" s="519" t="s">
        <v>32</v>
      </c>
      <c r="DJ55" s="519" t="s">
        <v>40</v>
      </c>
      <c r="DK55" s="519" t="s">
        <v>37</v>
      </c>
      <c r="DL55" s="519" t="s">
        <v>33</v>
      </c>
      <c r="DM55" s="519" t="s">
        <v>39</v>
      </c>
      <c r="DN55" s="519" t="s">
        <v>34</v>
      </c>
      <c r="DO55" s="519" t="s">
        <v>38</v>
      </c>
      <c r="DP55" s="519" t="s">
        <v>41</v>
      </c>
      <c r="DQ55" s="519" t="s">
        <v>36</v>
      </c>
      <c r="DR55" s="519" t="s">
        <v>38962</v>
      </c>
      <c r="DS55" s="520" t="s">
        <v>39049</v>
      </c>
      <c r="DT55" s="519" t="s">
        <v>35</v>
      </c>
      <c r="DU55" s="519" t="s">
        <v>32</v>
      </c>
      <c r="DV55" s="519" t="s">
        <v>40</v>
      </c>
      <c r="DW55" s="519" t="s">
        <v>37</v>
      </c>
      <c r="DX55" s="519" t="s">
        <v>33</v>
      </c>
      <c r="DY55" s="519" t="s">
        <v>39</v>
      </c>
      <c r="DZ55" s="519" t="s">
        <v>34</v>
      </c>
      <c r="EA55" s="519" t="s">
        <v>38</v>
      </c>
      <c r="EB55" s="519" t="s">
        <v>41</v>
      </c>
      <c r="EC55" s="519" t="s">
        <v>36</v>
      </c>
      <c r="ED55" s="519" t="s">
        <v>38962</v>
      </c>
      <c r="EE55" s="520" t="s">
        <v>39049</v>
      </c>
      <c r="EF55" s="521" t="s">
        <v>39079</v>
      </c>
      <c r="EG55" s="523" t="s">
        <v>39080</v>
      </c>
      <c r="EH55" s="519" t="s">
        <v>35</v>
      </c>
      <c r="EI55" s="519" t="s">
        <v>32</v>
      </c>
      <c r="EJ55" s="519" t="s">
        <v>40</v>
      </c>
      <c r="EK55" s="519" t="s">
        <v>37</v>
      </c>
      <c r="EL55" s="519" t="s">
        <v>33</v>
      </c>
      <c r="EM55" s="519" t="s">
        <v>39</v>
      </c>
      <c r="EN55" s="519" t="s">
        <v>34</v>
      </c>
      <c r="EO55" s="519" t="s">
        <v>38</v>
      </c>
      <c r="EP55" s="519" t="s">
        <v>41</v>
      </c>
      <c r="EQ55" s="519" t="s">
        <v>36</v>
      </c>
      <c r="ER55" s="519" t="s">
        <v>38962</v>
      </c>
      <c r="ES55" s="520" t="s">
        <v>39049</v>
      </c>
      <c r="ET55" s="519" t="s">
        <v>35</v>
      </c>
      <c r="EU55" s="519" t="s">
        <v>32</v>
      </c>
      <c r="EV55" s="519" t="s">
        <v>40</v>
      </c>
      <c r="EW55" s="519" t="s">
        <v>37</v>
      </c>
      <c r="EX55" s="519" t="s">
        <v>33</v>
      </c>
      <c r="EY55" s="519" t="s">
        <v>39</v>
      </c>
      <c r="EZ55" s="519" t="s">
        <v>34</v>
      </c>
      <c r="FA55" s="519" t="s">
        <v>38</v>
      </c>
      <c r="FB55" s="519" t="s">
        <v>41</v>
      </c>
      <c r="FC55" s="519" t="s">
        <v>36</v>
      </c>
      <c r="FD55" s="519" t="s">
        <v>38962</v>
      </c>
      <c r="FE55" s="520" t="s">
        <v>39049</v>
      </c>
      <c r="FF55" s="521" t="s">
        <v>39079</v>
      </c>
      <c r="FG55" s="523" t="s">
        <v>39080</v>
      </c>
      <c r="FH55" s="519" t="s">
        <v>35</v>
      </c>
      <c r="FI55" s="519" t="s">
        <v>32</v>
      </c>
      <c r="FJ55" s="519" t="s">
        <v>40</v>
      </c>
      <c r="FK55" s="519" t="s">
        <v>37</v>
      </c>
      <c r="FL55" s="519" t="s">
        <v>33</v>
      </c>
      <c r="FM55" s="519" t="s">
        <v>39</v>
      </c>
      <c r="FN55" s="519" t="s">
        <v>34</v>
      </c>
      <c r="FO55" s="519" t="s">
        <v>38</v>
      </c>
      <c r="FP55" s="519" t="s">
        <v>41</v>
      </c>
      <c r="FQ55" s="519" t="s">
        <v>36</v>
      </c>
      <c r="FR55" s="519" t="s">
        <v>38962</v>
      </c>
      <c r="FS55" s="520" t="s">
        <v>39049</v>
      </c>
      <c r="FT55" s="519" t="s">
        <v>35</v>
      </c>
      <c r="FU55" s="519" t="s">
        <v>32</v>
      </c>
      <c r="FV55" s="519" t="s">
        <v>40</v>
      </c>
      <c r="FW55" s="519" t="s">
        <v>37</v>
      </c>
      <c r="FX55" s="519" t="s">
        <v>33</v>
      </c>
      <c r="FY55" s="519" t="s">
        <v>39</v>
      </c>
      <c r="FZ55" s="519" t="s">
        <v>34</v>
      </c>
      <c r="GA55" s="519" t="s">
        <v>38</v>
      </c>
      <c r="GB55" s="519" t="s">
        <v>41</v>
      </c>
      <c r="GC55" s="519" t="s">
        <v>36</v>
      </c>
      <c r="GD55" s="519" t="s">
        <v>38962</v>
      </c>
      <c r="GE55" s="520" t="s">
        <v>39049</v>
      </c>
      <c r="GF55" s="521" t="s">
        <v>39079</v>
      </c>
      <c r="GG55" s="523" t="s">
        <v>39080</v>
      </c>
      <c r="GH55" s="519" t="s">
        <v>35</v>
      </c>
      <c r="GI55" s="519" t="s">
        <v>32</v>
      </c>
      <c r="GJ55" s="519" t="s">
        <v>40</v>
      </c>
      <c r="GK55" s="519" t="s">
        <v>37</v>
      </c>
      <c r="GL55" s="519" t="s">
        <v>33</v>
      </c>
      <c r="GM55" s="519" t="s">
        <v>39</v>
      </c>
      <c r="GN55" s="519" t="s">
        <v>34</v>
      </c>
      <c r="GO55" s="519" t="s">
        <v>38</v>
      </c>
      <c r="GP55" s="519" t="s">
        <v>41</v>
      </c>
      <c r="GQ55" s="519" t="s">
        <v>36</v>
      </c>
      <c r="GR55" s="519" t="s">
        <v>38962</v>
      </c>
      <c r="GS55" s="520" t="s">
        <v>39049</v>
      </c>
      <c r="GT55" s="519" t="s">
        <v>35</v>
      </c>
      <c r="GU55" s="519" t="s">
        <v>32</v>
      </c>
      <c r="GV55" s="519" t="s">
        <v>40</v>
      </c>
      <c r="GW55" s="519" t="s">
        <v>37</v>
      </c>
      <c r="GX55" s="519" t="s">
        <v>33</v>
      </c>
      <c r="GY55" s="519" t="s">
        <v>39</v>
      </c>
      <c r="GZ55" s="519" t="s">
        <v>34</v>
      </c>
      <c r="HA55" s="519" t="s">
        <v>38</v>
      </c>
      <c r="HB55" s="519" t="s">
        <v>41</v>
      </c>
      <c r="HC55" s="519" t="s">
        <v>36</v>
      </c>
      <c r="HD55" s="519" t="s">
        <v>38962</v>
      </c>
      <c r="HE55" s="520" t="s">
        <v>39049</v>
      </c>
      <c r="HF55" s="521" t="s">
        <v>39079</v>
      </c>
      <c r="HG55" s="523" t="s">
        <v>39080</v>
      </c>
      <c r="HH55" s="519" t="s">
        <v>35</v>
      </c>
      <c r="HI55" s="519" t="s">
        <v>32</v>
      </c>
      <c r="HJ55" s="519" t="s">
        <v>40</v>
      </c>
      <c r="HK55" s="519" t="s">
        <v>37</v>
      </c>
      <c r="HL55" s="519" t="s">
        <v>33</v>
      </c>
      <c r="HM55" s="519" t="s">
        <v>39</v>
      </c>
      <c r="HN55" s="519" t="s">
        <v>34</v>
      </c>
      <c r="HO55" s="519" t="s">
        <v>38</v>
      </c>
      <c r="HP55" s="519" t="s">
        <v>41</v>
      </c>
      <c r="HQ55" s="519" t="s">
        <v>36</v>
      </c>
      <c r="HR55" s="519" t="s">
        <v>38962</v>
      </c>
      <c r="HS55" s="520" t="s">
        <v>39049</v>
      </c>
      <c r="HT55" s="519" t="s">
        <v>35</v>
      </c>
      <c r="HU55" s="519" t="s">
        <v>32</v>
      </c>
      <c r="HV55" s="519" t="s">
        <v>40</v>
      </c>
      <c r="HW55" s="519" t="s">
        <v>37</v>
      </c>
      <c r="HX55" s="519" t="s">
        <v>33</v>
      </c>
      <c r="HY55" s="519" t="s">
        <v>39</v>
      </c>
      <c r="HZ55" s="519" t="s">
        <v>34</v>
      </c>
      <c r="IA55" s="519" t="s">
        <v>38</v>
      </c>
      <c r="IB55" s="519" t="s">
        <v>41</v>
      </c>
      <c r="IC55" s="519" t="s">
        <v>36</v>
      </c>
      <c r="ID55" s="519" t="s">
        <v>38962</v>
      </c>
      <c r="IE55" s="520" t="s">
        <v>39049</v>
      </c>
      <c r="IF55" s="535" t="s">
        <v>39079</v>
      </c>
      <c r="IG55" s="523" t="s">
        <v>39080</v>
      </c>
      <c r="IH55" s="519" t="s">
        <v>35</v>
      </c>
      <c r="II55" s="519" t="s">
        <v>32</v>
      </c>
      <c r="IJ55" s="519" t="s">
        <v>40</v>
      </c>
      <c r="IK55" s="519" t="s">
        <v>37</v>
      </c>
      <c r="IL55" s="519" t="s">
        <v>33</v>
      </c>
      <c r="IM55" s="519" t="s">
        <v>39</v>
      </c>
      <c r="IN55" s="519" t="s">
        <v>34</v>
      </c>
      <c r="IO55" s="519" t="s">
        <v>38</v>
      </c>
      <c r="IP55" s="519" t="s">
        <v>41</v>
      </c>
      <c r="IQ55" s="519" t="s">
        <v>36</v>
      </c>
      <c r="IR55" s="519" t="s">
        <v>38962</v>
      </c>
      <c r="IS55" s="520" t="s">
        <v>39049</v>
      </c>
      <c r="IT55" s="519" t="s">
        <v>35</v>
      </c>
      <c r="IU55" s="519" t="s">
        <v>32</v>
      </c>
      <c r="IV55" s="519" t="s">
        <v>40</v>
      </c>
      <c r="IW55" s="519" t="s">
        <v>37</v>
      </c>
      <c r="IX55" s="519" t="s">
        <v>33</v>
      </c>
      <c r="IY55" s="519" t="s">
        <v>39</v>
      </c>
      <c r="IZ55" s="519" t="s">
        <v>34</v>
      </c>
      <c r="JA55" s="519" t="s">
        <v>38</v>
      </c>
      <c r="JB55" s="519" t="s">
        <v>41</v>
      </c>
      <c r="JC55" s="519" t="s">
        <v>36</v>
      </c>
      <c r="JD55" s="519" t="s">
        <v>38962</v>
      </c>
      <c r="JE55" s="520" t="s">
        <v>39049</v>
      </c>
      <c r="JF55" s="521" t="s">
        <v>39079</v>
      </c>
      <c r="JG55" s="523" t="s">
        <v>39080</v>
      </c>
      <c r="JH55" s="519" t="s">
        <v>35</v>
      </c>
      <c r="JI55" s="519" t="s">
        <v>32</v>
      </c>
      <c r="JJ55" s="519" t="s">
        <v>40</v>
      </c>
      <c r="JK55" s="519" t="s">
        <v>37</v>
      </c>
      <c r="JL55" s="519" t="s">
        <v>33</v>
      </c>
      <c r="JM55" s="519" t="s">
        <v>39</v>
      </c>
      <c r="JN55" s="519" t="s">
        <v>34</v>
      </c>
      <c r="JO55" s="519" t="s">
        <v>38</v>
      </c>
      <c r="JP55" s="519" t="s">
        <v>41</v>
      </c>
      <c r="JQ55" s="519" t="s">
        <v>36</v>
      </c>
      <c r="JR55" s="519" t="s">
        <v>38962</v>
      </c>
      <c r="JS55" s="520" t="s">
        <v>39049</v>
      </c>
      <c r="JT55" s="519" t="s">
        <v>35</v>
      </c>
      <c r="JU55" s="519" t="s">
        <v>32</v>
      </c>
      <c r="JV55" s="519" t="s">
        <v>40</v>
      </c>
      <c r="JW55" s="519" t="s">
        <v>37</v>
      </c>
      <c r="JX55" s="519" t="s">
        <v>33</v>
      </c>
      <c r="JY55" s="519" t="s">
        <v>39</v>
      </c>
      <c r="JZ55" s="519" t="s">
        <v>34</v>
      </c>
      <c r="KA55" s="519" t="s">
        <v>38</v>
      </c>
      <c r="KB55" s="519" t="s">
        <v>41</v>
      </c>
      <c r="KC55" s="519" t="s">
        <v>36</v>
      </c>
      <c r="KD55" s="519" t="s">
        <v>38962</v>
      </c>
      <c r="KE55" s="520" t="s">
        <v>39049</v>
      </c>
    </row>
    <row r="56" spans="1:426" ht="32.1" customHeight="1" thickBot="1">
      <c r="A56" s="93"/>
      <c r="B56" s="76" t="str">
        <f>VLOOKUP(878,Sprachindex!$A:$Z,Info!$O$7,FALSE)</f>
        <v>Stk.</v>
      </c>
      <c r="C56" s="75" t="e" vm="27">
        <v>#VALUE!</v>
      </c>
      <c r="D56" s="75" t="str">
        <f>IF(ISNUMBER(A56),IF(Info!V7=2,'Velux DE Artikelnummern'!C28,Q56),"")</f>
        <v/>
      </c>
      <c r="E56" s="618" t="str">
        <f>VLOOKUP(324,Sprachindex!$A:$Z,Info!$O$7,FALSE)</f>
        <v>Einfassung für Velux-Dachflächenfenster (stucco)</v>
      </c>
      <c r="F56" s="619"/>
      <c r="G56" s="619"/>
      <c r="H56" s="619"/>
      <c r="I56" s="81" t="str">
        <f>VLOOKUP(591,Sprachindex!$A:$Z,Info!$O$7,FALSE)</f>
        <v>Maße:</v>
      </c>
      <c r="J56" s="624"/>
      <c r="K56" s="626"/>
      <c r="L56" s="76" t="str">
        <f>IF($A56=0,"",IF($J56=Formeln!$A$30," ",IF($P$11=1,AC56,AD56)))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7"/>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B56" s="179"/>
      <c r="AC56" s="139">
        <f t="shared" si="11"/>
        <v>0</v>
      </c>
      <c r="AD56" s="141">
        <f t="shared" si="10"/>
        <v>0</v>
      </c>
      <c r="AF56" s="513" t="s">
        <v>51</v>
      </c>
      <c r="AG56" s="517" t="str">
        <f>IF($P$9=1,BE56,IF($P$9=2,AS56,""))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VLOOKUP(AH56,AH56:AR56,$P$21,FALSE)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VLOOKUP(AT56,AT56:BD56,$P$21,FALSE)</f>
        <v>#VALUE!</v>
      </c>
      <c r="BF56" s="521" t="s">
        <v>52</v>
      </c>
      <c r="BG56" s="522" t="str">
        <f>IF($P$9=1,CE56,IF($P$9=2,BS56,""))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VLOOKUP(BH56,BH56:BR56,$P$21,FALSE)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VLOOKUP(BT56,BT56:CD56,$P$21,FALSE)</f>
        <v>#VALUE!</v>
      </c>
      <c r="CF56" s="521" t="s">
        <v>53</v>
      </c>
      <c r="CG56" s="522" t="str">
        <f>IF($P$9=1,DE56,IF($P$9=2,CS56,""))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VLOOKUP(CH56,CH56:CR56,$P$21,FALSE)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VLOOKUP(CT56,CT56:DD56,$P$21,FALSE)</f>
        <v>#VALUE!</v>
      </c>
      <c r="DF56" s="521" t="s">
        <v>54</v>
      </c>
      <c r="DG56" s="522" t="str">
        <f>IF($P$9=1,EE56,IF($P$9=2,DS56,""))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VLOOKUP(DH56,DH56:DR56,$P$21,FALSE)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VLOOKUP(DT56,DT56:ED56,$P$21,FALSE)</f>
        <v>#VALUE!</v>
      </c>
      <c r="EF56" s="521" t="s">
        <v>55</v>
      </c>
      <c r="EG56" s="522" t="str">
        <f>IF($P$9=1,FE56,IF($P$9=2,ES56,""))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VLOOKUP(EH56,EH56:ER56,$P$21,FALSE)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VLOOKUP(ET56,ET56:FD56,$P$21,FALSE)</f>
        <v>#VALUE!</v>
      </c>
      <c r="FF56" s="521" t="s">
        <v>56</v>
      </c>
      <c r="FG56" s="522" t="str">
        <f>IF($P$9=1,GE56,IF($P$9=2,FS56,""))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VLOOKUP(FH56,FH56:FR56,$P$21,FALSE)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VLOOKUP(FT56,FT56:GD56,$P$21,FALSE)</f>
        <v>#VALUE!</v>
      </c>
      <c r="GF56" s="521" t="s">
        <v>57</v>
      </c>
      <c r="GG56" s="522" t="str">
        <f>IF($P$9=1,HE56,IF($P$9=2,GS56,""))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VLOOKUP(GH56,GH56:GR56,$P$21,FALSE)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VLOOKUP(GT56,GT56:HD56,$P$21,FALSE)</f>
        <v>#VALUE!</v>
      </c>
      <c r="HF56" s="521" t="s">
        <v>58</v>
      </c>
      <c r="HG56" s="522" t="str">
        <f>IF($P$9=1,IE56,IF($P$9=2,HS56,""))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VLOOKUP(HH56,HH56:HR56,$P$21,FALSE)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VLOOKUP(HT56,HT56:ID56,$P$21,FALSE)</f>
        <v>#VALUE!</v>
      </c>
      <c r="IF56" s="528" t="s">
        <v>59</v>
      </c>
      <c r="IG56" s="529" t="str">
        <f>IF($P$9=1,JE56,IF($P$9=2,IS56,""))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VLOOKUP(IH56,IH56:IR56,$P$21,FALSE)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VLOOKUP(IT56,IT56:JD56,$P$21,FALSE)</f>
        <v>#VALUE!</v>
      </c>
      <c r="JF56" s="528" t="s">
        <v>60</v>
      </c>
      <c r="JG56" s="529" t="str">
        <f>IF($P$9=1,KE56,IF($P$9=2,JS56,""))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VLOOKUP(JH56,JH56:JR56,$P$21,FALSE)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VLOOKUP(JT56,JT56:KD56,$P$21,FALSE)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18" t="str">
        <f>VLOOKUP(321,Sprachindex!$A:$Z,Info!$O$7,FALSE)</f>
        <v>Einfassung für Roto-Dachflächenfenster (stucco)</v>
      </c>
      <c r="F57" s="619"/>
      <c r="G57" s="619"/>
      <c r="H57" s="594" t="s">
        <v>39284</v>
      </c>
      <c r="I57" s="81" t="str">
        <f>VLOOKUP(591,Sprachindex!$A:$Z,Info!$O$7,FALSE)</f>
        <v>Maße:</v>
      </c>
      <c r="J57" s="624"/>
      <c r="K57" s="626"/>
      <c r="L57" s="76" t="str">
        <f>IF($A57=0,"",IF($J57=Formeln!$A$52," ",IF($P$11=1,AC57,AD57)))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7"/>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Z57" s="179"/>
      <c r="AA57" s="179"/>
      <c r="AB57" s="179"/>
      <c r="AC57" s="139">
        <f t="shared" si="11"/>
        <v>0</v>
      </c>
      <c r="AD57" s="139">
        <f t="shared" si="10"/>
        <v>0</v>
      </c>
      <c r="AF57" s="549" t="s">
        <v>61</v>
      </c>
      <c r="AG57" s="550" t="str">
        <f>IF($P$9=1,BE57,IF($P$9=2,AS57,""))</f>
        <v/>
      </c>
      <c r="AH57" s="530">
        <v>111313</v>
      </c>
      <c r="AI57" s="530">
        <v>111310</v>
      </c>
      <c r="AJ57" s="530">
        <v>111318</v>
      </c>
      <c r="AK57" s="530">
        <v>111315</v>
      </c>
      <c r="AL57" s="530">
        <v>111311</v>
      </c>
      <c r="AM57" s="530">
        <v>111317</v>
      </c>
      <c r="AN57" s="530">
        <v>111312</v>
      </c>
      <c r="AO57" s="530">
        <v>111316</v>
      </c>
      <c r="AP57" s="530">
        <v>111319</v>
      </c>
      <c r="AQ57" s="530">
        <v>111314</v>
      </c>
      <c r="AR57" s="530">
        <v>16011028</v>
      </c>
      <c r="AS57" s="531" t="e" vm="2">
        <f>VLOOKUP(AH57,AH57:AR57,$P$21,FALSE)</f>
        <v>#VALUE!</v>
      </c>
      <c r="AT57" s="533">
        <v>111303</v>
      </c>
      <c r="AU57" s="533">
        <v>111300</v>
      </c>
      <c r="AV57" s="533">
        <v>111308</v>
      </c>
      <c r="AW57" s="533">
        <v>111305</v>
      </c>
      <c r="AX57" s="533">
        <v>111301</v>
      </c>
      <c r="AY57" s="533">
        <v>111307</v>
      </c>
      <c r="AZ57" s="533">
        <v>111302</v>
      </c>
      <c r="BA57" s="533">
        <v>111306</v>
      </c>
      <c r="BB57" s="533">
        <v>111309</v>
      </c>
      <c r="BC57" s="533">
        <v>111304</v>
      </c>
      <c r="BD57" s="533">
        <v>16021028</v>
      </c>
      <c r="BE57" s="534" t="e" vm="2">
        <f>VLOOKUP(AT57,AT57:BD57,$P$21,FALSE)</f>
        <v>#VALUE!</v>
      </c>
      <c r="BF57" s="549" t="s">
        <v>62</v>
      </c>
      <c r="BG57" s="550" t="str">
        <f>IF($P$9=1,CE57,IF($P$9=2,BS57,""))</f>
        <v/>
      </c>
      <c r="BH57" s="530">
        <v>111333</v>
      </c>
      <c r="BI57" s="530">
        <v>111330</v>
      </c>
      <c r="BJ57" s="530">
        <v>111338</v>
      </c>
      <c r="BK57" s="530">
        <v>111335</v>
      </c>
      <c r="BL57" s="530">
        <v>111331</v>
      </c>
      <c r="BM57" s="530">
        <v>111337</v>
      </c>
      <c r="BN57" s="530">
        <v>111332</v>
      </c>
      <c r="BO57" s="530">
        <v>111336</v>
      </c>
      <c r="BP57" s="530">
        <v>111339</v>
      </c>
      <c r="BQ57" s="530">
        <v>111334</v>
      </c>
      <c r="BR57" s="530">
        <v>16041028</v>
      </c>
      <c r="BS57" s="531" t="e" vm="2">
        <f>VLOOKUP(BH57,BH57:BR57,$P$21,FALSE)</f>
        <v>#VALUE!</v>
      </c>
      <c r="BT57" s="533">
        <v>111323</v>
      </c>
      <c r="BU57" s="533">
        <v>111320</v>
      </c>
      <c r="BV57" s="533">
        <v>111328</v>
      </c>
      <c r="BW57" s="533">
        <v>111325</v>
      </c>
      <c r="BX57" s="533">
        <v>111321</v>
      </c>
      <c r="BY57" s="533">
        <v>111327</v>
      </c>
      <c r="BZ57" s="533">
        <v>111322</v>
      </c>
      <c r="CA57" s="533">
        <v>111326</v>
      </c>
      <c r="CB57" s="533">
        <v>111329</v>
      </c>
      <c r="CC57" s="533">
        <v>111324</v>
      </c>
      <c r="CD57" s="533">
        <v>16031028</v>
      </c>
      <c r="CE57" s="534" t="e" vm="2">
        <f>VLOOKUP(BT57,BT57:CD57,$P$21,FALSE)</f>
        <v>#VALUE!</v>
      </c>
      <c r="CF57" s="549" t="s">
        <v>39081</v>
      </c>
      <c r="CG57" s="550" t="str">
        <f>IF($P$9=1,DE57,IF($P$9=2,CS57,""))</f>
        <v/>
      </c>
      <c r="CH57" s="530">
        <v>111353</v>
      </c>
      <c r="CI57" s="530">
        <v>111350</v>
      </c>
      <c r="CJ57" s="530">
        <v>111358</v>
      </c>
      <c r="CK57" s="530">
        <v>111355</v>
      </c>
      <c r="CL57" s="530">
        <v>111351</v>
      </c>
      <c r="CM57" s="530">
        <v>111357</v>
      </c>
      <c r="CN57" s="530">
        <v>111352</v>
      </c>
      <c r="CO57" s="530">
        <v>111356</v>
      </c>
      <c r="CP57" s="530">
        <v>111359</v>
      </c>
      <c r="CQ57" s="530">
        <v>111354</v>
      </c>
      <c r="CR57" s="530">
        <v>16061028</v>
      </c>
      <c r="CS57" s="531" t="e" vm="2">
        <f>VLOOKUP(CH57,CH57:CR57,$P$21,FALSE)</f>
        <v>#VALUE!</v>
      </c>
      <c r="CT57" s="532">
        <v>111343</v>
      </c>
      <c r="CU57" s="533">
        <v>111340</v>
      </c>
      <c r="CV57" s="533">
        <v>111348</v>
      </c>
      <c r="CW57" s="533">
        <v>111345</v>
      </c>
      <c r="CX57" s="533">
        <v>111341</v>
      </c>
      <c r="CY57" s="533">
        <v>111347</v>
      </c>
      <c r="CZ57" s="533">
        <v>111342</v>
      </c>
      <c r="DA57" s="533">
        <v>111346</v>
      </c>
      <c r="DB57" s="533">
        <v>111349</v>
      </c>
      <c r="DC57" s="533">
        <v>111344</v>
      </c>
      <c r="DD57" s="533">
        <v>16051028</v>
      </c>
      <c r="DE57" s="534" t="e" vm="2">
        <f>VLOOKUP(CT57,CT57:DD57,$P$21,FALSE)</f>
        <v>#VALUE!</v>
      </c>
      <c r="DF57" s="549" t="s">
        <v>39082</v>
      </c>
      <c r="DG57" s="550" t="str">
        <f>IF($P$9=1,EE57,IF($P$9=2,DS57,""))</f>
        <v/>
      </c>
      <c r="DH57" s="530">
        <v>111373</v>
      </c>
      <c r="DI57" s="530">
        <v>111370</v>
      </c>
      <c r="DJ57" s="530">
        <v>111378</v>
      </c>
      <c r="DK57" s="530">
        <v>111375</v>
      </c>
      <c r="DL57" s="530">
        <v>111371</v>
      </c>
      <c r="DM57" s="530">
        <v>111377</v>
      </c>
      <c r="DN57" s="530">
        <v>111372</v>
      </c>
      <c r="DO57" s="530">
        <v>111376</v>
      </c>
      <c r="DP57" s="530">
        <v>111379</v>
      </c>
      <c r="DQ57" s="530">
        <v>111374</v>
      </c>
      <c r="DR57" s="530">
        <v>16081028</v>
      </c>
      <c r="DS57" s="531" t="e" vm="2">
        <f>VLOOKUP(DH57,DH57:DR57,$P$21,FALSE)</f>
        <v>#VALUE!</v>
      </c>
      <c r="DT57" s="532">
        <v>111363</v>
      </c>
      <c r="DU57" s="533">
        <v>111360</v>
      </c>
      <c r="DV57" s="533">
        <v>111368</v>
      </c>
      <c r="DW57" s="533">
        <v>111365</v>
      </c>
      <c r="DX57" s="533">
        <v>111361</v>
      </c>
      <c r="DY57" s="533">
        <v>111367</v>
      </c>
      <c r="DZ57" s="533">
        <v>111362</v>
      </c>
      <c r="EA57" s="533">
        <v>111366</v>
      </c>
      <c r="EB57" s="533">
        <v>111369</v>
      </c>
      <c r="EC57" s="533">
        <v>111364</v>
      </c>
      <c r="ED57" s="533">
        <v>16071028</v>
      </c>
      <c r="EE57" s="534" t="e" vm="2">
        <f>VLOOKUP(DT57,DT57:ED57,$P$21,FALSE)</f>
        <v>#VALUE!</v>
      </c>
      <c r="EF57" s="549" t="s">
        <v>39083</v>
      </c>
      <c r="EG57" s="550" t="str">
        <f>IF($P$9=1,FE57,IF($P$9=2,ES57,""))</f>
        <v/>
      </c>
      <c r="EH57" s="530">
        <v>111393</v>
      </c>
      <c r="EI57" s="530">
        <v>111390</v>
      </c>
      <c r="EJ57" s="530">
        <v>111398</v>
      </c>
      <c r="EK57" s="530">
        <v>111395</v>
      </c>
      <c r="EL57" s="530">
        <v>111391</v>
      </c>
      <c r="EM57" s="530">
        <v>111397</v>
      </c>
      <c r="EN57" s="530">
        <v>111392</v>
      </c>
      <c r="EO57" s="530">
        <v>111396</v>
      </c>
      <c r="EP57" s="530">
        <v>111399</v>
      </c>
      <c r="EQ57" s="530">
        <v>111394</v>
      </c>
      <c r="ER57" s="530">
        <v>16101028</v>
      </c>
      <c r="ES57" s="531" t="e" vm="2">
        <f>VLOOKUP(EH57,EH57:ER57,$P$21,FALSE)</f>
        <v>#VALUE!</v>
      </c>
      <c r="ET57" s="532">
        <v>111383</v>
      </c>
      <c r="EU57" s="533">
        <v>111380</v>
      </c>
      <c r="EV57" s="533">
        <v>111388</v>
      </c>
      <c r="EW57" s="533">
        <v>111385</v>
      </c>
      <c r="EX57" s="533">
        <v>111381</v>
      </c>
      <c r="EY57" s="533">
        <v>111387</v>
      </c>
      <c r="EZ57" s="533">
        <v>111382</v>
      </c>
      <c r="FA57" s="533">
        <v>111386</v>
      </c>
      <c r="FB57" s="533">
        <v>111389</v>
      </c>
      <c r="FC57" s="533">
        <v>111384</v>
      </c>
      <c r="FD57" s="533">
        <v>16091028</v>
      </c>
      <c r="FE57" s="534" t="e" vm="2">
        <f>VLOOKUP(ET57,ET57:FD57,$P$21,FALSE)</f>
        <v>#VALUE!</v>
      </c>
      <c r="FF57" s="549" t="s">
        <v>39084</v>
      </c>
      <c r="FG57" s="550" t="str">
        <f>IF($P$9=1,GE57,IF($P$9=2,FS57,""))</f>
        <v/>
      </c>
      <c r="FH57" s="530">
        <v>111413</v>
      </c>
      <c r="FI57" s="530">
        <v>111410</v>
      </c>
      <c r="FJ57" s="530">
        <v>111418</v>
      </c>
      <c r="FK57" s="530">
        <v>111415</v>
      </c>
      <c r="FL57" s="530">
        <v>111411</v>
      </c>
      <c r="FM57" s="530">
        <v>111417</v>
      </c>
      <c r="FN57" s="530">
        <v>111412</v>
      </c>
      <c r="FO57" s="530">
        <v>111416</v>
      </c>
      <c r="FP57" s="530">
        <v>111419</v>
      </c>
      <c r="FQ57" s="530">
        <v>111414</v>
      </c>
      <c r="FR57" s="530">
        <v>16121028</v>
      </c>
      <c r="FS57" s="531" t="e" vm="2">
        <f>VLOOKUP(FH57,FH57:FR57,$P$21,FALSE)</f>
        <v>#VALUE!</v>
      </c>
      <c r="FT57" s="532">
        <v>111403</v>
      </c>
      <c r="FU57" s="533">
        <v>111400</v>
      </c>
      <c r="FV57" s="533">
        <v>111408</v>
      </c>
      <c r="FW57" s="533">
        <v>111405</v>
      </c>
      <c r="FX57" s="533">
        <v>111401</v>
      </c>
      <c r="FY57" s="533">
        <v>111407</v>
      </c>
      <c r="FZ57" s="533">
        <v>111402</v>
      </c>
      <c r="GA57" s="533">
        <v>111406</v>
      </c>
      <c r="GB57" s="533">
        <v>111409</v>
      </c>
      <c r="GC57" s="533">
        <v>111404</v>
      </c>
      <c r="GD57" s="533">
        <v>16111028</v>
      </c>
      <c r="GE57" s="534" t="e" vm="2">
        <f>VLOOKUP(FT57,FT57:GD57,$P$21,FALSE)</f>
        <v>#VALUE!</v>
      </c>
      <c r="GF57" s="549" t="s">
        <v>39085</v>
      </c>
      <c r="GG57" s="550" t="str">
        <f>IF($P$9=1,HE57,IF($P$9=2,GS57,""))</f>
        <v/>
      </c>
      <c r="GH57" s="530">
        <v>111433</v>
      </c>
      <c r="GI57" s="530">
        <v>111430</v>
      </c>
      <c r="GJ57" s="530">
        <v>111438</v>
      </c>
      <c r="GK57" s="530">
        <v>111435</v>
      </c>
      <c r="GL57" s="530">
        <v>111431</v>
      </c>
      <c r="GM57" s="530">
        <v>111437</v>
      </c>
      <c r="GN57" s="530">
        <v>111432</v>
      </c>
      <c r="GO57" s="530">
        <v>111436</v>
      </c>
      <c r="GP57" s="530">
        <v>111439</v>
      </c>
      <c r="GQ57" s="530">
        <v>111434</v>
      </c>
      <c r="GR57" s="530">
        <v>16141028</v>
      </c>
      <c r="GS57" s="531" t="e" vm="2">
        <f>VLOOKUP(GH57,GH57:GR57,$P$21,FALSE)</f>
        <v>#VALUE!</v>
      </c>
      <c r="GT57" s="532">
        <v>111423</v>
      </c>
      <c r="GU57" s="533">
        <v>111420</v>
      </c>
      <c r="GV57" s="533">
        <v>111428</v>
      </c>
      <c r="GW57" s="533">
        <v>111425</v>
      </c>
      <c r="GX57" s="533">
        <v>111421</v>
      </c>
      <c r="GY57" s="533">
        <v>111427</v>
      </c>
      <c r="GZ57" s="533">
        <v>111422</v>
      </c>
      <c r="HA57" s="533">
        <v>111426</v>
      </c>
      <c r="HB57" s="533">
        <v>111429</v>
      </c>
      <c r="HC57" s="533">
        <v>111424</v>
      </c>
      <c r="HD57" s="533">
        <v>16131028</v>
      </c>
      <c r="HE57" s="534" t="e" vm="2">
        <f>VLOOKUP(GT57,GT57:HD57,$P$21,FALSE)</f>
        <v>#VALUE!</v>
      </c>
      <c r="HF57" s="549" t="s">
        <v>39086</v>
      </c>
      <c r="HG57" s="550" t="str">
        <f>IF($P$9=1,IE57,IF($P$9=2,HS57,""))</f>
        <v/>
      </c>
      <c r="HH57" s="530">
        <v>111453</v>
      </c>
      <c r="HI57" s="530">
        <v>111450</v>
      </c>
      <c r="HJ57" s="530">
        <v>111458</v>
      </c>
      <c r="HK57" s="530">
        <v>111455</v>
      </c>
      <c r="HL57" s="530">
        <v>111451</v>
      </c>
      <c r="HM57" s="530">
        <v>111457</v>
      </c>
      <c r="HN57" s="530">
        <v>111452</v>
      </c>
      <c r="HO57" s="530">
        <v>111456</v>
      </c>
      <c r="HP57" s="530">
        <v>111459</v>
      </c>
      <c r="HQ57" s="530">
        <v>111454</v>
      </c>
      <c r="HR57" s="530">
        <v>16161028</v>
      </c>
      <c r="HS57" s="531" t="e" vm="2">
        <f>VLOOKUP(HH57,HH57:HR57,$P$21,FALSE)</f>
        <v>#VALUE!</v>
      </c>
      <c r="HT57" s="532">
        <v>111443</v>
      </c>
      <c r="HU57" s="533">
        <v>111440</v>
      </c>
      <c r="HV57" s="533">
        <v>111448</v>
      </c>
      <c r="HW57" s="533">
        <v>111445</v>
      </c>
      <c r="HX57" s="533">
        <v>111441</v>
      </c>
      <c r="HY57" s="533">
        <v>111447</v>
      </c>
      <c r="HZ57" s="533">
        <v>111442</v>
      </c>
      <c r="IA57" s="533">
        <v>111446</v>
      </c>
      <c r="IB57" s="533">
        <v>111449</v>
      </c>
      <c r="IC57" s="533">
        <v>111444</v>
      </c>
      <c r="ID57" s="533">
        <v>16151028</v>
      </c>
      <c r="IE57" s="534" t="e" vm="2">
        <f>VLOOKUP(HT57,HT57:ID57,$P$21,FALSE)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thickTop="1">
      <c r="A58" s="93"/>
      <c r="B58" s="76" t="str">
        <f>VLOOKUP(878,Sprachindex!$A:$Z,Info!$O$7,FALSE)</f>
        <v>Stk.</v>
      </c>
      <c r="C58" s="75" t="e" vm="90">
        <v>#VALUE!</v>
      </c>
      <c r="D58" s="75">
        <v>111700</v>
      </c>
      <c r="E58" s="618" t="str">
        <f>VLOOKUP(322,Sprachindex!$A:$Z,Info!$O$7,FALSE)</f>
        <v>Einfassung für Roto-Q-Serie (stucco)</v>
      </c>
      <c r="F58" s="619"/>
      <c r="G58" s="619"/>
      <c r="H58" s="594" t="s">
        <v>39284</v>
      </c>
      <c r="I58" s="81" t="str">
        <f>VLOOKUP(591,Sprachindex!$A:$Z,Info!$O$7,FALSE)</f>
        <v>Maße:</v>
      </c>
      <c r="J58" s="624"/>
      <c r="K58" s="626"/>
      <c r="L58" s="76" t="str">
        <f>IF($A58=0,"",IF($J58=Formeln!$A$52," ",IF($P$11=1,AC58,AD58)))</f>
        <v/>
      </c>
      <c r="M58" s="399" t="str">
        <f t="shared" si="0"/>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P58" s="5"/>
      <c r="Q58" s="5"/>
      <c r="R58" s="182">
        <v>299.99</v>
      </c>
      <c r="S58" s="182">
        <v>307.95</v>
      </c>
      <c r="T58" s="182">
        <v>307.95</v>
      </c>
      <c r="U58" s="182">
        <v>371.6</v>
      </c>
      <c r="V58" s="182">
        <v>379.7</v>
      </c>
      <c r="W58" s="182">
        <v>382.31</v>
      </c>
      <c r="X58" s="179"/>
      <c r="Y58" s="179"/>
      <c r="Z58" s="179"/>
      <c r="AA58" s="179"/>
      <c r="AB58" s="5"/>
      <c r="AC58" s="139">
        <f t="shared" si="11"/>
        <v>0</v>
      </c>
      <c r="AD58" s="139">
        <f t="shared" si="10"/>
        <v>0</v>
      </c>
      <c r="BC58" s="119"/>
      <c r="BD58" s="119"/>
      <c r="BE58" s="119"/>
      <c r="BF58" s="119"/>
      <c r="BG58" s="119"/>
      <c r="BH58" s="119"/>
      <c r="BI58" s="119"/>
      <c r="BJ58" s="119"/>
      <c r="BK58" s="119"/>
      <c r="BM58" s="119"/>
      <c r="BN58" s="119"/>
      <c r="BO58" s="119"/>
      <c r="BP58" s="119"/>
      <c r="BQ58" s="119"/>
      <c r="BR58" s="119"/>
      <c r="BS58" s="119"/>
      <c r="BT58" s="119"/>
      <c r="BU58" s="119"/>
      <c r="BV58" s="119"/>
      <c r="BX58" s="119"/>
      <c r="BY58" s="119"/>
      <c r="BZ58" s="119"/>
      <c r="CA58" s="119"/>
      <c r="CB58" s="119"/>
      <c r="CC58" s="119"/>
      <c r="CD58" s="119"/>
      <c r="CE58" s="119"/>
      <c r="CF58" s="119"/>
      <c r="CH58" s="119"/>
      <c r="CI58" s="119"/>
      <c r="CJ58" s="119"/>
      <c r="CK58" s="119"/>
      <c r="CL58" s="119"/>
      <c r="CM58" s="119"/>
      <c r="CN58" s="119"/>
      <c r="CO58" s="119"/>
      <c r="CP58" s="119"/>
      <c r="CQ58" s="119"/>
      <c r="CS58" s="119"/>
      <c r="CT58" s="119"/>
      <c r="CU58" s="119"/>
      <c r="CV58" s="119"/>
      <c r="CW58" s="119"/>
      <c r="CX58" s="119"/>
      <c r="CY58" s="119"/>
      <c r="CZ58" s="119"/>
      <c r="DA58" s="119"/>
      <c r="DC58" s="119"/>
      <c r="DD58" s="119"/>
      <c r="DE58" s="119"/>
      <c r="DF58" s="119"/>
      <c r="DG58" s="119"/>
      <c r="DH58" s="119"/>
      <c r="DI58" s="119"/>
      <c r="DJ58" s="119"/>
      <c r="DK58" s="119"/>
      <c r="DL58" s="119"/>
      <c r="DX58" s="119"/>
      <c r="DY58" s="119"/>
      <c r="DZ58" s="119"/>
      <c r="EA58" s="119"/>
      <c r="EB58" s="119"/>
      <c r="EC58" s="119"/>
      <c r="ED58" s="119"/>
      <c r="EE58" s="119"/>
      <c r="EF58" s="119"/>
      <c r="EG58" s="119"/>
      <c r="EI58" s="119"/>
      <c r="EJ58" s="119"/>
      <c r="EK58" s="119"/>
      <c r="EL58" s="119"/>
      <c r="EM58" s="119"/>
      <c r="EN58" s="119"/>
      <c r="EO58" s="119"/>
      <c r="EP58" s="119"/>
      <c r="EQ58" s="119"/>
      <c r="ES58" s="119"/>
      <c r="ET58" s="119"/>
      <c r="EU58" s="119"/>
      <c r="EV58" s="119"/>
      <c r="EW58" s="119"/>
      <c r="EX58" s="119"/>
      <c r="EY58" s="119"/>
      <c r="EZ58" s="119"/>
      <c r="FA58" s="119"/>
      <c r="FB58" s="119"/>
    </row>
    <row r="59" spans="1:426" ht="32.1" customHeight="1">
      <c r="A59" s="93"/>
      <c r="B59" s="76" t="str">
        <f>VLOOKUP(878,Sprachindex!$A:$Z,Info!$O$7,FALSE)</f>
        <v>Stk.</v>
      </c>
      <c r="C59" s="75" t="e" vm="30">
        <v>#VALUE!</v>
      </c>
      <c r="D59" s="75" t="str">
        <f>IF(ISNUMBER(A59),AS59,"")</f>
        <v/>
      </c>
      <c r="E59" s="618" t="str">
        <f>VLOOKUP(345,Sprachindex!$A:$Z,Info!$O$7,FALSE)</f>
        <v>Einzeltritt (inkl. zwei Fußteile)</v>
      </c>
      <c r="F59" s="619"/>
      <c r="G59" s="619"/>
      <c r="H59" s="619"/>
      <c r="I59" s="619"/>
      <c r="J59" s="619"/>
      <c r="K59" s="620"/>
      <c r="L59" s="76" t="str">
        <f t="shared" ref="L59:L71" si="12">IF(A59=0,"",IF($P$11=1,AC59,AD59))</f>
        <v/>
      </c>
      <c r="M59" s="161" t="str">
        <f>VLOOKUP(878,Sprachindex!$A:$Z,Info!$O$7,FALSE)</f>
        <v>Stk.</v>
      </c>
      <c r="N59" s="77"/>
      <c r="O59" s="204" t="str">
        <f t="shared" ref="O59:O71" si="13">IF(ISNUMBER(A59),$L59*R59, "")</f>
        <v/>
      </c>
      <c r="P59" s="267"/>
      <c r="Q59" s="5"/>
      <c r="R59" s="182">
        <v>72.87</v>
      </c>
      <c r="S59" s="179"/>
      <c r="T59" s="179"/>
      <c r="U59" s="179"/>
      <c r="V59" s="179"/>
      <c r="W59" s="179"/>
      <c r="X59" s="179"/>
      <c r="Y59" s="179"/>
      <c r="Z59" s="179"/>
      <c r="AA59" s="179"/>
      <c r="AB59" s="179"/>
      <c r="AC59" s="139">
        <f t="shared" si="11"/>
        <v>0</v>
      </c>
      <c r="AD59" s="139">
        <f t="shared" si="10"/>
        <v>0</v>
      </c>
      <c r="AF59" s="135"/>
      <c r="AH59" s="548">
        <v>120073</v>
      </c>
      <c r="AI59" s="548">
        <v>120070</v>
      </c>
      <c r="AJ59" s="548">
        <v>120078</v>
      </c>
      <c r="AK59" s="548">
        <v>120075</v>
      </c>
      <c r="AL59" s="548">
        <v>120071</v>
      </c>
      <c r="AM59" s="548">
        <v>120077</v>
      </c>
      <c r="AN59" s="548">
        <v>120072</v>
      </c>
      <c r="AO59" s="548">
        <v>120076</v>
      </c>
      <c r="AP59" s="548">
        <v>120079</v>
      </c>
      <c r="AQ59" s="548">
        <v>120074</v>
      </c>
      <c r="AR59" s="548">
        <v>15061028</v>
      </c>
      <c r="AS59" s="509"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18" t="str">
        <f>VLOOKUP(567,Sprachindex!$A:$Z,Info!$O$7,FALSE)</f>
        <v>Laufstegstütze auf einem Fußteil</v>
      </c>
      <c r="F60" s="619"/>
      <c r="G60" s="619"/>
      <c r="H60" s="619"/>
      <c r="I60" s="619"/>
      <c r="J60" s="619"/>
      <c r="K60" s="620"/>
      <c r="L60" s="76" t="str">
        <f t="shared" si="12"/>
        <v/>
      </c>
      <c r="M60" s="161" t="str">
        <f>VLOOKUP(878,Sprachindex!$A:$Z,Info!$O$7,FALSE)</f>
        <v>Stk.</v>
      </c>
      <c r="N60" s="77"/>
      <c r="O60" s="204" t="str">
        <f t="shared" si="13"/>
        <v/>
      </c>
      <c r="P60" s="267"/>
      <c r="Q60" s="5"/>
      <c r="R60" s="182">
        <v>53.89</v>
      </c>
      <c r="S60" s="179"/>
      <c r="T60" s="179"/>
      <c r="U60" s="179"/>
      <c r="V60" s="179"/>
      <c r="W60" s="179"/>
      <c r="X60" s="179"/>
      <c r="Y60" s="179"/>
      <c r="Z60" s="179"/>
      <c r="AA60" s="179"/>
      <c r="AB60" s="179"/>
      <c r="AC60" s="139">
        <f t="shared" si="11"/>
        <v>0</v>
      </c>
      <c r="AD60" s="139">
        <f t="shared" si="10"/>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VLOOKUP(AH60,AH60:AR60,$P$21,FALSE)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18" t="str">
        <f>VLOOKUP(568,Sprachindex!$A:$Z,Info!$O$7,FALSE)</f>
        <v>Laufstegstütze auf zwei Fußteilen</v>
      </c>
      <c r="F61" s="619"/>
      <c r="G61" s="619"/>
      <c r="H61" s="619"/>
      <c r="I61" s="619"/>
      <c r="J61" s="619"/>
      <c r="K61" s="620"/>
      <c r="L61" s="76" t="str">
        <f t="shared" si="12"/>
        <v/>
      </c>
      <c r="M61" s="161" t="str">
        <f>VLOOKUP(878,Sprachindex!$A:$Z,Info!$O$7,FALSE)</f>
        <v>Stk.</v>
      </c>
      <c r="N61" s="77"/>
      <c r="O61" s="184" t="str">
        <f t="shared" si="13"/>
        <v/>
      </c>
      <c r="P61" s="267"/>
      <c r="Q61" s="5"/>
      <c r="R61" s="182">
        <v>76.349999999999994</v>
      </c>
      <c r="S61" s="179"/>
      <c r="T61" s="179"/>
      <c r="U61" s="179"/>
      <c r="V61" s="179"/>
      <c r="W61" s="179"/>
      <c r="X61" s="179"/>
      <c r="Y61" s="179"/>
      <c r="Z61" s="179"/>
      <c r="AA61" s="179"/>
      <c r="AB61" s="179"/>
      <c r="AC61" s="139">
        <f t="shared" si="11"/>
        <v>0</v>
      </c>
      <c r="AD61" s="139">
        <f t="shared" si="10"/>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18" t="str">
        <f>VLOOKUP(560,Sprachindex!$A:$Z,Info!$O$7,FALSE)</f>
        <v>Laufsteg (250 × 1.200 mm)</v>
      </c>
      <c r="F62" s="619"/>
      <c r="G62" s="619"/>
      <c r="H62" s="619"/>
      <c r="I62" s="619"/>
      <c r="J62" s="619"/>
      <c r="K62" s="620"/>
      <c r="L62" s="76" t="str">
        <f t="shared" si="12"/>
        <v/>
      </c>
      <c r="M62" s="161" t="str">
        <f>VLOOKUP(878,Sprachindex!$A:$Z,Info!$O$7,FALSE)</f>
        <v>Stk.</v>
      </c>
      <c r="N62" s="77"/>
      <c r="O62" s="184" t="str">
        <f t="shared" si="13"/>
        <v/>
      </c>
      <c r="P62" s="267"/>
      <c r="Q62" s="5"/>
      <c r="R62" s="182">
        <v>76.66</v>
      </c>
      <c r="S62" s="179"/>
      <c r="T62" s="179"/>
      <c r="U62" s="179"/>
      <c r="V62" s="179"/>
      <c r="W62" s="179"/>
      <c r="X62" s="179"/>
      <c r="Y62" s="179"/>
      <c r="Z62" s="179"/>
      <c r="AA62" s="179"/>
      <c r="AB62" s="179"/>
      <c r="AC62" s="139">
        <f t="shared" si="11"/>
        <v>0</v>
      </c>
      <c r="AD62" s="139">
        <f t="shared" si="10"/>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VLOOKUP(AH62,AH62:AR62,$P$21,FALSE)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4">IF(ISNUMBER(A63),AS63,"")</f>
        <v/>
      </c>
      <c r="E63" s="618" t="str">
        <f>VLOOKUP(563,Sprachindex!$A:$Z,Info!$O$7,FALSE)</f>
        <v>Laufsteg (250 × 800 mm)</v>
      </c>
      <c r="F63" s="619"/>
      <c r="G63" s="619"/>
      <c r="H63" s="619"/>
      <c r="I63" s="619"/>
      <c r="J63" s="619"/>
      <c r="K63" s="620"/>
      <c r="L63" s="76" t="str">
        <f t="shared" si="12"/>
        <v/>
      </c>
      <c r="M63" s="161" t="str">
        <f>VLOOKUP(878,Sprachindex!$A:$Z,Info!$O$7,FALSE)</f>
        <v>Stk.</v>
      </c>
      <c r="N63" s="77"/>
      <c r="O63" s="184" t="str">
        <f t="shared" si="13"/>
        <v/>
      </c>
      <c r="P63" s="267"/>
      <c r="Q63" s="5"/>
      <c r="R63" s="182">
        <v>56.6</v>
      </c>
      <c r="S63" s="179"/>
      <c r="T63" s="179"/>
      <c r="U63" s="179"/>
      <c r="V63" s="179"/>
      <c r="W63" s="179"/>
      <c r="X63" s="179"/>
      <c r="Y63" s="179"/>
      <c r="Z63" s="179"/>
      <c r="AA63" s="179"/>
      <c r="AB63" s="179"/>
      <c r="AC63" s="139">
        <f t="shared" si="11"/>
        <v>0</v>
      </c>
      <c r="AD63" s="139">
        <f t="shared" si="10"/>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4"/>
        <v/>
      </c>
      <c r="E64" s="618" t="str">
        <f>VLOOKUP(562,Sprachindex!$A:$Z,Info!$O$7,FALSE)</f>
        <v>Laufsteg (250 × 600 mm)</v>
      </c>
      <c r="F64" s="619"/>
      <c r="G64" s="619"/>
      <c r="H64" s="619"/>
      <c r="I64" s="619"/>
      <c r="J64" s="619"/>
      <c r="K64" s="620"/>
      <c r="L64" s="76" t="str">
        <f t="shared" si="12"/>
        <v/>
      </c>
      <c r="M64" s="161" t="str">
        <f>VLOOKUP(878,Sprachindex!$A:$Z,Info!$O$7,FALSE)</f>
        <v>Stk.</v>
      </c>
      <c r="N64" s="77"/>
      <c r="O64" s="184" t="str">
        <f t="shared" si="13"/>
        <v/>
      </c>
      <c r="P64" s="267"/>
      <c r="Q64" s="5"/>
      <c r="R64" s="182">
        <v>54.1</v>
      </c>
      <c r="S64" s="179"/>
      <c r="T64" s="179"/>
      <c r="U64" s="179"/>
      <c r="V64" s="179"/>
      <c r="W64" s="179"/>
      <c r="X64" s="179"/>
      <c r="Y64" s="179"/>
      <c r="Z64" s="179"/>
      <c r="AA64" s="179"/>
      <c r="AB64" s="179"/>
      <c r="AC64" s="139">
        <f t="shared" si="11"/>
        <v>0</v>
      </c>
      <c r="AD64" s="139">
        <f t="shared" si="10"/>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4"/>
        <v/>
      </c>
      <c r="E65" s="618" t="str">
        <f>VLOOKUP(561,Sprachindex!$A:$Z,Info!$O$7,FALSE)</f>
        <v>Laufsteg (250 × 420 mm)</v>
      </c>
      <c r="F65" s="619"/>
      <c r="G65" s="619"/>
      <c r="H65" s="619"/>
      <c r="I65" s="619"/>
      <c r="J65" s="619"/>
      <c r="K65" s="620"/>
      <c r="L65" s="76" t="str">
        <f t="shared" si="12"/>
        <v/>
      </c>
      <c r="M65" s="161" t="str">
        <f>VLOOKUP(878,Sprachindex!$A:$Z,Info!$O$7,FALSE)</f>
        <v>Stk.</v>
      </c>
      <c r="N65" s="77"/>
      <c r="O65" s="184" t="str">
        <f t="shared" si="13"/>
        <v/>
      </c>
      <c r="P65" s="267"/>
      <c r="Q65" s="5"/>
      <c r="R65" s="182">
        <v>40.14</v>
      </c>
      <c r="S65" s="179"/>
      <c r="T65" s="179"/>
      <c r="U65" s="179"/>
      <c r="V65" s="179"/>
      <c r="W65" s="179"/>
      <c r="X65" s="179"/>
      <c r="Y65" s="179"/>
      <c r="Z65" s="179"/>
      <c r="AA65" s="179"/>
      <c r="AB65" s="179"/>
      <c r="AC65" s="139">
        <f>ROUNDUP($A65/4,0)*4</f>
        <v>0</v>
      </c>
      <c r="AD65" s="139">
        <f t="shared" si="10"/>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VLOOKUP(AH65,AH65:AR65,$P$21,FALSE)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18" t="str">
        <f>VLOOKUP(565,Sprachindex!$A:$Z,Info!$O$7,FALSE)</f>
        <v>Laufsteg (360 × 800 mm)</v>
      </c>
      <c r="F66" s="619"/>
      <c r="G66" s="619"/>
      <c r="H66" s="619"/>
      <c r="I66" s="619"/>
      <c r="J66" s="619"/>
      <c r="K66" s="620"/>
      <c r="L66" s="76" t="str">
        <f t="shared" si="12"/>
        <v/>
      </c>
      <c r="M66" s="161" t="str">
        <f>VLOOKUP(878,Sprachindex!$A:$Z,Info!$O$7,FALSE)</f>
        <v>Stk.</v>
      </c>
      <c r="N66" s="77"/>
      <c r="O66" s="184" t="str">
        <f t="shared" si="13"/>
        <v/>
      </c>
      <c r="P66" s="267"/>
      <c r="Q66" s="5"/>
      <c r="R66" s="182">
        <v>83.23</v>
      </c>
      <c r="S66" s="179"/>
      <c r="T66" s="179"/>
      <c r="U66" s="179"/>
      <c r="V66" s="179"/>
      <c r="W66" s="179"/>
      <c r="X66" s="179"/>
      <c r="Y66" s="179"/>
      <c r="Z66" s="179"/>
      <c r="AA66" s="179"/>
      <c r="AB66" s="179"/>
      <c r="AC66" s="139">
        <f>ROUNDUP($A66,0)</f>
        <v>0</v>
      </c>
      <c r="AD66" s="139">
        <f t="shared" si="10"/>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18" t="str">
        <f>VLOOKUP(564,Sprachindex!$A:$Z,Info!$O$7,FALSE)</f>
        <v>Laufsteg (360 × 1.200 mm)</v>
      </c>
      <c r="F67" s="619"/>
      <c r="G67" s="619"/>
      <c r="H67" s="619"/>
      <c r="I67" s="619"/>
      <c r="J67" s="619"/>
      <c r="K67" s="620"/>
      <c r="L67" s="76" t="str">
        <f t="shared" si="12"/>
        <v/>
      </c>
      <c r="M67" s="161" t="str">
        <f>VLOOKUP(878,Sprachindex!$A:$Z,Info!$O$7,FALSE)</f>
        <v>Stk.</v>
      </c>
      <c r="N67" s="77"/>
      <c r="O67" s="184" t="str">
        <f t="shared" si="13"/>
        <v/>
      </c>
      <c r="P67" s="267"/>
      <c r="Q67" s="5"/>
      <c r="R67" s="182">
        <v>123.29</v>
      </c>
      <c r="S67" s="179"/>
      <c r="T67" s="179"/>
      <c r="U67" s="179"/>
      <c r="V67" s="179"/>
      <c r="W67" s="179"/>
      <c r="X67" s="179"/>
      <c r="Y67" s="179"/>
      <c r="Z67" s="179"/>
      <c r="AA67" s="179"/>
      <c r="AB67" s="179"/>
      <c r="AC67" s="139">
        <f>ROUNDUP($A67,0)</f>
        <v>0</v>
      </c>
      <c r="AD67" s="139">
        <f t="shared" si="10"/>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18" t="str">
        <f>VLOOKUP(955,Sprachindex!$A:$Z,Info!$O$7,FALSE)</f>
        <v>Verbinder (verzinkt; für Laufsteg; Breite: 250 mm)</v>
      </c>
      <c r="F68" s="619"/>
      <c r="G68" s="619"/>
      <c r="H68" s="619"/>
      <c r="I68" s="619"/>
      <c r="J68" s="619"/>
      <c r="K68" s="620"/>
      <c r="L68" s="76" t="str">
        <f t="shared" si="12"/>
        <v/>
      </c>
      <c r="M68" s="161" t="str">
        <f>VLOOKUP(878,Sprachindex!$A:$Z,Info!$O$7,FALSE)</f>
        <v>Stk.</v>
      </c>
      <c r="N68" s="77"/>
      <c r="O68" s="184" t="str">
        <f t="shared" si="13"/>
        <v/>
      </c>
      <c r="P68" s="267"/>
      <c r="Q68" s="5"/>
      <c r="R68" s="182">
        <v>24.74</v>
      </c>
      <c r="S68" s="179"/>
      <c r="T68" s="179"/>
      <c r="U68" s="179"/>
      <c r="V68" s="179"/>
      <c r="W68" s="179"/>
      <c r="X68" s="179"/>
      <c r="Y68" s="179"/>
      <c r="Z68" s="179"/>
      <c r="AA68" s="179"/>
      <c r="AB68" s="179"/>
      <c r="AC68" s="139">
        <f>ROUNDUP($A68,0)</f>
        <v>0</v>
      </c>
      <c r="AD68" s="139">
        <f t="shared" si="10"/>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18" t="str">
        <f>VLOOKUP(956,Sprachindex!$A:$Z,Info!$O$7,FALSE)</f>
        <v>Verbinder (verzinkt; für Laufsteg; Breite: 360 mm)</v>
      </c>
      <c r="F69" s="619"/>
      <c r="G69" s="619"/>
      <c r="H69" s="619"/>
      <c r="I69" s="619"/>
      <c r="J69" s="619"/>
      <c r="K69" s="620"/>
      <c r="L69" s="76" t="str">
        <f t="shared" si="12"/>
        <v/>
      </c>
      <c r="M69" s="161" t="str">
        <f>VLOOKUP(878,Sprachindex!$A:$Z,Info!$O$7,FALSE)</f>
        <v>Stk.</v>
      </c>
      <c r="N69" s="77"/>
      <c r="O69" s="184" t="str">
        <f t="shared" si="13"/>
        <v/>
      </c>
      <c r="P69" s="267"/>
      <c r="Q69" s="5"/>
      <c r="R69" s="182">
        <v>54.66</v>
      </c>
      <c r="S69" s="179"/>
      <c r="T69" s="179"/>
      <c r="U69" s="179"/>
      <c r="V69" s="179"/>
      <c r="W69" s="179"/>
      <c r="X69" s="179"/>
      <c r="Y69" s="179"/>
      <c r="Z69" s="179"/>
      <c r="AA69" s="179"/>
      <c r="AB69" s="179"/>
      <c r="AC69" s="139">
        <f>ROUNDUP($A69,0)</f>
        <v>0</v>
      </c>
      <c r="AD69" s="139">
        <f t="shared" si="10"/>
        <v>0</v>
      </c>
      <c r="AF69" s="135"/>
      <c r="AH69" s="621" t="s">
        <v>26</v>
      </c>
      <c r="AI69" s="622"/>
      <c r="AJ69" s="622"/>
      <c r="AK69" s="622"/>
      <c r="AL69" s="622"/>
      <c r="AM69" s="622"/>
      <c r="AN69" s="622"/>
      <c r="AO69" s="622"/>
      <c r="AP69" s="622"/>
      <c r="AQ69" s="622"/>
      <c r="AR69" s="622"/>
      <c r="AS69" s="623"/>
      <c r="AT69" s="621" t="s">
        <v>27</v>
      </c>
      <c r="AU69" s="622"/>
      <c r="AV69" s="622"/>
      <c r="AW69" s="622"/>
      <c r="AX69" s="622"/>
      <c r="AY69" s="622"/>
      <c r="AZ69" s="622"/>
      <c r="BA69" s="622"/>
      <c r="BB69" s="622"/>
      <c r="BC69" s="622"/>
      <c r="BD69" s="623"/>
    </row>
    <row r="70" spans="1:58" ht="32.1" customHeight="1">
      <c r="A70" s="93"/>
      <c r="B70" s="76" t="str">
        <f>VLOOKUP(878,Sprachindex!$A:$Z,Info!$O$7,FALSE)</f>
        <v>Stk.</v>
      </c>
      <c r="C70" s="78" t="e" vm="40">
        <v>#VALUE!</v>
      </c>
      <c r="D70" s="80">
        <v>635661</v>
      </c>
      <c r="E70" s="618" t="str">
        <f>VLOOKUP(277,Sprachindex!$A:$Z,Info!$O$7,FALSE)</f>
        <v>Sicherheitsdachhaken auf Fußteilen</v>
      </c>
      <c r="F70" s="619"/>
      <c r="G70" s="619"/>
      <c r="H70" s="619"/>
      <c r="I70" s="619"/>
      <c r="J70" s="619"/>
      <c r="K70" s="620"/>
      <c r="L70" s="76" t="str">
        <f t="shared" si="12"/>
        <v/>
      </c>
      <c r="M70" s="161" t="str">
        <f>VLOOKUP(878,Sprachindex!$A:$Z,Info!$O$7,FALSE)</f>
        <v>Stk.</v>
      </c>
      <c r="N70" s="77"/>
      <c r="O70" s="184" t="str">
        <f t="shared" si="13"/>
        <v/>
      </c>
      <c r="P70" s="267"/>
      <c r="Q70" s="5"/>
      <c r="R70" s="182">
        <v>123.39</v>
      </c>
      <c r="S70" s="179"/>
      <c r="T70" s="179"/>
      <c r="U70" s="179"/>
      <c r="V70" s="179"/>
      <c r="W70" s="179"/>
      <c r="X70" s="179"/>
      <c r="Y70" s="179"/>
      <c r="Z70" s="179"/>
      <c r="AA70" s="179"/>
      <c r="AB70" s="179"/>
      <c r="AC70" s="139">
        <f>ROUNDUP($A70,0)</f>
        <v>0</v>
      </c>
      <c r="AD70" s="139">
        <f t="shared" si="10"/>
        <v>0</v>
      </c>
      <c r="AF70" s="135"/>
      <c r="AH70" s="47" t="s">
        <v>35</v>
      </c>
      <c r="AI70" s="47" t="s">
        <v>32</v>
      </c>
      <c r="AJ70" s="47" t="s">
        <v>40</v>
      </c>
      <c r="AK70" s="47" t="s">
        <v>37</v>
      </c>
      <c r="AL70" s="47" t="s">
        <v>33</v>
      </c>
      <c r="AM70" s="47" t="s">
        <v>39</v>
      </c>
      <c r="AN70" s="47" t="s">
        <v>34</v>
      </c>
      <c r="AO70" s="47" t="s">
        <v>38</v>
      </c>
      <c r="AP70" s="47" t="s">
        <v>41</v>
      </c>
      <c r="AQ70" s="47" t="s">
        <v>36</v>
      </c>
      <c r="AR70" s="47" t="s">
        <v>38962</v>
      </c>
      <c r="AS70" s="503" t="s">
        <v>39049</v>
      </c>
      <c r="AT70" s="47" t="s">
        <v>35</v>
      </c>
      <c r="AU70" s="47" t="s">
        <v>32</v>
      </c>
      <c r="AV70" s="47" t="s">
        <v>40</v>
      </c>
      <c r="AW70" s="47" t="s">
        <v>37</v>
      </c>
      <c r="AX70" s="47" t="s">
        <v>33</v>
      </c>
      <c r="AY70" s="47" t="s">
        <v>39</v>
      </c>
      <c r="AZ70" s="47" t="s">
        <v>34</v>
      </c>
      <c r="BA70" s="47" t="s">
        <v>38</v>
      </c>
      <c r="BB70" s="47" t="s">
        <v>41</v>
      </c>
      <c r="BC70" s="47" t="s">
        <v>36</v>
      </c>
      <c r="BD70" s="47" t="s">
        <v>38962</v>
      </c>
      <c r="BE70" s="503" t="s">
        <v>39049</v>
      </c>
      <c r="BF70" s="543"/>
    </row>
    <row r="71" spans="1:58" ht="32.1" customHeight="1">
      <c r="A71" s="93"/>
      <c r="B71" s="76" t="str">
        <f>VLOOKUP(878,Sprachindex!$A:$Z,Info!$O$7,FALSE)</f>
        <v>Stk.</v>
      </c>
      <c r="C71" s="78" t="e" vm="41">
        <v>#VALUE!</v>
      </c>
      <c r="D71" s="75" t="str">
        <f t="shared" ref="D71" si="15">IF(ISNUMBER(A71),AS71,"")</f>
        <v/>
      </c>
      <c r="E71" s="618" t="str">
        <f>VLOOKUP(822,Sprachindex!$A:$Z,Info!$O$7,FALSE)</f>
        <v>Sicherheitsdachhaken</v>
      </c>
      <c r="F71" s="619"/>
      <c r="G71" s="619"/>
      <c r="H71" s="619"/>
      <c r="I71" s="619"/>
      <c r="J71" s="619"/>
      <c r="K71" s="620"/>
      <c r="L71" s="76" t="str">
        <f t="shared" si="12"/>
        <v/>
      </c>
      <c r="M71" s="161" t="str">
        <f>VLOOKUP(878,Sprachindex!$A:$Z,Info!$O$7,FALSE)</f>
        <v>Stk.</v>
      </c>
      <c r="N71" s="77"/>
      <c r="O71" s="184" t="str">
        <f t="shared" si="13"/>
        <v/>
      </c>
      <c r="P71" s="267"/>
      <c r="Q71" s="5"/>
      <c r="R71" s="182">
        <v>32.479999999999997</v>
      </c>
      <c r="S71" s="179"/>
      <c r="T71" s="179"/>
      <c r="U71" s="179"/>
      <c r="V71" s="179"/>
      <c r="W71" s="179"/>
      <c r="X71" s="179"/>
      <c r="Y71" s="179"/>
      <c r="Z71" s="179"/>
      <c r="AA71" s="179"/>
      <c r="AB71" s="179"/>
      <c r="AC71" s="139">
        <f>ROUNDUP($A71/12,0)*12</f>
        <v>0</v>
      </c>
      <c r="AD71" s="139">
        <f t="shared" si="10"/>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VLOOKUP(AH71,AH71:AR71,$P$21,FALSE)</f>
        <v>#VALUE!</v>
      </c>
      <c r="BE71" s="132"/>
      <c r="BF71" s="132"/>
    </row>
    <row r="72" spans="1:58" ht="32.1" customHeight="1">
      <c r="A72" s="93"/>
      <c r="B72" s="76" t="str">
        <f>VLOOKUP(878,Sprachindex!$A:$Z,Info!$O$7,FALSE)</f>
        <v>Stk.</v>
      </c>
      <c r="C72" s="78"/>
      <c r="D72" s="75" t="str">
        <f>IF(ISNUMBER(A72),AS72,"")</f>
        <v/>
      </c>
      <c r="E72" s="618" t="str">
        <f>VLOOKUP(327,Sprachindex!$A:$Z,Info!$O$7,FALSE)</f>
        <v>Einfassungsplatte für Dachraute 29 × 29; glatt; ⌀ 80–125 mm</v>
      </c>
      <c r="F72" s="619"/>
      <c r="G72" s="619"/>
      <c r="H72" s="619"/>
      <c r="I72" s="619"/>
      <c r="J72" s="619"/>
      <c r="K72" s="620"/>
      <c r="L72" s="76" t="str">
        <f t="shared" ref="L72:L80" si="16">IF(A72=0,"",IF($P$11=1,AC72,AD72))</f>
        <v/>
      </c>
      <c r="M72" s="399" t="str">
        <f t="shared" si="0"/>
        <v>Stk.</v>
      </c>
      <c r="N72" s="77"/>
      <c r="O72" s="184" t="str">
        <f t="shared" ref="O72:O104" si="17">IF(ISNUMBER(A72),$L72*R72, "")</f>
        <v/>
      </c>
      <c r="P72" s="5"/>
      <c r="Q72" s="5"/>
      <c r="R72" s="182">
        <v>120.61</v>
      </c>
      <c r="S72" s="179"/>
      <c r="T72" s="179"/>
      <c r="U72" s="179"/>
      <c r="V72" s="179"/>
      <c r="W72" s="179"/>
      <c r="X72" s="179"/>
      <c r="Y72" s="179"/>
      <c r="Z72" s="179"/>
      <c r="AA72" s="179"/>
      <c r="AB72" s="179"/>
      <c r="AC72" s="139">
        <f>ROUNDUP($A72/10,0)*20</f>
        <v>0</v>
      </c>
      <c r="AD72" s="139">
        <f t="shared" ref="AD72:AD82" si="18">ROUNDUP($A72,0)</f>
        <v>0</v>
      </c>
      <c r="AH72" s="498">
        <v>110253</v>
      </c>
      <c r="AI72" s="498">
        <v>110250</v>
      </c>
      <c r="AJ72" s="498">
        <v>110258</v>
      </c>
      <c r="AK72" s="498">
        <v>110255</v>
      </c>
      <c r="AL72" s="498">
        <v>110251</v>
      </c>
      <c r="AM72" s="498">
        <v>110257</v>
      </c>
      <c r="AN72" s="498">
        <v>110252</v>
      </c>
      <c r="AO72" s="498">
        <v>110256</v>
      </c>
      <c r="AP72" s="498">
        <v>110289</v>
      </c>
      <c r="AQ72" s="498">
        <v>110254</v>
      </c>
      <c r="AR72" s="498">
        <v>11731028</v>
      </c>
      <c r="AS72" s="512" t="e" vm="2">
        <f>VLOOKUP(AH72,AH72:AR72,$P$21,FALSE)</f>
        <v>#VALUE!</v>
      </c>
    </row>
    <row r="73" spans="1:58" ht="31.95" customHeight="1">
      <c r="A73" s="93"/>
      <c r="B73" s="76" t="str">
        <f>VLOOKUP(878,Sprachindex!$A:$Z,Info!$O$7,FALSE)</f>
        <v>Stk.</v>
      </c>
      <c r="C73" s="78" t="e" vm="98">
        <v>#VALUE!</v>
      </c>
      <c r="D73" s="75" t="str">
        <f>IF(ISNUMBER(A73),BE73,"")</f>
        <v/>
      </c>
      <c r="E73" s="618" t="str">
        <f>VLOOKUP(2942,Sprachindex!$A:$Z,Info!$O$7,FALSE)</f>
        <v>Einfassungsplatte, zum Einfalzen; Stucco</v>
      </c>
      <c r="F73" s="619"/>
      <c r="G73" s="619"/>
      <c r="H73" s="619"/>
      <c r="I73" s="619"/>
      <c r="J73" s="619"/>
      <c r="K73" s="620"/>
      <c r="L73" s="76" t="str">
        <f t="shared" ref="L73:L78" si="19">IF(A73=0,"",IF($P$11=1,AC73,AD73))</f>
        <v/>
      </c>
      <c r="M73" s="161" t="str">
        <f>VLOOKUP(878,Sprachindex!$A:$Z,Info!$O$7,FALSE)</f>
        <v>Stk.</v>
      </c>
      <c r="N73" s="77"/>
      <c r="O73" s="184" t="str">
        <f t="shared" si="17"/>
        <v/>
      </c>
      <c r="P73" s="267"/>
      <c r="Q73" s="5"/>
      <c r="R73" s="182">
        <v>115.36</v>
      </c>
      <c r="S73" s="179"/>
      <c r="T73" s="179"/>
      <c r="U73" s="179"/>
      <c r="V73" s="179"/>
      <c r="W73" s="179"/>
      <c r="X73" s="179"/>
      <c r="Y73" s="179"/>
      <c r="Z73" s="179"/>
      <c r="AA73" s="179"/>
      <c r="AB73" s="179"/>
      <c r="AC73" s="139">
        <f>ROUNDUP($A73/5,0)*5</f>
        <v>0</v>
      </c>
      <c r="AD73" s="139">
        <f t="shared" si="18"/>
        <v>0</v>
      </c>
      <c r="AF73" s="135"/>
      <c r="AH73" s="542">
        <v>110233</v>
      </c>
      <c r="AI73" s="542">
        <v>110230</v>
      </c>
      <c r="AJ73" s="542">
        <v>110238</v>
      </c>
      <c r="AK73" s="542">
        <v>110235</v>
      </c>
      <c r="AL73" s="542">
        <v>110231</v>
      </c>
      <c r="AM73" s="542">
        <v>110237</v>
      </c>
      <c r="AN73" s="542">
        <v>110232</v>
      </c>
      <c r="AO73" s="542">
        <v>110236</v>
      </c>
      <c r="AP73" s="542">
        <v>110239</v>
      </c>
      <c r="AQ73" s="542">
        <v>110234</v>
      </c>
      <c r="AR73" s="542"/>
      <c r="AS73" s="512"/>
      <c r="AT73" s="432">
        <v>112883</v>
      </c>
      <c r="AU73" s="541">
        <v>112880</v>
      </c>
      <c r="AV73" s="432">
        <v>112888</v>
      </c>
      <c r="AW73" s="432">
        <v>112885</v>
      </c>
      <c r="AX73" s="432">
        <v>112881</v>
      </c>
      <c r="AY73" s="432">
        <v>112887</v>
      </c>
      <c r="AZ73" s="432">
        <v>112882</v>
      </c>
      <c r="BA73" s="432">
        <v>112886</v>
      </c>
      <c r="BB73" s="432">
        <v>112889</v>
      </c>
      <c r="BC73" s="432">
        <v>112884</v>
      </c>
      <c r="BD73" s="432">
        <v>15011028</v>
      </c>
      <c r="BE73" s="512" t="e" vm="2">
        <f>VLOOKUP(AT73,AT73:BD73,$P$21,FALSE)</f>
        <v>#VALUE!</v>
      </c>
      <c r="BF73" s="544"/>
    </row>
    <row r="74" spans="1:58" ht="32.1" customHeight="1">
      <c r="A74" s="93"/>
      <c r="B74" s="76" t="str">
        <f>VLOOKUP(878,Sprachindex!$A:$Z,Info!$O$7,FALSE)</f>
        <v>Stk.</v>
      </c>
      <c r="C74" s="78" t="e" vm="44">
        <v>#VALUE!</v>
      </c>
      <c r="D74" s="75" t="str">
        <f>IF(ISNUMBER(A74),BE74,"")</f>
        <v/>
      </c>
      <c r="E74" s="618" t="str">
        <f>VLOOKUP(926,Sprachindex!$A:$Z,Info!$O$7,FALSE)</f>
        <v>Universaleinfassung (2-teilig); stucco; ⌀ 40–120 mm</v>
      </c>
      <c r="F74" s="619"/>
      <c r="G74" s="619"/>
      <c r="H74" s="619"/>
      <c r="I74" s="619"/>
      <c r="J74" s="619"/>
      <c r="K74" s="620"/>
      <c r="L74" s="76" t="str">
        <f t="shared" si="19"/>
        <v/>
      </c>
      <c r="M74" s="161" t="str">
        <f>VLOOKUP(878,Sprachindex!$A:$Z,Info!$O$7,FALSE)</f>
        <v>Stk.</v>
      </c>
      <c r="N74" s="77"/>
      <c r="O74" s="184" t="str">
        <f t="shared" si="17"/>
        <v/>
      </c>
      <c r="P74" s="267"/>
      <c r="Q74" s="5"/>
      <c r="R74" s="182">
        <v>122.16</v>
      </c>
      <c r="S74" s="179"/>
      <c r="T74" s="179"/>
      <c r="U74" s="179"/>
      <c r="V74" s="179"/>
      <c r="W74" s="179"/>
      <c r="X74" s="179"/>
      <c r="Y74" s="179"/>
      <c r="Z74" s="179"/>
      <c r="AA74" s="179"/>
      <c r="AB74" s="179"/>
      <c r="AC74" s="139">
        <f>ROUNDUP($A74,0)</f>
        <v>0</v>
      </c>
      <c r="AD74" s="139">
        <f t="shared" si="18"/>
        <v>0</v>
      </c>
      <c r="AF74" s="135"/>
      <c r="AH74" s="542"/>
      <c r="AI74" s="542"/>
      <c r="AJ74" s="542"/>
      <c r="AK74" s="542"/>
      <c r="AL74" s="542"/>
      <c r="AM74" s="542"/>
      <c r="AN74" s="542"/>
      <c r="AO74" s="542"/>
      <c r="AP74" s="542"/>
      <c r="AQ74" s="542"/>
      <c r="AR74" s="542"/>
      <c r="AS74" s="512"/>
      <c r="AT74" s="432">
        <v>110243</v>
      </c>
      <c r="AU74" s="432">
        <v>110240</v>
      </c>
      <c r="AV74" s="432">
        <v>110248</v>
      </c>
      <c r="AW74" s="432">
        <v>110245</v>
      </c>
      <c r="AX74" s="432">
        <v>110241</v>
      </c>
      <c r="AY74" s="432">
        <v>110247</v>
      </c>
      <c r="AZ74" s="432">
        <v>110242</v>
      </c>
      <c r="BA74" s="432">
        <v>110246</v>
      </c>
      <c r="BB74" s="432">
        <v>110249</v>
      </c>
      <c r="BC74" s="432">
        <v>110244</v>
      </c>
      <c r="BD74" s="432">
        <v>15031028</v>
      </c>
      <c r="BE74" s="512" t="e" vm="2">
        <f>VLOOKUP(AT74,AT74:BD74,$P$21,FALSE)</f>
        <v>#VALUE!</v>
      </c>
    </row>
    <row r="75" spans="1:58" ht="32.1" customHeight="1">
      <c r="A75" s="93"/>
      <c r="B75" s="76" t="str">
        <f>VLOOKUP(878,Sprachindex!$A:$Z,Info!$O$7,FALSE)</f>
        <v>Stk.</v>
      </c>
      <c r="C75" s="78" t="e" vm="45">
        <v>#VALUE!</v>
      </c>
      <c r="D75" s="75" t="str">
        <f t="shared" ref="D75:D77" si="20">IF(ISNUMBER(A75),AS75,"")</f>
        <v/>
      </c>
      <c r="E75" s="618" t="str">
        <f>VLOOKUP(364,Sprachindex!$A:$Z,Info!$O$7,FALSE)</f>
        <v>Entlüftungshaube (⌀ 100; glatt)</v>
      </c>
      <c r="F75" s="619"/>
      <c r="G75" s="619"/>
      <c r="H75" s="619"/>
      <c r="I75" s="619"/>
      <c r="J75" s="619"/>
      <c r="K75" s="620"/>
      <c r="L75" s="76" t="str">
        <f t="shared" si="19"/>
        <v/>
      </c>
      <c r="M75" s="161" t="str">
        <f>VLOOKUP(878,Sprachindex!$A:$Z,Info!$O$7,FALSE)</f>
        <v>Stk.</v>
      </c>
      <c r="N75" s="77"/>
      <c r="O75" s="184" t="str">
        <f t="shared" si="17"/>
        <v/>
      </c>
      <c r="P75" s="267"/>
      <c r="Q75" s="5"/>
      <c r="R75" s="182">
        <v>192.1</v>
      </c>
      <c r="S75" s="179"/>
      <c r="T75" s="179"/>
      <c r="U75" s="179"/>
      <c r="V75" s="179"/>
      <c r="W75" s="179"/>
      <c r="X75" s="179"/>
      <c r="Y75" s="179"/>
      <c r="Z75" s="179"/>
      <c r="AA75" s="179"/>
      <c r="AB75" s="179"/>
      <c r="AC75" s="139">
        <f>ROUNDUP($A75,0)</f>
        <v>0</v>
      </c>
      <c r="AD75" s="139">
        <f t="shared" si="18"/>
        <v>0</v>
      </c>
      <c r="AF75" s="135"/>
      <c r="AH75" s="433">
        <v>110283</v>
      </c>
      <c r="AI75" s="433">
        <v>110280</v>
      </c>
      <c r="AJ75" s="433">
        <v>110288</v>
      </c>
      <c r="AK75" s="433">
        <v>110285</v>
      </c>
      <c r="AL75" s="433">
        <v>110281</v>
      </c>
      <c r="AM75" s="433">
        <v>110287</v>
      </c>
      <c r="AN75" s="433">
        <v>110282</v>
      </c>
      <c r="AO75" s="433">
        <v>110286</v>
      </c>
      <c r="AP75" s="433">
        <v>110289</v>
      </c>
      <c r="AQ75" s="433">
        <v>110284</v>
      </c>
      <c r="AR75" s="433">
        <v>15071028</v>
      </c>
      <c r="AS75" s="512" t="e" vm="2">
        <f>VLOOKUP(AH75,AH75:AR75,$P$21,FALSE)</f>
        <v>#VALUE!</v>
      </c>
    </row>
    <row r="76" spans="1:58" ht="32.1" customHeight="1">
      <c r="A76" s="93"/>
      <c r="B76" s="76" t="str">
        <f>VLOOKUP(878,Sprachindex!$A:$Z,Info!$O$7,FALSE)</f>
        <v>Stk.</v>
      </c>
      <c r="C76" s="78" t="e" vm="46">
        <v>#VALUE!</v>
      </c>
      <c r="D76" s="75" t="str">
        <f t="shared" si="20"/>
        <v/>
      </c>
      <c r="E76" s="618" t="str">
        <f>VLOOKUP(366,Sprachindex!$A:$Z,Info!$O$7,FALSE)</f>
        <v>Entlüftungsrohr (⌀ 100; passend für HT-Rohr [NW 110])</v>
      </c>
      <c r="F76" s="619"/>
      <c r="G76" s="619"/>
      <c r="H76" s="619"/>
      <c r="I76" s="619"/>
      <c r="J76" s="619"/>
      <c r="K76" s="620"/>
      <c r="L76" s="76" t="str">
        <f t="shared" si="19"/>
        <v/>
      </c>
      <c r="M76" s="161" t="str">
        <f>VLOOKUP(878,Sprachindex!$A:$Z,Info!$O$7,FALSE)</f>
        <v>Stk.</v>
      </c>
      <c r="N76" s="77"/>
      <c r="O76" s="184" t="str">
        <f t="shared" si="17"/>
        <v/>
      </c>
      <c r="P76" s="267"/>
      <c r="Q76" s="5"/>
      <c r="R76" s="182">
        <v>79.069999999999993</v>
      </c>
      <c r="S76" s="179"/>
      <c r="T76" s="179"/>
      <c r="U76" s="179"/>
      <c r="V76" s="179"/>
      <c r="W76" s="179"/>
      <c r="X76" s="179"/>
      <c r="Y76" s="179"/>
      <c r="Z76" s="179"/>
      <c r="AA76" s="179"/>
      <c r="AB76" s="179"/>
      <c r="AC76" s="139">
        <f>ROUNDUP($A76,0)</f>
        <v>0</v>
      </c>
      <c r="AD76" s="139">
        <f t="shared" si="18"/>
        <v>0</v>
      </c>
      <c r="AF76" s="135"/>
      <c r="AH76" s="433">
        <v>110203</v>
      </c>
      <c r="AI76" s="433">
        <v>110200</v>
      </c>
      <c r="AJ76" s="433">
        <v>110208</v>
      </c>
      <c r="AK76" s="433">
        <v>110205</v>
      </c>
      <c r="AL76" s="433">
        <v>110201</v>
      </c>
      <c r="AM76" s="433">
        <v>110207</v>
      </c>
      <c r="AN76" s="433">
        <v>110202</v>
      </c>
      <c r="AO76" s="433">
        <v>110206</v>
      </c>
      <c r="AP76" s="433">
        <v>121015</v>
      </c>
      <c r="AQ76" s="433">
        <v>110204</v>
      </c>
      <c r="AR76" s="433">
        <v>15081028</v>
      </c>
      <c r="AS76" s="512" t="e" vm="2">
        <f>VLOOKUP(AH76,AH76:AR76,$P$21,FALSE)</f>
        <v>#VALUE!</v>
      </c>
    </row>
    <row r="77" spans="1:58" ht="32.1" customHeight="1">
      <c r="A77" s="93"/>
      <c r="B77" s="76" t="str">
        <f>VLOOKUP(878,Sprachindex!$A:$Z,Info!$O$7,FALSE)</f>
        <v>Stk.</v>
      </c>
      <c r="C77" s="78" t="e" vm="47">
        <v>#VALUE!</v>
      </c>
      <c r="D77" s="75" t="str">
        <f t="shared" si="20"/>
        <v/>
      </c>
      <c r="E77" s="618" t="str">
        <f>VLOOKUP(368,Sprachindex!$A:$Z,Info!$O$7,FALSE)</f>
        <v>Entlüftungsrohr (⌀ 120; passend für HT-Rohr [NW 125])</v>
      </c>
      <c r="F77" s="619"/>
      <c r="G77" s="619"/>
      <c r="H77" s="619"/>
      <c r="I77" s="619"/>
      <c r="J77" s="619"/>
      <c r="K77" s="620"/>
      <c r="L77" s="76" t="str">
        <f t="shared" si="19"/>
        <v/>
      </c>
      <c r="M77" s="161" t="str">
        <f>VLOOKUP(878,Sprachindex!$A:$Z,Info!$O$7,FALSE)</f>
        <v>Stk.</v>
      </c>
      <c r="N77" s="77"/>
      <c r="O77" s="184" t="str">
        <f t="shared" si="17"/>
        <v/>
      </c>
      <c r="P77" s="267"/>
      <c r="Q77" s="5"/>
      <c r="R77" s="182">
        <v>83.85</v>
      </c>
      <c r="S77" s="179"/>
      <c r="T77" s="179"/>
      <c r="U77" s="179"/>
      <c r="V77" s="179"/>
      <c r="W77" s="179"/>
      <c r="X77" s="179"/>
      <c r="Y77" s="179"/>
      <c r="Z77" s="179"/>
      <c r="AA77" s="179"/>
      <c r="AB77" s="179"/>
      <c r="AC77" s="139">
        <f>ROUNDUP($A77,0)</f>
        <v>0</v>
      </c>
      <c r="AD77" s="139">
        <f t="shared" si="18"/>
        <v>0</v>
      </c>
      <c r="AF77" s="135"/>
      <c r="AH77" s="433">
        <v>110213</v>
      </c>
      <c r="AI77" s="433">
        <v>110210</v>
      </c>
      <c r="AJ77" s="433">
        <v>110218</v>
      </c>
      <c r="AK77" s="433">
        <v>110215</v>
      </c>
      <c r="AL77" s="433">
        <v>110211</v>
      </c>
      <c r="AM77" s="433">
        <v>110217</v>
      </c>
      <c r="AN77" s="433">
        <v>110212</v>
      </c>
      <c r="AO77" s="433">
        <v>110216</v>
      </c>
      <c r="AP77" s="433">
        <v>121025</v>
      </c>
      <c r="AQ77" s="433">
        <v>110214</v>
      </c>
      <c r="AR77" s="433">
        <v>15091028</v>
      </c>
      <c r="AS77" s="512" t="e" vm="2">
        <f>VLOOKUP(AH77,AH77:AR77,$P$21,FALSE)</f>
        <v>#VALUE!</v>
      </c>
    </row>
    <row r="78" spans="1:58" ht="32.1" customHeight="1">
      <c r="A78" s="93"/>
      <c r="B78" s="76" t="str">
        <f>VLOOKUP(878,Sprachindex!$A:$Z,Info!$O$7,FALSE)</f>
        <v>Stk.</v>
      </c>
      <c r="C78" s="78" t="e" vm="48">
        <v>#VALUE!</v>
      </c>
      <c r="D78" s="80">
        <v>340943</v>
      </c>
      <c r="E78" s="618" t="str">
        <f>VLOOKUP(379,Sprachindex!$A:$Z,Info!$O$7,FALSE)</f>
        <v>Faltmanschette (Ø 100–130)</v>
      </c>
      <c r="F78" s="619"/>
      <c r="G78" s="619"/>
      <c r="H78" s="619"/>
      <c r="I78" s="619"/>
      <c r="J78" s="619"/>
      <c r="K78" s="620"/>
      <c r="L78" s="76" t="str">
        <f t="shared" si="19"/>
        <v/>
      </c>
      <c r="M78" s="161" t="str">
        <f>VLOOKUP(878,Sprachindex!$A:$Z,Info!$O$7,FALSE)</f>
        <v>Stk.</v>
      </c>
      <c r="N78" s="77"/>
      <c r="O78" s="184" t="str">
        <f t="shared" si="17"/>
        <v/>
      </c>
      <c r="P78" s="267"/>
      <c r="Q78" s="5"/>
      <c r="R78" s="182">
        <v>38.86</v>
      </c>
      <c r="S78" s="179"/>
      <c r="T78" s="179"/>
      <c r="U78" s="179"/>
      <c r="V78" s="179"/>
      <c r="W78" s="179"/>
      <c r="X78" s="179"/>
      <c r="Y78" s="179"/>
      <c r="Z78" s="179"/>
      <c r="AA78" s="179"/>
      <c r="AB78" s="179"/>
      <c r="AC78" s="139">
        <f>ROUNDUP($A78,0)</f>
        <v>0</v>
      </c>
      <c r="AD78" s="139">
        <f t="shared" si="18"/>
        <v>0</v>
      </c>
      <c r="AF78" s="135"/>
      <c r="AS78" s="512"/>
      <c r="AT78" s="47" t="s">
        <v>35</v>
      </c>
      <c r="AU78" s="47" t="s">
        <v>32</v>
      </c>
      <c r="AV78" s="47" t="s">
        <v>40</v>
      </c>
      <c r="AW78" s="47" t="s">
        <v>37</v>
      </c>
      <c r="AX78" s="47" t="s">
        <v>33</v>
      </c>
      <c r="AY78" s="47" t="s">
        <v>39</v>
      </c>
      <c r="AZ78" s="47" t="s">
        <v>34</v>
      </c>
      <c r="BA78" s="47" t="s">
        <v>38</v>
      </c>
      <c r="BB78" s="47" t="s">
        <v>41</v>
      </c>
      <c r="BC78" s="47" t="s">
        <v>36</v>
      </c>
      <c r="BD78" s="47" t="s">
        <v>38962</v>
      </c>
      <c r="BE78" s="132"/>
      <c r="BF78" s="132"/>
    </row>
    <row r="79" spans="1:58" ht="32.1" customHeight="1">
      <c r="A79" s="93"/>
      <c r="B79" s="76" t="str">
        <f>VLOOKUP(878,Sprachindex!$A:$Z,Info!$O$7,FALSE)</f>
        <v>Stk.</v>
      </c>
      <c r="C79" s="78" t="e" vm="96">
        <v>#VALUE!</v>
      </c>
      <c r="D79" s="75" t="str">
        <f>IF($P$9=1,BE79,IF($P$9=2,AS79,""))</f>
        <v/>
      </c>
      <c r="E79" s="618" t="str">
        <f>IF($P$9=1,VLOOKUP(936,Sprachindex!$A:$Z,Info!$O$7,FALSE),VLOOKUP(2943,Sprachindex!$A:$Z,Info!$O$7,FALSE))</f>
        <v>Unterlagsplatte (540 × 125 mm [Länge × Breite]; glatt)</v>
      </c>
      <c r="F79" s="619"/>
      <c r="G79" s="619"/>
      <c r="H79" s="619"/>
      <c r="I79" s="619"/>
      <c r="J79" s="619"/>
      <c r="K79" s="620"/>
      <c r="L79" s="76" t="str">
        <f t="shared" ref="L79" si="21">IF(A79=0,"",IF($P$11=1,AD79,AE79))</f>
        <v/>
      </c>
      <c r="M79" s="399" t="str">
        <f t="shared" ref="M79" si="22">B79</f>
        <v>Stk.</v>
      </c>
      <c r="N79" s="77"/>
      <c r="O79" s="184" t="str">
        <f t="shared" si="17"/>
        <v/>
      </c>
      <c r="P79" s="5"/>
      <c r="Q79" s="5"/>
      <c r="R79" s="182">
        <v>11.04</v>
      </c>
      <c r="S79" s="179"/>
      <c r="T79" s="5"/>
      <c r="U79" s="5"/>
      <c r="V79" s="5"/>
      <c r="W79" s="5"/>
      <c r="X79" s="5"/>
      <c r="Y79" s="5"/>
      <c r="AB79" s="5"/>
      <c r="AC79" s="5"/>
      <c r="AD79" s="139">
        <f>ROUNDUP($A79/15,0)*15</f>
        <v>0</v>
      </c>
      <c r="AE79" s="139">
        <f t="shared" ref="AE79" si="23">ROUNDUP($A79,0)</f>
        <v>0</v>
      </c>
      <c r="AH79" s="433">
        <v>110363</v>
      </c>
      <c r="AI79" s="433">
        <v>110360</v>
      </c>
      <c r="AJ79" s="433">
        <v>110368</v>
      </c>
      <c r="AK79" s="433">
        <v>110365</v>
      </c>
      <c r="AL79" s="433">
        <v>110361</v>
      </c>
      <c r="AM79" s="433">
        <v>110367</v>
      </c>
      <c r="AN79" s="433">
        <v>110362</v>
      </c>
      <c r="AO79" s="433">
        <v>110366</v>
      </c>
      <c r="AP79" s="433">
        <v>110369</v>
      </c>
      <c r="AQ79" s="433">
        <v>110364</v>
      </c>
      <c r="AR79" s="433">
        <v>15531028</v>
      </c>
      <c r="AS79" s="512" t="e" vm="2">
        <f t="shared" ref="AS79" si="24">VLOOKUP(AH79,AH79:AR79,$P$21,FALSE)</f>
        <v>#VALUE!</v>
      </c>
      <c r="AT79" s="432">
        <v>110373</v>
      </c>
      <c r="AU79" s="432">
        <v>110370</v>
      </c>
      <c r="AV79" s="432">
        <v>110378</v>
      </c>
      <c r="AW79" s="432">
        <v>110375</v>
      </c>
      <c r="AX79" s="432">
        <v>110371</v>
      </c>
      <c r="AY79" s="432">
        <v>110377</v>
      </c>
      <c r="AZ79" s="432">
        <v>110372</v>
      </c>
      <c r="BA79" s="432">
        <v>110376</v>
      </c>
      <c r="BB79" s="432">
        <v>110379</v>
      </c>
      <c r="BC79" s="432">
        <v>110374</v>
      </c>
      <c r="BD79" s="432">
        <v>15541028</v>
      </c>
      <c r="BE79" s="512" t="e" vm="2">
        <f>VLOOKUP(AT79,AT79:BD79,$P$21,FALSE)</f>
        <v>#VALUE!</v>
      </c>
    </row>
    <row r="80" spans="1:58" ht="32.1" customHeight="1">
      <c r="A80" s="93"/>
      <c r="B80" s="76" t="str">
        <f>VLOOKUP(878,Sprachindex!$A:$Z,Info!$O$7,FALSE)</f>
        <v>Stk.</v>
      </c>
      <c r="C80" s="78"/>
      <c r="D80" s="75" t="str">
        <f>IF(ISNUMBER(A80),AS80,"")</f>
        <v/>
      </c>
      <c r="E80" s="618" t="str">
        <f>VLOOKUP(800,Sprachindex!$A:$Z,Info!$O$7,FALSE)</f>
        <v>Schneestopper für Dachraute 29 × 29</v>
      </c>
      <c r="F80" s="619"/>
      <c r="G80" s="619"/>
      <c r="H80" s="619"/>
      <c r="I80" s="619"/>
      <c r="J80" s="619"/>
      <c r="K80" s="620"/>
      <c r="L80" s="76" t="str">
        <f t="shared" si="16"/>
        <v/>
      </c>
      <c r="M80" s="399" t="str">
        <f t="shared" si="0"/>
        <v>Stk.</v>
      </c>
      <c r="N80" s="77"/>
      <c r="O80" s="184" t="str">
        <f t="shared" si="17"/>
        <v/>
      </c>
      <c r="P80" s="5"/>
      <c r="Q80" s="5"/>
      <c r="R80" s="182">
        <v>1.79</v>
      </c>
      <c r="S80" s="179"/>
      <c r="T80" s="179"/>
      <c r="U80" s="179"/>
      <c r="V80" s="179"/>
      <c r="W80" s="179"/>
      <c r="X80" s="179"/>
      <c r="Y80" s="179"/>
      <c r="Z80" s="179"/>
      <c r="AA80" s="179"/>
      <c r="AB80" s="179"/>
      <c r="AC80" s="139">
        <f>ROUNDUP($A80/100,0)*100</f>
        <v>0</v>
      </c>
      <c r="AD80" s="139">
        <f t="shared" si="18"/>
        <v>0</v>
      </c>
      <c r="AH80" s="44">
        <v>110303</v>
      </c>
      <c r="AI80" s="44">
        <v>110300</v>
      </c>
      <c r="AJ80" s="44">
        <v>110308</v>
      </c>
      <c r="AK80" s="44">
        <v>110305</v>
      </c>
      <c r="AL80" s="44">
        <v>110301</v>
      </c>
      <c r="AM80" s="44">
        <v>110307</v>
      </c>
      <c r="AN80" s="44">
        <v>110302</v>
      </c>
      <c r="AO80" s="44">
        <v>110306</v>
      </c>
      <c r="AP80" s="44">
        <v>110309</v>
      </c>
      <c r="AQ80" s="44">
        <v>110304</v>
      </c>
      <c r="AR80" s="1">
        <v>15491028</v>
      </c>
      <c r="AS80" s="512" t="e" vm="2">
        <f>VLOOKUP(AH80,AH80:AR80,$P$21,FALSE)</f>
        <v>#VALUE!</v>
      </c>
    </row>
    <row r="81" spans="1:45" ht="32.1" customHeight="1">
      <c r="A81" s="93"/>
      <c r="B81" s="76" t="str">
        <f>VLOOKUP(878,Sprachindex!$A:$Z,Info!$O$7,FALSE)</f>
        <v>Stk.</v>
      </c>
      <c r="C81" s="78" t="e" vm="51">
        <v>#VALUE!</v>
      </c>
      <c r="D81" s="75" t="str">
        <f>IF(ISNUMBER(A81),AS81,"")</f>
        <v/>
      </c>
      <c r="E81" s="618" t="str">
        <f>VLOOKUP(2190,Sprachindex!$A:$Z,Info!$O$7,FALSE)</f>
        <v>Haken für Schneerechensystem, inkl. Befestigungsmaterial</v>
      </c>
      <c r="F81" s="619"/>
      <c r="G81" s="619"/>
      <c r="H81" s="619"/>
      <c r="I81" s="619"/>
      <c r="J81" s="619"/>
      <c r="K81" s="620"/>
      <c r="L81" s="76" t="str">
        <f t="shared" ref="L81:L98" si="25">IF(A81=0,"",IF($P$11=1,AC81,AD81))</f>
        <v/>
      </c>
      <c r="M81" s="161" t="str">
        <f>VLOOKUP(878,Sprachindex!$A:$Z,Info!$O$7,FALSE)</f>
        <v>Stk.</v>
      </c>
      <c r="N81" s="77"/>
      <c r="O81" s="184" t="str">
        <f t="shared" si="17"/>
        <v/>
      </c>
      <c r="P81" s="267"/>
      <c r="Q81" s="5"/>
      <c r="R81" s="182">
        <v>57.49</v>
      </c>
      <c r="S81" s="179"/>
      <c r="T81" s="179"/>
      <c r="U81" s="179"/>
      <c r="V81" s="179"/>
      <c r="W81" s="179"/>
      <c r="X81" s="179"/>
      <c r="Y81" s="179"/>
      <c r="Z81" s="179"/>
      <c r="AA81" s="179"/>
      <c r="AB81" s="179"/>
      <c r="AC81" s="139">
        <f>ROUNDUP($A81/10,0)*10</f>
        <v>0</v>
      </c>
      <c r="AD81" s="139">
        <f t="shared" si="18"/>
        <v>0</v>
      </c>
      <c r="AF81" s="135"/>
      <c r="AH81" s="44">
        <v>120183</v>
      </c>
      <c r="AI81" s="44">
        <v>120180</v>
      </c>
      <c r="AJ81" s="44">
        <v>120188</v>
      </c>
      <c r="AK81" s="44">
        <v>120185</v>
      </c>
      <c r="AL81" s="44">
        <v>120181</v>
      </c>
      <c r="AM81" s="44">
        <v>120187</v>
      </c>
      <c r="AN81" s="44">
        <v>120182</v>
      </c>
      <c r="AO81" s="44">
        <v>120186</v>
      </c>
      <c r="AP81" s="44">
        <v>120189</v>
      </c>
      <c r="AQ81" s="44">
        <v>120184</v>
      </c>
      <c r="AR81" s="44">
        <v>14121028</v>
      </c>
      <c r="AS81" s="512" t="e" vm="2">
        <f>VLOOKUP(AH81,AH81:AR81,$P$21,FALSE)</f>
        <v>#VALUE!</v>
      </c>
    </row>
    <row r="82" spans="1:45" ht="32.1" customHeight="1">
      <c r="A82" s="93"/>
      <c r="B82" s="76" t="str">
        <f>VLOOKUP(878,Sprachindex!$A:$Z,Info!$O$7,FALSE)</f>
        <v>Stk.</v>
      </c>
      <c r="C82" s="78" t="e" vm="52">
        <v>#VALUE!</v>
      </c>
      <c r="D82" s="75" t="str">
        <f t="shared" ref="D82:D95" si="26">IF(ISNUMBER(A82),AS82,"")</f>
        <v/>
      </c>
      <c r="E82" s="618" t="str">
        <f>VLOOKUP(2191,Sprachindex!$A:$Z,Info!$O$7,FALSE)</f>
        <v>Haken für Schneerechensystem XL, inkl. Befestigungsmaterial</v>
      </c>
      <c r="F82" s="619"/>
      <c r="G82" s="619"/>
      <c r="H82" s="619"/>
      <c r="I82" s="619"/>
      <c r="J82" s="619"/>
      <c r="K82" s="620"/>
      <c r="L82" s="76" t="str">
        <f t="shared" si="25"/>
        <v/>
      </c>
      <c r="M82" s="161" t="str">
        <f>VLOOKUP(878,Sprachindex!$A:$Z,Info!$O$7,FALSE)</f>
        <v>Stk.</v>
      </c>
      <c r="N82" s="77"/>
      <c r="O82" s="184" t="str">
        <f t="shared" si="17"/>
        <v/>
      </c>
      <c r="P82" s="267"/>
      <c r="Q82" s="5"/>
      <c r="R82" s="182">
        <v>100.84</v>
      </c>
      <c r="S82" s="179"/>
      <c r="T82" s="179"/>
      <c r="U82" s="179"/>
      <c r="V82" s="179"/>
      <c r="W82" s="179"/>
      <c r="X82" s="179"/>
      <c r="Y82" s="179"/>
      <c r="Z82" s="179"/>
      <c r="AA82" s="179"/>
      <c r="AB82" s="179"/>
      <c r="AC82" s="139">
        <f>ROUNDUP($A82/18,0)*18</f>
        <v>0</v>
      </c>
      <c r="AD82" s="139">
        <f t="shared" si="18"/>
        <v>0</v>
      </c>
      <c r="AF82" s="135"/>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512" t="e" vm="2">
        <f t="shared" ref="AS82:AS95" si="27">VLOOKUP(AH82,AH82:AR82,$P$21,FALSE)</f>
        <v>#VALUE!</v>
      </c>
    </row>
    <row r="83" spans="1:45" ht="32.1" customHeight="1">
      <c r="A83" s="93"/>
      <c r="B83" s="76" t="str">
        <f>VLOOKUP(1512,Sprachindex!$A:$Z,Info!$O$7,FALSE)</f>
        <v>lfm</v>
      </c>
      <c r="C83" s="78" t="e" vm="53">
        <v>#VALUE!</v>
      </c>
      <c r="D83" s="75" t="str">
        <f t="shared" si="26"/>
        <v/>
      </c>
      <c r="E83" s="618" t="str">
        <f>VLOOKUP(793,Sprachindex!$A:$Z,Info!$O$7,FALSE)</f>
        <v>Einlegeprofil (3.000 mm)</v>
      </c>
      <c r="F83" s="619"/>
      <c r="G83" s="619"/>
      <c r="H83" s="619"/>
      <c r="I83" s="619"/>
      <c r="J83" s="619"/>
      <c r="K83" s="620"/>
      <c r="L83" s="76" t="str">
        <f t="shared" si="25"/>
        <v/>
      </c>
      <c r="M83" s="161" t="str">
        <f>VLOOKUP(1512,Sprachindex!$A:$Z,Info!$O$7,FALSE)</f>
        <v>lfm</v>
      </c>
      <c r="N83" s="77"/>
      <c r="O83" s="184" t="str">
        <f t="shared" si="17"/>
        <v/>
      </c>
      <c r="P83" s="267"/>
      <c r="Q83" s="5"/>
      <c r="R83" s="182">
        <v>11.03</v>
      </c>
      <c r="S83" s="179"/>
      <c r="T83" s="179"/>
      <c r="U83" s="179"/>
      <c r="V83" s="179"/>
      <c r="W83" s="179"/>
      <c r="X83" s="179"/>
      <c r="Y83" s="179"/>
      <c r="Z83" s="179"/>
      <c r="AA83" s="179"/>
      <c r="AB83" s="179"/>
      <c r="AC83" s="139">
        <f>ROUNDUP($A83/3,0)*3</f>
        <v>0</v>
      </c>
      <c r="AD83" s="139">
        <f>ROUNDUP($A83/3,0)*3</f>
        <v>0</v>
      </c>
      <c r="AF83" s="135"/>
      <c r="AH83" s="44">
        <v>120353</v>
      </c>
      <c r="AI83" s="44">
        <v>120350</v>
      </c>
      <c r="AJ83" s="44">
        <v>120358</v>
      </c>
      <c r="AK83" s="44">
        <v>120355</v>
      </c>
      <c r="AL83" s="44">
        <v>120351</v>
      </c>
      <c r="AM83" s="44">
        <v>120357</v>
      </c>
      <c r="AN83" s="44">
        <v>120352</v>
      </c>
      <c r="AO83" s="44">
        <v>120356</v>
      </c>
      <c r="AP83" s="44">
        <v>120359</v>
      </c>
      <c r="AQ83" s="44">
        <v>120354</v>
      </c>
      <c r="AR83" s="44">
        <v>14231028</v>
      </c>
      <c r="AS83" s="512" t="e" vm="2">
        <f t="shared" si="27"/>
        <v>#VALUE!</v>
      </c>
    </row>
    <row r="84" spans="1:45" ht="32.1" customHeight="1">
      <c r="A84" s="93"/>
      <c r="B84" s="76" t="str">
        <f>VLOOKUP(878,Sprachindex!$A:$Z,Info!$O$7,FALSE)</f>
        <v>Stk.</v>
      </c>
      <c r="C84" s="78" t="e" vm="54">
        <v>#VALUE!</v>
      </c>
      <c r="D84" s="75" t="str">
        <f t="shared" si="26"/>
        <v/>
      </c>
      <c r="E84" s="618" t="str">
        <f>VLOOKUP(794,Sprachindex!$A:$Z,Info!$O$7,FALSE)</f>
        <v>Eiskralle</v>
      </c>
      <c r="F84" s="619"/>
      <c r="G84" s="619"/>
      <c r="H84" s="619"/>
      <c r="I84" s="619"/>
      <c r="J84" s="619"/>
      <c r="K84" s="620"/>
      <c r="L84" s="76" t="str">
        <f t="shared" si="25"/>
        <v/>
      </c>
      <c r="M84" s="161" t="str">
        <f>VLOOKUP(878,Sprachindex!$A:$Z,Info!$O$7,FALSE)</f>
        <v>Stk.</v>
      </c>
      <c r="N84" s="77"/>
      <c r="O84" s="184" t="str">
        <f t="shared" si="17"/>
        <v/>
      </c>
      <c r="P84" s="267"/>
      <c r="Q84" s="5"/>
      <c r="R84" s="182">
        <v>4.78</v>
      </c>
      <c r="S84" s="179"/>
      <c r="T84" s="179"/>
      <c r="U84" s="179"/>
      <c r="V84" s="179"/>
      <c r="W84" s="179"/>
      <c r="X84" s="179"/>
      <c r="Y84" s="179"/>
      <c r="Z84" s="179"/>
      <c r="AA84" s="179"/>
      <c r="AB84" s="179"/>
      <c r="AC84" s="139">
        <f>ROUNDUP($A84/100,0)*100</f>
        <v>0</v>
      </c>
      <c r="AD84" s="139">
        <f t="shared" ref="AD84:AD93" si="28">ROUNDUP($A84,0)</f>
        <v>0</v>
      </c>
      <c r="AF84" s="135"/>
      <c r="AH84" s="44">
        <v>120703</v>
      </c>
      <c r="AI84" s="44">
        <v>120700</v>
      </c>
      <c r="AJ84" s="44">
        <v>120708</v>
      </c>
      <c r="AK84" s="44">
        <v>120705</v>
      </c>
      <c r="AL84" s="44">
        <v>120701</v>
      </c>
      <c r="AM84" s="44">
        <v>120707</v>
      </c>
      <c r="AN84" s="44">
        <v>120702</v>
      </c>
      <c r="AO84" s="44">
        <v>120706</v>
      </c>
      <c r="AP84" s="44">
        <v>120709</v>
      </c>
      <c r="AQ84" s="44">
        <v>120704</v>
      </c>
      <c r="AR84" s="44">
        <v>14111028</v>
      </c>
      <c r="AS84" s="512" t="e" vm="2">
        <f t="shared" si="27"/>
        <v>#VALUE!</v>
      </c>
    </row>
    <row r="85" spans="1:45" ht="32.1" customHeight="1">
      <c r="A85" s="93"/>
      <c r="B85" s="76" t="str">
        <f>VLOOKUP(878,Sprachindex!$A:$Z,Info!$O$7,FALSE)</f>
        <v>Stk.</v>
      </c>
      <c r="C85" s="78" t="e" vm="55">
        <v>#VALUE!</v>
      </c>
      <c r="D85" s="75" t="str">
        <f t="shared" si="26"/>
        <v/>
      </c>
      <c r="E85" s="618" t="str">
        <f>VLOOKUP(791,Sprachindex!$A:$Z,Info!$O$7,FALSE)</f>
        <v>Abschluss für Schneerechensystem</v>
      </c>
      <c r="F85" s="619"/>
      <c r="G85" s="619"/>
      <c r="H85" s="619"/>
      <c r="I85" s="619"/>
      <c r="J85" s="619"/>
      <c r="K85" s="620"/>
      <c r="L85" s="76" t="str">
        <f t="shared" si="25"/>
        <v/>
      </c>
      <c r="M85" s="161" t="str">
        <f>VLOOKUP(878,Sprachindex!$A:$Z,Info!$O$7,FALSE)</f>
        <v>Stk.</v>
      </c>
      <c r="N85" s="77"/>
      <c r="O85" s="184" t="str">
        <f t="shared" si="17"/>
        <v/>
      </c>
      <c r="P85" s="267"/>
      <c r="Q85" s="5"/>
      <c r="R85" s="182">
        <v>6.52</v>
      </c>
      <c r="S85" s="179"/>
      <c r="T85" s="179"/>
      <c r="U85" s="179"/>
      <c r="V85" s="179"/>
      <c r="W85" s="179"/>
      <c r="X85" s="179"/>
      <c r="Y85" s="179"/>
      <c r="Z85" s="179"/>
      <c r="AA85" s="179"/>
      <c r="AB85" s="179"/>
      <c r="AC85" s="139">
        <f>ROUNDUP($A85/2,0)*2</f>
        <v>0</v>
      </c>
      <c r="AD85" s="139">
        <f t="shared" si="28"/>
        <v>0</v>
      </c>
      <c r="AF85" s="135"/>
      <c r="AH85" s="44">
        <v>120393</v>
      </c>
      <c r="AI85" s="44">
        <v>120390</v>
      </c>
      <c r="AJ85" s="44">
        <v>120398</v>
      </c>
      <c r="AK85" s="44">
        <v>120395</v>
      </c>
      <c r="AL85" s="44">
        <v>120391</v>
      </c>
      <c r="AM85" s="44">
        <v>120397</v>
      </c>
      <c r="AN85" s="44">
        <v>120392</v>
      </c>
      <c r="AO85" s="44">
        <v>120396</v>
      </c>
      <c r="AP85" s="44">
        <v>120399</v>
      </c>
      <c r="AQ85" s="44">
        <v>120394</v>
      </c>
      <c r="AR85" s="44">
        <v>14101028</v>
      </c>
      <c r="AS85" s="512" t="e" vm="2">
        <f t="shared" si="27"/>
        <v>#VALUE!</v>
      </c>
    </row>
    <row r="86" spans="1:45" ht="32.1" customHeight="1">
      <c r="A86" s="93"/>
      <c r="B86" s="76" t="str">
        <f>VLOOKUP(878,Sprachindex!$A:$Z,Info!$O$7,FALSE)</f>
        <v>Stk.</v>
      </c>
      <c r="C86" s="78" t="e" vm="56">
        <v>#VALUE!</v>
      </c>
      <c r="D86" s="75" t="str">
        <f t="shared" si="26"/>
        <v/>
      </c>
      <c r="E86" s="618" t="str">
        <f>VLOOKUP(2192,Sprachindex!$A:$Z,Info!$O$7,FALSE)</f>
        <v>Abschluss für Schneerechensystem XL</v>
      </c>
      <c r="F86" s="619"/>
      <c r="G86" s="619"/>
      <c r="H86" s="619"/>
      <c r="I86" s="619"/>
      <c r="J86" s="619"/>
      <c r="K86" s="620"/>
      <c r="L86" s="76" t="str">
        <f t="shared" si="25"/>
        <v/>
      </c>
      <c r="M86" s="161" t="str">
        <f>VLOOKUP(878,Sprachindex!$A:$Z,Info!$O$7,FALSE)</f>
        <v>Stk.</v>
      </c>
      <c r="N86" s="77"/>
      <c r="O86" s="184" t="str">
        <f t="shared" si="17"/>
        <v/>
      </c>
      <c r="P86" s="267"/>
      <c r="Q86" s="5"/>
      <c r="R86" s="182">
        <v>8.5500000000000007</v>
      </c>
      <c r="S86" s="179"/>
      <c r="T86" s="179"/>
      <c r="U86" s="179"/>
      <c r="V86" s="179"/>
      <c r="W86" s="179"/>
      <c r="X86" s="179"/>
      <c r="Y86" s="179"/>
      <c r="Z86" s="179"/>
      <c r="AA86" s="179"/>
      <c r="AB86" s="179"/>
      <c r="AC86" s="139">
        <f>ROUNDUP($A86/18,0)*18</f>
        <v>0</v>
      </c>
      <c r="AD86" s="139">
        <f t="shared" si="28"/>
        <v>0</v>
      </c>
      <c r="AF86" s="135"/>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512" t="e" vm="2">
        <f t="shared" si="27"/>
        <v>#VALUE!</v>
      </c>
    </row>
    <row r="87" spans="1:45" ht="32.1" customHeight="1">
      <c r="A87" s="93"/>
      <c r="B87" s="76" t="str">
        <f>VLOOKUP(878,Sprachindex!$A:$Z,Info!$O$7,FALSE)</f>
        <v>Stk.</v>
      </c>
      <c r="C87" s="78" t="e" vm="57">
        <v>#VALUE!</v>
      </c>
      <c r="D87" s="75" t="str">
        <f t="shared" si="26"/>
        <v/>
      </c>
      <c r="E87" s="618" t="str">
        <f>VLOOKUP(424,Sprachindex!$A:$Z,Info!$O$7,FALSE)</f>
        <v>Gebirgsschneefangstütze</v>
      </c>
      <c r="F87" s="619"/>
      <c r="G87" s="619"/>
      <c r="H87" s="619"/>
      <c r="I87" s="619"/>
      <c r="J87" s="619"/>
      <c r="K87" s="620"/>
      <c r="L87" s="76" t="str">
        <f t="shared" si="25"/>
        <v/>
      </c>
      <c r="M87" s="161" t="str">
        <f>VLOOKUP(878,Sprachindex!$A:$Z,Info!$O$7,FALSE)</f>
        <v>Stk.</v>
      </c>
      <c r="N87" s="77"/>
      <c r="O87" s="184" t="str">
        <f t="shared" si="17"/>
        <v/>
      </c>
      <c r="P87" s="267"/>
      <c r="Q87" s="5"/>
      <c r="R87" s="182">
        <v>57.49</v>
      </c>
      <c r="S87" s="179"/>
      <c r="T87" s="179"/>
      <c r="U87" s="179"/>
      <c r="V87" s="179"/>
      <c r="W87" s="179"/>
      <c r="X87" s="179"/>
      <c r="Y87" s="179"/>
      <c r="Z87" s="179"/>
      <c r="AA87" s="179"/>
      <c r="AB87" s="179"/>
      <c r="AC87" s="139">
        <f>ROUNDUP($A87/2,0)*2</f>
        <v>0</v>
      </c>
      <c r="AD87" s="139">
        <f t="shared" si="28"/>
        <v>0</v>
      </c>
      <c r="AF87" s="135"/>
      <c r="AH87" s="44">
        <v>120153</v>
      </c>
      <c r="AI87" s="44">
        <v>120150</v>
      </c>
      <c r="AJ87" s="44">
        <v>120158</v>
      </c>
      <c r="AK87" s="44">
        <v>120155</v>
      </c>
      <c r="AL87" s="44">
        <v>120151</v>
      </c>
      <c r="AM87" s="44">
        <v>120157</v>
      </c>
      <c r="AN87" s="44">
        <v>120152</v>
      </c>
      <c r="AO87" s="44">
        <v>120156</v>
      </c>
      <c r="AP87" s="44">
        <v>120159</v>
      </c>
      <c r="AQ87" s="44">
        <v>120154</v>
      </c>
      <c r="AR87" s="119">
        <v>14061028</v>
      </c>
      <c r="AS87" s="512" t="e" vm="2">
        <f t="shared" si="27"/>
        <v>#VALUE!</v>
      </c>
    </row>
    <row r="88" spans="1:45" ht="32.1" customHeight="1">
      <c r="A88" s="93"/>
      <c r="B88" s="76" t="str">
        <f>VLOOKUP(878,Sprachindex!$A:$Z,Info!$O$7,FALSE)</f>
        <v>Stk.</v>
      </c>
      <c r="C88" s="78" t="e" vm="58">
        <v>#VALUE!</v>
      </c>
      <c r="D88" s="75" t="str">
        <f t="shared" si="26"/>
        <v/>
      </c>
      <c r="E88" s="618" t="str">
        <f>VLOOKUP(510,Sprachindex!$A:$Z,Info!$O$7,FALSE)</f>
        <v>Kaminhut (700 × 700 mm)</v>
      </c>
      <c r="F88" s="619"/>
      <c r="G88" s="619"/>
      <c r="H88" s="619"/>
      <c r="I88" s="619"/>
      <c r="J88" s="619"/>
      <c r="K88" s="620"/>
      <c r="L88" s="76" t="str">
        <f t="shared" si="25"/>
        <v/>
      </c>
      <c r="M88" s="161" t="str">
        <f>VLOOKUP(878,Sprachindex!$A:$Z,Info!$O$7,FALSE)</f>
        <v>Stk.</v>
      </c>
      <c r="N88" s="77"/>
      <c r="O88" s="184" t="str">
        <f t="shared" si="17"/>
        <v/>
      </c>
      <c r="P88" s="267"/>
      <c r="Q88" s="5"/>
      <c r="R88" s="182">
        <v>157.28</v>
      </c>
      <c r="S88" s="179"/>
      <c r="T88" s="179"/>
      <c r="U88" s="179"/>
      <c r="V88" s="179"/>
      <c r="W88" s="179"/>
      <c r="X88" s="179"/>
      <c r="Y88" s="179"/>
      <c r="Z88" s="179"/>
      <c r="AA88" s="179"/>
      <c r="AB88" s="179"/>
      <c r="AC88" s="139">
        <f>ROUNDUP($A88,0)</f>
        <v>0</v>
      </c>
      <c r="AD88" s="139">
        <f t="shared" si="28"/>
        <v>0</v>
      </c>
      <c r="AF88" s="135"/>
      <c r="AH88" s="44">
        <v>110423</v>
      </c>
      <c r="AI88" s="44">
        <v>110420</v>
      </c>
      <c r="AJ88" s="44">
        <v>110428</v>
      </c>
      <c r="AK88" s="44">
        <v>110425</v>
      </c>
      <c r="AL88" s="44">
        <v>110421</v>
      </c>
      <c r="AM88" s="44">
        <v>110427</v>
      </c>
      <c r="AN88" s="44">
        <v>110422</v>
      </c>
      <c r="AO88" s="44">
        <v>110426</v>
      </c>
      <c r="AP88" s="44">
        <v>110429</v>
      </c>
      <c r="AQ88" s="44">
        <v>110424</v>
      </c>
      <c r="AR88" s="44">
        <v>15261028</v>
      </c>
      <c r="AS88" s="512" t="e" vm="2">
        <f t="shared" si="27"/>
        <v>#VALUE!</v>
      </c>
    </row>
    <row r="89" spans="1:45" ht="32.1" customHeight="1">
      <c r="A89" s="93"/>
      <c r="B89" s="76" t="str">
        <f>VLOOKUP(878,Sprachindex!$A:$Z,Info!$O$7,FALSE)</f>
        <v>Stk.</v>
      </c>
      <c r="C89" s="78" t="e" vm="59">
        <v>#VALUE!</v>
      </c>
      <c r="D89" s="75" t="str">
        <f t="shared" si="26"/>
        <v/>
      </c>
      <c r="E89" s="618" t="str">
        <f>VLOOKUP(511,Sprachindex!$A:$Z,Info!$O$7,FALSE)</f>
        <v>Kaminhut (800 × 800 mm)</v>
      </c>
      <c r="F89" s="619"/>
      <c r="G89" s="619"/>
      <c r="H89" s="619"/>
      <c r="I89" s="619"/>
      <c r="J89" s="619"/>
      <c r="K89" s="620"/>
      <c r="L89" s="76" t="str">
        <f t="shared" si="25"/>
        <v/>
      </c>
      <c r="M89" s="161" t="str">
        <f>VLOOKUP(878,Sprachindex!$A:$Z,Info!$O$7,FALSE)</f>
        <v>Stk.</v>
      </c>
      <c r="N89" s="77"/>
      <c r="O89" s="184" t="str">
        <f t="shared" si="17"/>
        <v/>
      </c>
      <c r="P89" s="267"/>
      <c r="Q89" s="5"/>
      <c r="R89" s="182">
        <v>169.95</v>
      </c>
      <c r="S89" s="179"/>
      <c r="T89" s="179"/>
      <c r="U89" s="179"/>
      <c r="V89" s="179"/>
      <c r="W89" s="179"/>
      <c r="X89" s="179"/>
      <c r="Y89" s="179"/>
      <c r="Z89" s="179"/>
      <c r="AA89" s="179"/>
      <c r="AB89" s="179"/>
      <c r="AC89" s="139">
        <f>ROUNDUP($A89,0)</f>
        <v>0</v>
      </c>
      <c r="AD89" s="139">
        <f t="shared" si="28"/>
        <v>0</v>
      </c>
      <c r="AF89" s="135"/>
      <c r="AH89" s="44">
        <v>110433</v>
      </c>
      <c r="AI89" s="44">
        <v>110430</v>
      </c>
      <c r="AJ89" s="44">
        <v>110438</v>
      </c>
      <c r="AK89" s="44">
        <v>110435</v>
      </c>
      <c r="AL89" s="44">
        <v>110431</v>
      </c>
      <c r="AM89" s="44">
        <v>110437</v>
      </c>
      <c r="AN89" s="44">
        <v>110432</v>
      </c>
      <c r="AO89" s="44">
        <v>110436</v>
      </c>
      <c r="AP89" s="44">
        <v>110439</v>
      </c>
      <c r="AQ89" s="44">
        <v>110434</v>
      </c>
      <c r="AR89" s="44">
        <v>15271028</v>
      </c>
      <c r="AS89" s="512" t="e" vm="2">
        <f t="shared" si="27"/>
        <v>#VALUE!</v>
      </c>
    </row>
    <row r="90" spans="1:45" ht="32.1" customHeight="1">
      <c r="A90" s="93"/>
      <c r="B90" s="76" t="str">
        <f>VLOOKUP(878,Sprachindex!$A:$Z,Info!$O$7,FALSE)</f>
        <v>Stk.</v>
      </c>
      <c r="C90" s="78" t="e" vm="60">
        <v>#VALUE!</v>
      </c>
      <c r="D90" s="75" t="str">
        <f t="shared" si="26"/>
        <v/>
      </c>
      <c r="E90" s="618" t="str">
        <f>VLOOKUP(507,Sprachindex!$A:$Z,Info!$O$7,FALSE)</f>
        <v>Kaminhut (1.000 × 700 mm)</v>
      </c>
      <c r="F90" s="619"/>
      <c r="G90" s="619"/>
      <c r="H90" s="619"/>
      <c r="I90" s="619"/>
      <c r="J90" s="619"/>
      <c r="K90" s="620"/>
      <c r="L90" s="76" t="str">
        <f t="shared" si="25"/>
        <v/>
      </c>
      <c r="M90" s="161" t="str">
        <f>VLOOKUP(878,Sprachindex!$A:$Z,Info!$O$7,FALSE)</f>
        <v>Stk.</v>
      </c>
      <c r="N90" s="77"/>
      <c r="O90" s="184" t="str">
        <f t="shared" si="17"/>
        <v/>
      </c>
      <c r="P90" s="267"/>
      <c r="Q90" s="5"/>
      <c r="R90" s="182">
        <v>170.57</v>
      </c>
      <c r="S90" s="179"/>
      <c r="T90" s="179"/>
      <c r="U90" s="179"/>
      <c r="V90" s="179"/>
      <c r="W90" s="179"/>
      <c r="X90" s="179"/>
      <c r="Y90" s="179"/>
      <c r="Z90" s="179"/>
      <c r="AA90" s="179"/>
      <c r="AB90" s="179"/>
      <c r="AC90" s="139">
        <f>ROUNDUP($A90,0)</f>
        <v>0</v>
      </c>
      <c r="AD90" s="139">
        <f t="shared" si="28"/>
        <v>0</v>
      </c>
      <c r="AF90" s="135"/>
      <c r="AH90" s="44">
        <v>110443</v>
      </c>
      <c r="AI90" s="44">
        <v>110440</v>
      </c>
      <c r="AJ90" s="44">
        <v>110448</v>
      </c>
      <c r="AK90" s="44">
        <v>110445</v>
      </c>
      <c r="AL90" s="44">
        <v>110441</v>
      </c>
      <c r="AM90" s="44">
        <v>110447</v>
      </c>
      <c r="AN90" s="44">
        <v>110442</v>
      </c>
      <c r="AO90" s="44">
        <v>110446</v>
      </c>
      <c r="AP90" s="44">
        <v>110449</v>
      </c>
      <c r="AQ90" s="44">
        <v>110444</v>
      </c>
      <c r="AR90" s="44">
        <v>15281028</v>
      </c>
      <c r="AS90" s="512" t="e" vm="2">
        <f t="shared" si="27"/>
        <v>#VALUE!</v>
      </c>
    </row>
    <row r="91" spans="1:45" ht="32.1" customHeight="1">
      <c r="A91" s="93"/>
      <c r="B91" s="76" t="str">
        <f>VLOOKUP(878,Sprachindex!$A:$Z,Info!$O$7,FALSE)</f>
        <v>Stk.</v>
      </c>
      <c r="C91" s="78" t="e" vm="61">
        <v>#VALUE!</v>
      </c>
      <c r="D91" s="75" t="str">
        <f t="shared" si="26"/>
        <v/>
      </c>
      <c r="E91" s="618" t="str">
        <f>VLOOKUP(508,Sprachindex!$A:$Z,Info!$O$7,FALSE)</f>
        <v>Kaminhut (1.100 × 800 mm)</v>
      </c>
      <c r="F91" s="619"/>
      <c r="G91" s="619"/>
      <c r="H91" s="619"/>
      <c r="I91" s="619"/>
      <c r="J91" s="619"/>
      <c r="K91" s="620"/>
      <c r="L91" s="76" t="str">
        <f t="shared" si="25"/>
        <v/>
      </c>
      <c r="M91" s="161" t="str">
        <f>VLOOKUP(878,Sprachindex!$A:$Z,Info!$O$7,FALSE)</f>
        <v>Stk.</v>
      </c>
      <c r="N91" s="77"/>
      <c r="O91" s="184" t="str">
        <f t="shared" si="17"/>
        <v/>
      </c>
      <c r="P91" s="267"/>
      <c r="Q91" s="5"/>
      <c r="R91" s="182">
        <v>204.46</v>
      </c>
      <c r="S91" s="179"/>
      <c r="T91" s="179"/>
      <c r="U91" s="179"/>
      <c r="V91" s="179"/>
      <c r="W91" s="179"/>
      <c r="X91" s="179"/>
      <c r="Y91" s="179"/>
      <c r="Z91" s="179"/>
      <c r="AA91" s="179"/>
      <c r="AB91" s="179"/>
      <c r="AC91" s="139">
        <f>ROUNDUP($A91,0)</f>
        <v>0</v>
      </c>
      <c r="AD91" s="139">
        <f t="shared" si="28"/>
        <v>0</v>
      </c>
      <c r="AF91" s="135"/>
      <c r="AH91" s="44">
        <v>110453</v>
      </c>
      <c r="AI91" s="44">
        <v>110450</v>
      </c>
      <c r="AJ91" s="44">
        <v>110458</v>
      </c>
      <c r="AK91" s="44">
        <v>110455</v>
      </c>
      <c r="AL91" s="44">
        <v>110451</v>
      </c>
      <c r="AM91" s="44">
        <v>110457</v>
      </c>
      <c r="AN91" s="44">
        <v>110452</v>
      </c>
      <c r="AO91" s="44">
        <v>110456</v>
      </c>
      <c r="AP91" s="44">
        <v>110459</v>
      </c>
      <c r="AQ91" s="44">
        <v>110454</v>
      </c>
      <c r="AR91" s="44">
        <v>15291028</v>
      </c>
      <c r="AS91" s="512" t="e" vm="2">
        <f t="shared" si="27"/>
        <v>#VALUE!</v>
      </c>
    </row>
    <row r="92" spans="1:45" ht="32.1" customHeight="1">
      <c r="A92" s="93"/>
      <c r="B92" s="76" t="str">
        <f>VLOOKUP(878,Sprachindex!$A:$Z,Info!$O$7,FALSE)</f>
        <v>Stk.</v>
      </c>
      <c r="C92" s="78" t="e" vm="59">
        <v>#VALUE!</v>
      </c>
      <c r="D92" s="75" t="str">
        <f t="shared" si="26"/>
        <v/>
      </c>
      <c r="E92" s="618" t="str">
        <f>VLOOKUP(509,Sprachindex!$A:$Z,Info!$O$7,FALSE)</f>
        <v>Kaminhut (1.500 × 800 mm)</v>
      </c>
      <c r="F92" s="619"/>
      <c r="G92" s="619"/>
      <c r="H92" s="619"/>
      <c r="I92" s="619"/>
      <c r="J92" s="619"/>
      <c r="K92" s="620"/>
      <c r="L92" s="76" t="str">
        <f t="shared" si="25"/>
        <v/>
      </c>
      <c r="M92" s="161" t="str">
        <f>VLOOKUP(878,Sprachindex!$A:$Z,Info!$O$7,FALSE)</f>
        <v>Stk.</v>
      </c>
      <c r="N92" s="77"/>
      <c r="O92" s="184" t="str">
        <f t="shared" si="17"/>
        <v/>
      </c>
      <c r="P92" s="267"/>
      <c r="Q92" s="5"/>
      <c r="R92" s="182">
        <v>279.54000000000002</v>
      </c>
      <c r="S92" s="179"/>
      <c r="T92" s="179"/>
      <c r="U92" s="179"/>
      <c r="V92" s="179"/>
      <c r="W92" s="179"/>
      <c r="X92" s="179"/>
      <c r="Y92" s="179"/>
      <c r="Z92" s="179"/>
      <c r="AA92" s="179"/>
      <c r="AB92" s="179"/>
      <c r="AC92" s="139">
        <f>ROUNDUP($A92,0)</f>
        <v>0</v>
      </c>
      <c r="AD92" s="139">
        <f t="shared" si="28"/>
        <v>0</v>
      </c>
      <c r="AF92" s="135"/>
      <c r="AH92" s="44">
        <v>110463</v>
      </c>
      <c r="AI92" s="44">
        <v>110460</v>
      </c>
      <c r="AJ92" s="44">
        <v>110468</v>
      </c>
      <c r="AK92" s="44">
        <v>110465</v>
      </c>
      <c r="AL92" s="44">
        <v>110461</v>
      </c>
      <c r="AM92" s="44">
        <v>110467</v>
      </c>
      <c r="AN92" s="44">
        <v>110462</v>
      </c>
      <c r="AO92" s="44">
        <v>110466</v>
      </c>
      <c r="AP92" s="44">
        <v>110469</v>
      </c>
      <c r="AQ92" s="44">
        <v>110464</v>
      </c>
      <c r="AR92" s="44">
        <v>15301028</v>
      </c>
      <c r="AS92" s="512" t="e" vm="2">
        <f t="shared" si="27"/>
        <v>#VALUE!</v>
      </c>
    </row>
    <row r="93" spans="1:45" ht="32.1" customHeight="1">
      <c r="A93" s="93"/>
      <c r="B93" s="76" t="str">
        <f>VLOOKUP(878,Sprachindex!$A:$Z,Info!$O$7,FALSE)</f>
        <v>Stk.</v>
      </c>
      <c r="C93" s="78" t="e" vm="62">
        <v>#VALUE!</v>
      </c>
      <c r="D93" s="75" t="str">
        <f t="shared" si="26"/>
        <v/>
      </c>
      <c r="E93" s="618" t="str">
        <f>VLOOKUP(512,Sprachindex!$A:$Z,Info!$O$7,FALSE)</f>
        <v>Kaminstrebe gebogen</v>
      </c>
      <c r="F93" s="619"/>
      <c r="G93" s="619"/>
      <c r="H93" s="619"/>
      <c r="I93" s="619"/>
      <c r="J93" s="619"/>
      <c r="K93" s="620"/>
      <c r="L93" s="76" t="str">
        <f t="shared" si="25"/>
        <v/>
      </c>
      <c r="M93" s="161" t="str">
        <f>VLOOKUP(878,Sprachindex!$A:$Z,Info!$O$7,FALSE)</f>
        <v>Stk.</v>
      </c>
      <c r="N93" s="77"/>
      <c r="O93" s="184" t="str">
        <f t="shared" si="17"/>
        <v/>
      </c>
      <c r="P93" s="267"/>
      <c r="Q93" s="5"/>
      <c r="R93" s="182">
        <v>17.27</v>
      </c>
      <c r="S93" s="179"/>
      <c r="T93" s="179"/>
      <c r="U93" s="179"/>
      <c r="V93" s="179"/>
      <c r="W93" s="179"/>
      <c r="X93" s="179"/>
      <c r="Y93" s="179"/>
      <c r="Z93" s="179"/>
      <c r="AA93" s="179"/>
      <c r="AB93" s="179"/>
      <c r="AC93" s="139">
        <f>ROUNDUP($A93/10,0)*10</f>
        <v>0</v>
      </c>
      <c r="AD93" s="139">
        <f t="shared" si="28"/>
        <v>0</v>
      </c>
      <c r="AF93" s="135"/>
      <c r="AH93" s="44">
        <v>110413</v>
      </c>
      <c r="AI93" s="44">
        <v>110410</v>
      </c>
      <c r="AJ93" s="44">
        <v>110418</v>
      </c>
      <c r="AK93" s="44">
        <v>110415</v>
      </c>
      <c r="AL93" s="44">
        <v>110411</v>
      </c>
      <c r="AM93" s="44">
        <v>110417</v>
      </c>
      <c r="AN93" s="44">
        <v>110412</v>
      </c>
      <c r="AO93" s="44">
        <v>110416</v>
      </c>
      <c r="AP93" s="44">
        <v>110419</v>
      </c>
      <c r="AQ93" s="44">
        <v>110414</v>
      </c>
      <c r="AR93" s="44">
        <v>15331028</v>
      </c>
      <c r="AS93" s="512" t="e" vm="2">
        <f t="shared" si="27"/>
        <v>#VALUE!</v>
      </c>
    </row>
    <row r="94" spans="1:45" ht="32.1" customHeight="1">
      <c r="A94" s="93"/>
      <c r="B94" s="76" t="str">
        <f>VLOOKUP(1512,Sprachindex!$A:$Z,Info!$O$7,FALSE)</f>
        <v>lfm</v>
      </c>
      <c r="C94" s="78" t="e" vm="63">
        <v>#VALUE!</v>
      </c>
      <c r="D94" s="75" t="str">
        <f t="shared" si="26"/>
        <v/>
      </c>
      <c r="E94" s="618" t="str">
        <f>VLOOKUP(402,Sprachindex!$A:$Z,Info!$O$7,FALSE)</f>
        <v>Flachprofil (35 × 7 × 3.000 mm)</v>
      </c>
      <c r="F94" s="619"/>
      <c r="G94" s="619"/>
      <c r="H94" s="619"/>
      <c r="I94" s="619"/>
      <c r="J94" s="619"/>
      <c r="K94" s="620"/>
      <c r="L94" s="76" t="str">
        <f t="shared" si="25"/>
        <v/>
      </c>
      <c r="M94" s="161" t="str">
        <f>VLOOKUP(1512,Sprachindex!$A:$Z,Info!$O$7,FALSE)</f>
        <v>lfm</v>
      </c>
      <c r="N94" s="77"/>
      <c r="O94" s="184" t="str">
        <f t="shared" si="17"/>
        <v/>
      </c>
      <c r="P94" s="267"/>
      <c r="Q94" s="5"/>
      <c r="R94" s="182">
        <v>11.66</v>
      </c>
      <c r="S94" s="179"/>
      <c r="T94" s="179"/>
      <c r="U94" s="179"/>
      <c r="V94" s="179"/>
      <c r="W94" s="179"/>
      <c r="X94" s="179"/>
      <c r="Y94" s="179"/>
      <c r="Z94" s="179"/>
      <c r="AA94" s="179"/>
      <c r="AB94" s="179"/>
      <c r="AC94" s="139">
        <f>ROUNDUP($A94/3,0)*3</f>
        <v>0</v>
      </c>
      <c r="AD94" s="139">
        <f>ROUNDUP($A94/3,0)*3</f>
        <v>0</v>
      </c>
      <c r="AF94" s="135"/>
      <c r="AH94" s="44">
        <v>110403</v>
      </c>
      <c r="AI94" s="44">
        <v>110400</v>
      </c>
      <c r="AJ94" s="44">
        <v>110408</v>
      </c>
      <c r="AK94" s="44">
        <v>110405</v>
      </c>
      <c r="AL94" s="44">
        <v>110401</v>
      </c>
      <c r="AM94" s="44">
        <v>110407</v>
      </c>
      <c r="AN94" s="44">
        <v>110402</v>
      </c>
      <c r="AO94" s="44">
        <v>110406</v>
      </c>
      <c r="AP94" s="111" t="s">
        <v>63</v>
      </c>
      <c r="AQ94" s="44">
        <v>110404</v>
      </c>
      <c r="AR94" s="111">
        <v>15321028</v>
      </c>
      <c r="AS94" s="512" t="e" vm="2">
        <f t="shared" si="27"/>
        <v>#VALUE!</v>
      </c>
    </row>
    <row r="95" spans="1:45" ht="32.1" customHeight="1">
      <c r="A95" s="93"/>
      <c r="B95" s="76" t="str">
        <f>VLOOKUP(878,Sprachindex!$A:$Z,Info!$O$7,FALSE)</f>
        <v>Stk.</v>
      </c>
      <c r="C95" s="78"/>
      <c r="D95" s="75" t="str">
        <f t="shared" si="26"/>
        <v/>
      </c>
      <c r="E95" s="618" t="str">
        <f>VLOOKUP(459,Sprachindex!$A:$Z,Info!$O$7,FALSE)</f>
        <v>Hauerbuckel; zum Abdecken von Befestigungsmitteln</v>
      </c>
      <c r="F95" s="619"/>
      <c r="G95" s="619"/>
      <c r="H95" s="619"/>
      <c r="I95" s="619"/>
      <c r="J95" s="619"/>
      <c r="K95" s="620"/>
      <c r="L95" s="76" t="str">
        <f t="shared" si="25"/>
        <v/>
      </c>
      <c r="M95" s="161" t="str">
        <f>VLOOKUP(878,Sprachindex!$A:$Z,Info!$O$7,FALSE)</f>
        <v>Stk.</v>
      </c>
      <c r="N95" s="77"/>
      <c r="O95" s="184" t="str">
        <f t="shared" si="17"/>
        <v/>
      </c>
      <c r="P95" s="267"/>
      <c r="Q95" s="5"/>
      <c r="R95" s="182">
        <v>2.12</v>
      </c>
      <c r="S95" s="179"/>
      <c r="T95" s="179"/>
      <c r="U95" s="179"/>
      <c r="V95" s="179"/>
      <c r="W95" s="179"/>
      <c r="X95" s="179"/>
      <c r="Y95" s="179"/>
      <c r="Z95" s="179"/>
      <c r="AA95" s="179"/>
      <c r="AB95" s="179"/>
      <c r="AC95" s="139">
        <f>ROUNDUP($A95,0)</f>
        <v>0</v>
      </c>
      <c r="AD95" s="139">
        <f>ROUNDUP($A95,0)</f>
        <v>0</v>
      </c>
      <c r="AF95" s="135"/>
      <c r="AH95" s="44">
        <v>112404</v>
      </c>
      <c r="AI95" s="44">
        <v>112401</v>
      </c>
      <c r="AJ95" s="44">
        <v>112409</v>
      </c>
      <c r="AK95" s="44">
        <v>112406</v>
      </c>
      <c r="AL95" s="44">
        <v>112402</v>
      </c>
      <c r="AM95" s="44">
        <v>112408</v>
      </c>
      <c r="AN95" s="44">
        <v>112403</v>
      </c>
      <c r="AO95" s="44">
        <v>112407</v>
      </c>
      <c r="AP95" s="44">
        <v>112410</v>
      </c>
      <c r="AQ95" s="44">
        <v>112405</v>
      </c>
      <c r="AR95" s="44">
        <v>58581028</v>
      </c>
      <c r="AS95" s="512" t="e" vm="2">
        <f t="shared" si="27"/>
        <v>#VALUE!</v>
      </c>
    </row>
    <row r="96" spans="1:45" ht="32.1" customHeight="1">
      <c r="A96" s="93"/>
      <c r="B96" s="76" t="s">
        <v>31</v>
      </c>
      <c r="C96" s="78" t="e" vm="65">
        <v>#VALUE!</v>
      </c>
      <c r="D96" s="75">
        <v>340404</v>
      </c>
      <c r="E96" s="618" t="str">
        <f>VLOOKUP(1422,Sprachindex!$A:$Z,Info!$O$7,FALSE)</f>
        <v>Dachleitungshalter für Blitzschutzdraht</v>
      </c>
      <c r="F96" s="619"/>
      <c r="G96" s="619"/>
      <c r="H96" s="619"/>
      <c r="I96" s="619"/>
      <c r="J96" s="619"/>
      <c r="K96" s="620"/>
      <c r="L96" s="76" t="str">
        <f t="shared" si="25"/>
        <v/>
      </c>
      <c r="M96" s="161" t="s">
        <v>31</v>
      </c>
      <c r="N96" s="77"/>
      <c r="O96" s="184" t="str">
        <f t="shared" si="17"/>
        <v/>
      </c>
      <c r="P96" s="267"/>
      <c r="Q96" s="5"/>
      <c r="R96" s="182">
        <v>7.37</v>
      </c>
      <c r="S96" s="179"/>
      <c r="T96" s="179"/>
      <c r="U96" s="179"/>
      <c r="V96" s="179"/>
      <c r="W96" s="179"/>
      <c r="X96" s="179"/>
      <c r="Y96" s="179"/>
      <c r="Z96" s="179"/>
      <c r="AA96" s="179"/>
      <c r="AB96" s="179"/>
      <c r="AC96" s="139">
        <f>ROUNDUP($A96/50,0)*50</f>
        <v>0</v>
      </c>
      <c r="AD96" s="139">
        <f t="shared" ref="AD96:AD104" si="29">ROUNDUP($A96,0)</f>
        <v>0</v>
      </c>
      <c r="AF96" s="135"/>
      <c r="AH96" s="119"/>
      <c r="AI96" s="119"/>
      <c r="AJ96" s="119"/>
      <c r="AK96" s="119"/>
      <c r="AL96" s="119"/>
      <c r="AM96" s="119"/>
      <c r="AN96" s="119"/>
      <c r="AO96" s="119"/>
      <c r="AP96" s="119"/>
      <c r="AQ96" s="119"/>
      <c r="AR96" s="119"/>
      <c r="AS96" s="547"/>
    </row>
    <row r="97" spans="1:57" ht="32.1" customHeight="1">
      <c r="A97" s="93"/>
      <c r="B97" s="76" t="str">
        <f>VLOOKUP(878,Sprachindex!$A:$Z,Info!$O$7,FALSE)</f>
        <v>Stk.</v>
      </c>
      <c r="C97" s="75" t="e" vm="66">
        <v>#VALUE!</v>
      </c>
      <c r="D97" s="75">
        <v>420501</v>
      </c>
      <c r="E97" s="654" t="str">
        <f>VLOOKUP(851,Sprachindex!$A:$Z,Info!$O$7,FALSE)</f>
        <v>Spezialkleber</v>
      </c>
      <c r="F97" s="655"/>
      <c r="G97" s="655"/>
      <c r="H97" s="655"/>
      <c r="I97" s="655"/>
      <c r="J97" s="655"/>
      <c r="K97" s="656"/>
      <c r="L97" s="76" t="str">
        <f t="shared" si="25"/>
        <v/>
      </c>
      <c r="M97" s="161" t="str">
        <f>VLOOKUP(878,Sprachindex!$A:$Z,Info!$O$7,FALSE)</f>
        <v>Stk.</v>
      </c>
      <c r="N97" s="77"/>
      <c r="O97" s="184" t="str">
        <f t="shared" si="17"/>
        <v/>
      </c>
      <c r="P97" s="267"/>
      <c r="Q97" s="5"/>
      <c r="R97" s="182">
        <v>40.299999999999997</v>
      </c>
      <c r="S97" s="179"/>
      <c r="T97" s="179"/>
      <c r="U97" s="179"/>
      <c r="V97" s="179"/>
      <c r="W97" s="179"/>
      <c r="X97" s="179"/>
      <c r="Y97" s="179"/>
      <c r="Z97" s="179"/>
      <c r="AA97" s="179"/>
      <c r="AB97" s="179"/>
      <c r="AC97" s="139">
        <f>ROUNDUP($A97/24,0)*24</f>
        <v>0</v>
      </c>
      <c r="AD97" s="139">
        <f t="shared" si="29"/>
        <v>0</v>
      </c>
      <c r="AF97" s="140"/>
      <c r="AS97" s="20"/>
    </row>
    <row r="98" spans="1:57" ht="32.1" customHeight="1">
      <c r="A98" s="93"/>
      <c r="B98" s="76" t="str">
        <f>VLOOKUP(821,Sprachindex!$A:$Z,Info!$O$7,FALSE)</f>
        <v>Set</v>
      </c>
      <c r="C98" s="75" t="e" vm="67">
        <v>#VALUE!</v>
      </c>
      <c r="D98" s="75">
        <v>420500</v>
      </c>
      <c r="E98" s="618" t="str">
        <f>VLOOKUP(852,Sprachindex!$A:$Z,Info!$O$7,FALSE)</f>
        <v>Spezialkleberset</v>
      </c>
      <c r="F98" s="619"/>
      <c r="G98" s="619"/>
      <c r="H98" s="619"/>
      <c r="I98" s="619"/>
      <c r="J98" s="619"/>
      <c r="K98" s="620"/>
      <c r="L98" s="76" t="str">
        <f t="shared" si="25"/>
        <v/>
      </c>
      <c r="M98" s="161" t="str">
        <f>VLOOKUP(821,Sprachindex!$A:$Z,Info!$O$7,FALSE)</f>
        <v>Set</v>
      </c>
      <c r="N98" s="77"/>
      <c r="O98" s="184" t="str">
        <f t="shared" si="17"/>
        <v/>
      </c>
      <c r="P98" s="267"/>
      <c r="Q98" s="5"/>
      <c r="R98" s="182">
        <v>55.18</v>
      </c>
      <c r="S98" s="179"/>
      <c r="T98" s="179"/>
      <c r="U98" s="179"/>
      <c r="V98" s="179"/>
      <c r="W98" s="179"/>
      <c r="X98" s="179"/>
      <c r="Y98" s="179"/>
      <c r="Z98" s="179"/>
      <c r="AA98" s="179"/>
      <c r="AB98" s="179"/>
      <c r="AC98" s="139">
        <f t="shared" ref="AC98:AC102" si="30">ROUNDUP($A98,0)</f>
        <v>0</v>
      </c>
      <c r="AD98" s="139">
        <f t="shared" si="29"/>
        <v>0</v>
      </c>
      <c r="AF98" s="135"/>
      <c r="AH98" s="47" t="s">
        <v>35</v>
      </c>
      <c r="AI98" s="47" t="s">
        <v>32</v>
      </c>
      <c r="AJ98" s="47" t="s">
        <v>40</v>
      </c>
      <c r="AK98" s="47" t="s">
        <v>37</v>
      </c>
      <c r="AL98" s="47" t="s">
        <v>33</v>
      </c>
      <c r="AM98" s="47" t="s">
        <v>39</v>
      </c>
      <c r="AN98" s="47" t="s">
        <v>34</v>
      </c>
      <c r="AO98" s="47" t="s">
        <v>38</v>
      </c>
      <c r="AP98" s="47" t="s">
        <v>41</v>
      </c>
      <c r="AQ98" s="47" t="s">
        <v>36</v>
      </c>
      <c r="AR98" s="439" t="s">
        <v>38962</v>
      </c>
      <c r="AS98" s="20"/>
      <c r="AT98" s="149" t="s">
        <v>35</v>
      </c>
      <c r="AU98" s="47" t="s">
        <v>32</v>
      </c>
      <c r="AV98" s="47" t="s">
        <v>40</v>
      </c>
      <c r="AW98" s="47" t="s">
        <v>37</v>
      </c>
      <c r="AX98" s="47" t="s">
        <v>33</v>
      </c>
      <c r="AY98" s="47" t="s">
        <v>39</v>
      </c>
      <c r="AZ98" s="47" t="s">
        <v>34</v>
      </c>
      <c r="BA98" s="47" t="s">
        <v>38</v>
      </c>
      <c r="BB98" s="47" t="s">
        <v>41</v>
      </c>
      <c r="BC98" s="47" t="s">
        <v>36</v>
      </c>
      <c r="BD98" s="47" t="s">
        <v>38962</v>
      </c>
    </row>
    <row r="99" spans="1:57" ht="32.1" customHeight="1">
      <c r="A99" s="93"/>
      <c r="B99" s="76" t="str">
        <f>VLOOKUP(878,Sprachindex!$A:$Z,Info!$O$7,FALSE)</f>
        <v>Stk.</v>
      </c>
      <c r="C99" s="78" t="e" vm="70">
        <v>#VALUE!</v>
      </c>
      <c r="D99" s="75">
        <v>340415</v>
      </c>
      <c r="E99" s="618" t="str">
        <f>VLOOKUP(184,Sprachindex!$A:$Z,Info!$O$7,FALSE)</f>
        <v>Aufsparrenschraubenpaket</v>
      </c>
      <c r="F99" s="619"/>
      <c r="G99" s="619"/>
      <c r="H99" s="619"/>
      <c r="I99" s="619"/>
      <c r="J99" s="619"/>
      <c r="K99" s="620"/>
      <c r="L99" s="76" t="str">
        <f>IF($A99=0,"",IF($P$11=1,AC99,AD99))</f>
        <v/>
      </c>
      <c r="M99" s="161" t="str">
        <f>VLOOKUP(878,Sprachindex!$A:$Z,Info!$O$7,FALSE)</f>
        <v>Stk.</v>
      </c>
      <c r="N99" s="77"/>
      <c r="O99" s="184" t="str">
        <f t="shared" si="17"/>
        <v/>
      </c>
      <c r="P99" s="267"/>
      <c r="Q99" s="5"/>
      <c r="R99" s="182">
        <v>26.8</v>
      </c>
      <c r="S99" s="179"/>
      <c r="T99" s="179"/>
      <c r="U99" s="179"/>
      <c r="V99" s="179"/>
      <c r="W99" s="179"/>
      <c r="X99" s="179"/>
      <c r="Y99" s="179"/>
      <c r="Z99" s="179"/>
      <c r="AA99" s="179"/>
      <c r="AB99" s="179"/>
      <c r="AC99" s="139">
        <f t="shared" si="30"/>
        <v>0</v>
      </c>
      <c r="AD99" s="139">
        <f t="shared" si="29"/>
        <v>0</v>
      </c>
      <c r="AF99" s="135"/>
      <c r="AS99" s="20"/>
    </row>
    <row r="100" spans="1:57" ht="32.1" customHeight="1">
      <c r="A100" s="93"/>
      <c r="B100" s="76" t="str">
        <f>VLOOKUP(878,Sprachindex!$A:$Z,Info!$O$7,FALSE)</f>
        <v>Stk.</v>
      </c>
      <c r="C100" s="78" t="e" vm="71">
        <v>#VALUE!</v>
      </c>
      <c r="D100" s="75">
        <v>340416</v>
      </c>
      <c r="E100" s="618" t="str">
        <f>VLOOKUP(183,Sprachindex!$A:$Z,Info!$O$7,FALSE)</f>
        <v>Aufsparrenmontagepaket</v>
      </c>
      <c r="F100" s="619"/>
      <c r="G100" s="619"/>
      <c r="H100" s="619"/>
      <c r="I100" s="619"/>
      <c r="J100" s="619"/>
      <c r="K100" s="620"/>
      <c r="L100" s="76" t="str">
        <f>IF($A100=0,"",IF($P$11=1,AC100,AD100))</f>
        <v/>
      </c>
      <c r="M100" s="161" t="str">
        <f>VLOOKUP(878,Sprachindex!$A:$Z,Info!$O$7,FALSE)</f>
        <v>Stk.</v>
      </c>
      <c r="N100" s="77"/>
      <c r="O100" s="184" t="str">
        <f t="shared" si="17"/>
        <v/>
      </c>
      <c r="P100" s="267"/>
      <c r="Q100" s="5"/>
      <c r="R100" s="182">
        <v>44.93</v>
      </c>
      <c r="S100" s="179"/>
      <c r="T100" s="179"/>
      <c r="U100" s="179"/>
      <c r="V100" s="179"/>
      <c r="W100" s="179"/>
      <c r="X100" s="179"/>
      <c r="Y100" s="179"/>
      <c r="Z100" s="179"/>
      <c r="AA100" s="179"/>
      <c r="AB100" s="179"/>
      <c r="AC100" s="139">
        <f t="shared" si="30"/>
        <v>0</v>
      </c>
      <c r="AD100" s="139">
        <f t="shared" si="29"/>
        <v>0</v>
      </c>
      <c r="AF100" s="135"/>
      <c r="AS100" s="20"/>
    </row>
    <row r="101" spans="1:57" ht="32.1" customHeight="1">
      <c r="A101" s="93"/>
      <c r="B101" s="76" t="str">
        <f>VLOOKUP(878,Sprachindex!$A:$Z,Info!$O$7,FALSE)</f>
        <v>Stk.</v>
      </c>
      <c r="C101" s="78" t="e" vm="72">
        <v>#VALUE!</v>
      </c>
      <c r="D101" s="75">
        <v>119008</v>
      </c>
      <c r="E101" s="618" t="str">
        <f>VLOOKUP(2237,Sprachindex!$A:$Z,Info!$O$7,FALSE) &amp; " (" &amp; VLOOKUP(2668,Sprachindex!$A:$Z,Info!$O$7,FALSE) &amp; ")"</f>
        <v>Taurus-BEF-10 auf Fußteilen (P.10 Schwarz)</v>
      </c>
      <c r="F101" s="619"/>
      <c r="G101" s="619"/>
      <c r="H101" s="619"/>
      <c r="I101" s="619"/>
      <c r="J101" s="619"/>
      <c r="K101" s="620"/>
      <c r="L101" s="76" t="str">
        <f>IF($A101=0,"",IF($P$11=1,AC101,AD101))</f>
        <v/>
      </c>
      <c r="M101" s="161" t="str">
        <f>VLOOKUP(878,Sprachindex!$A:$Z,Info!$O$7,FALSE)</f>
        <v>Stk.</v>
      </c>
      <c r="N101" s="77"/>
      <c r="O101" s="184" t="str">
        <f t="shared" si="17"/>
        <v/>
      </c>
      <c r="P101" s="267"/>
      <c r="Q101" s="5"/>
      <c r="R101" s="182">
        <v>142.76</v>
      </c>
      <c r="S101" s="179"/>
      <c r="T101" s="179"/>
      <c r="U101" s="179"/>
      <c r="V101" s="179"/>
      <c r="W101" s="179"/>
      <c r="X101" s="179"/>
      <c r="Y101" s="179"/>
      <c r="Z101" s="179"/>
      <c r="AA101" s="179"/>
      <c r="AB101" s="179"/>
      <c r="AC101" s="139">
        <f t="shared" si="30"/>
        <v>0</v>
      </c>
      <c r="AD101" s="139">
        <f t="shared" si="29"/>
        <v>0</v>
      </c>
      <c r="AF101" s="135"/>
      <c r="AS101" s="20"/>
    </row>
    <row r="102" spans="1:57" ht="32.1" customHeight="1">
      <c r="A102" s="93"/>
      <c r="B102" s="76" t="str">
        <f>VLOOKUP(878,Sprachindex!$A:$Z,Info!$O$7,FALSE)</f>
        <v>Stk.</v>
      </c>
      <c r="C102" s="78" t="e" vm="73">
        <v>#VALUE!</v>
      </c>
      <c r="D102" s="75">
        <v>120268</v>
      </c>
      <c r="E102" s="618" t="str">
        <f>VLOOKUP(2238,Sprachindex!$A:$Z,Info!$O$7,FALSE) &amp; " (" &amp; VLOOKUP(2668,Sprachindex!$A:$Z,Info!$O$7,FALSE) &amp; ")"</f>
        <v>Einzelanschlagspunkt auf Fußteilen (P.10 Schwarz)</v>
      </c>
      <c r="F102" s="619"/>
      <c r="G102" s="619"/>
      <c r="H102" s="619"/>
      <c r="I102" s="619"/>
      <c r="J102" s="619"/>
      <c r="K102" s="620"/>
      <c r="L102" s="76" t="str">
        <f>IF($A102=0,"",IF($P$11=1,AC102,AD102))</f>
        <v/>
      </c>
      <c r="M102" s="161" t="str">
        <f>VLOOKUP(878,Sprachindex!$A:$Z,Info!$O$7,FALSE)</f>
        <v>Stk.</v>
      </c>
      <c r="N102" s="77"/>
      <c r="O102" s="184" t="str">
        <f t="shared" si="17"/>
        <v/>
      </c>
      <c r="P102" s="267"/>
      <c r="Q102" s="5"/>
      <c r="R102" s="182">
        <v>139.66999999999999</v>
      </c>
      <c r="S102" s="179"/>
      <c r="T102" s="179"/>
      <c r="U102" s="179"/>
      <c r="V102" s="179"/>
      <c r="W102" s="179"/>
      <c r="X102" s="179"/>
      <c r="Y102" s="179"/>
      <c r="Z102" s="179"/>
      <c r="AA102" s="179"/>
      <c r="AB102" s="179"/>
      <c r="AC102" s="139">
        <f t="shared" si="30"/>
        <v>0</v>
      </c>
      <c r="AD102" s="139">
        <f t="shared" si="29"/>
        <v>0</v>
      </c>
      <c r="AF102" s="135"/>
      <c r="AH102" s="464" t="s">
        <v>5067</v>
      </c>
      <c r="AI102" s="464" t="s">
        <v>9960</v>
      </c>
      <c r="AJ102" s="464" t="s">
        <v>28580</v>
      </c>
      <c r="AK102" s="464" t="s">
        <v>39129</v>
      </c>
      <c r="AS102" s="20"/>
    </row>
    <row r="103" spans="1:57" ht="32.1" customHeight="1">
      <c r="A103" s="93"/>
      <c r="B103" s="76" t="str">
        <f>VLOOKUP(531,Sprachindex!$A:$Z,Info!$O$7,FALSE)</f>
        <v>kg</v>
      </c>
      <c r="C103" s="78" t="e" vm="74">
        <v>#VALUE!</v>
      </c>
      <c r="D103" s="75" t="str" cm="1">
        <f t="array" ref="D103">_xlfn.IFS(I103=Formeln!$A$107,AI103,I103=Formeln!$A$108,AH103,I103=Formeln!$A$109,AK103,I103=Formeln!$A$110,AJ103,TRUE,"")</f>
        <v/>
      </c>
      <c r="E103" s="618" t="str">
        <f>VLOOKUP(583,Sprachindex!$A:$Z,Info!$O$7,FALSE)</f>
        <v>Lochblech (⌀ 5 mm) ca. 24 kg/Rolle (0,7 × 1.000 mm)</v>
      </c>
      <c r="F103" s="619"/>
      <c r="G103" s="619"/>
      <c r="H103" s="647"/>
      <c r="I103" s="624"/>
      <c r="J103" s="625"/>
      <c r="K103" s="626"/>
      <c r="L103" s="76" t="str">
        <f>IF($A103=0,"",IF($I103=Formeln!$A$106," ",IF($P$11=1,AC103,AD103)))</f>
        <v/>
      </c>
      <c r="M103" s="161" t="str">
        <f>VLOOKUP(531,Sprachindex!$A:$Z,Info!$O$7,FALSE)</f>
        <v>kg</v>
      </c>
      <c r="N103" s="77"/>
      <c r="O103" s="204" t="str">
        <f t="shared" si="17"/>
        <v/>
      </c>
      <c r="P103" s="267"/>
      <c r="Q103" s="5"/>
      <c r="R103" s="182">
        <v>0</v>
      </c>
      <c r="S103" s="179"/>
      <c r="T103" s="179"/>
      <c r="U103" s="179"/>
      <c r="V103" s="179"/>
      <c r="W103" s="179"/>
      <c r="X103" s="179"/>
      <c r="Y103" s="179"/>
      <c r="Z103" s="179"/>
      <c r="AA103" s="179"/>
      <c r="AB103" s="179"/>
      <c r="AC103" s="139">
        <f>ROUNDUP($A103/24,0)*24</f>
        <v>0</v>
      </c>
      <c r="AD103" s="139">
        <f t="shared" si="29"/>
        <v>0</v>
      </c>
      <c r="AF103" s="141" t="str">
        <f>IF(A103&gt;24, Formeln!$A$119, Formeln!$A$118)</f>
        <v>Rolle</v>
      </c>
      <c r="AH103" s="44">
        <v>507202</v>
      </c>
      <c r="AI103" s="44">
        <v>507206</v>
      </c>
      <c r="AJ103" s="44">
        <v>507205</v>
      </c>
      <c r="AK103" s="163">
        <v>507203</v>
      </c>
      <c r="AL103" s="559"/>
      <c r="AS103" s="510"/>
    </row>
    <row r="104" spans="1:57" ht="32.1" customHeight="1">
      <c r="A104" s="93"/>
      <c r="B104" s="76" t="str">
        <f>VLOOKUP(531,Sprachindex!$A:$Z,Info!$O$7,FALSE)</f>
        <v>kg</v>
      </c>
      <c r="C104" s="78" t="e" vm="75">
        <v>#VALUE!</v>
      </c>
      <c r="D104" s="75" t="str">
        <f>IF($P$9=1,BE104,IF($P$9=2,AS104,""))</f>
        <v/>
      </c>
      <c r="E104" s="618" t="str">
        <f>VLOOKUP(669,Sprachindex!$A:$Z,Info!$O$7,FALSE)</f>
        <v>PREFALZ Ergänzungsband; 0,7 × 1.000 mm (für Zusatzverblechungen)</v>
      </c>
      <c r="F104" s="619"/>
      <c r="G104" s="619"/>
      <c r="H104" s="619"/>
      <c r="I104" s="619"/>
      <c r="J104" s="619"/>
      <c r="K104" s="620"/>
      <c r="L104" s="76" t="str">
        <f>IF(A104=0,"",IF($P$11=1,AC104,AD104))</f>
        <v/>
      </c>
      <c r="M104" s="161" t="str">
        <f>VLOOKUP(531,Sprachindex!$A:$Z,Info!$O$7,FALSE)</f>
        <v>kg</v>
      </c>
      <c r="N104" s="77"/>
      <c r="O104" s="204" t="str">
        <f t="shared" si="17"/>
        <v/>
      </c>
      <c r="P104" s="267"/>
      <c r="Q104" s="5"/>
      <c r="R104" s="182">
        <v>0</v>
      </c>
      <c r="S104" s="179"/>
      <c r="T104" s="179"/>
      <c r="U104" s="179"/>
      <c r="V104" s="179"/>
      <c r="W104" s="179"/>
      <c r="X104" s="179"/>
      <c r="Y104" s="179"/>
      <c r="Z104" s="179"/>
      <c r="AA104" s="179"/>
      <c r="AB104" s="179"/>
      <c r="AC104" s="151">
        <f>ROUNDUP($A104/30,0)*30</f>
        <v>0</v>
      </c>
      <c r="AD104" s="151">
        <f t="shared" si="29"/>
        <v>0</v>
      </c>
      <c r="AF104" s="141" t="str">
        <f>IF(A104&gt;60, Formeln!$A$119, Formeln!$A$118)</f>
        <v>Rolle</v>
      </c>
      <c r="AH104" s="545" t="s">
        <v>85</v>
      </c>
      <c r="AI104" s="433" t="s">
        <v>65</v>
      </c>
      <c r="AJ104" s="433" t="s">
        <v>72</v>
      </c>
      <c r="AK104" s="433" t="s">
        <v>69</v>
      </c>
      <c r="AL104" s="433" t="s">
        <v>66</v>
      </c>
      <c r="AM104" s="433" t="s">
        <v>71</v>
      </c>
      <c r="AN104" s="433" t="s">
        <v>67</v>
      </c>
      <c r="AO104" s="433" t="s">
        <v>70</v>
      </c>
      <c r="AP104" s="433" t="s">
        <v>73</v>
      </c>
      <c r="AQ104" s="433" t="s">
        <v>68</v>
      </c>
      <c r="AR104" s="545" t="s">
        <v>277</v>
      </c>
      <c r="AS104" s="512" t="e" vm="2">
        <f>VLOOKUP(AH104,AH104:AR104,$P$21,FALSE)</f>
        <v>#VALUE!</v>
      </c>
      <c r="AT104" s="432" t="s">
        <v>77</v>
      </c>
      <c r="AU104" s="432" t="s">
        <v>74</v>
      </c>
      <c r="AV104" s="432" t="s">
        <v>82</v>
      </c>
      <c r="AW104" s="432" t="s">
        <v>79</v>
      </c>
      <c r="AX104" s="432" t="s">
        <v>75</v>
      </c>
      <c r="AY104" s="432" t="s">
        <v>81</v>
      </c>
      <c r="AZ104" s="432" t="s">
        <v>76</v>
      </c>
      <c r="BA104" s="432" t="s">
        <v>80</v>
      </c>
      <c r="BB104" s="432" t="s">
        <v>83</v>
      </c>
      <c r="BC104" s="432" t="s">
        <v>78</v>
      </c>
      <c r="BD104" s="546" t="s">
        <v>293</v>
      </c>
      <c r="BE104" s="512" t="e" vm="2">
        <f>VLOOKUP(AT104,AT104:BD104,$P$21,FALSE)</f>
        <v>#VALUE!</v>
      </c>
    </row>
    <row r="105" spans="1:57" ht="32.1" customHeight="1">
      <c r="A105" s="93"/>
      <c r="B105" s="98"/>
      <c r="C105" s="98"/>
      <c r="D105" s="98"/>
      <c r="E105" s="648"/>
      <c r="F105" s="649"/>
      <c r="G105" s="649"/>
      <c r="H105" s="649"/>
      <c r="I105" s="649"/>
      <c r="J105" s="649"/>
      <c r="K105" s="650"/>
      <c r="L105" s="98"/>
      <c r="M105" s="399"/>
      <c r="N105" s="412"/>
      <c r="O105" s="5"/>
      <c r="P105" s="5"/>
      <c r="Q105" s="5"/>
      <c r="R105" s="5"/>
      <c r="S105" s="5"/>
      <c r="T105" s="5"/>
      <c r="U105" s="5"/>
      <c r="V105" s="5"/>
      <c r="W105" s="5"/>
      <c r="X105" s="5"/>
      <c r="Y105" s="5"/>
      <c r="AB105" s="1"/>
      <c r="AC105" s="8"/>
      <c r="AD105" s="8"/>
      <c r="AH105" s="47" t="s">
        <v>32</v>
      </c>
      <c r="AI105" s="47" t="s">
        <v>33</v>
      </c>
      <c r="AJ105" s="47" t="s">
        <v>34</v>
      </c>
      <c r="AK105" s="47" t="s">
        <v>35</v>
      </c>
      <c r="AL105" s="47" t="s">
        <v>36</v>
      </c>
      <c r="AM105" s="47" t="s">
        <v>37</v>
      </c>
      <c r="AN105" s="47" t="s">
        <v>38</v>
      </c>
      <c r="AO105" s="47" t="s">
        <v>39</v>
      </c>
      <c r="AP105" s="47" t="s">
        <v>40</v>
      </c>
      <c r="AQ105" s="47" t="s">
        <v>41</v>
      </c>
      <c r="AR105" s="47" t="s">
        <v>32</v>
      </c>
      <c r="AS105" s="47" t="s">
        <v>33</v>
      </c>
      <c r="AT105" s="47" t="s">
        <v>34</v>
      </c>
      <c r="AU105" s="47" t="s">
        <v>35</v>
      </c>
      <c r="AV105" s="47" t="s">
        <v>36</v>
      </c>
      <c r="AW105" s="47" t="s">
        <v>37</v>
      </c>
      <c r="AX105" s="47" t="s">
        <v>38</v>
      </c>
      <c r="AY105" s="47" t="s">
        <v>39</v>
      </c>
      <c r="AZ105" s="47" t="s">
        <v>40</v>
      </c>
      <c r="BA105" s="47" t="s">
        <v>41</v>
      </c>
    </row>
    <row r="106" spans="1:57" ht="32.1" customHeight="1">
      <c r="A106" s="93"/>
      <c r="B106" s="98"/>
      <c r="C106" s="98"/>
      <c r="D106" s="98"/>
      <c r="E106" s="648"/>
      <c r="F106" s="649"/>
      <c r="G106" s="649"/>
      <c r="H106" s="649"/>
      <c r="I106" s="649"/>
      <c r="J106" s="649"/>
      <c r="K106" s="650"/>
      <c r="L106" s="98"/>
      <c r="M106" s="399"/>
      <c r="N106" s="412"/>
      <c r="O106" s="5"/>
      <c r="P106" s="5"/>
      <c r="Q106" s="5"/>
      <c r="R106" s="5"/>
      <c r="S106" s="5"/>
      <c r="T106" s="5"/>
      <c r="U106" s="5"/>
      <c r="V106" s="5"/>
      <c r="W106" s="5"/>
      <c r="X106" s="5"/>
      <c r="Y106" s="5"/>
      <c r="AB106" s="1"/>
      <c r="AC106" s="8"/>
      <c r="AD106" s="8"/>
    </row>
    <row r="107" spans="1:57" ht="32.1" customHeight="1" thickBot="1">
      <c r="A107" s="143"/>
      <c r="B107" s="144"/>
      <c r="C107" s="144"/>
      <c r="D107" s="144"/>
      <c r="E107" s="651"/>
      <c r="F107" s="652"/>
      <c r="G107" s="652"/>
      <c r="H107" s="652"/>
      <c r="I107" s="652"/>
      <c r="J107" s="652"/>
      <c r="K107" s="653"/>
      <c r="L107" s="144"/>
      <c r="M107" s="400"/>
      <c r="N107" s="413"/>
      <c r="O107" s="5"/>
      <c r="P107" s="5"/>
      <c r="Q107" s="5"/>
      <c r="R107" s="5"/>
      <c r="S107" s="5"/>
      <c r="T107" s="5"/>
      <c r="U107" s="5"/>
      <c r="V107" s="5"/>
      <c r="W107" s="5"/>
      <c r="X107" s="5"/>
      <c r="Y107" s="5"/>
      <c r="AB107" s="1"/>
      <c r="AC107" s="8"/>
      <c r="AD107" s="8"/>
    </row>
    <row r="108" spans="1:57" ht="15" customHeight="1">
      <c r="A108" s="67"/>
      <c r="B108" s="67"/>
      <c r="C108" s="67"/>
      <c r="D108" s="641"/>
      <c r="E108" s="641"/>
      <c r="F108" s="641"/>
      <c r="G108" s="641"/>
      <c r="H108" s="641"/>
      <c r="I108" s="641"/>
      <c r="J108" s="641"/>
      <c r="K108" s="641"/>
      <c r="L108" s="641"/>
      <c r="M108" s="641"/>
      <c r="N108" s="641"/>
      <c r="O108"/>
      <c r="P108"/>
      <c r="Q108"/>
      <c r="R108" s="5"/>
      <c r="S108"/>
      <c r="T108"/>
      <c r="U108"/>
      <c r="V108"/>
      <c r="W108"/>
      <c r="X108"/>
      <c r="Y108"/>
    </row>
    <row r="109" spans="1:57" ht="17.399999999999999">
      <c r="A109" s="67"/>
      <c r="B109" s="67"/>
      <c r="C109" s="84" t="str">
        <f>VLOOKUP(1035,Sprachindex!$A:$Z,Info!$O$7,FALSE)</f>
        <v>Zusatzvermerk:</v>
      </c>
      <c r="D109" s="642"/>
      <c r="E109" s="642"/>
      <c r="F109" s="642"/>
      <c r="G109" s="642"/>
      <c r="H109" s="642"/>
      <c r="I109" s="642"/>
      <c r="J109" s="642"/>
      <c r="K109" s="642"/>
      <c r="L109" s="642"/>
      <c r="M109" s="642"/>
      <c r="N109" s="642"/>
      <c r="O109" s="180">
        <f>SUM(O31:O107)</f>
        <v>0</v>
      </c>
      <c r="P109" s="186"/>
      <c r="Q109" s="186"/>
      <c r="R109" s="186"/>
      <c r="S109" s="186"/>
      <c r="T109" s="186"/>
      <c r="U109" s="186"/>
      <c r="V109" s="186"/>
      <c r="W109" s="186"/>
      <c r="X109" s="186"/>
      <c r="Y109" s="186"/>
    </row>
    <row r="110" spans="1:57" ht="17.399999999999999">
      <c r="A110" s="67"/>
      <c r="B110" s="67"/>
      <c r="C110" s="67"/>
      <c r="D110" s="643"/>
      <c r="E110" s="643"/>
      <c r="F110" s="643"/>
      <c r="G110" s="643"/>
      <c r="H110" s="643"/>
      <c r="I110" s="643"/>
      <c r="J110" s="643"/>
      <c r="K110" s="643"/>
      <c r="L110" s="643"/>
      <c r="M110" s="643"/>
      <c r="N110" s="643"/>
      <c r="O110" s="186"/>
      <c r="P110" s="186"/>
      <c r="Q110" s="186"/>
      <c r="R110" s="186"/>
      <c r="S110" s="186"/>
      <c r="T110" s="186"/>
      <c r="U110" s="186"/>
      <c r="V110" s="186"/>
      <c r="W110" s="186"/>
      <c r="X110" s="186"/>
      <c r="Y110" s="186"/>
    </row>
    <row r="111" spans="1:57" ht="17.399999999999999">
      <c r="A111" s="67"/>
      <c r="B111" s="67"/>
      <c r="C111" s="67"/>
      <c r="D111" s="642"/>
      <c r="E111" s="642"/>
      <c r="F111" s="642"/>
      <c r="G111" s="642"/>
      <c r="H111" s="642"/>
      <c r="I111" s="642"/>
      <c r="J111" s="642"/>
      <c r="K111" s="642"/>
      <c r="L111" s="642"/>
      <c r="M111" s="642"/>
      <c r="N111" s="642"/>
      <c r="O111" s="186"/>
      <c r="P111" s="186"/>
      <c r="Q111" s="186"/>
      <c r="R111" s="186"/>
      <c r="S111" s="186"/>
      <c r="T111" s="186"/>
      <c r="U111" s="186"/>
      <c r="V111" s="186"/>
      <c r="W111" s="186"/>
      <c r="X111" s="186"/>
      <c r="Y111" s="186"/>
    </row>
    <row r="112" spans="1:57" ht="17.399999999999999">
      <c r="A112" s="67"/>
      <c r="B112" s="67"/>
      <c r="C112" s="67"/>
      <c r="D112" s="643"/>
      <c r="E112" s="643"/>
      <c r="F112" s="643"/>
      <c r="G112" s="643"/>
      <c r="H112" s="643"/>
      <c r="I112" s="643"/>
      <c r="J112" s="643"/>
      <c r="K112" s="643"/>
      <c r="L112" s="643"/>
      <c r="M112" s="643"/>
      <c r="N112" s="643"/>
      <c r="O112" s="186"/>
      <c r="P112" s="186"/>
      <c r="Q112" s="186"/>
      <c r="R112" s="186"/>
      <c r="S112" s="186"/>
      <c r="T112" s="186"/>
      <c r="U112" s="186"/>
      <c r="V112" s="186"/>
      <c r="W112" s="186"/>
      <c r="X112" s="186"/>
      <c r="Y112" s="186"/>
    </row>
    <row r="113" spans="1:25" ht="17.399999999999999">
      <c r="A113" s="67"/>
      <c r="B113" s="67"/>
      <c r="C113" s="67"/>
      <c r="D113" s="642"/>
      <c r="E113" s="642"/>
      <c r="F113" s="642"/>
      <c r="G113" s="642"/>
      <c r="H113" s="642"/>
      <c r="I113" s="642"/>
      <c r="J113" s="642"/>
      <c r="K113" s="642"/>
      <c r="L113" s="642"/>
      <c r="M113" s="642"/>
      <c r="N113" s="642"/>
      <c r="O113" s="186"/>
      <c r="P113" s="186"/>
      <c r="Q113" s="186"/>
      <c r="R113" s="186"/>
      <c r="S113" s="186"/>
      <c r="T113" s="186"/>
      <c r="U113" s="186"/>
      <c r="V113" s="186"/>
      <c r="W113" s="186"/>
      <c r="X113" s="186"/>
      <c r="Y113" s="186"/>
    </row>
    <row r="114" spans="1:25" ht="17.399999999999999">
      <c r="A114" s="67"/>
      <c r="B114" s="67"/>
      <c r="C114" s="67"/>
      <c r="D114" s="67"/>
      <c r="E114" s="67"/>
      <c r="F114" s="67"/>
      <c r="G114" s="67"/>
      <c r="H114" s="67"/>
      <c r="I114" s="67"/>
      <c r="J114" s="67"/>
      <c r="K114" s="67"/>
      <c r="L114" s="67"/>
      <c r="M114" s="67"/>
      <c r="N114" s="67"/>
      <c r="O114" s="67"/>
      <c r="P114" s="67"/>
      <c r="Q114" s="67"/>
      <c r="R114" s="186"/>
      <c r="S114" s="67"/>
      <c r="T114" s="67"/>
      <c r="U114" s="67"/>
      <c r="V114" s="67"/>
      <c r="W114" s="67"/>
      <c r="X114" s="67"/>
      <c r="Y114" s="67"/>
    </row>
    <row r="115" spans="1:25" ht="17.399999999999999">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row>
    <row r="116" spans="1:25" ht="17.399999999999999">
      <c r="A116" s="85" t="str">
        <f>VLOOKUP(2097,Sprachindex!$A:$Z,Info!$O$7,FALSE)</f>
        <v>Produkttechnik</v>
      </c>
      <c r="B116" s="86"/>
      <c r="C116" s="86"/>
      <c r="D116" s="646"/>
      <c r="E116" s="646"/>
      <c r="F116" s="646"/>
      <c r="G116" s="646"/>
      <c r="H116" s="646"/>
      <c r="I116" s="646"/>
      <c r="J116" s="646"/>
      <c r="K116" s="87" t="str">
        <f>VLOOKUP(856,Sprachindex!$A:$Z,Info!$O$7,FALSE)</f>
        <v>Stand:</v>
      </c>
      <c r="L116" s="644">
        <f>Info!M59</f>
        <v>45728</v>
      </c>
      <c r="M116" s="644"/>
      <c r="N116" s="645"/>
      <c r="O116" s="66"/>
      <c r="P116" s="66"/>
      <c r="Q116" s="66"/>
      <c r="R116" s="67"/>
      <c r="S116" s="66"/>
      <c r="T116" s="66"/>
      <c r="U116" s="66"/>
      <c r="V116" s="66"/>
      <c r="W116" s="66"/>
      <c r="X116" s="66"/>
      <c r="Y116" s="66"/>
    </row>
    <row r="117" spans="1:25" ht="17.399999999999999">
      <c r="R117" s="66"/>
    </row>
    <row r="118" spans="1:25" ht="13.8" hidden="1"/>
    <row r="119" spans="1:25" ht="13.8" hidden="1"/>
    <row r="120" spans="1:25" ht="13.8" hidden="1"/>
    <row r="121" spans="1:25" ht="13.8" hidden="1"/>
    <row r="122" spans="1:25" ht="13.8" hidden="1"/>
    <row r="123" spans="1:25" ht="13.8" hidden="1"/>
    <row r="124" spans="1:25" ht="13.8" hidden="1"/>
    <row r="125" spans="1:25" ht="13.8" hidden="1"/>
    <row r="126" spans="1:25" ht="14.25" hidden="1" customHeight="1"/>
    <row r="127" spans="1:25" ht="14.25" hidden="1" customHeight="1"/>
    <row r="128" spans="1:25" ht="14.25" hidden="1" customHeight="1"/>
  </sheetData>
  <sheetProtection algorithmName="SHA-512" hashValue="D6lrHTDSwmtKKmNBaqWMjXwftkxd61Ks4U4hcKSnV+CcyMa9QJ2zwlMaEaAugEB/gC7GxaR6wE4WxKsJw0pzqQ==" saltValue="T7FrqpaRe7CYhHHfmP63dg==" spinCount="100000" sheet="1" objects="1" scenarios="1" selectLockedCells="1" autoFilter="0"/>
  <protectedRanges>
    <protectedRange password="DEBF" sqref="AC105:AD107" name="darf vom Benutzer nicht verändert werden_1_5_10"/>
    <protectedRange password="DEBF" sqref="AC52:AD52" name="darf vom Benutzer nicht verändert werden_1_5_17"/>
    <protectedRange password="DEBF" sqref="AC72:AD72 AC80:AD80" name="darf vom Benutzer nicht verändert werden_1_5_19"/>
    <protectedRange password="DEBF" sqref="AC34:AD34" name="darf vom Benutzer nicht verändert werden_1_2_8"/>
    <protectedRange password="DEBF" sqref="AC31" name="darf vom Benutzer nicht verändert werden_1_5_2_2_2_1_1"/>
    <protectedRange password="DEBF" sqref="AC32:AD33" name="darf vom Benutzer nicht verändert werden_1_5_2_10_1"/>
    <protectedRange password="DEBF" sqref="AC35" name="darf vom Benutzer nicht verändert werden_1_5_2_7_1"/>
    <protectedRange password="DEBF" sqref="AD35" name="darf vom Benutzer nicht verändert werden_1_3_1"/>
    <protectedRange password="DEBF" sqref="AD36" name="darf vom Benutzer nicht verändert werden_1_1_5"/>
    <protectedRange password="DEBF" sqref="AC36" name="darf vom Benutzer nicht verändert werden_1_4_5"/>
    <protectedRange password="DEBF" sqref="AD39" name="darf vom Benutzer nicht verändert werden_1_2_6_1"/>
    <protectedRange password="DEBF" sqref="AC39" name="darf vom Benutzer nicht verändert werden_1_5_12_1"/>
    <protectedRange password="DEBF" sqref="AC41:AD47 AC51:AD51" name="darf vom Benutzer nicht verändert werden_1_5_14_2"/>
    <protectedRange password="DEBF" sqref="AC40:AD40" name="darf vom Benutzer nicht verändert werden_1_5_27"/>
    <protectedRange password="DEBF" sqref="AC38:AD38" name="darf vom Benutzer nicht verändert werden_1_5_1_1"/>
    <protectedRange password="DEBF" sqref="AC48:AD50" name="darf vom Benutzer nicht verändert werden_1_5_5_1"/>
    <protectedRange password="DEBF" sqref="AC53:AD54 AC58:AD58" name="darf vom Benutzer nicht verändert werden_1_5_14_3"/>
    <protectedRange password="DEBF" sqref="AC55:AD57" name="darf vom Benutzer nicht verändert werden_1_5_6"/>
    <protectedRange password="DEBF" sqref="AC59:AD61" name="darf vom Benutzer nicht verändert werden_1_5_11_1"/>
    <protectedRange password="DEBF" sqref="AC62:AD71" name="darf vom Benutzer nicht verändert werden_1_5_11_2"/>
    <protectedRange password="DEBF" sqref="AC73:AD78" name="darf vom Benutzer nicht verändert werden_1_5_9_1"/>
    <protectedRange password="DEBF" sqref="AC99:AD104" name="darf vom Benutzer nicht verändert werden_1_5_7"/>
    <protectedRange password="DEBF" sqref="AF103:AF104" name="darf vom Benutzer nicht verändert werden_1_12_1"/>
    <protectedRange password="DEBF" sqref="AC81:AD98" name="darf vom Benutzer nicht verändert werden_1_5_8"/>
    <protectedRange password="DEBF" sqref="AD79:AE79" name="darf vom Benutzer nicht verändert werden_1_5_16"/>
    <protectedRange password="DEBF" sqref="AE37" name="darf vom Benutzer nicht verändert werden_1_2"/>
    <protectedRange password="DEBF" sqref="AD37" name="darf vom Benutzer nicht verändert werden_1_5_2_5"/>
  </protectedRanges>
  <autoFilter ref="A29:A107" xr:uid="{00000000-0009-0000-0000-000006000000}"/>
  <mergeCells count="114">
    <mergeCell ref="C9:E9"/>
    <mergeCell ref="C10:E10"/>
    <mergeCell ref="E34:K34"/>
    <mergeCell ref="E49:G49"/>
    <mergeCell ref="H49:K49"/>
    <mergeCell ref="E51:K51"/>
    <mergeCell ref="C24:E24"/>
    <mergeCell ref="C25:E25"/>
    <mergeCell ref="C26:E26"/>
    <mergeCell ref="C27:E27"/>
    <mergeCell ref="H50:K50"/>
    <mergeCell ref="E50:G50"/>
    <mergeCell ref="E30:K30"/>
    <mergeCell ref="E31:K31"/>
    <mergeCell ref="E32:K32"/>
    <mergeCell ref="C11:E11"/>
    <mergeCell ref="E33:K33"/>
    <mergeCell ref="E44:K44"/>
    <mergeCell ref="E45:K45"/>
    <mergeCell ref="E46:K46"/>
    <mergeCell ref="E47:K47"/>
    <mergeCell ref="E43:K43"/>
    <mergeCell ref="E42:K42"/>
    <mergeCell ref="E53:K53"/>
    <mergeCell ref="E54:K54"/>
    <mergeCell ref="C13:E13"/>
    <mergeCell ref="C14:E14"/>
    <mergeCell ref="C15:E15"/>
    <mergeCell ref="C18:E18"/>
    <mergeCell ref="C19:E19"/>
    <mergeCell ref="C20:E20"/>
    <mergeCell ref="C21:E21"/>
    <mergeCell ref="B29:E29"/>
    <mergeCell ref="B24:B27"/>
    <mergeCell ref="E35:K35"/>
    <mergeCell ref="E52:K52"/>
    <mergeCell ref="E36:G36"/>
    <mergeCell ref="H36:K36"/>
    <mergeCell ref="E37:G37"/>
    <mergeCell ref="H37:K37"/>
    <mergeCell ref="E38:K38"/>
    <mergeCell ref="L116:N116"/>
    <mergeCell ref="D108:N109"/>
    <mergeCell ref="D110:N111"/>
    <mergeCell ref="D112:N113"/>
    <mergeCell ref="E73:K73"/>
    <mergeCell ref="E72:K72"/>
    <mergeCell ref="E74:K74"/>
    <mergeCell ref="E82:K82"/>
    <mergeCell ref="E86:K86"/>
    <mergeCell ref="E96:K96"/>
    <mergeCell ref="E101:K101"/>
    <mergeCell ref="E102:K102"/>
    <mergeCell ref="E61:K61"/>
    <mergeCell ref="E66:K66"/>
    <mergeCell ref="E67:K67"/>
    <mergeCell ref="E69:K69"/>
    <mergeCell ref="D116:J116"/>
    <mergeCell ref="E105:K105"/>
    <mergeCell ref="E106:K106"/>
    <mergeCell ref="E107:K107"/>
    <mergeCell ref="E64:K64"/>
    <mergeCell ref="E65:K65"/>
    <mergeCell ref="E68:K68"/>
    <mergeCell ref="E70:K70"/>
    <mergeCell ref="E71:K71"/>
    <mergeCell ref="AC29:AD29"/>
    <mergeCell ref="E85:K85"/>
    <mergeCell ref="E76:K76"/>
    <mergeCell ref="E77:K77"/>
    <mergeCell ref="E78:K78"/>
    <mergeCell ref="E79:K79"/>
    <mergeCell ref="E80:K80"/>
    <mergeCell ref="E81:K81"/>
    <mergeCell ref="E83:K83"/>
    <mergeCell ref="E84:K84"/>
    <mergeCell ref="J57:K57"/>
    <mergeCell ref="E75:K75"/>
    <mergeCell ref="E59:K59"/>
    <mergeCell ref="E60:K60"/>
    <mergeCell ref="E62:K62"/>
    <mergeCell ref="E63:K63"/>
    <mergeCell ref="J58:K58"/>
    <mergeCell ref="E56:H56"/>
    <mergeCell ref="J56:K56"/>
    <mergeCell ref="E55:K55"/>
    <mergeCell ref="E39:G39"/>
    <mergeCell ref="H39:K39"/>
    <mergeCell ref="E40:K40"/>
    <mergeCell ref="E41:K41"/>
    <mergeCell ref="E57:G57"/>
    <mergeCell ref="E58:G58"/>
    <mergeCell ref="AH39:AR39"/>
    <mergeCell ref="AT39:BD39"/>
    <mergeCell ref="E48:G48"/>
    <mergeCell ref="H48:K48"/>
    <mergeCell ref="AH69:AS69"/>
    <mergeCell ref="AT69:BD69"/>
    <mergeCell ref="E104:K104"/>
    <mergeCell ref="E103:H103"/>
    <mergeCell ref="I103:K103"/>
    <mergeCell ref="E87:K87"/>
    <mergeCell ref="E88:K88"/>
    <mergeCell ref="E89:K89"/>
    <mergeCell ref="E90:K90"/>
    <mergeCell ref="E91:K91"/>
    <mergeCell ref="E92:K92"/>
    <mergeCell ref="E93:K93"/>
    <mergeCell ref="E94:K94"/>
    <mergeCell ref="E95:K95"/>
    <mergeCell ref="E97:K97"/>
    <mergeCell ref="E98:K98"/>
    <mergeCell ref="E100:K100"/>
    <mergeCell ref="E99:K99"/>
  </mergeCells>
  <conditionalFormatting sqref="A31:A104">
    <cfRule type="cellIs" dxfId="828" priority="6" operator="equal">
      <formula>""</formula>
    </cfRule>
  </conditionalFormatting>
  <conditionalFormatting sqref="A105:E107">
    <cfRule type="cellIs" dxfId="827" priority="170" operator="equal">
      <formula>""</formula>
    </cfRule>
  </conditionalFormatting>
  <conditionalFormatting sqref="C9:E11">
    <cfRule type="cellIs" dxfId="825" priority="997" operator="equal">
      <formula>""</formula>
    </cfRule>
  </conditionalFormatting>
  <conditionalFormatting sqref="C13:E15">
    <cfRule type="cellIs" dxfId="824" priority="994" operator="equal">
      <formula>""</formula>
    </cfRule>
  </conditionalFormatting>
  <conditionalFormatting sqref="C18:E21">
    <cfRule type="cellIs" dxfId="823" priority="990" operator="equal">
      <formula>""</formula>
    </cfRule>
  </conditionalFormatting>
  <conditionalFormatting sqref="C24:E27">
    <cfRule type="cellIs" dxfId="822" priority="415" operator="equal">
      <formula>""</formula>
    </cfRule>
  </conditionalFormatting>
  <conditionalFormatting sqref="D68">
    <cfRule type="duplicateValues" dxfId="821" priority="70"/>
  </conditionalFormatting>
  <conditionalFormatting sqref="D69">
    <cfRule type="duplicateValues" dxfId="820" priority="74"/>
  </conditionalFormatting>
  <conditionalFormatting sqref="D70">
    <cfRule type="duplicateValues" dxfId="819" priority="73"/>
  </conditionalFormatting>
  <conditionalFormatting sqref="D78">
    <cfRule type="duplicateValues" dxfId="818" priority="56"/>
  </conditionalFormatting>
  <conditionalFormatting sqref="H37:K37">
    <cfRule type="cellIs" dxfId="812" priority="7" operator="equal">
      <formula>""</formula>
    </cfRule>
  </conditionalFormatting>
  <conditionalFormatting sqref="I13">
    <cfRule type="expression" dxfId="809" priority="2171">
      <formula>$P$13=2</formula>
    </cfRule>
    <cfRule type="expression" dxfId="808" priority="2172">
      <formula>$P$13=1</formula>
    </cfRule>
  </conditionalFormatting>
  <conditionalFormatting sqref="I21:I22 I28">
    <cfRule type="expression" dxfId="807" priority="2175">
      <formula>$P$21=10</formula>
    </cfRule>
  </conditionalFormatting>
  <conditionalFormatting sqref="I24:I26">
    <cfRule type="cellIs" dxfId="806" priority="168" operator="equal">
      <formula>""</formula>
    </cfRule>
  </conditionalFormatting>
  <conditionalFormatting sqref="L13">
    <cfRule type="expression" dxfId="803" priority="2173">
      <formula>$P$13=1</formula>
    </cfRule>
    <cfRule type="expression" dxfId="802" priority="2174">
      <formula>$P$13=2</formula>
    </cfRule>
  </conditionalFormatting>
  <conditionalFormatting sqref="L105:M107">
    <cfRule type="cellIs" dxfId="801" priority="177" operator="equal">
      <formula>""</formula>
    </cfRule>
  </conditionalFormatting>
  <conditionalFormatting sqref="AH87 AJ87:AR87">
    <cfRule type="duplicateValues" dxfId="798" priority="46"/>
  </conditionalFormatting>
  <conditionalFormatting sqref="AH103:AL103">
    <cfRule type="duplicateValues" dxfId="797" priority="45"/>
  </conditionalFormatting>
  <conditionalFormatting sqref="AH83:AO83 AQ83">
    <cfRule type="duplicateValues" dxfId="796" priority="44"/>
  </conditionalFormatting>
  <conditionalFormatting sqref="AH84:AO84 AQ84">
    <cfRule type="duplicateValues" dxfId="795" priority="43"/>
  </conditionalFormatting>
  <conditionalFormatting sqref="AH88:AO88 AQ88">
    <cfRule type="duplicateValues" dxfId="794" priority="42"/>
  </conditionalFormatting>
  <conditionalFormatting sqref="AH89:AO89 AQ89">
    <cfRule type="duplicateValues" dxfId="793" priority="41"/>
  </conditionalFormatting>
  <conditionalFormatting sqref="AH90:AO90 AQ90">
    <cfRule type="duplicateValues" dxfId="792" priority="40"/>
  </conditionalFormatting>
  <conditionalFormatting sqref="AH91:AO91 AQ91">
    <cfRule type="duplicateValues" dxfId="791" priority="39"/>
  </conditionalFormatting>
  <conditionalFormatting sqref="AH92:AO92 AQ92">
    <cfRule type="duplicateValues" dxfId="790" priority="38"/>
  </conditionalFormatting>
  <conditionalFormatting sqref="AH94:AO94 AQ94">
    <cfRule type="duplicateValues" dxfId="789" priority="37"/>
  </conditionalFormatting>
  <conditionalFormatting sqref="AH66:AP66">
    <cfRule type="duplicateValues" dxfId="788" priority="72"/>
  </conditionalFormatting>
  <conditionalFormatting sqref="AH67:AP67">
    <cfRule type="duplicateValues" dxfId="787" priority="76"/>
  </conditionalFormatting>
  <conditionalFormatting sqref="AH96:AP96 AH95:AO95 AQ95">
    <cfRule type="duplicateValues" dxfId="786" priority="36"/>
  </conditionalFormatting>
  <conditionalFormatting sqref="AH80:AQ80">
    <cfRule type="duplicateValues" dxfId="785" priority="453"/>
  </conditionalFormatting>
  <conditionalFormatting sqref="AH38:AR38">
    <cfRule type="duplicateValues" dxfId="784" priority="148"/>
  </conditionalFormatting>
  <conditionalFormatting sqref="AH48:AR48">
    <cfRule type="duplicateValues" dxfId="783" priority="144"/>
  </conditionalFormatting>
  <conditionalFormatting sqref="AH49:AR49">
    <cfRule type="duplicateValues" dxfId="782" priority="143"/>
  </conditionalFormatting>
  <conditionalFormatting sqref="AH50:AR50">
    <cfRule type="duplicateValues" dxfId="781" priority="142"/>
  </conditionalFormatting>
  <conditionalFormatting sqref="AH51:AR51">
    <cfRule type="duplicateValues" dxfId="780" priority="139"/>
  </conditionalFormatting>
  <conditionalFormatting sqref="AH52:AR52">
    <cfRule type="duplicateValues" dxfId="779" priority="9"/>
  </conditionalFormatting>
  <conditionalFormatting sqref="AH55:AR55">
    <cfRule type="duplicateValues" dxfId="778" priority="128"/>
  </conditionalFormatting>
  <conditionalFormatting sqref="AH56:AR57">
    <cfRule type="duplicateValues" dxfId="777" priority="100"/>
  </conditionalFormatting>
  <conditionalFormatting sqref="AH59:AR61">
    <cfRule type="duplicateValues" dxfId="776" priority="78"/>
  </conditionalFormatting>
  <conditionalFormatting sqref="AH62:AR65">
    <cfRule type="duplicateValues" dxfId="775" priority="62"/>
  </conditionalFormatting>
  <conditionalFormatting sqref="AH71:AR71">
    <cfRule type="duplicateValues" dxfId="774" priority="77"/>
  </conditionalFormatting>
  <conditionalFormatting sqref="AH72:AR72">
    <cfRule type="duplicateValues" dxfId="773" priority="8"/>
  </conditionalFormatting>
  <conditionalFormatting sqref="AH75:AR77">
    <cfRule type="duplicateValues" dxfId="772" priority="53"/>
  </conditionalFormatting>
  <conditionalFormatting sqref="AH81:AR82">
    <cfRule type="duplicateValues" dxfId="771" priority="2176"/>
  </conditionalFormatting>
  <conditionalFormatting sqref="AH85:AR85">
    <cfRule type="duplicateValues" dxfId="770" priority="2177"/>
  </conditionalFormatting>
  <conditionalFormatting sqref="AH86:AR86">
    <cfRule type="duplicateValues" dxfId="769" priority="2178"/>
  </conditionalFormatting>
  <conditionalFormatting sqref="AH93:AR93">
    <cfRule type="duplicateValues" dxfId="768" priority="34"/>
  </conditionalFormatting>
  <conditionalFormatting sqref="AI87">
    <cfRule type="duplicateValues" dxfId="767" priority="31"/>
  </conditionalFormatting>
  <conditionalFormatting sqref="AQ66">
    <cfRule type="duplicateValues" dxfId="766" priority="71"/>
  </conditionalFormatting>
  <conditionalFormatting sqref="AQ67">
    <cfRule type="duplicateValues" dxfId="765" priority="75"/>
  </conditionalFormatting>
  <conditionalFormatting sqref="AQ96:AR96 AR95 AP95">
    <cfRule type="duplicateValues" dxfId="764" priority="30"/>
  </conditionalFormatting>
  <conditionalFormatting sqref="AR31:AR33 AP31:AP33">
    <cfRule type="duplicateValues" dxfId="763" priority="18"/>
  </conditionalFormatting>
  <conditionalFormatting sqref="AR83 AP83">
    <cfRule type="duplicateValues" dxfId="762" priority="29"/>
  </conditionalFormatting>
  <conditionalFormatting sqref="AR84 AP84">
    <cfRule type="duplicateValues" dxfId="761" priority="28"/>
  </conditionalFormatting>
  <conditionalFormatting sqref="AR88 AP88">
    <cfRule type="duplicateValues" dxfId="760" priority="27"/>
  </conditionalFormatting>
  <conditionalFormatting sqref="AR89 AP89">
    <cfRule type="duplicateValues" dxfId="759" priority="2179"/>
  </conditionalFormatting>
  <conditionalFormatting sqref="AR90 AP90">
    <cfRule type="duplicateValues" dxfId="758" priority="2180"/>
  </conditionalFormatting>
  <conditionalFormatting sqref="AR91 AP91">
    <cfRule type="duplicateValues" dxfId="757" priority="2181"/>
  </conditionalFormatting>
  <conditionalFormatting sqref="AR92 AP92">
    <cfRule type="duplicateValues" dxfId="756" priority="2182"/>
  </conditionalFormatting>
  <conditionalFormatting sqref="AR94 AP94">
    <cfRule type="duplicateValues" dxfId="755" priority="47"/>
  </conditionalFormatting>
  <conditionalFormatting sqref="AT31">
    <cfRule type="duplicateValues" dxfId="754" priority="2710"/>
  </conditionalFormatting>
  <conditionalFormatting sqref="AT73:AU73 AX73 AZ73 AH73:AR74">
    <cfRule type="duplicateValues" dxfId="753" priority="58"/>
  </conditionalFormatting>
  <conditionalFormatting sqref="AT104:AU104 AX104 AZ104 AH104:AR104">
    <cfRule type="duplicateValues" dxfId="752" priority="48"/>
  </conditionalFormatting>
  <conditionalFormatting sqref="AT48:AV50">
    <cfRule type="duplicateValues" dxfId="751" priority="141"/>
  </conditionalFormatting>
  <conditionalFormatting sqref="AT51:AV51">
    <cfRule type="duplicateValues" dxfId="750" priority="140"/>
  </conditionalFormatting>
  <conditionalFormatting sqref="AT79:AW79 AH79:AR79">
    <cfRule type="duplicateValues" dxfId="749" priority="15"/>
  </conditionalFormatting>
  <conditionalFormatting sqref="AT55:BA55 BC55:BD55">
    <cfRule type="duplicateValues" dxfId="748" priority="129"/>
  </conditionalFormatting>
  <conditionalFormatting sqref="AT59:BC59">
    <cfRule type="duplicateValues" dxfId="747" priority="81"/>
  </conditionalFormatting>
  <conditionalFormatting sqref="AT60:BC60">
    <cfRule type="duplicateValues" dxfId="746" priority="79"/>
  </conditionalFormatting>
  <conditionalFormatting sqref="AT61:BC61">
    <cfRule type="duplicateValues" dxfId="745" priority="80"/>
  </conditionalFormatting>
  <conditionalFormatting sqref="AT56:BD56">
    <cfRule type="duplicateValues" dxfId="744" priority="127"/>
  </conditionalFormatting>
  <conditionalFormatting sqref="AT57:BD57">
    <cfRule type="duplicateValues" dxfId="743" priority="82"/>
  </conditionalFormatting>
  <conditionalFormatting sqref="AT74:BD74">
    <cfRule type="duplicateValues" dxfId="742" priority="54"/>
  </conditionalFormatting>
  <conditionalFormatting sqref="AV73:AW73 AY73 BA73:BC73">
    <cfRule type="duplicateValues" dxfId="741" priority="57"/>
  </conditionalFormatting>
  <conditionalFormatting sqref="AV104:AW104 AY104 BA104:BD104">
    <cfRule type="duplicateValues" dxfId="740" priority="49"/>
  </conditionalFormatting>
  <conditionalFormatting sqref="AX79:BD79">
    <cfRule type="duplicateValues" dxfId="739" priority="14"/>
  </conditionalFormatting>
  <conditionalFormatting sqref="AY31 BA31:BC31 AV31:AW31">
    <cfRule type="duplicateValues" dxfId="738" priority="166"/>
  </conditionalFormatting>
  <conditionalFormatting sqref="AY32:AY33 BA32:BC33 AV32:AW33">
    <cfRule type="duplicateValues" dxfId="737" priority="164"/>
  </conditionalFormatting>
  <conditionalFormatting sqref="AY41:AY47 BA41:BD47 AV41:AW47">
    <cfRule type="duplicateValues" dxfId="736" priority="147"/>
  </conditionalFormatting>
  <conditionalFormatting sqref="AY52 BA52:BD52 AV52:AW52">
    <cfRule type="duplicateValues" dxfId="735" priority="11"/>
  </conditionalFormatting>
  <conditionalFormatting sqref="AZ31 AX31 AU31 AQ31 AH31:AO31">
    <cfRule type="duplicateValues" dxfId="734" priority="167"/>
  </conditionalFormatting>
  <conditionalFormatting sqref="AZ32:AZ33 AX32:AX33 AT32:AU33 AQ32:AQ33 AH32:AO33">
    <cfRule type="duplicateValues" dxfId="733" priority="165"/>
  </conditionalFormatting>
  <conditionalFormatting sqref="AZ41:AZ47 AT41:AU47 AX41:AX47 AH41:AR47">
    <cfRule type="duplicateValues" dxfId="732" priority="146"/>
  </conditionalFormatting>
  <conditionalFormatting sqref="AZ52 AT52:AU52 AX52">
    <cfRule type="duplicateValues" dxfId="731" priority="10"/>
  </conditionalFormatting>
  <conditionalFormatting sqref="BB55">
    <cfRule type="duplicateValues" dxfId="730" priority="59"/>
  </conditionalFormatting>
  <conditionalFormatting sqref="BB62:BB65 BC62 AT62:BA62">
    <cfRule type="duplicateValues" dxfId="729" priority="69"/>
  </conditionalFormatting>
  <conditionalFormatting sqref="BB63">
    <cfRule type="duplicateValues" dxfId="728" priority="67"/>
  </conditionalFormatting>
  <conditionalFormatting sqref="BB64">
    <cfRule type="duplicateValues" dxfId="727" priority="65"/>
  </conditionalFormatting>
  <conditionalFormatting sqref="BB65">
    <cfRule type="duplicateValues" dxfId="726" priority="63"/>
  </conditionalFormatting>
  <conditionalFormatting sqref="BC63 AT63:BA63">
    <cfRule type="duplicateValues" dxfId="725" priority="68"/>
  </conditionalFormatting>
  <conditionalFormatting sqref="BC64 AT64:BA64">
    <cfRule type="duplicateValues" dxfId="724" priority="66"/>
  </conditionalFormatting>
  <conditionalFormatting sqref="BC65 AT65:BA65">
    <cfRule type="duplicateValues" dxfId="723" priority="64"/>
  </conditionalFormatting>
  <conditionalFormatting sqref="BC58:BK58 BM58:BV58">
    <cfRule type="duplicateValues" dxfId="722" priority="134"/>
  </conditionalFormatting>
  <conditionalFormatting sqref="BD31:BD33">
    <cfRule type="duplicateValues" dxfId="721" priority="19"/>
  </conditionalFormatting>
  <conditionalFormatting sqref="BD73">
    <cfRule type="duplicateValues" dxfId="720" priority="55"/>
  </conditionalFormatting>
  <conditionalFormatting sqref="BT56:CD57">
    <cfRule type="duplicateValues" dxfId="719" priority="99"/>
  </conditionalFormatting>
  <conditionalFormatting sqref="BX58:CF58 CH58:CQ58">
    <cfRule type="duplicateValues" dxfId="718" priority="133"/>
  </conditionalFormatting>
  <conditionalFormatting sqref="CH56:CR57 BH56:BR57">
    <cfRule type="duplicateValues" dxfId="717" priority="98"/>
  </conditionalFormatting>
  <conditionalFormatting sqref="CS58:DA58 DX58:EG58">
    <cfRule type="duplicateValues" dxfId="716" priority="132"/>
  </conditionalFormatting>
  <conditionalFormatting sqref="CU56:DD57">
    <cfRule type="duplicateValues" dxfId="715" priority="97"/>
  </conditionalFormatting>
  <conditionalFormatting sqref="DC58:DL58">
    <cfRule type="duplicateValues" dxfId="714" priority="130"/>
  </conditionalFormatting>
  <conditionalFormatting sqref="DH56:DR57">
    <cfRule type="duplicateValues" dxfId="713" priority="96"/>
  </conditionalFormatting>
  <conditionalFormatting sqref="DU56:ED57">
    <cfRule type="duplicateValues" dxfId="712" priority="95"/>
  </conditionalFormatting>
  <conditionalFormatting sqref="EH56:ER57">
    <cfRule type="duplicateValues" dxfId="711" priority="94"/>
  </conditionalFormatting>
  <conditionalFormatting sqref="EI58:EQ58 ES58:FB58">
    <cfRule type="duplicateValues" dxfId="710" priority="131"/>
  </conditionalFormatting>
  <conditionalFormatting sqref="EU56:FD57">
    <cfRule type="duplicateValues" dxfId="709" priority="93"/>
  </conditionalFormatting>
  <conditionalFormatting sqref="FH56:FR57">
    <cfRule type="duplicateValues" dxfId="708" priority="92"/>
  </conditionalFormatting>
  <conditionalFormatting sqref="FU56:GD57">
    <cfRule type="duplicateValues" dxfId="707" priority="91"/>
  </conditionalFormatting>
  <conditionalFormatting sqref="GH56:GR57">
    <cfRule type="duplicateValues" dxfId="706" priority="90"/>
  </conditionalFormatting>
  <conditionalFormatting sqref="GU56:HD57">
    <cfRule type="duplicateValues" dxfId="705" priority="89"/>
  </conditionalFormatting>
  <conditionalFormatting sqref="HH56:HR57">
    <cfRule type="duplicateValues" dxfId="704" priority="88"/>
  </conditionalFormatting>
  <conditionalFormatting sqref="HU56:ID57">
    <cfRule type="duplicateValues" dxfId="703" priority="87"/>
  </conditionalFormatting>
  <conditionalFormatting sqref="IH56:IR57">
    <cfRule type="duplicateValues" dxfId="702" priority="86"/>
  </conditionalFormatting>
  <conditionalFormatting sqref="IU56:JD57">
    <cfRule type="duplicateValues" dxfId="701" priority="85"/>
  </conditionalFormatting>
  <conditionalFormatting sqref="JH56:JR57">
    <cfRule type="duplicateValues" dxfId="700" priority="84"/>
  </conditionalFormatting>
  <conditionalFormatting sqref="JU56:KD57">
    <cfRule type="duplicateValues" dxfId="699" priority="83"/>
  </conditionalFormatting>
  <conditionalFormatting sqref="KF56:KM56">
    <cfRule type="duplicateValues" dxfId="698" priority="126"/>
  </conditionalFormatting>
  <conditionalFormatting sqref="KN56">
    <cfRule type="duplicateValues" dxfId="697" priority="101"/>
  </conditionalFormatting>
  <conditionalFormatting sqref="KP56">
    <cfRule type="duplicateValues" dxfId="696" priority="113"/>
  </conditionalFormatting>
  <conditionalFormatting sqref="KQ56:KX56">
    <cfRule type="duplicateValues" dxfId="695" priority="125"/>
  </conditionalFormatting>
  <conditionalFormatting sqref="KZ56:LH56">
    <cfRule type="duplicateValues" dxfId="694" priority="124"/>
  </conditionalFormatting>
  <conditionalFormatting sqref="LI56">
    <cfRule type="duplicateValues" dxfId="693" priority="102"/>
  </conditionalFormatting>
  <conditionalFormatting sqref="LK56">
    <cfRule type="duplicateValues" dxfId="692" priority="112"/>
  </conditionalFormatting>
  <conditionalFormatting sqref="LL56:LS56">
    <cfRule type="duplicateValues" dxfId="691" priority="123"/>
  </conditionalFormatting>
  <conditionalFormatting sqref="LU56:MC56">
    <cfRule type="duplicateValues" dxfId="690" priority="122"/>
  </conditionalFormatting>
  <conditionalFormatting sqref="MD56">
    <cfRule type="duplicateValues" dxfId="689" priority="103"/>
  </conditionalFormatting>
  <conditionalFormatting sqref="MF56">
    <cfRule type="duplicateValues" dxfId="688" priority="111"/>
  </conditionalFormatting>
  <conditionalFormatting sqref="MG56:MN56">
    <cfRule type="duplicateValues" dxfId="687" priority="121"/>
  </conditionalFormatting>
  <conditionalFormatting sqref="MP56:MX56">
    <cfRule type="duplicateValues" dxfId="686" priority="120"/>
  </conditionalFormatting>
  <conditionalFormatting sqref="MY56">
    <cfRule type="duplicateValues" dxfId="685" priority="104"/>
  </conditionalFormatting>
  <conditionalFormatting sqref="NA56">
    <cfRule type="duplicateValues" dxfId="684" priority="110"/>
  </conditionalFormatting>
  <conditionalFormatting sqref="NB56:NI56">
    <cfRule type="duplicateValues" dxfId="683" priority="119"/>
  </conditionalFormatting>
  <conditionalFormatting sqref="NK56:NS56">
    <cfRule type="duplicateValues" dxfId="682" priority="118"/>
  </conditionalFormatting>
  <conditionalFormatting sqref="NT56">
    <cfRule type="duplicateValues" dxfId="681" priority="105"/>
  </conditionalFormatting>
  <conditionalFormatting sqref="NV56">
    <cfRule type="duplicateValues" dxfId="680" priority="109"/>
  </conditionalFormatting>
  <conditionalFormatting sqref="NW56:OD56">
    <cfRule type="duplicateValues" dxfId="679" priority="117"/>
  </conditionalFormatting>
  <conditionalFormatting sqref="OF56:ON56">
    <cfRule type="duplicateValues" dxfId="678" priority="116"/>
  </conditionalFormatting>
  <conditionalFormatting sqref="OO56">
    <cfRule type="duplicateValues" dxfId="677" priority="106"/>
  </conditionalFormatting>
  <conditionalFormatting sqref="OQ56">
    <cfRule type="duplicateValues" dxfId="676" priority="108"/>
  </conditionalFormatting>
  <conditionalFormatting sqref="OR56:OY56">
    <cfRule type="duplicateValues" dxfId="675" priority="115"/>
  </conditionalFormatting>
  <conditionalFormatting sqref="PA56:PJ56">
    <cfRule type="duplicateValues" dxfId="674" priority="114"/>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3009"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43017" r:id="rId6" name="Option Button 9">
              <controlPr defaultSize="0" autoFill="0" autoLine="0" autoPict="0" altText="">
                <anchor moveWithCells="1">
                  <from>
                    <xdr:col>5</xdr:col>
                    <xdr:colOff>556260</xdr:colOff>
                    <xdr:row>15</xdr:row>
                    <xdr:rowOff>30480</xdr:rowOff>
                  </from>
                  <to>
                    <xdr:col>7</xdr:col>
                    <xdr:colOff>312420</xdr:colOff>
                    <xdr:row>15</xdr:row>
                    <xdr:rowOff>175260</xdr:rowOff>
                  </to>
                </anchor>
              </controlPr>
            </control>
          </mc:Choice>
        </mc:AlternateContent>
        <mc:AlternateContent xmlns:mc="http://schemas.openxmlformats.org/markup-compatibility/2006">
          <mc:Choice Requires="x14">
            <control shapeId="43018" r:id="rId7" name="Option Button 10">
              <controlPr defaultSize="0" autoFill="0" autoLine="0" autoPict="0" altText="">
                <anchor moveWithCells="1">
                  <from>
                    <xdr:col>5</xdr:col>
                    <xdr:colOff>556260</xdr:colOff>
                    <xdr:row>16</xdr:row>
                    <xdr:rowOff>30480</xdr:rowOff>
                  </from>
                  <to>
                    <xdr:col>7</xdr:col>
                    <xdr:colOff>312420</xdr:colOff>
                    <xdr:row>16</xdr:row>
                    <xdr:rowOff>175260</xdr:rowOff>
                  </to>
                </anchor>
              </controlPr>
            </control>
          </mc:Choice>
        </mc:AlternateContent>
        <mc:AlternateContent xmlns:mc="http://schemas.openxmlformats.org/markup-compatibility/2006">
          <mc:Choice Requires="x14">
            <control shapeId="43019" r:id="rId8" name="Option Button 11">
              <controlPr defaultSize="0" autoFill="0" autoLine="0" autoPict="0" altText="">
                <anchor moveWithCells="1">
                  <from>
                    <xdr:col>5</xdr:col>
                    <xdr:colOff>556260</xdr:colOff>
                    <xdr:row>17</xdr:row>
                    <xdr:rowOff>30480</xdr:rowOff>
                  </from>
                  <to>
                    <xdr:col>7</xdr:col>
                    <xdr:colOff>312420</xdr:colOff>
                    <xdr:row>17</xdr:row>
                    <xdr:rowOff>175260</xdr:rowOff>
                  </to>
                </anchor>
              </controlPr>
            </control>
          </mc:Choice>
        </mc:AlternateContent>
        <mc:AlternateContent xmlns:mc="http://schemas.openxmlformats.org/markup-compatibility/2006">
          <mc:Choice Requires="x14">
            <control shapeId="43020" r:id="rId9" name="Option Button 12">
              <controlPr defaultSize="0" autoFill="0" autoLine="0" autoPict="0" altText="">
                <anchor moveWithCells="1">
                  <from>
                    <xdr:col>5</xdr:col>
                    <xdr:colOff>556260</xdr:colOff>
                    <xdr:row>18</xdr:row>
                    <xdr:rowOff>30480</xdr:rowOff>
                  </from>
                  <to>
                    <xdr:col>7</xdr:col>
                    <xdr:colOff>312420</xdr:colOff>
                    <xdr:row>18</xdr:row>
                    <xdr:rowOff>175260</xdr:rowOff>
                  </to>
                </anchor>
              </controlPr>
            </control>
          </mc:Choice>
        </mc:AlternateContent>
        <mc:AlternateContent xmlns:mc="http://schemas.openxmlformats.org/markup-compatibility/2006">
          <mc:Choice Requires="x14">
            <control shapeId="43021" r:id="rId10" name="Option Button 13">
              <controlPr defaultSize="0" autoFill="0" autoLine="0" autoPict="0" altText="">
                <anchor moveWithCells="1">
                  <from>
                    <xdr:col>5</xdr:col>
                    <xdr:colOff>533400</xdr:colOff>
                    <xdr:row>19</xdr:row>
                    <xdr:rowOff>22860</xdr:rowOff>
                  </from>
                  <to>
                    <xdr:col>7</xdr:col>
                    <xdr:colOff>297180</xdr:colOff>
                    <xdr:row>19</xdr:row>
                    <xdr:rowOff>175260</xdr:rowOff>
                  </to>
                </anchor>
              </controlPr>
            </control>
          </mc:Choice>
        </mc:AlternateContent>
        <mc:AlternateContent xmlns:mc="http://schemas.openxmlformats.org/markup-compatibility/2006">
          <mc:Choice Requires="x14">
            <control shapeId="43022" r:id="rId11" name="Option Button 14">
              <controlPr defaultSize="0" autoFill="0" autoLine="0" autoPict="0" altText="">
                <anchor moveWithCells="1">
                  <from>
                    <xdr:col>5</xdr:col>
                    <xdr:colOff>533400</xdr:colOff>
                    <xdr:row>19</xdr:row>
                    <xdr:rowOff>190500</xdr:rowOff>
                  </from>
                  <to>
                    <xdr:col>7</xdr:col>
                    <xdr:colOff>297180</xdr:colOff>
                    <xdr:row>20</xdr:row>
                    <xdr:rowOff>160020</xdr:rowOff>
                  </to>
                </anchor>
              </controlPr>
            </control>
          </mc:Choice>
        </mc:AlternateContent>
        <mc:AlternateContent xmlns:mc="http://schemas.openxmlformats.org/markup-compatibility/2006">
          <mc:Choice Requires="x14">
            <control shapeId="43023" r:id="rId12" name="Option Button 15">
              <controlPr defaultSize="0" autoFill="0" autoLine="0" autoPict="0" altText="">
                <anchor moveWithCells="1">
                  <from>
                    <xdr:col>8</xdr:col>
                    <xdr:colOff>746760</xdr:colOff>
                    <xdr:row>15</xdr:row>
                    <xdr:rowOff>22860</xdr:rowOff>
                  </from>
                  <to>
                    <xdr:col>10</xdr:col>
                    <xdr:colOff>304800</xdr:colOff>
                    <xdr:row>15</xdr:row>
                    <xdr:rowOff>175260</xdr:rowOff>
                  </to>
                </anchor>
              </controlPr>
            </control>
          </mc:Choice>
        </mc:AlternateContent>
        <mc:AlternateContent xmlns:mc="http://schemas.openxmlformats.org/markup-compatibility/2006">
          <mc:Choice Requires="x14">
            <control shapeId="43024" r:id="rId13" name="Option Button 16">
              <controlPr defaultSize="0" autoFill="0" autoLine="0" autoPict="0" altText="">
                <anchor moveWithCells="1">
                  <from>
                    <xdr:col>8</xdr:col>
                    <xdr:colOff>746760</xdr:colOff>
                    <xdr:row>16</xdr:row>
                    <xdr:rowOff>0</xdr:rowOff>
                  </from>
                  <to>
                    <xdr:col>10</xdr:col>
                    <xdr:colOff>381000</xdr:colOff>
                    <xdr:row>17</xdr:row>
                    <xdr:rowOff>0</xdr:rowOff>
                  </to>
                </anchor>
              </controlPr>
            </control>
          </mc:Choice>
        </mc:AlternateContent>
        <mc:AlternateContent xmlns:mc="http://schemas.openxmlformats.org/markup-compatibility/2006">
          <mc:Choice Requires="x14">
            <control shapeId="43025" r:id="rId14" name="Option Button 17">
              <controlPr defaultSize="0" autoFill="0" autoLine="0" autoPict="0" altText="">
                <anchor moveWithCells="1">
                  <from>
                    <xdr:col>8</xdr:col>
                    <xdr:colOff>746760</xdr:colOff>
                    <xdr:row>17</xdr:row>
                    <xdr:rowOff>22860</xdr:rowOff>
                  </from>
                  <to>
                    <xdr:col>10</xdr:col>
                    <xdr:colOff>304800</xdr:colOff>
                    <xdr:row>17</xdr:row>
                    <xdr:rowOff>175260</xdr:rowOff>
                  </to>
                </anchor>
              </controlPr>
            </control>
          </mc:Choice>
        </mc:AlternateContent>
        <mc:AlternateContent xmlns:mc="http://schemas.openxmlformats.org/markup-compatibility/2006">
          <mc:Choice Requires="x14">
            <control shapeId="43026" r:id="rId15"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43032" r:id="rId16"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43033" r:id="rId17"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43036" r:id="rId18" name="Option Button 28">
              <controlPr defaultSize="0" autoFill="0" autoLine="0" autoPict="0" altText="">
                <anchor moveWithCells="1">
                  <from>
                    <xdr:col>8</xdr:col>
                    <xdr:colOff>746760</xdr:colOff>
                    <xdr:row>17</xdr:row>
                    <xdr:rowOff>190500</xdr:rowOff>
                  </from>
                  <to>
                    <xdr:col>10</xdr:col>
                    <xdr:colOff>304800</xdr:colOff>
                    <xdr:row>18</xdr:row>
                    <xdr:rowOff>175260</xdr:rowOff>
                  </to>
                </anchor>
              </controlPr>
            </control>
          </mc:Choice>
        </mc:AlternateContent>
        <mc:AlternateContent xmlns:mc="http://schemas.openxmlformats.org/markup-compatibility/2006">
          <mc:Choice Requires="x14">
            <control shapeId="43037" r:id="rId19"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43038" r:id="rId20"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43042" r:id="rId21" name="Group Box 34">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43043" r:id="rId22" name="Option Button 35">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43044" r:id="rId23" name="Option Button 36">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43048" r:id="rId24" name="Option Button 40">
              <controlPr defaultSize="0" autoFill="0" autoLine="0" autoPict="0" altText="">
                <anchor moveWithCells="1">
                  <from>
                    <xdr:col>8</xdr:col>
                    <xdr:colOff>746760</xdr:colOff>
                    <xdr:row>19</xdr:row>
                    <xdr:rowOff>0</xdr:rowOff>
                  </from>
                  <to>
                    <xdr:col>10</xdr:col>
                    <xdr:colOff>304800</xdr:colOff>
                    <xdr:row>19</xdr:row>
                    <xdr:rowOff>175260</xdr:rowOff>
                  </to>
                </anchor>
              </controlPr>
            </control>
          </mc:Choice>
        </mc:AlternateContent>
        <mc:AlternateContent xmlns:mc="http://schemas.openxmlformats.org/markup-compatibility/2006">
          <mc:Choice Requires="x14">
            <control shapeId="43049" r:id="rId25" name="Group Box 41">
              <controlPr defaultSize="0" print="0" autoFill="0" autoPict="0">
                <anchor moveWithCells="1">
                  <from>
                    <xdr:col>5</xdr:col>
                    <xdr:colOff>533400</xdr:colOff>
                    <xdr:row>13</xdr:row>
                    <xdr:rowOff>182880</xdr:rowOff>
                  </from>
                  <to>
                    <xdr:col>13</xdr:col>
                    <xdr:colOff>632460</xdr:colOff>
                    <xdr:row>21</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83" id="{14A753DB-0496-4F8B-8260-FA909172F83C}">
            <xm:f>Info!$V$7=2</xm:f>
            <x14:dxf>
              <font>
                <color theme="0" tint="-4.9989318521683403E-2"/>
              </font>
              <fill>
                <patternFill>
                  <bgColor theme="0"/>
                </patternFill>
              </fill>
              <border>
                <vertical/>
                <horizontal/>
              </border>
            </x14:dxf>
          </x14:cfRule>
          <xm:sqref>A101:N101</xm:sqref>
        </x14:conditionalFormatting>
        <x14:conditionalFormatting xmlns:xm="http://schemas.microsoft.com/office/excel/2006/main">
          <x14:cfRule type="expression" priority="137" id="{88277E1B-5A4A-4A2E-8C3D-A97AAA40E281}">
            <xm:f>$H$47=Formeln!$B$1</xm:f>
            <x14:dxf>
              <fill>
                <patternFill>
                  <bgColor theme="0" tint="-0.14996795556505021"/>
                </patternFill>
              </fill>
            </x14:dxf>
          </x14:cfRule>
          <xm:sqref>H48</xm:sqref>
        </x14:conditionalFormatting>
        <x14:conditionalFormatting xmlns:xm="http://schemas.microsoft.com/office/excel/2006/main">
          <x14:cfRule type="expression" priority="138" id="{EFB86E51-C7F2-41A7-B61D-72D16496366D}">
            <xm:f>$H$48=Formeln!$A$1</xm:f>
            <x14:dxf>
              <fill>
                <patternFill>
                  <bgColor theme="0" tint="-0.14996795556505021"/>
                </patternFill>
              </fill>
            </x14:dxf>
          </x14:cfRule>
          <xm:sqref>H49</xm:sqref>
        </x14:conditionalFormatting>
        <x14:conditionalFormatting xmlns:xm="http://schemas.microsoft.com/office/excel/2006/main">
          <x14:cfRule type="expression" priority="1" id="{5EED7107-F0E9-49E2-BAD6-0649325A0F6D}">
            <xm:f>$H$57=Formeln!$G$63</xm:f>
            <x14:dxf>
              <fill>
                <patternFill>
                  <bgColor theme="0" tint="-0.14996795556505021"/>
                </patternFill>
              </fill>
            </x14:dxf>
          </x14:cfRule>
          <xm:sqref>H57</xm:sqref>
        </x14:conditionalFormatting>
        <x14:conditionalFormatting xmlns:xm="http://schemas.microsoft.com/office/excel/2006/main">
          <x14:cfRule type="expression" priority="2" id="{C1BE4E7D-8443-41F3-BAEF-56DEE7B9F4BD}">
            <xm:f>$H$58=Formeln!$G$63</xm:f>
            <x14:dxf>
              <fill>
                <patternFill>
                  <bgColor theme="0" tint="-0.14996795556505021"/>
                </patternFill>
              </fill>
            </x14:dxf>
          </x14:cfRule>
          <xm:sqref>H58</xm:sqref>
        </x14:conditionalFormatting>
        <x14:conditionalFormatting xmlns:xm="http://schemas.microsoft.com/office/excel/2006/main">
          <x14:cfRule type="expression" priority="151" id="{C0E41FEC-6A56-4091-AF1C-75A5D7739B8A}">
            <xm:f>$H$35=Formeln!$A$1</xm:f>
            <x14:dxf>
              <fill>
                <patternFill>
                  <bgColor theme="0" tint="-0.14996795556505021"/>
                </patternFill>
              </fill>
            </x14:dxf>
          </x14:cfRule>
          <xm:sqref>H36:K36</xm:sqref>
        </x14:conditionalFormatting>
        <x14:conditionalFormatting xmlns:xm="http://schemas.microsoft.com/office/excel/2006/main">
          <x14:cfRule type="expression" priority="150" id="{E757A1E3-5CA9-4CD9-9D92-1583C8D523A6}">
            <xm:f>$H$38=Formeln!$A$1</xm:f>
            <x14:dxf>
              <fill>
                <patternFill>
                  <bgColor theme="0" tint="-0.14996795556505021"/>
                </patternFill>
              </fill>
            </x14:dxf>
          </x14:cfRule>
          <xm:sqref>H39:K39</xm:sqref>
        </x14:conditionalFormatting>
        <x14:conditionalFormatting xmlns:xm="http://schemas.microsoft.com/office/excel/2006/main">
          <x14:cfRule type="expression" priority="145" id="{A15B254A-4C3C-4540-9FEC-2C8CF1177BB5}">
            <xm:f>$H$49=Formeln!$A$1</xm:f>
            <x14:dxf>
              <fill>
                <patternFill>
                  <bgColor theme="0" tint="-0.14996795556505021"/>
                </patternFill>
              </fill>
            </x14:dxf>
          </x14:cfRule>
          <xm:sqref>H50:K50</xm:sqref>
        </x14:conditionalFormatting>
        <x14:conditionalFormatting xmlns:xm="http://schemas.microsoft.com/office/excel/2006/main">
          <x14:cfRule type="expression" priority="2184" id="{A525175A-23F9-46DB-A0A7-96A81F99A0B4}">
            <xm:f>$I$105=Formeln!$A$1</xm:f>
            <x14:dxf>
              <fill>
                <patternFill>
                  <bgColor theme="0" tint="-0.14996795556505021"/>
                </patternFill>
              </fill>
            </x14:dxf>
          </x14:cfRule>
          <xm:sqref>I103:K103</xm:sqref>
        </x14:conditionalFormatting>
        <x14:conditionalFormatting xmlns:xm="http://schemas.microsoft.com/office/excel/2006/main">
          <x14:cfRule type="expression" priority="107" id="{A5685C31-61DD-4BB1-89F6-35DE2FF0DD8C}">
            <xm:f>$J56=Formeln!$A$1</xm:f>
            <x14:dxf>
              <fill>
                <patternFill>
                  <bgColor theme="0" tint="-0.14996795556505021"/>
                </patternFill>
              </fill>
            </x14:dxf>
          </x14:cfRule>
          <xm:sqref>J56:K58</xm:sqref>
        </x14:conditionalFormatting>
        <x14:conditionalFormatting xmlns:xm="http://schemas.microsoft.com/office/excel/2006/main">
          <x14:cfRule type="expression" priority="3" id="{5551A1CA-668B-4E5F-BBE9-B804B31BE2D7}">
            <xm:f>Info!$V$7=8</xm:f>
            <x14:dxf>
              <font>
                <color theme="1"/>
              </font>
              <border>
                <left style="thin">
                  <color auto="1"/>
                </left>
                <right style="thin">
                  <color auto="1"/>
                </right>
                <top style="thin">
                  <color auto="1"/>
                </top>
                <bottom style="thin">
                  <color auto="1"/>
                </bottom>
                <vertical/>
                <horizontal/>
              </border>
            </x14:dxf>
          </x14:cfRule>
          <xm:sqref>O30:O104</xm:sqref>
        </x14:conditionalFormatting>
        <x14:conditionalFormatting xmlns:xm="http://schemas.microsoft.com/office/excel/2006/main">
          <x14:cfRule type="expression" priority="172" id="{01395D4B-4B97-483B-A325-54B716139D1E}">
            <xm:f>Info!$V$7=8</xm:f>
            <x14:dxf>
              <font>
                <color theme="1"/>
              </font>
              <border>
                <bottom style="thin">
                  <color auto="1"/>
                </bottom>
              </border>
            </x14:dxf>
          </x14:cfRule>
          <xm:sqref>O109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DF2738BE-80F5-4826-9937-3FD10AE89560}">
          <x14:formula1>
            <xm:f>Formeln!$A$30:$A$51</xm:f>
          </x14:formula1>
          <xm:sqref>J56:K56</xm:sqref>
        </x14:dataValidation>
        <x14:dataValidation type="list" allowBlank="1" showInputMessage="1" showErrorMessage="1" xr:uid="{54A9E5E5-5DC6-4364-B6A9-47487A18771E}">
          <x14:formula1>
            <xm:f>Formeln!$A$20:$A$22</xm:f>
          </x14:formula1>
          <xm:sqref>H50:K50</xm:sqref>
        </x14:dataValidation>
        <x14:dataValidation type="list" allowBlank="1" showInputMessage="1" showErrorMessage="1" xr:uid="{881DDDCD-654B-4965-930A-7090C93A9F33}">
          <x14:formula1>
            <xm:f>Formeln!$A$17:$A$19</xm:f>
          </x14:formula1>
          <xm:sqref>H49:K49</xm:sqref>
        </x14:dataValidation>
        <x14:dataValidation type="list" allowBlank="1" showInputMessage="1" showErrorMessage="1" xr:uid="{07309B90-1335-4C7F-8BBD-BCA2FB1D87C4}">
          <x14:formula1>
            <xm:f>Formeln!$A$9:$A$15</xm:f>
          </x14:formula1>
          <xm:sqref>H39:K39</xm:sqref>
        </x14:dataValidation>
        <x14:dataValidation type="list" allowBlank="1" showInputMessage="1" showErrorMessage="1" xr:uid="{DC6508D7-335E-46BC-AD45-95E438CAC62A}">
          <x14:formula1>
            <xm:f>Formeln!$A$5:$A$8</xm:f>
          </x14:formula1>
          <xm:sqref>H37:K37</xm:sqref>
        </x14:dataValidation>
        <x14:dataValidation type="list" allowBlank="1" showInputMessage="1" showErrorMessage="1" xr:uid="{15884244-156D-438E-9D92-F6202B3A2682}">
          <x14:formula1>
            <xm:f>Formeln!$A$1:$A$4</xm:f>
          </x14:formula1>
          <xm:sqref>H36:K36</xm:sqref>
        </x14:dataValidation>
        <x14:dataValidation type="list" allowBlank="1" showInputMessage="1" showErrorMessage="1" xr:uid="{24C49D23-D07F-4806-8809-C4270AD59F44}">
          <x14:formula1>
            <xm:f>Formeln!$A$52:$A$103</xm:f>
          </x14:formula1>
          <xm:sqref>J57:K57</xm:sqref>
        </x14:dataValidation>
        <x14:dataValidation type="list" allowBlank="1" showInputMessage="1" showErrorMessage="1" xr:uid="{2886ACBB-282D-4966-8230-B14F9A0E145A}">
          <x14:formula1>
            <xm:f>Formeln!$C$52:$C$111</xm:f>
          </x14:formula1>
          <xm:sqref>J58:K58</xm:sqref>
        </x14:dataValidation>
        <x14:dataValidation type="list" allowBlank="1" showInputMessage="1" showErrorMessage="1" xr:uid="{567B3DF0-78C3-4E8E-979D-557909D85433}">
          <x14:formula1>
            <xm:f>Formeln!$B$17:$B$19</xm:f>
          </x14:formula1>
          <xm:sqref>H48:K48</xm:sqref>
        </x14:dataValidation>
        <x14:dataValidation type="list" allowBlank="1" showInputMessage="1" showErrorMessage="1" xr:uid="{8BECD319-6682-4966-9518-21D23F00C089}">
          <x14:formula1>
            <xm:f>Formeln!$A$106:$A$110</xm:f>
          </x14:formula1>
          <xm:sqref>I103:K103</xm:sqref>
        </x14:dataValidation>
        <x14:dataValidation type="list" allowBlank="1" showInputMessage="1" showErrorMessage="1" xr:uid="{6195A89C-8777-43A3-A7B7-1416445C5065}">
          <x14:formula1>
            <xm:f>Formeln!$G$63:$G$65</xm:f>
          </x14:formula1>
          <xm:sqref>H57:H58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PJ126"/>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16" width="9.6640625" style="1" customWidth="1"/>
    <col min="17" max="25" width="9.6640625" style="1" hidden="1" customWidth="1"/>
    <col min="26" max="27" width="8.6640625" style="5" hidden="1" customWidth="1"/>
    <col min="28" max="28" width="2.6640625" style="5" hidden="1" customWidth="1"/>
    <col min="29" max="29" width="30.6640625" style="9" hidden="1" customWidth="1"/>
    <col min="30" max="30" width="26" style="9" hidden="1" customWidth="1"/>
    <col min="31" max="31" width="26" style="1" hidden="1" customWidth="1"/>
    <col min="32" max="16384" width="11.6640625" style="1" hidden="1"/>
  </cols>
  <sheetData>
    <row r="1" spans="1:31" ht="28.2">
      <c r="N1" s="2" t="str">
        <f>VLOOKUP(279,Sprachindex!$A:$Z,Info!$O$7,FALSE)</f>
        <v>Dachsysteme</v>
      </c>
      <c r="O1" s="2"/>
      <c r="P1" s="2"/>
      <c r="Q1" s="2"/>
      <c r="R1" s="2"/>
      <c r="S1" s="2"/>
      <c r="T1" s="2"/>
      <c r="U1" s="2"/>
      <c r="V1" s="2"/>
      <c r="W1" s="2"/>
      <c r="X1" s="2"/>
      <c r="Y1" s="2"/>
    </row>
    <row r="2" spans="1:31" ht="28.2">
      <c r="D2" s="18"/>
      <c r="N2" s="2" t="str">
        <f>VLOOKUP(260,Sprachindex!$A:$Z,Info!$O$7,FALSE)</f>
        <v>Dachpaneel FX.12</v>
      </c>
      <c r="O2" s="2"/>
      <c r="P2" s="2"/>
      <c r="Q2" s="2"/>
      <c r="R2" s="2"/>
      <c r="S2" s="2"/>
      <c r="T2" s="2"/>
      <c r="U2" s="2"/>
      <c r="V2" s="2"/>
      <c r="W2" s="2"/>
      <c r="X2" s="2"/>
      <c r="Y2" s="2"/>
    </row>
    <row r="3" spans="1:31" ht="15" customHeight="1"/>
    <row r="4" spans="1:31" ht="17.25" customHeight="1">
      <c r="N4" s="186"/>
      <c r="O4" s="186"/>
      <c r="P4" s="186"/>
      <c r="Q4" s="186"/>
      <c r="R4" s="186"/>
      <c r="S4" s="186"/>
      <c r="T4" s="186"/>
      <c r="U4" s="186"/>
      <c r="V4" s="186"/>
      <c r="W4" s="186"/>
      <c r="X4" s="186"/>
      <c r="Y4" s="186"/>
      <c r="AE4" s="3"/>
    </row>
    <row r="5" spans="1:31" ht="17.25" customHeight="1">
      <c r="N5" s="186"/>
      <c r="O5" s="186"/>
      <c r="P5" s="186"/>
      <c r="Q5" s="186"/>
      <c r="R5" s="186"/>
      <c r="S5" s="186"/>
      <c r="T5" s="186"/>
      <c r="U5" s="186"/>
      <c r="V5" s="186"/>
      <c r="W5" s="186"/>
      <c r="X5" s="186"/>
      <c r="Y5" s="186"/>
      <c r="AE5" s="3"/>
    </row>
    <row r="6" spans="1:31" ht="17.25" customHeight="1">
      <c r="N6" s="186"/>
      <c r="O6" s="100"/>
      <c r="P6" s="100"/>
      <c r="Q6" s="186"/>
      <c r="R6" s="186"/>
      <c r="S6" s="186"/>
      <c r="T6" s="186"/>
      <c r="U6" s="186"/>
      <c r="V6" s="186"/>
      <c r="W6" s="186"/>
      <c r="X6" s="186"/>
      <c r="Y6" s="186"/>
      <c r="Z6" s="50">
        <v>0</v>
      </c>
      <c r="AA6" s="50"/>
      <c r="AB6" s="50"/>
      <c r="AE6" s="3"/>
    </row>
    <row r="7" spans="1:31" ht="17.25" customHeight="1">
      <c r="N7" s="186"/>
      <c r="O7" s="100"/>
      <c r="P7" s="100"/>
      <c r="Q7" s="554"/>
      <c r="R7" s="554"/>
      <c r="S7" s="554"/>
      <c r="T7" s="554"/>
      <c r="U7" s="554"/>
      <c r="V7" s="554"/>
      <c r="W7" s="554"/>
      <c r="X7" s="554"/>
      <c r="Y7" s="554"/>
      <c r="Z7" s="551"/>
      <c r="AA7" s="551"/>
      <c r="AB7" s="50"/>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499"/>
      <c r="R8" s="499"/>
      <c r="S8" s="499"/>
      <c r="T8" s="499"/>
      <c r="U8" s="499"/>
      <c r="V8" s="499"/>
      <c r="W8" s="499"/>
      <c r="X8" s="499"/>
      <c r="Y8" s="499"/>
      <c r="Z8" s="267"/>
      <c r="AA8" s="267"/>
      <c r="AD8" s="10"/>
    </row>
    <row r="9" spans="1:31" ht="15" customHeight="1">
      <c r="A9" s="67"/>
      <c r="B9" s="71" t="str">
        <f>VLOOKUP(622,Sprachindex!$A:$Z,Info!$O$7,FALSE)</f>
        <v>Name:</v>
      </c>
      <c r="C9" s="615"/>
      <c r="D9" s="616"/>
      <c r="E9" s="617"/>
      <c r="F9" s="67"/>
      <c r="G9" s="82" t="str">
        <f>VLOOKUP(638,Sprachindex!$A:$Z,Info!$O$7,FALSE)</f>
        <v>Oberfläche:</v>
      </c>
      <c r="H9" s="67"/>
      <c r="I9" s="88"/>
      <c r="J9" s="66"/>
      <c r="K9" s="67"/>
      <c r="L9" s="66" t="str">
        <f>VLOOKUP(433,Sprachindex!$A:$Z,Info!$O$7,FALSE)</f>
        <v>glatt</v>
      </c>
      <c r="M9" s="67"/>
      <c r="N9" s="67"/>
      <c r="O9" s="68"/>
      <c r="P9" s="94">
        <v>1</v>
      </c>
      <c r="Q9" s="499"/>
      <c r="R9" s="499"/>
      <c r="S9" s="499"/>
      <c r="T9" s="499"/>
      <c r="U9" s="499"/>
      <c r="V9" s="499"/>
      <c r="W9" s="499"/>
      <c r="X9" s="499"/>
      <c r="Y9" s="499"/>
      <c r="Z9" s="501"/>
      <c r="AA9" s="501"/>
      <c r="AB9" s="51"/>
      <c r="AC9" s="11"/>
      <c r="AE9" s="4"/>
    </row>
    <row r="10" spans="1:31" ht="15" customHeight="1">
      <c r="A10" s="67"/>
      <c r="B10" s="71" t="str">
        <f>VLOOKUP(884,Sprachindex!$A:$Z,Info!$O$7,FALSE)</f>
        <v>Straße:</v>
      </c>
      <c r="C10" s="615"/>
      <c r="D10" s="616"/>
      <c r="E10" s="617"/>
      <c r="F10" s="67"/>
      <c r="G10" s="67"/>
      <c r="H10" s="67"/>
      <c r="I10" s="67"/>
      <c r="J10" s="68">
        <v>1</v>
      </c>
      <c r="K10" s="67"/>
      <c r="L10" s="67"/>
      <c r="M10" s="67"/>
      <c r="N10" s="67"/>
      <c r="O10" s="68"/>
      <c r="P10" s="68"/>
      <c r="Q10" s="499"/>
      <c r="R10" s="499"/>
      <c r="S10" s="499"/>
      <c r="T10" s="499"/>
      <c r="U10" s="499"/>
      <c r="V10" s="499"/>
      <c r="W10" s="499"/>
      <c r="X10" s="499"/>
      <c r="Y10" s="499"/>
      <c r="Z10" s="267"/>
      <c r="AA10" s="267"/>
      <c r="AE10" s="4"/>
    </row>
    <row r="11" spans="1:31"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68"/>
      <c r="P11" s="94">
        <v>0</v>
      </c>
      <c r="Q11" s="499"/>
      <c r="R11" s="499"/>
      <c r="S11" s="499"/>
      <c r="T11" s="499"/>
      <c r="U11" s="499"/>
      <c r="V11" s="499"/>
      <c r="W11" s="499"/>
      <c r="X11" s="499"/>
      <c r="Y11" s="499"/>
      <c r="Z11" s="501"/>
      <c r="AA11" s="501"/>
      <c r="AB11" s="51"/>
      <c r="AC11" s="11"/>
      <c r="AE11" s="4"/>
    </row>
    <row r="12" spans="1:31" ht="15" customHeight="1">
      <c r="A12" s="67"/>
      <c r="B12" s="67"/>
      <c r="C12" s="67"/>
      <c r="D12" s="67"/>
      <c r="E12" s="67"/>
      <c r="F12" s="67"/>
      <c r="G12" s="67"/>
      <c r="H12" s="67"/>
      <c r="I12" s="71"/>
      <c r="J12" s="68">
        <v>1</v>
      </c>
      <c r="K12" s="67"/>
      <c r="L12" s="67"/>
      <c r="M12" s="67"/>
      <c r="N12" s="67"/>
      <c r="O12" s="68"/>
      <c r="P12" s="68"/>
      <c r="Q12" s="499"/>
      <c r="R12" s="499"/>
      <c r="S12" s="499"/>
      <c r="T12" s="499"/>
      <c r="U12" s="499"/>
      <c r="V12" s="499"/>
      <c r="W12" s="499"/>
      <c r="X12" s="499"/>
      <c r="Y12" s="499"/>
      <c r="Z12" s="267"/>
      <c r="AA12" s="267"/>
    </row>
    <row r="13" spans="1:31"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8"/>
      <c r="P13" s="68"/>
      <c r="Q13" s="499"/>
      <c r="R13" s="499"/>
      <c r="S13" s="499"/>
      <c r="T13" s="499"/>
      <c r="U13" s="499"/>
      <c r="V13" s="499"/>
      <c r="W13" s="499"/>
      <c r="X13" s="499"/>
      <c r="Y13" s="499"/>
      <c r="Z13" s="551">
        <v>0</v>
      </c>
      <c r="AA13" s="551"/>
      <c r="AB13" s="50"/>
      <c r="AC13" s="12"/>
      <c r="AE13" s="4"/>
    </row>
    <row r="14" spans="1:31" ht="15" customHeight="1">
      <c r="A14" s="67"/>
      <c r="B14" s="71" t="str">
        <f>VLOOKUP(901,Sprachindex!$A:$Z,Info!$O$7,FALSE)</f>
        <v>Telefon:</v>
      </c>
      <c r="C14" s="615"/>
      <c r="D14" s="616"/>
      <c r="E14" s="617"/>
      <c r="F14" s="67"/>
      <c r="G14" s="67"/>
      <c r="H14" s="67"/>
      <c r="I14" s="67"/>
      <c r="J14" s="67"/>
      <c r="K14" s="67"/>
      <c r="L14" s="67"/>
      <c r="M14" s="67"/>
      <c r="N14" s="67"/>
      <c r="O14" s="68"/>
      <c r="P14" s="68"/>
      <c r="Q14" s="499"/>
      <c r="R14" s="499"/>
      <c r="S14" s="499"/>
      <c r="T14" s="499"/>
      <c r="U14" s="499"/>
      <c r="V14" s="499"/>
      <c r="W14" s="499"/>
      <c r="X14" s="499"/>
      <c r="Y14" s="499"/>
      <c r="Z14" s="267"/>
      <c r="AA14" s="267"/>
      <c r="AE14" s="4"/>
    </row>
    <row r="15" spans="1:31"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68"/>
      <c r="P15" s="68"/>
      <c r="Q15" s="499"/>
      <c r="R15" s="499"/>
      <c r="S15" s="499"/>
      <c r="T15" s="499"/>
      <c r="U15" s="499"/>
      <c r="V15" s="499"/>
      <c r="W15" s="499"/>
      <c r="X15" s="499"/>
      <c r="Y15" s="499"/>
      <c r="Z15" s="267"/>
      <c r="AA15" s="267"/>
      <c r="AE15" s="4"/>
    </row>
    <row r="16" spans="1:31"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8"/>
      <c r="P16" s="68"/>
      <c r="Q16" s="499"/>
      <c r="R16" s="499"/>
      <c r="S16" s="499"/>
      <c r="T16" s="499"/>
      <c r="U16" s="499"/>
      <c r="V16" s="499"/>
      <c r="W16" s="499"/>
      <c r="X16" s="499"/>
      <c r="Y16" s="499"/>
      <c r="Z16" s="267"/>
      <c r="AA16" s="267"/>
    </row>
    <row r="17" spans="1:53"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8"/>
      <c r="P17" s="68"/>
      <c r="Q17" s="499"/>
      <c r="R17" s="499"/>
      <c r="S17" s="499"/>
      <c r="T17" s="499"/>
      <c r="U17" s="499"/>
      <c r="V17" s="499"/>
      <c r="W17" s="499"/>
      <c r="X17" s="499"/>
      <c r="Y17" s="499"/>
      <c r="Z17" s="267"/>
      <c r="AA17" s="267"/>
      <c r="AD17" s="10"/>
    </row>
    <row r="18" spans="1:53" ht="15" customHeight="1">
      <c r="A18" s="67"/>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M18" s="67"/>
      <c r="N18" s="67"/>
      <c r="O18" s="68"/>
      <c r="P18" s="68"/>
      <c r="Q18" s="499"/>
      <c r="R18" s="499"/>
      <c r="S18" s="499"/>
      <c r="T18" s="499"/>
      <c r="U18" s="499"/>
      <c r="V18" s="499"/>
      <c r="W18" s="499"/>
      <c r="X18" s="499"/>
      <c r="Y18" s="499"/>
      <c r="Z18" s="170"/>
      <c r="AA18" s="170"/>
      <c r="AB18" s="14"/>
      <c r="AE18" s="4"/>
    </row>
    <row r="19" spans="1:53" ht="15" customHeight="1">
      <c r="A19" s="67"/>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M19" s="67"/>
      <c r="N19" s="67"/>
      <c r="O19" s="68"/>
      <c r="P19" s="68"/>
      <c r="Q19" s="499"/>
      <c r="R19" s="499"/>
      <c r="S19" s="499"/>
      <c r="T19" s="499"/>
      <c r="U19" s="499"/>
      <c r="V19" s="499"/>
      <c r="W19" s="499"/>
      <c r="X19" s="499"/>
      <c r="Y19" s="499"/>
      <c r="Z19" s="267"/>
      <c r="AA19" s="267"/>
      <c r="AE19" s="4"/>
    </row>
    <row r="20" spans="1:53" ht="15" customHeight="1">
      <c r="A20" s="67"/>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M20" s="67"/>
      <c r="N20" s="67"/>
      <c r="O20" s="68"/>
      <c r="P20" s="68"/>
      <c r="Q20" s="499"/>
      <c r="R20" s="499"/>
      <c r="S20" s="499"/>
      <c r="T20" s="499"/>
      <c r="U20" s="499"/>
      <c r="V20" s="499"/>
      <c r="W20" s="499"/>
      <c r="X20" s="499"/>
      <c r="Y20" s="499"/>
      <c r="Z20" s="267"/>
      <c r="AA20" s="267"/>
      <c r="AE20" s="4"/>
      <c r="AG20" s="35"/>
      <c r="AH20" s="35"/>
    </row>
    <row r="21" spans="1:53" ht="15" customHeight="1">
      <c r="A21" s="67"/>
      <c r="B21" s="71" t="str">
        <f>VLOOKUP(641,Sprachindex!$A:$Z,Info!$O$7,FALSE)</f>
        <v>Ort:</v>
      </c>
      <c r="C21" s="615"/>
      <c r="D21" s="616"/>
      <c r="E21" s="617"/>
      <c r="F21" s="67"/>
      <c r="G21" s="67" t="str">
        <f>VLOOKUP(35,Sprachindex!$A:$Z,Info!$O$7,FALSE)</f>
        <v>06 P.10 Moosgrün</v>
      </c>
      <c r="H21" s="67"/>
      <c r="I21" s="90"/>
      <c r="J21" s="91"/>
      <c r="K21" s="91"/>
      <c r="L21" s="67"/>
      <c r="M21" s="67"/>
      <c r="N21" s="67"/>
      <c r="O21" s="52"/>
      <c r="P21" s="605">
        <v>0</v>
      </c>
      <c r="Q21" s="147"/>
      <c r="R21" s="147"/>
      <c r="S21" s="147"/>
      <c r="T21" s="147"/>
      <c r="U21" s="499"/>
      <c r="V21" s="499"/>
      <c r="W21" s="499"/>
      <c r="X21" s="499"/>
      <c r="Y21" s="499"/>
      <c r="Z21" s="551"/>
      <c r="AA21" s="551"/>
      <c r="AB21" s="50"/>
      <c r="AE21" s="4"/>
    </row>
    <row r="22" spans="1:53" ht="15" customHeight="1">
      <c r="A22" s="67"/>
      <c r="B22" s="71"/>
      <c r="C22" s="67"/>
      <c r="D22" s="67"/>
      <c r="E22" s="67"/>
      <c r="F22" s="67"/>
      <c r="G22" s="67"/>
      <c r="H22" s="67"/>
      <c r="I22" s="90"/>
      <c r="J22" s="91"/>
      <c r="K22" s="91"/>
      <c r="L22" s="67"/>
      <c r="M22" s="67"/>
      <c r="N22" s="67"/>
      <c r="O22" s="68"/>
      <c r="P22" s="68"/>
      <c r="Q22" s="499"/>
      <c r="R22" s="499"/>
      <c r="S22" s="499"/>
      <c r="T22" s="499"/>
      <c r="U22" s="499"/>
      <c r="V22" s="499"/>
      <c r="W22" s="499"/>
      <c r="X22" s="499"/>
      <c r="Y22" s="499"/>
      <c r="Z22" s="551"/>
      <c r="AA22" s="551"/>
      <c r="AB22" s="50"/>
      <c r="AD22" s="142"/>
      <c r="AE22" s="172"/>
    </row>
    <row r="23" spans="1:53"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499"/>
      <c r="R23" s="499"/>
      <c r="S23" s="499"/>
      <c r="T23" s="499"/>
      <c r="U23" s="499"/>
      <c r="V23" s="499"/>
      <c r="W23" s="499"/>
      <c r="X23" s="499"/>
      <c r="Y23" s="499"/>
      <c r="Z23" s="499"/>
      <c r="AA23" s="499"/>
      <c r="AB23" s="68"/>
      <c r="AC23" s="52"/>
      <c r="AD23" s="142"/>
      <c r="AE23" s="172"/>
    </row>
    <row r="24" spans="1:53" s="5" customFormat="1" ht="15" customHeight="1">
      <c r="A24" s="1"/>
      <c r="B24" s="640" t="str">
        <f>VLOOKUP(1430,Sprachindex!$A:$Z,Info!$O$7,FALSE)</f>
        <v>Beschreibung</v>
      </c>
      <c r="C24" s="615"/>
      <c r="D24" s="616"/>
      <c r="E24" s="617"/>
      <c r="F24" s="67"/>
      <c r="G24" s="83"/>
      <c r="H24" s="71" t="str">
        <f>VLOOKUP(1429,Sprachindex!$A:$Z,Info!$O$7,FALSE)</f>
        <v>Bearbeiter:</v>
      </c>
      <c r="I24" s="415"/>
      <c r="J24" s="67"/>
      <c r="K24" s="67"/>
      <c r="L24" s="67"/>
      <c r="M24" s="67"/>
      <c r="N24" s="67"/>
      <c r="O24" s="68"/>
      <c r="P24" s="68"/>
      <c r="Q24" s="499"/>
      <c r="R24" s="499"/>
      <c r="S24" s="499"/>
      <c r="T24" s="499"/>
      <c r="U24" s="499"/>
      <c r="V24" s="499"/>
      <c r="W24" s="499"/>
      <c r="X24" s="499"/>
      <c r="Y24" s="499"/>
      <c r="Z24" s="499"/>
      <c r="AA24" s="499"/>
      <c r="AB24" s="68"/>
      <c r="AC24" s="52"/>
      <c r="AD24" s="52"/>
      <c r="AE24" s="14"/>
    </row>
    <row r="25" spans="1:53" s="5" customFormat="1" ht="15" customHeight="1">
      <c r="A25" s="1"/>
      <c r="B25" s="640"/>
      <c r="C25" s="615"/>
      <c r="D25" s="616"/>
      <c r="E25" s="617"/>
      <c r="F25" s="67"/>
      <c r="G25" s="83"/>
      <c r="H25" s="71" t="str">
        <f>VLOOKUP(2243,Sprachindex!$A:$Z,Info!$O$7,FALSE)</f>
        <v>Projekt-ID:</v>
      </c>
      <c r="I25" s="415"/>
      <c r="J25" s="67"/>
      <c r="K25" s="67"/>
      <c r="L25" s="67"/>
      <c r="M25" s="67"/>
      <c r="N25" s="67"/>
      <c r="O25" s="67"/>
      <c r="P25" s="67"/>
      <c r="Q25" s="67"/>
      <c r="R25" s="67"/>
      <c r="S25" s="67"/>
      <c r="T25" s="67"/>
      <c r="U25" s="67"/>
      <c r="V25" s="67"/>
      <c r="W25" s="67"/>
      <c r="X25" s="67"/>
      <c r="Y25" s="67"/>
      <c r="Z25" s="499"/>
      <c r="AA25" s="68"/>
      <c r="AB25" s="68"/>
      <c r="AC25" s="52"/>
      <c r="AD25" s="52"/>
      <c r="AE25" s="170"/>
    </row>
    <row r="26" spans="1:53" s="5" customFormat="1" ht="15" customHeight="1">
      <c r="A26" s="1"/>
      <c r="B26" s="640"/>
      <c r="C26" s="615"/>
      <c r="D26" s="616"/>
      <c r="E26" s="617"/>
      <c r="F26" s="67"/>
      <c r="G26" s="83"/>
      <c r="H26" s="71" t="str">
        <f>VLOOKUP(286,Sprachindex!$A:$Z,Info!$O$7,FALSE)</f>
        <v>Datum:</v>
      </c>
      <c r="I26" s="483">
        <f ca="1">TODAY()</f>
        <v>45770</v>
      </c>
      <c r="J26" s="67"/>
      <c r="K26" s="67"/>
      <c r="L26" s="67"/>
      <c r="M26" s="67"/>
      <c r="N26" s="67"/>
      <c r="O26" s="67"/>
      <c r="P26" s="67"/>
      <c r="Q26" s="67"/>
      <c r="R26" s="67"/>
      <c r="S26" s="67"/>
      <c r="T26" s="67"/>
      <c r="U26" s="67"/>
      <c r="V26" s="67"/>
      <c r="W26" s="67"/>
      <c r="X26" s="67"/>
      <c r="Y26" s="67"/>
      <c r="Z26" s="499"/>
      <c r="AA26" s="68"/>
      <c r="AB26" s="68"/>
      <c r="AC26" s="52"/>
      <c r="AD26" s="52"/>
      <c r="AE26" s="14"/>
    </row>
    <row r="27" spans="1:53" s="5" customFormat="1" ht="15" customHeight="1">
      <c r="A27" s="1"/>
      <c r="B27" s="640"/>
      <c r="C27" s="615"/>
      <c r="D27" s="616"/>
      <c r="E27" s="617"/>
      <c r="F27" s="67"/>
      <c r="L27" s="67"/>
      <c r="M27" s="67"/>
      <c r="N27" s="67"/>
      <c r="O27" s="67"/>
      <c r="P27" s="67"/>
      <c r="Q27" s="67"/>
      <c r="R27" s="67"/>
      <c r="S27" s="67"/>
      <c r="T27" s="67"/>
      <c r="U27" s="67"/>
      <c r="V27" s="67"/>
      <c r="W27" s="67"/>
      <c r="X27" s="67"/>
      <c r="Y27" s="67"/>
      <c r="Z27" s="499"/>
      <c r="AA27" s="68"/>
      <c r="AB27" s="68"/>
      <c r="AC27" s="52"/>
      <c r="AD27" s="52"/>
      <c r="AE27" s="14"/>
    </row>
    <row r="28" spans="1:53"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AE28" s="4"/>
    </row>
    <row r="29" spans="1:53" ht="15" customHeight="1" thickBot="1">
      <c r="A29" s="95" t="str">
        <f>VLOOKUP(392,Sprachindex!$A:$Z,Info!$O$7,FALSE)</f>
        <v>Filter:</v>
      </c>
      <c r="B29" s="633"/>
      <c r="C29" s="633"/>
      <c r="D29" s="633"/>
      <c r="E29" s="633"/>
      <c r="F29" s="67"/>
      <c r="G29" s="67"/>
      <c r="H29" s="67"/>
      <c r="I29" s="67"/>
      <c r="J29" s="67"/>
      <c r="K29" s="67"/>
      <c r="L29" s="67"/>
      <c r="M29" s="67"/>
      <c r="N29" s="67"/>
      <c r="O29" s="67"/>
      <c r="P29" s="67"/>
      <c r="Q29" s="67"/>
      <c r="R29" s="67"/>
      <c r="S29" s="67"/>
      <c r="T29" s="67"/>
      <c r="U29" s="67"/>
      <c r="V29" s="67"/>
      <c r="W29" s="67"/>
      <c r="X29" s="67"/>
      <c r="Y29" s="67"/>
      <c r="AD29" s="627" t="s">
        <v>25</v>
      </c>
      <c r="AE29" s="627"/>
    </row>
    <row r="30" spans="1:53"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C30" s="153" t="s">
        <v>30</v>
      </c>
      <c r="AD30" s="158" t="s">
        <v>31</v>
      </c>
      <c r="AH30" s="47" t="s">
        <v>35</v>
      </c>
      <c r="AI30" s="47" t="s">
        <v>32</v>
      </c>
      <c r="AJ30" s="47" t="s">
        <v>40</v>
      </c>
      <c r="AK30" s="47" t="s">
        <v>37</v>
      </c>
      <c r="AL30" s="47" t="s">
        <v>33</v>
      </c>
      <c r="AM30" s="47" t="s">
        <v>39</v>
      </c>
      <c r="AN30" s="47" t="s">
        <v>34</v>
      </c>
      <c r="AO30" s="47" t="s">
        <v>38</v>
      </c>
      <c r="AP30" s="47" t="s">
        <v>41</v>
      </c>
      <c r="AQ30" s="47" t="s">
        <v>36</v>
      </c>
      <c r="AR30" s="47" t="s">
        <v>38962</v>
      </c>
      <c r="AS30" s="503" t="s">
        <v>39049</v>
      </c>
      <c r="AT30" s="20"/>
      <c r="AU30" s="20"/>
      <c r="AV30" s="20"/>
      <c r="AW30" s="20"/>
      <c r="AX30" s="20"/>
      <c r="AY30" s="20"/>
      <c r="AZ30" s="20"/>
      <c r="BA30" s="67"/>
    </row>
    <row r="31" spans="1:53" ht="32.1" customHeight="1">
      <c r="A31" s="96"/>
      <c r="B31" s="74" t="str">
        <f>VLOOKUP(588,Sprachindex!$A:$Z,Info!$O$7,FALSE)</f>
        <v>m²</v>
      </c>
      <c r="C31" s="97"/>
      <c r="D31" s="75" t="str">
        <f>IF(ISNUMBER(A31),AS31,"")</f>
        <v/>
      </c>
      <c r="E31" s="665" t="str">
        <f>VLOOKUP(423,Sprachindex!$A:$Z,Info!$O$7,FALSE)</f>
        <v>Dachpaneel FX.12 groß (1.400 × 420 mm)</v>
      </c>
      <c r="F31" s="666"/>
      <c r="G31" s="666"/>
      <c r="H31" s="666"/>
      <c r="I31" s="666"/>
      <c r="J31" s="666"/>
      <c r="K31" s="667"/>
      <c r="L31" s="74" t="str">
        <f>IF(A31=0,"",IF($Z$11=1,AC31,AD31))</f>
        <v/>
      </c>
      <c r="M31" s="398" t="str">
        <f>B31</f>
        <v>m²</v>
      </c>
      <c r="N31" s="403"/>
      <c r="O31" s="184" t="str">
        <f>IF(ISNUMBER(A31), IF(O21=7, $L31*S31, $L31*R31), "")</f>
        <v/>
      </c>
      <c r="P31" s="5"/>
      <c r="Q31" s="5"/>
      <c r="R31" s="182">
        <v>60.12</v>
      </c>
      <c r="S31" s="182">
        <v>62.32</v>
      </c>
      <c r="T31" s="5"/>
      <c r="U31" s="5"/>
      <c r="V31" s="5"/>
      <c r="W31" s="5"/>
      <c r="X31" s="5"/>
      <c r="Y31" s="5"/>
      <c r="AC31" s="137">
        <f>ROUNDUP(A31/11.76,0)*11.76</f>
        <v>0</v>
      </c>
      <c r="AD31" s="171">
        <f>ROUNDUP(A31,0)</f>
        <v>0</v>
      </c>
      <c r="AH31" s="44">
        <v>120603</v>
      </c>
      <c r="AI31" s="44">
        <v>120600</v>
      </c>
      <c r="AJ31" s="44">
        <v>120610</v>
      </c>
      <c r="AK31" s="44">
        <v>120607</v>
      </c>
      <c r="AL31" s="44">
        <v>120601</v>
      </c>
      <c r="AM31" s="44">
        <v>120609</v>
      </c>
      <c r="AN31" s="44">
        <v>120602</v>
      </c>
      <c r="AO31" s="44">
        <v>120608</v>
      </c>
      <c r="AP31" s="44">
        <v>120611</v>
      </c>
      <c r="AQ31" s="44">
        <v>120604</v>
      </c>
      <c r="AR31" s="44">
        <v>13311028</v>
      </c>
      <c r="AS31" s="507" t="e" vm="2">
        <f>VLOOKUP(AH31,AH31:AR31,$P$21,FALSE)</f>
        <v>#VALUE!</v>
      </c>
    </row>
    <row r="32" spans="1:53" ht="32.1" customHeight="1">
      <c r="A32" s="93"/>
      <c r="B32" s="76" t="str">
        <f>VLOOKUP(588,Sprachindex!$A:$Z,Info!$O$7,FALSE)</f>
        <v>m²</v>
      </c>
      <c r="C32" s="75"/>
      <c r="D32" s="75" t="str">
        <f>IF(ISNUMBER(A32),AS32,"")</f>
        <v/>
      </c>
      <c r="E32" s="618" t="str">
        <f>VLOOKUP(422,Sprachindex!$A:$Z,Info!$O$7,FALSE)</f>
        <v>Dachpaneel FX.12 klein (700 × 420 mm)</v>
      </c>
      <c r="F32" s="619"/>
      <c r="G32" s="619"/>
      <c r="H32" s="619"/>
      <c r="I32" s="619"/>
      <c r="J32" s="619"/>
      <c r="K32" s="620"/>
      <c r="L32" s="76" t="str">
        <f>IF(A32=0,"",IF($Z$11=1,AC32,AD32))</f>
        <v/>
      </c>
      <c r="M32" s="399" t="str">
        <f t="shared" ref="M32:M71" si="0">B32</f>
        <v>m²</v>
      </c>
      <c r="N32" s="77"/>
      <c r="O32" s="184" t="str">
        <f>IF(ISNUMBER(A32), IF(O21=7, $L32*S32, $L32*R32), "")</f>
        <v/>
      </c>
      <c r="P32" s="5"/>
      <c r="Q32" s="5"/>
      <c r="R32" s="182">
        <v>60.12</v>
      </c>
      <c r="S32" s="182">
        <v>62.32</v>
      </c>
      <c r="T32" s="5"/>
      <c r="U32" s="5"/>
      <c r="V32" s="5"/>
      <c r="W32" s="5"/>
      <c r="X32" s="5"/>
      <c r="Y32" s="5"/>
      <c r="AC32" s="137">
        <f>ROUNDUP(A32/8.24,0)*8.24</f>
        <v>0</v>
      </c>
      <c r="AD32" s="171">
        <f>ROUNDUP(A32,0)</f>
        <v>0</v>
      </c>
      <c r="AH32" s="44">
        <v>120623</v>
      </c>
      <c r="AI32" s="44">
        <v>120620</v>
      </c>
      <c r="AJ32" s="44">
        <v>120619</v>
      </c>
      <c r="AK32" s="44">
        <v>120627</v>
      </c>
      <c r="AL32" s="44">
        <v>120621</v>
      </c>
      <c r="AM32" s="44">
        <v>120629</v>
      </c>
      <c r="AN32" s="44">
        <v>120622</v>
      </c>
      <c r="AO32" s="44">
        <v>120628</v>
      </c>
      <c r="AP32" s="44">
        <v>120618</v>
      </c>
      <c r="AQ32" s="44">
        <v>120624</v>
      </c>
      <c r="AR32" s="44">
        <v>13331028</v>
      </c>
      <c r="AS32" s="507" t="e" vm="2">
        <f>VLOOKUP(AH32,AH32:AR32,$P$21,FALSE)</f>
        <v>#VALUE!</v>
      </c>
    </row>
    <row r="33" spans="1:57" ht="32.1" customHeight="1">
      <c r="A33" s="93"/>
      <c r="B33" s="76" t="str">
        <f>VLOOKUP(1512,Sprachindex!$A:$Z,Info!$O$7,FALSE)</f>
        <v>lfm</v>
      </c>
      <c r="C33" s="75" t="e" vm="79">
        <v>#VALUE!</v>
      </c>
      <c r="D33" s="79">
        <v>562005</v>
      </c>
      <c r="E33" s="618" t="str">
        <f>VLOOKUP(768,Sprachindex!$A:$Z,Info!$O$7,FALSE)</f>
        <v>Saumstreifen (1.800 × 158 × 1,00 mm)</v>
      </c>
      <c r="F33" s="619"/>
      <c r="G33" s="619"/>
      <c r="H33" s="619"/>
      <c r="I33" s="619"/>
      <c r="J33" s="619"/>
      <c r="K33" s="620"/>
      <c r="L33" s="76" t="str">
        <f>IF(A33=0,"",IF($P$11=1,AC33,AD33))</f>
        <v/>
      </c>
      <c r="M33" s="399" t="str">
        <f t="shared" si="0"/>
        <v>lfm</v>
      </c>
      <c r="N33" s="77"/>
      <c r="O33" s="184" t="str">
        <f>IF(ISNUMBER(A33),$L33*R33, "")</f>
        <v/>
      </c>
      <c r="P33" s="5"/>
      <c r="Q33" s="5"/>
      <c r="R33" s="182">
        <v>6.74</v>
      </c>
      <c r="S33" s="179"/>
      <c r="T33" s="5"/>
      <c r="U33" s="5"/>
      <c r="V33" s="5"/>
      <c r="W33" s="5"/>
      <c r="X33" s="5"/>
      <c r="Y33" s="5"/>
      <c r="AC33" s="137">
        <f>ROUNDUP($A33/1.8,0)*1.8</f>
        <v>0</v>
      </c>
      <c r="AD33" s="137">
        <f>ROUNDUP($A33/1.8,0)*1.8</f>
        <v>0</v>
      </c>
    </row>
    <row r="34" spans="1:57" ht="32.1" customHeight="1">
      <c r="A34" s="93"/>
      <c r="B34" s="76" t="str">
        <f>VLOOKUP(531,Sprachindex!$A:$Z,Info!$O$7,FALSE)</f>
        <v>kg</v>
      </c>
      <c r="C34" s="75" t="e" vm="80">
        <v>#VALUE!</v>
      </c>
      <c r="D34" s="75" t="str" cm="1">
        <f t="array" ref="D34">_xlfn.IFS(H34=Formeln!$A$2,340392,H34=Formeln!$A$3,340394,H34=Formeln!$A$4,341392,TRUE,"")</f>
        <v/>
      </c>
      <c r="E34" s="618" t="str">
        <f>VLOOKUP(707,Sprachindex!$A:$Z,Info!$O$7,FALSE)</f>
        <v>Rillennagel (verzinkt)</v>
      </c>
      <c r="F34" s="619"/>
      <c r="G34" s="619"/>
      <c r="H34" s="624"/>
      <c r="I34" s="625"/>
      <c r="J34" s="625"/>
      <c r="K34" s="626"/>
      <c r="L34" s="76" t="str">
        <f>IF(A34=0,"",IF(H34=Formeln!$A$1,"",IF($P$11=1,AC34,AD34)))</f>
        <v/>
      </c>
      <c r="M34" s="399" t="str">
        <f t="shared" si="0"/>
        <v>kg</v>
      </c>
      <c r="N34" s="77"/>
      <c r="O34" s="184" t="str">
        <f>IF(ISNUMBER(A34),$L34*R34, "")</f>
        <v/>
      </c>
      <c r="P34" s="5"/>
      <c r="Q34" s="5"/>
      <c r="R34" s="182">
        <v>9.6300000000000008</v>
      </c>
      <c r="S34" s="179"/>
      <c r="T34" s="179"/>
      <c r="U34" s="5"/>
      <c r="V34" s="5"/>
      <c r="W34" s="5"/>
      <c r="X34" s="5"/>
      <c r="Y34" s="5"/>
      <c r="AC34" s="138">
        <f>IF(OR($H34=Formeln!$A$2,$H34=Formeln!$A$3),ROUNDUP($A34/2.5,0)*2.5,ROUNDUP($A34/2,0)*2)</f>
        <v>0</v>
      </c>
      <c r="AD34" s="138">
        <f>ROUNDUP($A34,2)</f>
        <v>0</v>
      </c>
      <c r="AF34" s="6">
        <f>IF(H34=Formeln!$A$2,570,IF(H34=Formeln!$A$3,480,IF(H34=Formeln!$A$4,380,0)))</f>
        <v>0</v>
      </c>
    </row>
    <row r="35" spans="1:57" ht="32.1" customHeight="1">
      <c r="A35" s="93"/>
      <c r="B35" s="76" t="str">
        <f>IF(A35&lt;2,VLOOKUP(748,Sprachindex!$A:$Z,Info!$O$7,FALSE),VLOOKUP(749,Sprachindex!$A:$Z,Info!$O$7,FALSE))</f>
        <v>Rolle</v>
      </c>
      <c r="C35" s="75" t="e" vm="8">
        <v>#VALUE!</v>
      </c>
      <c r="D35" s="78" t="str">
        <f>IF(H35=Formeln!$A$6,341395,IF(H35=Formeln!$A$7,341396,IF(H35=Formeln!$A$8,341398,"")))</f>
        <v/>
      </c>
      <c r="E35" s="618" t="str">
        <f>VLOOKUP(2186,Sprachindex!$A:$Z,Info!$O$7,FALSE)</f>
        <v>Rillennägel gebunden</v>
      </c>
      <c r="F35" s="619"/>
      <c r="G35" s="619"/>
      <c r="H35" s="624"/>
      <c r="I35" s="625"/>
      <c r="J35" s="625"/>
      <c r="K35" s="626"/>
      <c r="L35" s="134" t="str">
        <f>IF(OR(H35=Formeln!$A$6,H35=Formeln!$A$8),A35&amp;" "&amp;VLOOKUP(749,Sprachindex!$A:$Z,Info!$O$7,FALSE)&amp;" ("&amp;A35*3200&amp;" "&amp;VLOOKUP(878,Sprachindex!$A:$Z,Info!$O$7,FALSE)&amp;")",IF(H35=Formeln!$A$7,A35&amp;" "&amp;VLOOKUP(749,Sprachindex!$A:$Z,Info!$O$7,FALSE)&amp;" ("&amp;A35*2400&amp;" "&amp;VLOOKUP(878,Sprachindex!$A:$Z,Info!$O$7,FALSE)&amp;")",""))</f>
        <v/>
      </c>
      <c r="M35" s="161" t="str">
        <f>IF(A35&lt;2,VLOOKUP(748,Sprachindex!$A:$Z,Info!$O$7,FALSE),VLOOKUP(749,Sprachindex!$A:$Z,Info!$O$7,FALSE))</f>
        <v>Rolle</v>
      </c>
      <c r="N35" s="77"/>
      <c r="O35" s="204" t="str">
        <f>IF(ISNUMBER(A35),IF(H35=Formeln!A5,$AC35*S35/1000,IF(H35=Formeln!A4,$AC35*R35/1000,AC35*T35/1000))," ")</f>
        <v xml:space="preserve"> </v>
      </c>
      <c r="P35" s="267"/>
      <c r="Q35" s="5"/>
      <c r="R35" s="182">
        <v>31.5</v>
      </c>
      <c r="S35" s="182">
        <v>47.3</v>
      </c>
      <c r="T35" s="582">
        <v>66.3</v>
      </c>
      <c r="U35" s="179"/>
      <c r="V35" s="179"/>
      <c r="W35" s="179"/>
      <c r="X35" s="179"/>
      <c r="Y35" s="179"/>
      <c r="Z35" s="179"/>
      <c r="AA35" s="179"/>
      <c r="AB35" s="179"/>
      <c r="AC35" s="179" t="b">
        <f>IF(OR(H35=Formeln!$A$6,H35=Formeln!$A$8),A35*3200,IF(H35=Formeln!$A$7,A35*2400))</f>
        <v>0</v>
      </c>
      <c r="AD35" s="138">
        <f>IF(OR($H35=Formeln!$A$6,$H35=Formeln!$A$8),ROUNDUP($A35/3200,0)*3200,ROUNDUP($A35/2400,0)*2400)</f>
        <v>0</v>
      </c>
      <c r="AE35" s="139">
        <f>ROUNDUP($A35/1000,0)*1000</f>
        <v>0</v>
      </c>
      <c r="AF35" s="140">
        <f>IF($H35=Formeln!$A$7,2400,3200)</f>
        <v>3200</v>
      </c>
      <c r="AH35" s="47" t="s">
        <v>35</v>
      </c>
      <c r="AI35" s="47" t="s">
        <v>32</v>
      </c>
      <c r="AJ35" s="47" t="s">
        <v>40</v>
      </c>
      <c r="AK35" s="47" t="s">
        <v>37</v>
      </c>
      <c r="AL35" s="47" t="s">
        <v>33</v>
      </c>
      <c r="AM35" s="47" t="s">
        <v>39</v>
      </c>
      <c r="AN35" s="47" t="s">
        <v>34</v>
      </c>
      <c r="AO35" s="47" t="s">
        <v>38</v>
      </c>
      <c r="AP35" s="47" t="s">
        <v>41</v>
      </c>
      <c r="AQ35" s="47" t="s">
        <v>36</v>
      </c>
      <c r="AR35" s="47" t="s">
        <v>38962</v>
      </c>
      <c r="AS35" s="503" t="s">
        <v>39049</v>
      </c>
    </row>
    <row r="36" spans="1:57" ht="32.1" customHeight="1">
      <c r="A36" s="93"/>
      <c r="B36" s="76" t="str">
        <f>VLOOKUP(1512,Sprachindex!$A:$Z,Info!$O$7,FALSE)</f>
        <v>lfm</v>
      </c>
      <c r="C36" s="75" t="e" vm="81">
        <v>#VALUE!</v>
      </c>
      <c r="D36" s="75" t="str">
        <f>IF(ISNUMBER(A36),AS36,"")</f>
        <v/>
      </c>
      <c r="E36" s="618" t="str">
        <f>VLOOKUP(333,Sprachindex!$A:$Z,Info!$O$7,FALSE)</f>
        <v>Einlaufblech</v>
      </c>
      <c r="F36" s="619"/>
      <c r="G36" s="619"/>
      <c r="H36" s="619"/>
      <c r="I36" s="619"/>
      <c r="J36" s="619"/>
      <c r="K36" s="620"/>
      <c r="L36" s="76" t="str">
        <f>IF(A36=0,"",IF($P$11=1,AC36,AD36))</f>
        <v/>
      </c>
      <c r="M36" s="399" t="str">
        <f t="shared" si="0"/>
        <v>lfm</v>
      </c>
      <c r="N36" s="77"/>
      <c r="O36" s="184" t="str">
        <f>IF(ISNUMBER(A36),$L36*R36, "")</f>
        <v/>
      </c>
      <c r="P36" s="5"/>
      <c r="Q36" s="5"/>
      <c r="R36" s="182">
        <v>8.91</v>
      </c>
      <c r="S36" s="179"/>
      <c r="T36" s="179"/>
      <c r="U36" s="5"/>
      <c r="V36" s="5"/>
      <c r="W36" s="5"/>
      <c r="X36" s="5"/>
      <c r="Y36" s="5"/>
      <c r="AC36" s="139">
        <f>ROUNDUP($A36/2,0)*2</f>
        <v>0</v>
      </c>
      <c r="AD36" s="139">
        <f>ROUNDUP($A36,0)</f>
        <v>0</v>
      </c>
      <c r="AF36" s="135"/>
      <c r="AH36" s="44">
        <v>212101</v>
      </c>
      <c r="AI36" s="44">
        <v>212100</v>
      </c>
      <c r="AJ36" s="44">
        <v>212104</v>
      </c>
      <c r="AK36" s="44"/>
      <c r="AL36" s="44"/>
      <c r="AM36" s="44"/>
      <c r="AN36" s="44">
        <v>212102</v>
      </c>
      <c r="AO36" s="44">
        <v>212106</v>
      </c>
      <c r="AP36" s="44">
        <v>212103</v>
      </c>
      <c r="AQ36" s="44"/>
      <c r="AR36" s="44">
        <v>15041028</v>
      </c>
      <c r="AS36" s="504" t="e" vm="2">
        <f>VLOOKUP(AH36,AH36:AR36,$P$21,FALSE)</f>
        <v>#VALUE!</v>
      </c>
    </row>
    <row r="37" spans="1:57" ht="32.1" customHeight="1">
      <c r="A37" s="93"/>
      <c r="B37" s="76" t="str">
        <f>VLOOKUP(1512,Sprachindex!$A:$Z,Info!$O$7,FALSE)</f>
        <v>lfm</v>
      </c>
      <c r="C37" s="79" t="e" vm="82">
        <v>#VALUE!</v>
      </c>
      <c r="D37" s="79" t="str" cm="1">
        <f t="array" ref="D37">_xlfn.IFS(H37=Formeln!$A$10,507403,H37=Formeln!$A$11,507404,H37=Formeln!$A$12,507402,H37=Formeln!$A$13,507405,H37=Formeln!$A$14,507412,H37=Formeln!$A$15,507413,TRUE,"")</f>
        <v/>
      </c>
      <c r="E37" s="618" t="str">
        <f>VLOOKUP(586,Sprachindex!$A:$Z,Info!$O$7,FALSE)</f>
        <v>Lüftungsband</v>
      </c>
      <c r="F37" s="619"/>
      <c r="G37" s="619"/>
      <c r="H37" s="624"/>
      <c r="I37" s="625"/>
      <c r="J37" s="625"/>
      <c r="K37" s="626"/>
      <c r="L37" s="76" t="str">
        <f>IF($H37=Formeln!$A$9," ",IF(A37=0,"",IF($P$11=1,AC37,AD37)))</f>
        <v xml:space="preserve"> </v>
      </c>
      <c r="M37" s="399" t="str">
        <f t="shared" si="0"/>
        <v>lfm</v>
      </c>
      <c r="N37" s="77"/>
      <c r="O37" s="184" t="str">
        <f>IF(ISNUMBER(A37), IF(OR(H37=Formeln!$A$10,H37=Formeln!$A$11), $L37*R37, $L37*S37), "")</f>
        <v/>
      </c>
      <c r="P37" s="5"/>
      <c r="Q37" s="5"/>
      <c r="R37" s="182">
        <v>13.63</v>
      </c>
      <c r="S37" s="182">
        <v>21.91</v>
      </c>
      <c r="T37" s="179"/>
      <c r="U37" s="5"/>
      <c r="V37" s="5"/>
      <c r="W37" s="5"/>
      <c r="X37" s="5"/>
      <c r="Y37" s="5"/>
      <c r="AC37" s="139">
        <f>ROUNDUP($A37/40,0)*40</f>
        <v>0</v>
      </c>
      <c r="AD37" s="139">
        <f>$A37</f>
        <v>0</v>
      </c>
      <c r="AH37" s="661" t="s">
        <v>26</v>
      </c>
      <c r="AI37" s="661"/>
      <c r="AJ37" s="661"/>
      <c r="AK37" s="661"/>
      <c r="AL37" s="661"/>
      <c r="AM37" s="661"/>
      <c r="AN37" s="661"/>
      <c r="AO37" s="661"/>
      <c r="AP37" s="661"/>
      <c r="AQ37" s="661"/>
      <c r="AR37" s="661"/>
      <c r="AS37" s="49"/>
      <c r="AT37" s="662" t="s">
        <v>27</v>
      </c>
      <c r="AU37" s="662"/>
      <c r="AV37" s="662"/>
      <c r="AW37" s="662"/>
      <c r="AX37" s="662"/>
      <c r="AY37" s="662"/>
      <c r="AZ37" s="662"/>
      <c r="BA37" s="662"/>
      <c r="BB37" s="662"/>
      <c r="BC37" s="662"/>
      <c r="BD37" s="662"/>
    </row>
    <row r="38" spans="1:57" ht="31.95" customHeight="1">
      <c r="A38" s="93"/>
      <c r="B38" s="76" t="str">
        <f>VLOOKUP(1512,Sprachindex!$A:$Z,Info!$O$7,FALSE)</f>
        <v>lfm</v>
      </c>
      <c r="C38" s="75" t="e" vm="83">
        <v>#VALUE!</v>
      </c>
      <c r="D38" s="75">
        <v>507300</v>
      </c>
      <c r="E38" s="618" t="str">
        <f>VLOOKUP(986,Sprachindex!$A:$Z,Info!$O$7,FALSE)</f>
        <v>Vogelschutzgitter (Braun/Anthrazit; 125 × 2.000 × 0,7 mm)</v>
      </c>
      <c r="F38" s="619"/>
      <c r="G38" s="619"/>
      <c r="H38" s="619"/>
      <c r="I38" s="619"/>
      <c r="J38" s="619"/>
      <c r="K38" s="620"/>
      <c r="L38" s="76" t="str">
        <f t="shared" ref="L38:L46" si="1">IF(A38=0,"",IF($P$11=1,AC38,AD38))</f>
        <v/>
      </c>
      <c r="M38" s="399" t="str">
        <f t="shared" si="0"/>
        <v>lfm</v>
      </c>
      <c r="N38" s="77"/>
      <c r="O38" s="184" t="str">
        <f t="shared" ref="O38:O45" si="2">IF(ISNUMBER(A38),$L38*R38, "")</f>
        <v/>
      </c>
      <c r="P38" s="5"/>
      <c r="Q38" s="5"/>
      <c r="R38" s="182">
        <v>4.13</v>
      </c>
      <c r="S38" s="179"/>
      <c r="T38" s="179"/>
      <c r="U38" s="5"/>
      <c r="V38" s="5"/>
      <c r="W38" s="5"/>
      <c r="X38" s="5"/>
      <c r="Y38" s="5"/>
      <c r="AC38" s="139">
        <f>ROUNDUP($A38/2,0)*2</f>
        <v>0</v>
      </c>
      <c r="AD38" s="139">
        <f>ROUNDUP($A38/2,0)*2</f>
        <v>0</v>
      </c>
      <c r="AH38" s="47" t="s">
        <v>35</v>
      </c>
      <c r="AI38" s="47" t="s">
        <v>32</v>
      </c>
      <c r="AJ38" s="47" t="s">
        <v>40</v>
      </c>
      <c r="AK38" s="47" t="s">
        <v>37</v>
      </c>
      <c r="AL38" s="47" t="s">
        <v>33</v>
      </c>
      <c r="AM38" s="47" t="s">
        <v>39</v>
      </c>
      <c r="AN38" s="47" t="s">
        <v>34</v>
      </c>
      <c r="AO38" s="47" t="s">
        <v>38</v>
      </c>
      <c r="AP38" s="47" t="s">
        <v>41</v>
      </c>
      <c r="AQ38" s="47" t="s">
        <v>36</v>
      </c>
      <c r="AR38" s="47" t="s">
        <v>38962</v>
      </c>
      <c r="AS38" s="503" t="s">
        <v>39049</v>
      </c>
      <c r="AT38" s="47" t="s">
        <v>35</v>
      </c>
      <c r="AU38" s="47" t="s">
        <v>32</v>
      </c>
      <c r="AV38" s="47" t="s">
        <v>40</v>
      </c>
      <c r="AW38" s="47" t="s">
        <v>37</v>
      </c>
      <c r="AX38" s="47" t="s">
        <v>33</v>
      </c>
      <c r="AY38" s="47" t="s">
        <v>39</v>
      </c>
      <c r="AZ38" s="47" t="s">
        <v>34</v>
      </c>
      <c r="BA38" s="47" t="s">
        <v>38</v>
      </c>
      <c r="BB38" s="47" t="s">
        <v>41</v>
      </c>
      <c r="BC38" s="47" t="s">
        <v>36</v>
      </c>
      <c r="BD38" s="47" t="s">
        <v>38962</v>
      </c>
      <c r="BE38" s="503" t="s">
        <v>39049</v>
      </c>
    </row>
    <row r="39" spans="1:57" ht="32.1" customHeight="1">
      <c r="A39" s="93"/>
      <c r="B39" s="76" t="str">
        <f>VLOOKUP(1512,Sprachindex!$A:$Z,Info!$O$7,FALSE)</f>
        <v>lfm</v>
      </c>
      <c r="C39" s="75" t="e" vm="84">
        <v>#VALUE!</v>
      </c>
      <c r="D39" s="75" t="str">
        <f t="shared" ref="D39:D45" si="3">IF(ISNUMBER(A39),IF($P$9=1,AS39,""),"")</f>
        <v/>
      </c>
      <c r="E39" s="618" t="str">
        <f>VLOOKUP(647,Sprachindex!$A:$Z,Info!$O$7,FALSE)</f>
        <v>Ortgangstreifen (95 × 2.000 × 0,70 mm)</v>
      </c>
      <c r="F39" s="619"/>
      <c r="G39" s="619"/>
      <c r="H39" s="619"/>
      <c r="I39" s="619"/>
      <c r="J39" s="619"/>
      <c r="K39" s="620"/>
      <c r="L39" s="76" t="str">
        <f t="shared" si="1"/>
        <v/>
      </c>
      <c r="M39" s="399" t="str">
        <f t="shared" si="0"/>
        <v>lfm</v>
      </c>
      <c r="N39" s="77"/>
      <c r="O39" s="184" t="str">
        <f t="shared" si="2"/>
        <v/>
      </c>
      <c r="P39" s="5"/>
      <c r="Q39" s="5"/>
      <c r="R39" s="182">
        <v>9.86</v>
      </c>
      <c r="S39" s="179"/>
      <c r="T39" s="179"/>
      <c r="U39" s="5"/>
      <c r="V39" s="5"/>
      <c r="W39" s="5"/>
      <c r="X39" s="5"/>
      <c r="Y39" s="5"/>
      <c r="AC39" s="139">
        <f>ROUNDUP($A39/2,0)*2</f>
        <v>0</v>
      </c>
      <c r="AD39" s="139">
        <f>ROUNDUP($A39/2,0)*2</f>
        <v>0</v>
      </c>
      <c r="AH39" s="433">
        <v>110503</v>
      </c>
      <c r="AI39" s="433">
        <v>110500</v>
      </c>
      <c r="AJ39" s="433">
        <v>110508</v>
      </c>
      <c r="AK39" s="433">
        <v>110505</v>
      </c>
      <c r="AL39" s="433">
        <v>110501</v>
      </c>
      <c r="AM39" s="433">
        <v>110507</v>
      </c>
      <c r="AN39" s="433">
        <v>110502</v>
      </c>
      <c r="AO39" s="433">
        <v>110506</v>
      </c>
      <c r="AP39" s="433">
        <v>110509</v>
      </c>
      <c r="AQ39" s="433">
        <v>110504</v>
      </c>
      <c r="AR39" s="433">
        <v>15411028</v>
      </c>
      <c r="AS39" s="507" t="e" vm="2">
        <f t="shared" ref="AS39:AS51" si="4">VLOOKUP(AH39,AH39:AR39,$P$21,FALSE)</f>
        <v>#VALUE!</v>
      </c>
      <c r="AT39" s="432">
        <v>110513</v>
      </c>
      <c r="AU39" s="432">
        <v>110510</v>
      </c>
      <c r="AV39" s="432">
        <v>110518</v>
      </c>
      <c r="AW39" s="432">
        <v>110515</v>
      </c>
      <c r="AX39" s="432">
        <v>110511</v>
      </c>
      <c r="AY39" s="432">
        <v>110517</v>
      </c>
      <c r="AZ39" s="432">
        <v>110512</v>
      </c>
      <c r="BA39" s="432">
        <v>110516</v>
      </c>
      <c r="BB39" s="432">
        <v>110519</v>
      </c>
      <c r="BC39" s="432">
        <v>110514</v>
      </c>
      <c r="BD39" s="432">
        <v>15421028</v>
      </c>
      <c r="BE39" s="507" t="e" vm="2">
        <f t="shared" ref="BE39:BE45" si="5">VLOOKUP(AT39,AT39:BD39,$P$21,FALSE)</f>
        <v>#VALUE!</v>
      </c>
    </row>
    <row r="40" spans="1:57" ht="32.1" customHeight="1">
      <c r="A40" s="93"/>
      <c r="B40" s="76" t="str">
        <f>VLOOKUP(1512,Sprachindex!$A:$Z,Info!$O$7,FALSE)</f>
        <v>lfm</v>
      </c>
      <c r="C40" s="75" t="e" vm="85">
        <v>#VALUE!</v>
      </c>
      <c r="D40" s="75" t="str">
        <f t="shared" si="3"/>
        <v/>
      </c>
      <c r="E40" s="618" t="str">
        <f>VLOOKUP(825,Sprachindex!$A:$Z,Info!$O$7,FALSE)</f>
        <v>Sicherheitskehle (stucco; Länge: 3.000 mm)</v>
      </c>
      <c r="F40" s="619"/>
      <c r="G40" s="619"/>
      <c r="H40" s="619"/>
      <c r="I40" s="619"/>
      <c r="J40" s="619"/>
      <c r="K40" s="620"/>
      <c r="L40" s="76" t="str">
        <f t="shared" si="1"/>
        <v/>
      </c>
      <c r="M40" s="399" t="str">
        <f t="shared" si="0"/>
        <v>lfm</v>
      </c>
      <c r="N40" s="77"/>
      <c r="O40" s="184" t="str">
        <f t="shared" si="2"/>
        <v/>
      </c>
      <c r="P40" s="5"/>
      <c r="Q40" s="5"/>
      <c r="R40" s="182">
        <v>33.1</v>
      </c>
      <c r="S40" s="179"/>
      <c r="T40" s="179"/>
      <c r="U40" s="5"/>
      <c r="V40" s="5"/>
      <c r="W40" s="5"/>
      <c r="X40" s="5"/>
      <c r="Y40" s="5"/>
      <c r="AC40" s="139">
        <f>ROUNDUP($A40/3,0)*3</f>
        <v>0</v>
      </c>
      <c r="AD40" s="139">
        <f>ROUNDUP($A40/3,0)*3</f>
        <v>0</v>
      </c>
      <c r="AH40" s="433">
        <v>110523</v>
      </c>
      <c r="AI40" s="433">
        <v>110520</v>
      </c>
      <c r="AJ40" s="433">
        <v>110528</v>
      </c>
      <c r="AK40" s="433">
        <v>110525</v>
      </c>
      <c r="AL40" s="433">
        <v>110521</v>
      </c>
      <c r="AM40" s="433">
        <v>110527</v>
      </c>
      <c r="AN40" s="433">
        <v>110522</v>
      </c>
      <c r="AO40" s="433">
        <v>110526</v>
      </c>
      <c r="AP40" s="433">
        <v>110529</v>
      </c>
      <c r="AQ40" s="433">
        <v>110524</v>
      </c>
      <c r="AR40" s="433">
        <v>15451028</v>
      </c>
      <c r="AS40" s="507" t="e" vm="2">
        <f t="shared" si="4"/>
        <v>#VALUE!</v>
      </c>
      <c r="AT40" s="432">
        <v>110533</v>
      </c>
      <c r="AU40" s="432">
        <v>110530</v>
      </c>
      <c r="AV40" s="432">
        <v>110538</v>
      </c>
      <c r="AW40" s="432">
        <v>110535</v>
      </c>
      <c r="AX40" s="432">
        <v>110531</v>
      </c>
      <c r="AY40" s="432">
        <v>110537</v>
      </c>
      <c r="AZ40" s="432">
        <v>110532</v>
      </c>
      <c r="BA40" s="432">
        <v>110536</v>
      </c>
      <c r="BB40" s="432">
        <v>110539</v>
      </c>
      <c r="BC40" s="432">
        <v>110534</v>
      </c>
      <c r="BD40" s="432">
        <v>15461028</v>
      </c>
      <c r="BE40" s="507" t="e" vm="2">
        <f t="shared" si="5"/>
        <v>#VALUE!</v>
      </c>
    </row>
    <row r="41" spans="1:57" ht="32.1" customHeight="1">
      <c r="A41" s="93"/>
      <c r="B41" s="76" t="str">
        <f>VLOOKUP(1512,Sprachindex!$A:$Z,Info!$O$7,FALSE)</f>
        <v>lfm</v>
      </c>
      <c r="C41" s="75" t="e" vm="86">
        <v>#VALUE!</v>
      </c>
      <c r="D41" s="75" t="str">
        <f t="shared" si="3"/>
        <v/>
      </c>
      <c r="E41" s="618" t="str">
        <f>VLOOKUP(440,Sprachindex!$A:$Z,Info!$O$7,FALSE)</f>
        <v>Grat- und Firstreiter (500 × 1,00 mm; stucco) inkl. Niro-Schraube 4,5 × 45 mm und Dichtscheibe</v>
      </c>
      <c r="F41" s="619"/>
      <c r="G41" s="619"/>
      <c r="H41" s="619"/>
      <c r="I41" s="619"/>
      <c r="J41" s="619"/>
      <c r="K41" s="620"/>
      <c r="L41" s="76" t="str">
        <f t="shared" si="1"/>
        <v/>
      </c>
      <c r="M41" s="399" t="str">
        <f t="shared" si="0"/>
        <v>lfm</v>
      </c>
      <c r="N41" s="77"/>
      <c r="O41" s="184" t="str">
        <f t="shared" si="2"/>
        <v/>
      </c>
      <c r="P41" s="5"/>
      <c r="Q41" s="5"/>
      <c r="R41" s="182">
        <v>15.21</v>
      </c>
      <c r="S41" s="179"/>
      <c r="T41" s="5"/>
      <c r="U41" s="5"/>
      <c r="V41" s="5"/>
      <c r="W41" s="5"/>
      <c r="X41" s="5"/>
      <c r="Y41" s="5"/>
      <c r="AC41" s="139">
        <f>ROUNDUP($A41/10,0)*10</f>
        <v>0</v>
      </c>
      <c r="AD41" s="139">
        <f>ROUNDUP($A41/0.5,0)*0.5</f>
        <v>0</v>
      </c>
      <c r="AH41" s="433">
        <v>110343</v>
      </c>
      <c r="AI41" s="433">
        <v>110340</v>
      </c>
      <c r="AJ41" s="433">
        <v>110348</v>
      </c>
      <c r="AK41" s="433">
        <v>110345</v>
      </c>
      <c r="AL41" s="433">
        <v>110341</v>
      </c>
      <c r="AM41" s="433">
        <v>110347</v>
      </c>
      <c r="AN41" s="433">
        <v>110342</v>
      </c>
      <c r="AO41" s="433">
        <v>110346</v>
      </c>
      <c r="AP41" s="433">
        <v>110349</v>
      </c>
      <c r="AQ41" s="433">
        <v>110344</v>
      </c>
      <c r="AR41" s="433">
        <v>15111028</v>
      </c>
      <c r="AS41" s="507" t="e" vm="2">
        <f t="shared" si="4"/>
        <v>#VALUE!</v>
      </c>
      <c r="AT41" s="432">
        <v>110353</v>
      </c>
      <c r="AU41" s="432">
        <v>110350</v>
      </c>
      <c r="AV41" s="432">
        <v>110358</v>
      </c>
      <c r="AW41" s="432">
        <v>110355</v>
      </c>
      <c r="AX41" s="432">
        <v>110351</v>
      </c>
      <c r="AY41" s="432">
        <v>110357</v>
      </c>
      <c r="AZ41" s="432">
        <v>110352</v>
      </c>
      <c r="BA41" s="432">
        <v>110356</v>
      </c>
      <c r="BB41" s="432">
        <v>110359</v>
      </c>
      <c r="BC41" s="432">
        <v>110354</v>
      </c>
      <c r="BD41" s="432">
        <v>15121028</v>
      </c>
      <c r="BE41" s="507" t="e" vm="2">
        <f t="shared" si="5"/>
        <v>#VALUE!</v>
      </c>
    </row>
    <row r="42" spans="1:57" ht="32.1" customHeight="1">
      <c r="A42" s="93"/>
      <c r="B42" s="76" t="str">
        <f>VLOOKUP(878,Sprachindex!$A:$Z,Info!$O$7,FALSE)</f>
        <v>Stk.</v>
      </c>
      <c r="C42" s="75"/>
      <c r="D42" s="75" t="str">
        <f t="shared" si="3"/>
        <v/>
      </c>
      <c r="E42" s="618" t="str">
        <f>VLOOKUP(441,Sprachindex!$A:$Z,Info!$O$7,FALSE)</f>
        <v>Gratreitervorkopf (stucco)</v>
      </c>
      <c r="F42" s="619"/>
      <c r="G42" s="619"/>
      <c r="H42" s="619"/>
      <c r="I42" s="619"/>
      <c r="J42" s="619"/>
      <c r="K42" s="620"/>
      <c r="L42" s="76" t="str">
        <f t="shared" si="1"/>
        <v/>
      </c>
      <c r="M42" s="399" t="str">
        <f t="shared" si="0"/>
        <v>Stk.</v>
      </c>
      <c r="N42" s="77"/>
      <c r="O42" s="184" t="str">
        <f t="shared" si="2"/>
        <v/>
      </c>
      <c r="P42" s="5"/>
      <c r="Q42" s="5"/>
      <c r="R42" s="182">
        <v>8.26</v>
      </c>
      <c r="S42" s="179"/>
      <c r="T42" s="5"/>
      <c r="U42" s="5"/>
      <c r="V42" s="5"/>
      <c r="W42" s="5"/>
      <c r="X42" s="5"/>
      <c r="Y42" s="5"/>
      <c r="AC42" s="139">
        <f>ROUNDUP($A42/10,0)*10</f>
        <v>0</v>
      </c>
      <c r="AD42" s="139">
        <f>ROUNDUP($A42/1,0)*1</f>
        <v>0</v>
      </c>
      <c r="AH42" s="433">
        <v>110323</v>
      </c>
      <c r="AI42" s="433">
        <v>110320</v>
      </c>
      <c r="AJ42" s="433">
        <v>110328</v>
      </c>
      <c r="AK42" s="433">
        <v>110325</v>
      </c>
      <c r="AL42" s="433">
        <v>110321</v>
      </c>
      <c r="AM42" s="433">
        <v>110327</v>
      </c>
      <c r="AN42" s="433">
        <v>110322</v>
      </c>
      <c r="AO42" s="433">
        <v>110326</v>
      </c>
      <c r="AP42" s="433">
        <v>110329</v>
      </c>
      <c r="AQ42" s="433">
        <v>110324</v>
      </c>
      <c r="AR42" s="433">
        <v>15131028</v>
      </c>
      <c r="AS42" s="507" t="e" vm="2">
        <f t="shared" si="4"/>
        <v>#VALUE!</v>
      </c>
      <c r="AT42" s="432">
        <v>110333</v>
      </c>
      <c r="AU42" s="432">
        <v>110330</v>
      </c>
      <c r="AV42" s="432">
        <v>110338</v>
      </c>
      <c r="AW42" s="432">
        <v>110335</v>
      </c>
      <c r="AX42" s="432">
        <v>110331</v>
      </c>
      <c r="AY42" s="432">
        <v>110337</v>
      </c>
      <c r="AZ42" s="432">
        <v>110332</v>
      </c>
      <c r="BA42" s="432">
        <v>110336</v>
      </c>
      <c r="BB42" s="432">
        <v>110339</v>
      </c>
      <c r="BC42" s="432">
        <v>110334</v>
      </c>
      <c r="BD42" s="432">
        <v>15141028</v>
      </c>
      <c r="BE42" s="507" t="e" vm="2">
        <f t="shared" si="5"/>
        <v>#VALUE!</v>
      </c>
    </row>
    <row r="43" spans="1:57" ht="32.1" customHeight="1">
      <c r="A43" s="93"/>
      <c r="B43" s="76" t="str">
        <f>VLOOKUP(1512,Sprachindex!$A:$Z,Info!$O$7,FALSE)</f>
        <v>lfm</v>
      </c>
      <c r="C43" s="75" t="e" vm="87">
        <v>#VALUE!</v>
      </c>
      <c r="D43" s="75" t="str">
        <f t="shared" si="3"/>
        <v/>
      </c>
      <c r="E43" s="618" t="str">
        <f>VLOOKUP(501,Sprachindex!$A:$Z,Info!$O$7,FALSE)</f>
        <v>Jet-Lüfter (stucco; 1.200 mm); inkl. Niro-Schraube und Dichtscheibe</v>
      </c>
      <c r="F43" s="619"/>
      <c r="G43" s="619"/>
      <c r="H43" s="619"/>
      <c r="I43" s="619"/>
      <c r="J43" s="619"/>
      <c r="K43" s="620"/>
      <c r="L43" s="76" t="str">
        <f t="shared" si="1"/>
        <v/>
      </c>
      <c r="M43" s="399" t="str">
        <f t="shared" si="0"/>
        <v>lfm</v>
      </c>
      <c r="N43" s="77"/>
      <c r="O43" s="184" t="str">
        <f t="shared" si="2"/>
        <v/>
      </c>
      <c r="P43" s="5"/>
      <c r="Q43" s="5"/>
      <c r="R43" s="182">
        <v>69.22</v>
      </c>
      <c r="S43" s="179"/>
      <c r="T43" s="5"/>
      <c r="U43" s="5"/>
      <c r="V43" s="5"/>
      <c r="W43" s="5"/>
      <c r="X43" s="5"/>
      <c r="Y43" s="5"/>
      <c r="AC43" s="139">
        <f>ROUNDUP($A43/1.2,0)*1.2</f>
        <v>0</v>
      </c>
      <c r="AD43" s="139">
        <f>ROUNDUP($A43/1.2,0)*1.2</f>
        <v>0</v>
      </c>
      <c r="AH43" s="433">
        <v>110643</v>
      </c>
      <c r="AI43" s="433">
        <v>110640</v>
      </c>
      <c r="AJ43" s="433">
        <v>110648</v>
      </c>
      <c r="AK43" s="433">
        <v>110645</v>
      </c>
      <c r="AL43" s="433">
        <v>110641</v>
      </c>
      <c r="AM43" s="433">
        <v>110647</v>
      </c>
      <c r="AN43" s="433">
        <v>110642</v>
      </c>
      <c r="AO43" s="433">
        <v>110646</v>
      </c>
      <c r="AP43" s="433">
        <v>110649</v>
      </c>
      <c r="AQ43" s="433">
        <v>110644</v>
      </c>
      <c r="AR43" s="433">
        <v>15171028</v>
      </c>
      <c r="AS43" s="507" t="e" vm="2">
        <f t="shared" si="4"/>
        <v>#VALUE!</v>
      </c>
      <c r="AT43" s="432">
        <v>110653</v>
      </c>
      <c r="AU43" s="432">
        <v>110650</v>
      </c>
      <c r="AV43" s="432">
        <v>110658</v>
      </c>
      <c r="AW43" s="432">
        <v>110655</v>
      </c>
      <c r="AX43" s="432">
        <v>110651</v>
      </c>
      <c r="AY43" s="432">
        <v>110657</v>
      </c>
      <c r="AZ43" s="432">
        <v>110652</v>
      </c>
      <c r="BA43" s="432">
        <v>110656</v>
      </c>
      <c r="BB43" s="432">
        <v>110659</v>
      </c>
      <c r="BC43" s="432">
        <v>110654</v>
      </c>
      <c r="BD43" s="432">
        <v>15181028</v>
      </c>
      <c r="BE43" s="507" t="e" vm="2">
        <f t="shared" si="5"/>
        <v>#VALUE!</v>
      </c>
    </row>
    <row r="44" spans="1:57" ht="32.1" customHeight="1">
      <c r="A44" s="93"/>
      <c r="B44" s="76" t="str">
        <f>VLOOKUP(1512,Sprachindex!$A:$Z,Info!$O$7,FALSE)</f>
        <v>lfm</v>
      </c>
      <c r="C44" s="75" t="e" vm="87">
        <v>#VALUE!</v>
      </c>
      <c r="D44" s="75" t="str">
        <f t="shared" si="3"/>
        <v/>
      </c>
      <c r="E44" s="618" t="str">
        <f>VLOOKUP(502,Sprachindex!$A:$Z,Info!$O$7,FALSE)</f>
        <v>Jet-Lüfter (stucco; 3.000 mm); inkl. Niro-Schraube und Dichtscheibe</v>
      </c>
      <c r="F44" s="619"/>
      <c r="G44" s="619"/>
      <c r="H44" s="619"/>
      <c r="I44" s="619"/>
      <c r="J44" s="619"/>
      <c r="K44" s="620"/>
      <c r="L44" s="76" t="str">
        <f t="shared" si="1"/>
        <v/>
      </c>
      <c r="M44" s="399" t="str">
        <f t="shared" si="0"/>
        <v>lfm</v>
      </c>
      <c r="N44" s="77"/>
      <c r="O44" s="184" t="str">
        <f t="shared" si="2"/>
        <v/>
      </c>
      <c r="P44" s="5"/>
      <c r="Q44" s="5"/>
      <c r="R44" s="182">
        <v>62.51</v>
      </c>
      <c r="S44" s="179"/>
      <c r="T44" s="5"/>
      <c r="U44" s="5"/>
      <c r="V44" s="5"/>
      <c r="W44" s="5"/>
      <c r="X44" s="5"/>
      <c r="Y44" s="5"/>
      <c r="AC44" s="139">
        <f>ROUNDUP($A44/9,0)*9</f>
        <v>0</v>
      </c>
      <c r="AD44" s="139">
        <f>ROUNDUP($A44/3,0)*3</f>
        <v>0</v>
      </c>
      <c r="AH44" s="433">
        <v>110623</v>
      </c>
      <c r="AI44" s="433">
        <v>110620</v>
      </c>
      <c r="AJ44" s="433">
        <v>110628</v>
      </c>
      <c r="AK44" s="433">
        <v>110625</v>
      </c>
      <c r="AL44" s="433">
        <v>110621</v>
      </c>
      <c r="AM44" s="433">
        <v>110627</v>
      </c>
      <c r="AN44" s="433">
        <v>110622</v>
      </c>
      <c r="AO44" s="433">
        <v>110626</v>
      </c>
      <c r="AP44" s="433">
        <v>110629</v>
      </c>
      <c r="AQ44" s="433">
        <v>110624</v>
      </c>
      <c r="AR44" s="433">
        <v>15151028</v>
      </c>
      <c r="AS44" s="507" t="e" vm="2">
        <f t="shared" si="4"/>
        <v>#VALUE!</v>
      </c>
      <c r="AT44" s="432">
        <v>110633</v>
      </c>
      <c r="AU44" s="432">
        <v>110630</v>
      </c>
      <c r="AV44" s="432">
        <v>110638</v>
      </c>
      <c r="AW44" s="432">
        <v>110635</v>
      </c>
      <c r="AX44" s="432">
        <v>110631</v>
      </c>
      <c r="AY44" s="432">
        <v>110637</v>
      </c>
      <c r="AZ44" s="432">
        <v>110632</v>
      </c>
      <c r="BA44" s="432">
        <v>110636</v>
      </c>
      <c r="BB44" s="432">
        <v>110639</v>
      </c>
      <c r="BC44" s="432">
        <v>110634</v>
      </c>
      <c r="BD44" s="432">
        <v>1516028</v>
      </c>
      <c r="BE44" s="507" t="e" vm="2">
        <f t="shared" si="5"/>
        <v>#VALUE!</v>
      </c>
    </row>
    <row r="45" spans="1:57" ht="32.1" customHeight="1">
      <c r="A45" s="93"/>
      <c r="B45" s="76" t="str">
        <f>VLOOKUP(878,Sprachindex!$A:$Z,Info!$O$7,FALSE)</f>
        <v>Stk.</v>
      </c>
      <c r="C45" s="75" t="e" vm="88">
        <v>#VALUE!</v>
      </c>
      <c r="D45" s="75" t="str">
        <f t="shared" si="3"/>
        <v/>
      </c>
      <c r="E45" s="618" t="str">
        <f>VLOOKUP(503,Sprachindex!$A:$Z,Info!$O$7,FALSE)</f>
        <v>Jet-Lüfter-Vorkopf (stucco)</v>
      </c>
      <c r="F45" s="619"/>
      <c r="G45" s="619"/>
      <c r="H45" s="619"/>
      <c r="I45" s="619"/>
      <c r="J45" s="619"/>
      <c r="K45" s="620"/>
      <c r="L45" s="76" t="str">
        <f t="shared" si="1"/>
        <v/>
      </c>
      <c r="M45" s="399" t="str">
        <f t="shared" si="0"/>
        <v>Stk.</v>
      </c>
      <c r="N45" s="77"/>
      <c r="O45" s="184" t="str">
        <f t="shared" si="2"/>
        <v/>
      </c>
      <c r="P45" s="5"/>
      <c r="Q45" s="5"/>
      <c r="R45" s="182">
        <v>8.9700000000000006</v>
      </c>
      <c r="S45" s="179"/>
      <c r="T45" s="5"/>
      <c r="U45" s="5"/>
      <c r="V45" s="5"/>
      <c r="W45" s="5"/>
      <c r="X45" s="5"/>
      <c r="Y45" s="5"/>
      <c r="AC45" s="139">
        <f>ROUNDUP($A45/2,0)*2</f>
        <v>0</v>
      </c>
      <c r="AD45" s="139">
        <f>ROUNDUP($A45/1,0)*1</f>
        <v>0</v>
      </c>
      <c r="AH45" s="433">
        <v>110603</v>
      </c>
      <c r="AI45" s="433">
        <v>110600</v>
      </c>
      <c r="AJ45" s="433">
        <v>110608</v>
      </c>
      <c r="AK45" s="433">
        <v>110605</v>
      </c>
      <c r="AL45" s="433">
        <v>110601</v>
      </c>
      <c r="AM45" s="433">
        <v>110607</v>
      </c>
      <c r="AN45" s="433">
        <v>110602</v>
      </c>
      <c r="AO45" s="433">
        <v>110606</v>
      </c>
      <c r="AP45" s="433">
        <v>110609</v>
      </c>
      <c r="AQ45" s="433">
        <v>110604</v>
      </c>
      <c r="AR45" s="498">
        <v>15231028</v>
      </c>
      <c r="AS45" s="507" t="e" vm="2">
        <f t="shared" si="4"/>
        <v>#VALUE!</v>
      </c>
      <c r="AT45" s="438">
        <v>110613</v>
      </c>
      <c r="AU45" s="438">
        <v>110610</v>
      </c>
      <c r="AV45" s="432">
        <v>110618</v>
      </c>
      <c r="AW45" s="432">
        <v>110615</v>
      </c>
      <c r="AX45" s="432">
        <v>110611</v>
      </c>
      <c r="AY45" s="432">
        <v>110617</v>
      </c>
      <c r="AZ45" s="432">
        <v>110612</v>
      </c>
      <c r="BA45" s="432">
        <v>110616</v>
      </c>
      <c r="BB45" s="432">
        <v>110619</v>
      </c>
      <c r="BC45" s="432">
        <v>110614</v>
      </c>
      <c r="BD45" s="432">
        <v>15241028</v>
      </c>
      <c r="BE45" s="507" t="e" vm="2">
        <f t="shared" si="5"/>
        <v>#VALUE!</v>
      </c>
    </row>
    <row r="46" spans="1:57" ht="32.1" customHeight="1">
      <c r="A46" s="93"/>
      <c r="B46" s="76" t="str">
        <f>VLOOKUP(878,Sprachindex!$A:$Z,Info!$O$7,FALSE)</f>
        <v>Stk.</v>
      </c>
      <c r="C46" s="75" t="e" vm="19">
        <v>#VALUE!</v>
      </c>
      <c r="D46" s="75" t="str" cm="1">
        <f t="array" ref="D46">_xlfn.IFS(H46=Formeln!$B$18,AS46,H46=Formeln!$B$19,AT46,TRUE,"")</f>
        <v/>
      </c>
      <c r="E46" s="618" t="str">
        <f>VLOOKUP(2187,Sprachindex!$A:$Z,Info!$O$7,FALSE)</f>
        <v>Dichtschraube NIRO, 4,5x25</v>
      </c>
      <c r="F46" s="619"/>
      <c r="G46" s="619"/>
      <c r="H46" s="624"/>
      <c r="I46" s="625"/>
      <c r="J46" s="625"/>
      <c r="K46" s="626"/>
      <c r="L46" s="76" t="str">
        <f t="shared" si="1"/>
        <v/>
      </c>
      <c r="M46" s="161" t="str">
        <f>VLOOKUP(878,Sprachindex!$A:$Z,Info!$O$7,FALSE)</f>
        <v>Stk.</v>
      </c>
      <c r="N46" s="77"/>
      <c r="O46" s="204" t="str">
        <f>IF(ISNUMBER(L46),IF(H46=Formeln!$B$19,L46*S46,$L46*R46), "")</f>
        <v/>
      </c>
      <c r="P46" s="267"/>
      <c r="Q46" s="5"/>
      <c r="R46" s="182">
        <v>0.47</v>
      </c>
      <c r="S46" s="179">
        <v>0.36</v>
      </c>
      <c r="T46" s="179"/>
      <c r="U46" s="179"/>
      <c r="V46" s="179"/>
      <c r="W46" s="209"/>
      <c r="X46" s="209"/>
      <c r="Y46" s="209"/>
      <c r="Z46" s="209"/>
      <c r="AA46" s="209"/>
      <c r="AB46" s="209"/>
      <c r="AC46" s="139">
        <f>ROUNDUP($A46/200,0)*200</f>
        <v>0</v>
      </c>
      <c r="AD46" s="139">
        <f t="shared" ref="AD46:AD49" si="6">ROUNDUP($A46,0)</f>
        <v>0</v>
      </c>
      <c r="AH46" s="433">
        <v>340044</v>
      </c>
      <c r="AI46" s="433">
        <v>340041</v>
      </c>
      <c r="AJ46" s="433">
        <v>340048</v>
      </c>
      <c r="AK46" s="433">
        <v>340045</v>
      </c>
      <c r="AL46" s="433">
        <v>340042</v>
      </c>
      <c r="AM46" s="433">
        <v>340047</v>
      </c>
      <c r="AN46" s="433">
        <v>340043</v>
      </c>
      <c r="AO46" s="433">
        <v>340046</v>
      </c>
      <c r="AP46" s="433">
        <v>340049</v>
      </c>
      <c r="AQ46" s="433" t="s">
        <v>2349</v>
      </c>
      <c r="AR46" s="498" t="s">
        <v>2349</v>
      </c>
      <c r="AS46" s="507" t="e" vm="2">
        <f t="shared" si="4"/>
        <v>#VALUE!</v>
      </c>
      <c r="AT46" s="505">
        <v>340040</v>
      </c>
      <c r="AU46" s="505"/>
      <c r="AV46" s="505"/>
    </row>
    <row r="47" spans="1:57" ht="32.1" customHeight="1">
      <c r="A47" s="93"/>
      <c r="B47" s="76" t="str">
        <f>VLOOKUP(878,Sprachindex!$A:$Z,Info!$O$7,FALSE)</f>
        <v>Stk.</v>
      </c>
      <c r="C47" s="75" t="e" vm="20">
        <v>#VALUE!</v>
      </c>
      <c r="D47" s="75" t="str" cm="1">
        <f t="array" ref="D47">_xlfn.IFS(H47=Formeln!$A$18,AS47,H47=Formeln!$A$19,AT47,TRUE,"")</f>
        <v/>
      </c>
      <c r="E47" s="618" t="str">
        <f>VLOOKUP(2188,Sprachindex!$A:$Z,Info!$O$7,FALSE)</f>
        <v>Dichtschraube NIRO 4,5 x 45 mm, für Grat- und Firstreiter</v>
      </c>
      <c r="F47" s="619"/>
      <c r="G47" s="619"/>
      <c r="H47" s="624"/>
      <c r="I47" s="625"/>
      <c r="J47" s="625"/>
      <c r="K47" s="626"/>
      <c r="L47" s="76" t="str">
        <f>IF(A47=0,"",IF(H47=Formeln!$A$17," ",IF($P$11=1,AC47,AD47)))</f>
        <v/>
      </c>
      <c r="M47" s="161" t="str">
        <f>VLOOKUP(878,Sprachindex!$A:$Z,Info!$O$7,FALSE)</f>
        <v>Stk.</v>
      </c>
      <c r="N47" s="77"/>
      <c r="O47" s="204" t="str">
        <f>IF(ISNUMBER(L47),IF(H47=Formeln!$A$19,L47*S47,$L47*R47), "")</f>
        <v/>
      </c>
      <c r="P47" s="267"/>
      <c r="Q47" s="5"/>
      <c r="R47" s="182">
        <v>0.7</v>
      </c>
      <c r="S47" s="179">
        <v>0.62</v>
      </c>
      <c r="T47" s="179"/>
      <c r="U47" s="179"/>
      <c r="V47" s="179"/>
      <c r="W47" s="209"/>
      <c r="X47" s="209"/>
      <c r="Y47" s="209"/>
      <c r="Z47" s="209"/>
      <c r="AA47" s="209"/>
      <c r="AB47" s="209"/>
      <c r="AC47" s="139">
        <f>ROUNDUP($A47/250,0)*250</f>
        <v>0</v>
      </c>
      <c r="AD47" s="139">
        <f t="shared" si="6"/>
        <v>0</v>
      </c>
      <c r="AH47" s="433">
        <v>340104</v>
      </c>
      <c r="AI47" s="433">
        <v>340001</v>
      </c>
      <c r="AJ47" s="433">
        <v>340014</v>
      </c>
      <c r="AK47" s="433">
        <v>340002</v>
      </c>
      <c r="AL47" s="433">
        <v>340004</v>
      </c>
      <c r="AM47" s="433">
        <v>340011</v>
      </c>
      <c r="AN47" s="433">
        <v>340003</v>
      </c>
      <c r="AO47" s="433">
        <v>340016</v>
      </c>
      <c r="AP47" s="433">
        <v>340013</v>
      </c>
      <c r="AQ47" s="433" t="s">
        <v>2349</v>
      </c>
      <c r="AR47" s="433">
        <v>340012</v>
      </c>
      <c r="AS47" s="507" t="e" vm="2">
        <f t="shared" si="4"/>
        <v>#VALUE!</v>
      </c>
      <c r="AT47" s="505">
        <v>340103</v>
      </c>
      <c r="AU47" s="505">
        <v>340017</v>
      </c>
      <c r="AV47" s="505">
        <v>340010</v>
      </c>
    </row>
    <row r="48" spans="1:57" ht="32.1" customHeight="1">
      <c r="A48" s="93"/>
      <c r="B48" s="76" t="str">
        <f>VLOOKUP(878,Sprachindex!$A:$Z,Info!$O$7,FALSE)</f>
        <v>Stk.</v>
      </c>
      <c r="C48" s="75" t="e" vm="21">
        <v>#VALUE!</v>
      </c>
      <c r="D48" s="75" t="str" cm="1">
        <f t="array" ref="D48">_xlfn.IFS(H48=Formeln!$A$21,AS48,H48=Formeln!$A$22,AT48,TRUE,"")</f>
        <v/>
      </c>
      <c r="E48" s="618" t="str">
        <f>VLOOKUP(2189,Sprachindex!$A:$Z,Info!$O$7,FALSE)</f>
        <v>Dichtschraube NIRO 4,5 x 60 mm, für Jet-Lüfter</v>
      </c>
      <c r="F48" s="619"/>
      <c r="G48" s="619"/>
      <c r="H48" s="624"/>
      <c r="I48" s="625"/>
      <c r="J48" s="625"/>
      <c r="K48" s="626"/>
      <c r="L48" s="76" t="str">
        <f>IF(A48=0,"",IF(H48=Formeln!$A$17," ",IF($P$11=1,AC48,AD48)))</f>
        <v/>
      </c>
      <c r="M48" s="161" t="str">
        <f>VLOOKUP(878,Sprachindex!$A:$Z,Info!$O$7,FALSE)</f>
        <v>Stk.</v>
      </c>
      <c r="N48" s="77"/>
      <c r="O48" s="204" t="str">
        <f>IF(ISNUMBER(L48),IF(H48=Formeln!$A$22,L48*S48,$L48*R48), "")</f>
        <v/>
      </c>
      <c r="P48" s="267"/>
      <c r="Q48" s="5"/>
      <c r="R48" s="182">
        <v>0.89</v>
      </c>
      <c r="S48" s="179">
        <v>0.7</v>
      </c>
      <c r="T48" s="179"/>
      <c r="U48" s="179"/>
      <c r="V48" s="179"/>
      <c r="W48" s="209"/>
      <c r="X48" s="209"/>
      <c r="Y48" s="209"/>
      <c r="Z48" s="209"/>
      <c r="AA48" s="209"/>
      <c r="AB48" s="209"/>
      <c r="AC48" s="139">
        <f>ROUNDUP($A48/100,0)*100</f>
        <v>0</v>
      </c>
      <c r="AD48" s="139">
        <f t="shared" si="6"/>
        <v>0</v>
      </c>
      <c r="AH48" s="433">
        <v>340021</v>
      </c>
      <c r="AI48" s="433">
        <v>340020</v>
      </c>
      <c r="AJ48" s="433">
        <v>340030</v>
      </c>
      <c r="AK48" s="433">
        <v>340025</v>
      </c>
      <c r="AL48" s="433">
        <v>340024</v>
      </c>
      <c r="AM48" s="433">
        <v>340027</v>
      </c>
      <c r="AN48" s="433">
        <v>340022</v>
      </c>
      <c r="AO48" s="433">
        <v>340032</v>
      </c>
      <c r="AP48" s="433">
        <v>340036</v>
      </c>
      <c r="AQ48" s="433" t="s">
        <v>2349</v>
      </c>
      <c r="AR48" s="433">
        <v>340035</v>
      </c>
      <c r="AS48" s="507" t="e" vm="2">
        <f t="shared" si="4"/>
        <v>#VALUE!</v>
      </c>
      <c r="AT48" s="505">
        <v>340106</v>
      </c>
      <c r="AU48" s="505">
        <v>340037</v>
      </c>
      <c r="AV48" s="505">
        <v>340034</v>
      </c>
    </row>
    <row r="49" spans="1:426" ht="32.1" customHeight="1">
      <c r="A49" s="93"/>
      <c r="B49" s="76" t="str">
        <f>VLOOKUP(878,Sprachindex!$A:$Z,Info!$O$7,FALSE)</f>
        <v>Stk.</v>
      </c>
      <c r="C49" s="75" t="e" vm="94">
        <v>#VALUE!</v>
      </c>
      <c r="D49" s="75" t="str">
        <f>IF(ISNUMBER(A49),AS49,"")</f>
        <v/>
      </c>
      <c r="E49" s="618" t="str">
        <f>VLOOKUP(409,Sprachindex!$A:$Z,Info!$O$7,FALSE)</f>
        <v>Froschmaullukenhaube</v>
      </c>
      <c r="F49" s="619"/>
      <c r="G49" s="619"/>
      <c r="H49" s="619"/>
      <c r="I49" s="619"/>
      <c r="J49" s="619"/>
      <c r="K49" s="620"/>
      <c r="L49" s="76" t="str">
        <f>IF(A49=0,"",IF($P$11=1,AC49,AD49))</f>
        <v/>
      </c>
      <c r="M49" s="399" t="str">
        <f t="shared" ref="M49" si="7">B49</f>
        <v>Stk.</v>
      </c>
      <c r="N49" s="77"/>
      <c r="O49" s="184" t="str">
        <f>IF(ISNUMBER(A49),$L49*R49, "")</f>
        <v/>
      </c>
      <c r="P49" s="5"/>
      <c r="Q49" s="5"/>
      <c r="R49" s="182">
        <v>25.39</v>
      </c>
      <c r="S49" s="179"/>
      <c r="T49" s="5"/>
      <c r="U49" s="5"/>
      <c r="V49" s="5"/>
      <c r="W49" s="5"/>
      <c r="X49" s="5"/>
      <c r="Y49" s="5"/>
      <c r="AC49" s="139">
        <f>ROUNDUP($A49/20,0)*20</f>
        <v>0</v>
      </c>
      <c r="AD49" s="139">
        <f t="shared" si="6"/>
        <v>0</v>
      </c>
      <c r="AH49" s="433">
        <v>110103</v>
      </c>
      <c r="AI49" s="433">
        <v>110100</v>
      </c>
      <c r="AJ49" s="433">
        <v>110108</v>
      </c>
      <c r="AK49" s="433">
        <v>110105</v>
      </c>
      <c r="AL49" s="433">
        <v>110101</v>
      </c>
      <c r="AM49" s="433">
        <v>110107</v>
      </c>
      <c r="AN49" s="433">
        <v>110102</v>
      </c>
      <c r="AO49" s="433">
        <v>110106</v>
      </c>
      <c r="AP49" s="433">
        <v>121005</v>
      </c>
      <c r="AQ49" s="433">
        <v>110104</v>
      </c>
      <c r="AR49" s="433">
        <v>15611028</v>
      </c>
      <c r="AS49" s="512" t="e" vm="2">
        <f t="shared" si="4"/>
        <v>#VALUE!</v>
      </c>
      <c r="AT49" s="561" t="s">
        <v>28580</v>
      </c>
      <c r="AU49" s="561" t="s">
        <v>39050</v>
      </c>
      <c r="AV49" s="561" t="s">
        <v>39051</v>
      </c>
    </row>
    <row r="50" spans="1:426" ht="32.1" customHeight="1">
      <c r="A50" s="93"/>
      <c r="B50" s="76" t="str">
        <f>VLOOKUP(878,Sprachindex!$A:$Z,Info!$O$7,FALSE)</f>
        <v>Stk.</v>
      </c>
      <c r="C50" s="75"/>
      <c r="D50" s="75" t="str">
        <f>IF(ISNUMBER(A50),IF($P$9=1,AS50,""),"")</f>
        <v/>
      </c>
      <c r="E50" s="618" t="str">
        <f>VLOOKUP(2222,Sprachindex!$A:$Z,Info!$O$7,FALSE)</f>
        <v>Froschmaulluke glatt für FX.12 groß</v>
      </c>
      <c r="F50" s="619"/>
      <c r="G50" s="619"/>
      <c r="H50" s="619"/>
      <c r="I50" s="619"/>
      <c r="J50" s="619"/>
      <c r="K50" s="620"/>
      <c r="L50" s="76" t="str">
        <f>IF(A50=0,"",IF($Z$11=1,AC50,AD50))</f>
        <v/>
      </c>
      <c r="M50" s="399" t="str">
        <f t="shared" si="0"/>
        <v>Stk.</v>
      </c>
      <c r="N50" s="77"/>
      <c r="O50" s="184" t="str">
        <f t="shared" ref="O50:O51" si="8">IF(ISNUMBER(A50),$L50*R50, "")</f>
        <v/>
      </c>
      <c r="P50" s="5"/>
      <c r="Q50" s="5"/>
      <c r="R50" s="182">
        <v>71.069999999999993</v>
      </c>
      <c r="S50" s="179"/>
      <c r="T50" s="5"/>
      <c r="U50" s="5"/>
      <c r="V50" s="5"/>
      <c r="W50" s="5"/>
      <c r="X50" s="5"/>
      <c r="Y50" s="5"/>
      <c r="AC50" s="139">
        <f>ROUNDUP($A50/5,0)*5</f>
        <v>0</v>
      </c>
      <c r="AD50" s="139">
        <f t="shared" ref="AD50:AD51" si="9">ROUNDUP($A50,0)</f>
        <v>0</v>
      </c>
      <c r="AH50" s="44">
        <v>120653</v>
      </c>
      <c r="AI50" s="44">
        <v>120650</v>
      </c>
      <c r="AJ50" s="44">
        <v>120658</v>
      </c>
      <c r="AK50" s="44">
        <v>120655</v>
      </c>
      <c r="AL50" s="44">
        <v>120651</v>
      </c>
      <c r="AM50" s="44">
        <v>120657</v>
      </c>
      <c r="AN50" s="44">
        <v>120652</v>
      </c>
      <c r="AO50" s="44">
        <v>120656</v>
      </c>
      <c r="AP50" s="44">
        <v>120659</v>
      </c>
      <c r="AQ50" s="44">
        <v>120654</v>
      </c>
      <c r="AR50" s="44">
        <v>13351028</v>
      </c>
      <c r="AS50" s="507" t="e" vm="2">
        <f t="shared" si="4"/>
        <v>#VALUE!</v>
      </c>
      <c r="AT50" s="119"/>
      <c r="AU50" s="119"/>
      <c r="AV50" s="119"/>
      <c r="AW50" s="119"/>
      <c r="AX50" s="119"/>
      <c r="AY50" s="119"/>
      <c r="AZ50" s="119"/>
      <c r="BA50" s="119"/>
    </row>
    <row r="51" spans="1:426" ht="32.1" customHeight="1">
      <c r="A51" s="93"/>
      <c r="B51" s="76" t="str">
        <f>VLOOKUP(878,Sprachindex!$A:$Z,Info!$O$7,FALSE)</f>
        <v>Stk.</v>
      </c>
      <c r="C51" s="75"/>
      <c r="D51" s="75" t="str">
        <f>IF(ISNUMBER(A51),IF($P$9=1,AS51,""),"")</f>
        <v/>
      </c>
      <c r="E51" s="618" t="str">
        <f>VLOOKUP(2223,Sprachindex!$A:$Z,Info!$O$7,FALSE)</f>
        <v>Froschmaulluke glatt für FX.12 klein</v>
      </c>
      <c r="F51" s="619"/>
      <c r="G51" s="619"/>
      <c r="H51" s="619"/>
      <c r="I51" s="619"/>
      <c r="J51" s="619"/>
      <c r="K51" s="620"/>
      <c r="L51" s="76" t="str">
        <f>IF(A51=0,"",IF($Z$11=1,AC51,AD51))</f>
        <v/>
      </c>
      <c r="M51" s="399" t="str">
        <f t="shared" si="0"/>
        <v>Stk.</v>
      </c>
      <c r="N51" s="77"/>
      <c r="O51" s="184" t="str">
        <f t="shared" si="8"/>
        <v/>
      </c>
      <c r="P51" s="5"/>
      <c r="Q51" s="5"/>
      <c r="R51" s="182">
        <v>58.5</v>
      </c>
      <c r="S51" s="179"/>
      <c r="T51" s="5"/>
      <c r="U51" s="5"/>
      <c r="V51" s="5"/>
      <c r="W51" s="5"/>
      <c r="X51" s="5"/>
      <c r="Y51" s="5"/>
      <c r="AC51" s="139">
        <f>ROUNDUP($A51/5,0)*5</f>
        <v>0</v>
      </c>
      <c r="AD51" s="139">
        <f t="shared" si="9"/>
        <v>0</v>
      </c>
      <c r="AH51" s="44">
        <v>120663</v>
      </c>
      <c r="AI51" s="44">
        <v>120660</v>
      </c>
      <c r="AJ51" s="44">
        <v>120668</v>
      </c>
      <c r="AK51" s="44">
        <v>120665</v>
      </c>
      <c r="AL51" s="44">
        <v>120661</v>
      </c>
      <c r="AM51" s="44">
        <v>120667</v>
      </c>
      <c r="AN51" s="44">
        <v>120662</v>
      </c>
      <c r="AO51" s="44">
        <v>120666</v>
      </c>
      <c r="AP51" s="44">
        <v>120669</v>
      </c>
      <c r="AQ51" s="44">
        <v>120664</v>
      </c>
      <c r="AR51" s="44">
        <v>13361028</v>
      </c>
      <c r="AS51" s="507" t="e" vm="2">
        <f t="shared" si="4"/>
        <v>#VALUE!</v>
      </c>
      <c r="AT51" s="119"/>
      <c r="AU51" s="119"/>
      <c r="AV51" s="119"/>
      <c r="AW51" s="119"/>
      <c r="AX51" s="119"/>
      <c r="AY51" s="119"/>
      <c r="AZ51" s="119"/>
      <c r="BA51" s="119"/>
    </row>
    <row r="52" spans="1:426" ht="32.1" customHeight="1">
      <c r="A52" s="93"/>
      <c r="B52" s="76" t="str">
        <f>VLOOKUP(878,Sprachindex!$A:$Z,Info!$O$7,FALSE)</f>
        <v>Stk.</v>
      </c>
      <c r="C52" s="75" t="e" vm="89">
        <v>#VALUE!</v>
      </c>
      <c r="D52" s="75">
        <v>545106</v>
      </c>
      <c r="E52" s="628" t="str">
        <f>VLOOKUP(1874,Sprachindex!$A:$Z,Info!$O$7,FALSE)</f>
        <v>Einfassung Vario, 120-600 mm, stucco</v>
      </c>
      <c r="F52" s="629"/>
      <c r="G52" s="629"/>
      <c r="H52" s="629"/>
      <c r="I52" s="629"/>
      <c r="J52" s="629"/>
      <c r="K52" s="630"/>
      <c r="L52" s="76" t="str">
        <f>IF(A52=0,"",IF($P$11=1,AC52,AD52))</f>
        <v/>
      </c>
      <c r="M52" s="399" t="str">
        <f t="shared" si="0"/>
        <v>Stk.</v>
      </c>
      <c r="N52" s="77"/>
      <c r="O52" s="184" t="str">
        <f>IF(ISNUMBER(A52),$L52*R52, "")</f>
        <v/>
      </c>
      <c r="P52" s="5"/>
      <c r="Q52" s="5"/>
      <c r="R52" s="182">
        <v>0</v>
      </c>
      <c r="S52" s="179"/>
      <c r="T52" s="179"/>
      <c r="U52" s="179"/>
      <c r="V52" s="179"/>
      <c r="W52" s="179"/>
      <c r="X52" s="179"/>
      <c r="Y52" s="179"/>
      <c r="Z52" s="179"/>
      <c r="AA52" s="179"/>
      <c r="AC52" s="139">
        <f>ROUNDUP($A52,0)</f>
        <v>0</v>
      </c>
      <c r="AD52" s="139">
        <f t="shared" ref="AD52:AD70" si="10">ROUNDUP($A52,0)</f>
        <v>0</v>
      </c>
      <c r="AH52" s="47" t="s">
        <v>35</v>
      </c>
      <c r="AI52" s="47" t="s">
        <v>32</v>
      </c>
      <c r="AJ52" s="47" t="s">
        <v>40</v>
      </c>
      <c r="AK52" s="47" t="s">
        <v>37</v>
      </c>
      <c r="AL52" s="47" t="s">
        <v>33</v>
      </c>
      <c r="AM52" s="47" t="s">
        <v>39</v>
      </c>
      <c r="AN52" s="47" t="s">
        <v>34</v>
      </c>
      <c r="AO52" s="47" t="s">
        <v>38</v>
      </c>
      <c r="AP52" s="47" t="s">
        <v>41</v>
      </c>
      <c r="AQ52" s="47" t="s">
        <v>36</v>
      </c>
      <c r="AR52" s="47" t="s">
        <v>38962</v>
      </c>
    </row>
    <row r="53" spans="1:426" ht="32.1" customHeight="1" thickBot="1">
      <c r="A53" s="93"/>
      <c r="B53" s="76" t="str">
        <f>VLOOKUP(878,Sprachindex!$A:$Z,Info!$O$7,FALSE)</f>
        <v>Stk.</v>
      </c>
      <c r="C53" s="75" t="e" vm="89">
        <v>#VALUE!</v>
      </c>
      <c r="D53" s="75">
        <v>545106</v>
      </c>
      <c r="E53" s="628" t="str">
        <f>VLOOKUP(1875,Sprachindex!$A:$Z,Info!$O$7,FALSE)</f>
        <v>Einfassung Vario, 600-1.020 mm, stucco</v>
      </c>
      <c r="F53" s="629"/>
      <c r="G53" s="629"/>
      <c r="H53" s="629"/>
      <c r="I53" s="629"/>
      <c r="J53" s="629"/>
      <c r="K53" s="630"/>
      <c r="L53" s="76" t="str">
        <f>IF(A53=0,"",IF($P$11=1,AC53,AD53))</f>
        <v/>
      </c>
      <c r="M53" s="399" t="str">
        <f t="shared" si="0"/>
        <v>Stk.</v>
      </c>
      <c r="N53" s="77"/>
      <c r="O53" s="184" t="str">
        <f>IF(ISNUMBER(A53),$L53*R53, "")</f>
        <v/>
      </c>
      <c r="P53" s="5"/>
      <c r="Q53" s="5"/>
      <c r="R53" s="182">
        <v>0</v>
      </c>
      <c r="S53" s="179"/>
      <c r="T53" s="179"/>
      <c r="U53" s="179"/>
      <c r="V53" s="179"/>
      <c r="W53" s="179"/>
      <c r="X53" s="179"/>
      <c r="Y53" s="179"/>
      <c r="Z53" s="179"/>
      <c r="AA53" s="179"/>
      <c r="AC53" s="139">
        <f>ROUNDUP($A53,0)</f>
        <v>0</v>
      </c>
      <c r="AD53" s="139">
        <f t="shared" si="10"/>
        <v>0</v>
      </c>
    </row>
    <row r="54" spans="1:426" ht="32.1" customHeight="1" thickBot="1">
      <c r="A54" s="93"/>
      <c r="B54" s="76" t="str">
        <f>VLOOKUP(878,Sprachindex!$A:$Z,Info!$O$7,FALSE)</f>
        <v>Stk.</v>
      </c>
      <c r="C54" s="75" t="e" vm="26">
        <v>#VALUE!</v>
      </c>
      <c r="D54" s="75" t="str">
        <f>IF(ISNUMBER(A54),IF($P$9=1,AS54,""),"")</f>
        <v/>
      </c>
      <c r="E54" s="628" t="str">
        <f>VLOOKUP(254,Sprachindex!$A:$Z,Info!$O$7,FALSE)</f>
        <v>Dachluke (600 × 600 mm); komplett mit Holzrahmen</v>
      </c>
      <c r="F54" s="629"/>
      <c r="G54" s="629"/>
      <c r="H54" s="629"/>
      <c r="I54" s="629"/>
      <c r="J54" s="629"/>
      <c r="K54" s="630"/>
      <c r="L54" s="76" t="str">
        <f>IF(A54=0,"",IF($P$11=1,AC54,AD54))</f>
        <v/>
      </c>
      <c r="M54" s="161" t="str">
        <f>VLOOKUP(878,Sprachindex!$A:$Z,Info!$O$7,FALSE)</f>
        <v>Stk.</v>
      </c>
      <c r="N54" s="77"/>
      <c r="O54" s="204" t="str">
        <f>IF(ISNUMBER(A54),$L54*R54, "")</f>
        <v/>
      </c>
      <c r="P54" s="267"/>
      <c r="Q54" s="5"/>
      <c r="R54" s="182">
        <v>254.93</v>
      </c>
      <c r="S54" s="179"/>
      <c r="T54" s="179"/>
      <c r="U54" s="179"/>
      <c r="V54" s="179"/>
      <c r="W54" s="179"/>
      <c r="X54" s="179"/>
      <c r="Y54" s="179"/>
      <c r="Z54" s="179"/>
      <c r="AA54" s="179"/>
      <c r="AB54" s="179"/>
      <c r="AC54" s="139">
        <f t="shared" ref="AC54:AC63" si="11">ROUNDUP($A54,0)</f>
        <v>0</v>
      </c>
      <c r="AD54" s="139">
        <f t="shared" si="10"/>
        <v>0</v>
      </c>
      <c r="AH54" s="498">
        <v>110023</v>
      </c>
      <c r="AI54" s="498">
        <v>110020</v>
      </c>
      <c r="AJ54" s="498">
        <v>110028</v>
      </c>
      <c r="AK54" s="498">
        <v>110025</v>
      </c>
      <c r="AL54" s="498">
        <v>110021</v>
      </c>
      <c r="AM54" s="498">
        <v>110027</v>
      </c>
      <c r="AN54" s="498">
        <v>110022</v>
      </c>
      <c r="AO54" s="498">
        <v>110026</v>
      </c>
      <c r="AP54" s="498">
        <v>110029</v>
      </c>
      <c r="AQ54" s="498">
        <v>110024</v>
      </c>
      <c r="AR54" s="498">
        <v>16751028</v>
      </c>
      <c r="AS54" s="512" t="e" vm="2">
        <f>VLOOKUP(AH54,AH54:AR54,$P$21,FALSE)</f>
        <v>#VALUE!</v>
      </c>
      <c r="AT54" s="438">
        <v>110033</v>
      </c>
      <c r="AU54" s="438">
        <v>110030</v>
      </c>
      <c r="AV54" s="438">
        <v>110038</v>
      </c>
      <c r="AW54" s="438">
        <v>110035</v>
      </c>
      <c r="AX54" s="438">
        <v>110031</v>
      </c>
      <c r="AY54" s="438">
        <v>110037</v>
      </c>
      <c r="AZ54" s="438">
        <v>110032</v>
      </c>
      <c r="BA54" s="438">
        <v>110036</v>
      </c>
      <c r="BB54" s="438">
        <v>110039</v>
      </c>
      <c r="BC54" s="438">
        <v>110034</v>
      </c>
      <c r="BD54" s="438">
        <v>16761028</v>
      </c>
      <c r="BE54" s="524" t="e" vm="2">
        <f>VLOOKUP(AT54,AT54:BD54,$P$21,FALSE)</f>
        <v>#VALUE!</v>
      </c>
      <c r="BF54" s="525" t="s">
        <v>39079</v>
      </c>
      <c r="BG54" s="523" t="s">
        <v>39080</v>
      </c>
      <c r="BH54" s="519" t="s">
        <v>35</v>
      </c>
      <c r="BI54" s="519" t="s">
        <v>32</v>
      </c>
      <c r="BJ54" s="519" t="s">
        <v>40</v>
      </c>
      <c r="BK54" s="519" t="s">
        <v>37</v>
      </c>
      <c r="BL54" s="519" t="s">
        <v>33</v>
      </c>
      <c r="BM54" s="519" t="s">
        <v>39</v>
      </c>
      <c r="BN54" s="519" t="s">
        <v>34</v>
      </c>
      <c r="BO54" s="519" t="s">
        <v>38</v>
      </c>
      <c r="BP54" s="519" t="s">
        <v>41</v>
      </c>
      <c r="BQ54" s="519" t="s">
        <v>36</v>
      </c>
      <c r="BR54" s="519" t="s">
        <v>38962</v>
      </c>
      <c r="BS54" s="520" t="s">
        <v>39049</v>
      </c>
      <c r="BT54" s="519" t="s">
        <v>35</v>
      </c>
      <c r="BU54" s="519" t="s">
        <v>32</v>
      </c>
      <c r="BV54" s="519" t="s">
        <v>40</v>
      </c>
      <c r="BW54" s="519" t="s">
        <v>37</v>
      </c>
      <c r="BX54" s="519" t="s">
        <v>33</v>
      </c>
      <c r="BY54" s="519" t="s">
        <v>39</v>
      </c>
      <c r="BZ54" s="519" t="s">
        <v>34</v>
      </c>
      <c r="CA54" s="519" t="s">
        <v>38</v>
      </c>
      <c r="CB54" s="519" t="s">
        <v>41</v>
      </c>
      <c r="CC54" s="519" t="s">
        <v>36</v>
      </c>
      <c r="CD54" s="519" t="s">
        <v>38962</v>
      </c>
      <c r="CE54" s="516" t="s">
        <v>39049</v>
      </c>
      <c r="CF54" s="535" t="s">
        <v>39079</v>
      </c>
      <c r="CG54" s="523" t="s">
        <v>39080</v>
      </c>
      <c r="CH54" s="519" t="s">
        <v>35</v>
      </c>
      <c r="CI54" s="519" t="s">
        <v>32</v>
      </c>
      <c r="CJ54" s="519" t="s">
        <v>40</v>
      </c>
      <c r="CK54" s="519" t="s">
        <v>37</v>
      </c>
      <c r="CL54" s="519" t="s">
        <v>33</v>
      </c>
      <c r="CM54" s="519" t="s">
        <v>39</v>
      </c>
      <c r="CN54" s="519" t="s">
        <v>34</v>
      </c>
      <c r="CO54" s="519" t="s">
        <v>38</v>
      </c>
      <c r="CP54" s="519" t="s">
        <v>41</v>
      </c>
      <c r="CQ54" s="519" t="s">
        <v>36</v>
      </c>
      <c r="CR54" s="519" t="s">
        <v>38962</v>
      </c>
      <c r="CS54" s="520" t="s">
        <v>39049</v>
      </c>
      <c r="CT54" s="519" t="s">
        <v>35</v>
      </c>
      <c r="CU54" s="519" t="s">
        <v>32</v>
      </c>
      <c r="CV54" s="519" t="s">
        <v>40</v>
      </c>
      <c r="CW54" s="519" t="s">
        <v>37</v>
      </c>
      <c r="CX54" s="519" t="s">
        <v>33</v>
      </c>
      <c r="CY54" s="519" t="s">
        <v>39</v>
      </c>
      <c r="CZ54" s="519" t="s">
        <v>34</v>
      </c>
      <c r="DA54" s="519" t="s">
        <v>38</v>
      </c>
      <c r="DB54" s="519" t="s">
        <v>41</v>
      </c>
      <c r="DC54" s="519" t="s">
        <v>36</v>
      </c>
      <c r="DD54" s="519" t="s">
        <v>38962</v>
      </c>
      <c r="DE54" s="520" t="s">
        <v>39049</v>
      </c>
      <c r="DF54" s="521" t="s">
        <v>39079</v>
      </c>
      <c r="DG54" s="523" t="s">
        <v>39080</v>
      </c>
      <c r="DH54" s="519" t="s">
        <v>35</v>
      </c>
      <c r="DI54" s="519" t="s">
        <v>32</v>
      </c>
      <c r="DJ54" s="519" t="s">
        <v>40</v>
      </c>
      <c r="DK54" s="519" t="s">
        <v>37</v>
      </c>
      <c r="DL54" s="519" t="s">
        <v>33</v>
      </c>
      <c r="DM54" s="519" t="s">
        <v>39</v>
      </c>
      <c r="DN54" s="519" t="s">
        <v>34</v>
      </c>
      <c r="DO54" s="519" t="s">
        <v>38</v>
      </c>
      <c r="DP54" s="519" t="s">
        <v>41</v>
      </c>
      <c r="DQ54" s="519" t="s">
        <v>36</v>
      </c>
      <c r="DR54" s="519" t="s">
        <v>38962</v>
      </c>
      <c r="DS54" s="520" t="s">
        <v>39049</v>
      </c>
      <c r="DT54" s="519" t="s">
        <v>35</v>
      </c>
      <c r="DU54" s="519" t="s">
        <v>32</v>
      </c>
      <c r="DV54" s="519" t="s">
        <v>40</v>
      </c>
      <c r="DW54" s="519" t="s">
        <v>37</v>
      </c>
      <c r="DX54" s="519" t="s">
        <v>33</v>
      </c>
      <c r="DY54" s="519" t="s">
        <v>39</v>
      </c>
      <c r="DZ54" s="519" t="s">
        <v>34</v>
      </c>
      <c r="EA54" s="519" t="s">
        <v>38</v>
      </c>
      <c r="EB54" s="519" t="s">
        <v>41</v>
      </c>
      <c r="EC54" s="519" t="s">
        <v>36</v>
      </c>
      <c r="ED54" s="519" t="s">
        <v>38962</v>
      </c>
      <c r="EE54" s="520" t="s">
        <v>39049</v>
      </c>
      <c r="EF54" s="521" t="s">
        <v>39079</v>
      </c>
      <c r="EG54" s="523" t="s">
        <v>39080</v>
      </c>
      <c r="EH54" s="519" t="s">
        <v>35</v>
      </c>
      <c r="EI54" s="519" t="s">
        <v>32</v>
      </c>
      <c r="EJ54" s="519" t="s">
        <v>40</v>
      </c>
      <c r="EK54" s="519" t="s">
        <v>37</v>
      </c>
      <c r="EL54" s="519" t="s">
        <v>33</v>
      </c>
      <c r="EM54" s="519" t="s">
        <v>39</v>
      </c>
      <c r="EN54" s="519" t="s">
        <v>34</v>
      </c>
      <c r="EO54" s="519" t="s">
        <v>38</v>
      </c>
      <c r="EP54" s="519" t="s">
        <v>41</v>
      </c>
      <c r="EQ54" s="519" t="s">
        <v>36</v>
      </c>
      <c r="ER54" s="519" t="s">
        <v>38962</v>
      </c>
      <c r="ES54" s="520" t="s">
        <v>39049</v>
      </c>
      <c r="ET54" s="519" t="s">
        <v>35</v>
      </c>
      <c r="EU54" s="519" t="s">
        <v>32</v>
      </c>
      <c r="EV54" s="519" t="s">
        <v>40</v>
      </c>
      <c r="EW54" s="519" t="s">
        <v>37</v>
      </c>
      <c r="EX54" s="519" t="s">
        <v>33</v>
      </c>
      <c r="EY54" s="519" t="s">
        <v>39</v>
      </c>
      <c r="EZ54" s="519" t="s">
        <v>34</v>
      </c>
      <c r="FA54" s="519" t="s">
        <v>38</v>
      </c>
      <c r="FB54" s="519" t="s">
        <v>41</v>
      </c>
      <c r="FC54" s="519" t="s">
        <v>36</v>
      </c>
      <c r="FD54" s="519" t="s">
        <v>38962</v>
      </c>
      <c r="FE54" s="520" t="s">
        <v>39049</v>
      </c>
      <c r="FF54" s="521" t="s">
        <v>39079</v>
      </c>
      <c r="FG54" s="523" t="s">
        <v>39080</v>
      </c>
      <c r="FH54" s="519" t="s">
        <v>35</v>
      </c>
      <c r="FI54" s="519" t="s">
        <v>32</v>
      </c>
      <c r="FJ54" s="519" t="s">
        <v>40</v>
      </c>
      <c r="FK54" s="519" t="s">
        <v>37</v>
      </c>
      <c r="FL54" s="519" t="s">
        <v>33</v>
      </c>
      <c r="FM54" s="519" t="s">
        <v>39</v>
      </c>
      <c r="FN54" s="519" t="s">
        <v>34</v>
      </c>
      <c r="FO54" s="519" t="s">
        <v>38</v>
      </c>
      <c r="FP54" s="519" t="s">
        <v>41</v>
      </c>
      <c r="FQ54" s="519" t="s">
        <v>36</v>
      </c>
      <c r="FR54" s="519" t="s">
        <v>38962</v>
      </c>
      <c r="FS54" s="520" t="s">
        <v>39049</v>
      </c>
      <c r="FT54" s="519" t="s">
        <v>35</v>
      </c>
      <c r="FU54" s="519" t="s">
        <v>32</v>
      </c>
      <c r="FV54" s="519" t="s">
        <v>40</v>
      </c>
      <c r="FW54" s="519" t="s">
        <v>37</v>
      </c>
      <c r="FX54" s="519" t="s">
        <v>33</v>
      </c>
      <c r="FY54" s="519" t="s">
        <v>39</v>
      </c>
      <c r="FZ54" s="519" t="s">
        <v>34</v>
      </c>
      <c r="GA54" s="519" t="s">
        <v>38</v>
      </c>
      <c r="GB54" s="519" t="s">
        <v>41</v>
      </c>
      <c r="GC54" s="519" t="s">
        <v>36</v>
      </c>
      <c r="GD54" s="519" t="s">
        <v>38962</v>
      </c>
      <c r="GE54" s="520" t="s">
        <v>39049</v>
      </c>
      <c r="GF54" s="521" t="s">
        <v>39079</v>
      </c>
      <c r="GG54" s="523" t="s">
        <v>39080</v>
      </c>
      <c r="GH54" s="519" t="s">
        <v>35</v>
      </c>
      <c r="GI54" s="519" t="s">
        <v>32</v>
      </c>
      <c r="GJ54" s="519" t="s">
        <v>40</v>
      </c>
      <c r="GK54" s="519" t="s">
        <v>37</v>
      </c>
      <c r="GL54" s="519" t="s">
        <v>33</v>
      </c>
      <c r="GM54" s="519" t="s">
        <v>39</v>
      </c>
      <c r="GN54" s="519" t="s">
        <v>34</v>
      </c>
      <c r="GO54" s="519" t="s">
        <v>38</v>
      </c>
      <c r="GP54" s="519" t="s">
        <v>41</v>
      </c>
      <c r="GQ54" s="519" t="s">
        <v>36</v>
      </c>
      <c r="GR54" s="519" t="s">
        <v>38962</v>
      </c>
      <c r="GS54" s="520" t="s">
        <v>39049</v>
      </c>
      <c r="GT54" s="519" t="s">
        <v>35</v>
      </c>
      <c r="GU54" s="519" t="s">
        <v>32</v>
      </c>
      <c r="GV54" s="519" t="s">
        <v>40</v>
      </c>
      <c r="GW54" s="519" t="s">
        <v>37</v>
      </c>
      <c r="GX54" s="519" t="s">
        <v>33</v>
      </c>
      <c r="GY54" s="519" t="s">
        <v>39</v>
      </c>
      <c r="GZ54" s="519" t="s">
        <v>34</v>
      </c>
      <c r="HA54" s="519" t="s">
        <v>38</v>
      </c>
      <c r="HB54" s="519" t="s">
        <v>41</v>
      </c>
      <c r="HC54" s="519" t="s">
        <v>36</v>
      </c>
      <c r="HD54" s="519" t="s">
        <v>38962</v>
      </c>
      <c r="HE54" s="520" t="s">
        <v>39049</v>
      </c>
      <c r="HF54" s="521" t="s">
        <v>39079</v>
      </c>
      <c r="HG54" s="523" t="s">
        <v>39080</v>
      </c>
      <c r="HH54" s="519" t="s">
        <v>35</v>
      </c>
      <c r="HI54" s="519" t="s">
        <v>32</v>
      </c>
      <c r="HJ54" s="519" t="s">
        <v>40</v>
      </c>
      <c r="HK54" s="519" t="s">
        <v>37</v>
      </c>
      <c r="HL54" s="519" t="s">
        <v>33</v>
      </c>
      <c r="HM54" s="519" t="s">
        <v>39</v>
      </c>
      <c r="HN54" s="519" t="s">
        <v>34</v>
      </c>
      <c r="HO54" s="519" t="s">
        <v>38</v>
      </c>
      <c r="HP54" s="519" t="s">
        <v>41</v>
      </c>
      <c r="HQ54" s="519" t="s">
        <v>36</v>
      </c>
      <c r="HR54" s="519" t="s">
        <v>38962</v>
      </c>
      <c r="HS54" s="520" t="s">
        <v>39049</v>
      </c>
      <c r="HT54" s="519" t="s">
        <v>35</v>
      </c>
      <c r="HU54" s="519" t="s">
        <v>32</v>
      </c>
      <c r="HV54" s="519" t="s">
        <v>40</v>
      </c>
      <c r="HW54" s="519" t="s">
        <v>37</v>
      </c>
      <c r="HX54" s="519" t="s">
        <v>33</v>
      </c>
      <c r="HY54" s="519" t="s">
        <v>39</v>
      </c>
      <c r="HZ54" s="519" t="s">
        <v>34</v>
      </c>
      <c r="IA54" s="519" t="s">
        <v>38</v>
      </c>
      <c r="IB54" s="519" t="s">
        <v>41</v>
      </c>
      <c r="IC54" s="519" t="s">
        <v>36</v>
      </c>
      <c r="ID54" s="519" t="s">
        <v>38962</v>
      </c>
      <c r="IE54" s="520" t="s">
        <v>39049</v>
      </c>
      <c r="IF54" s="535" t="s">
        <v>39079</v>
      </c>
      <c r="IG54" s="523" t="s">
        <v>39080</v>
      </c>
      <c r="IH54" s="519" t="s">
        <v>35</v>
      </c>
      <c r="II54" s="519" t="s">
        <v>32</v>
      </c>
      <c r="IJ54" s="519" t="s">
        <v>40</v>
      </c>
      <c r="IK54" s="519" t="s">
        <v>37</v>
      </c>
      <c r="IL54" s="519" t="s">
        <v>33</v>
      </c>
      <c r="IM54" s="519" t="s">
        <v>39</v>
      </c>
      <c r="IN54" s="519" t="s">
        <v>34</v>
      </c>
      <c r="IO54" s="519" t="s">
        <v>38</v>
      </c>
      <c r="IP54" s="519" t="s">
        <v>41</v>
      </c>
      <c r="IQ54" s="519" t="s">
        <v>36</v>
      </c>
      <c r="IR54" s="519" t="s">
        <v>38962</v>
      </c>
      <c r="IS54" s="520" t="s">
        <v>39049</v>
      </c>
      <c r="IT54" s="519" t="s">
        <v>35</v>
      </c>
      <c r="IU54" s="519" t="s">
        <v>32</v>
      </c>
      <c r="IV54" s="519" t="s">
        <v>40</v>
      </c>
      <c r="IW54" s="519" t="s">
        <v>37</v>
      </c>
      <c r="IX54" s="519" t="s">
        <v>33</v>
      </c>
      <c r="IY54" s="519" t="s">
        <v>39</v>
      </c>
      <c r="IZ54" s="519" t="s">
        <v>34</v>
      </c>
      <c r="JA54" s="519" t="s">
        <v>38</v>
      </c>
      <c r="JB54" s="519" t="s">
        <v>41</v>
      </c>
      <c r="JC54" s="519" t="s">
        <v>36</v>
      </c>
      <c r="JD54" s="519" t="s">
        <v>38962</v>
      </c>
      <c r="JE54" s="520" t="s">
        <v>39049</v>
      </c>
      <c r="JF54" s="521" t="s">
        <v>39079</v>
      </c>
      <c r="JG54" s="523" t="s">
        <v>39080</v>
      </c>
      <c r="JH54" s="519" t="s">
        <v>35</v>
      </c>
      <c r="JI54" s="519" t="s">
        <v>32</v>
      </c>
      <c r="JJ54" s="519" t="s">
        <v>40</v>
      </c>
      <c r="JK54" s="519" t="s">
        <v>37</v>
      </c>
      <c r="JL54" s="519" t="s">
        <v>33</v>
      </c>
      <c r="JM54" s="519" t="s">
        <v>39</v>
      </c>
      <c r="JN54" s="519" t="s">
        <v>34</v>
      </c>
      <c r="JO54" s="519" t="s">
        <v>38</v>
      </c>
      <c r="JP54" s="519" t="s">
        <v>41</v>
      </c>
      <c r="JQ54" s="519" t="s">
        <v>36</v>
      </c>
      <c r="JR54" s="519" t="s">
        <v>38962</v>
      </c>
      <c r="JS54" s="520" t="s">
        <v>39049</v>
      </c>
      <c r="JT54" s="519" t="s">
        <v>35</v>
      </c>
      <c r="JU54" s="519" t="s">
        <v>32</v>
      </c>
      <c r="JV54" s="519" t="s">
        <v>40</v>
      </c>
      <c r="JW54" s="519" t="s">
        <v>37</v>
      </c>
      <c r="JX54" s="519" t="s">
        <v>33</v>
      </c>
      <c r="JY54" s="519" t="s">
        <v>39</v>
      </c>
      <c r="JZ54" s="519" t="s">
        <v>34</v>
      </c>
      <c r="KA54" s="519" t="s">
        <v>38</v>
      </c>
      <c r="KB54" s="519" t="s">
        <v>41</v>
      </c>
      <c r="KC54" s="519" t="s">
        <v>36</v>
      </c>
      <c r="KD54" s="519" t="s">
        <v>38962</v>
      </c>
      <c r="KE54" s="520" t="s">
        <v>39049</v>
      </c>
    </row>
    <row r="55" spans="1:426" ht="32.1" customHeight="1" thickBot="1">
      <c r="A55" s="93"/>
      <c r="B55" s="76" t="str">
        <f>VLOOKUP(878,Sprachindex!$A:$Z,Info!$O$7,FALSE)</f>
        <v>Stk.</v>
      </c>
      <c r="C55" s="75" t="e" vm="27">
        <v>#VALUE!</v>
      </c>
      <c r="D55" s="75" t="str">
        <f>IF(ISNUMBER(A55),IF(Info!V6=2,'Velux DE Artikelnummern'!C27,Q55),"")</f>
        <v/>
      </c>
      <c r="E55" s="618" t="str">
        <f>VLOOKUP(324,Sprachindex!$A:$Z,Info!$O$7,FALSE)</f>
        <v>Einfassung für Velux-Dachflächenfenster (stucco)</v>
      </c>
      <c r="F55" s="619"/>
      <c r="G55" s="619"/>
      <c r="H55" s="619"/>
      <c r="I55" s="81" t="str">
        <f>VLOOKUP(591,Sprachindex!$A:$Z,Info!$O$7,FALSE)</f>
        <v>Maße:</v>
      </c>
      <c r="J55" s="624"/>
      <c r="K55" s="626"/>
      <c r="L55" s="76" t="str">
        <f>IF($A55=0,"",IF($J55=Formeln!$A$30," ",IF($P$11=1,AC55,AD55)))</f>
        <v/>
      </c>
      <c r="M55" s="161" t="str">
        <f>VLOOKUP(878,Sprachindex!$A:$Z,Info!$O$7,FALSE)</f>
        <v>Stk.</v>
      </c>
      <c r="N55" s="77"/>
      <c r="O55" s="204" t="str">
        <f>IF(ISNUMBER(L55),
IF(OR(J55=Formeln!$A$31,J55=Formeln!$A$32,J55=Formeln!$A$33),R55,
IF(OR(J55=Formeln!$A$34,J55=Formeln!$A$35,J55=Formeln!$A$36),S55,
IF(OR(J55=Formeln!$A$37,J55=Formeln!$A$38,J55=Formeln!$A438),T55,
IF(OR(J55=Formeln!$A$40,J55=Formeln!$A$41),U55,
IF(OR(J55=Formeln!$A$42,J55=Formeln!$A$43,J55=Formeln!$A$44),V55,
IF(OR(J55=Formeln!$A$45),W55,
IF(OR(J55=Formeln!$A$46,J55=Formeln!$A$47),X55,
IF(OR(J55=Formeln!$A$48),Y55,
IF(OR(J55=Formeln!$A$49,J55=Formeln!$A$50),Z55,
IF(OR(J55=Formeln!$A$51),AA55,0)))))))))), "")</f>
        <v/>
      </c>
      <c r="P55" s="267"/>
      <c r="Q55" s="1" t="str" cm="1">
        <f t="array" ref="Q55">_xlfn.IFS(OR(J55=Formeln!$A$31,J55=Formeln!$A$32,J55=Formeln!$A$33),AG55,
OR(J55=Formeln!$A$34,J55=Formeln!$A$35,J55=Formeln!$A$36),BG55,
OR(J55=Formeln!$A$37,J55=Formeln!$A$38,J55=Formeln!$A$39),CG55,
OR(J55=Formeln!$A$40,J55=Formeln!$A$41),DG55,
OR(J55=Formeln!$A$42,J55=Formeln!$A$43,J55=Formeln!$A$44),EG55,
J55=Formeln!$A$45,FG55,
OR(J55=Formeln!$A$46,J55=Formeln!$A$47),GG55,
J55=Formeln!$A$48,HG55,
OR(J55=Formeln!$A$49,J55=Formeln!$A$50),IG55,
J55=Formeln!$A$51,JG55,
TRUE," ")</f>
        <v xml:space="preserve"> </v>
      </c>
      <c r="R55" s="182">
        <v>272.64</v>
      </c>
      <c r="S55" s="182">
        <v>279.95</v>
      </c>
      <c r="T55" s="182">
        <v>280.47000000000003</v>
      </c>
      <c r="U55" s="182">
        <v>294.37</v>
      </c>
      <c r="V55" s="182">
        <v>337.94</v>
      </c>
      <c r="W55" s="182">
        <v>345.15</v>
      </c>
      <c r="X55" s="182">
        <v>345.15</v>
      </c>
      <c r="Y55" s="182">
        <v>145.15</v>
      </c>
      <c r="Z55" s="182">
        <v>347.52</v>
      </c>
      <c r="AA55" s="182">
        <v>347.52</v>
      </c>
      <c r="AB55" s="179"/>
      <c r="AC55" s="139">
        <f t="shared" si="11"/>
        <v>0</v>
      </c>
      <c r="AD55" s="141">
        <f t="shared" si="10"/>
        <v>0</v>
      </c>
      <c r="AF55" s="513" t="s">
        <v>51</v>
      </c>
      <c r="AG55" s="517" t="e" vm="99">
        <f>IF($P$9=1,AS55,"")</f>
        <v>#VALUE!</v>
      </c>
      <c r="AH55" s="514">
        <v>111113</v>
      </c>
      <c r="AI55" s="514">
        <v>111110</v>
      </c>
      <c r="AJ55" s="514">
        <v>111118</v>
      </c>
      <c r="AK55" s="514">
        <v>111115</v>
      </c>
      <c r="AL55" s="514">
        <v>111111</v>
      </c>
      <c r="AM55" s="514">
        <v>111117</v>
      </c>
      <c r="AN55" s="514">
        <v>111112</v>
      </c>
      <c r="AO55" s="514">
        <v>111116</v>
      </c>
      <c r="AP55" s="514">
        <v>111119</v>
      </c>
      <c r="AQ55" s="514">
        <v>111114</v>
      </c>
      <c r="AR55" s="514">
        <v>16211028</v>
      </c>
      <c r="AS55" s="515" t="e" vm="2">
        <f>VLOOKUP(AH55,AH55:AR55,$P$21,FALSE)</f>
        <v>#VALUE!</v>
      </c>
      <c r="AT55" s="518">
        <v>111103</v>
      </c>
      <c r="AU55" s="518">
        <v>111100</v>
      </c>
      <c r="AV55" s="518">
        <v>111108</v>
      </c>
      <c r="AW55" s="518">
        <v>111105</v>
      </c>
      <c r="AX55" s="518">
        <v>111101</v>
      </c>
      <c r="AY55" s="518">
        <v>111107</v>
      </c>
      <c r="AZ55" s="518">
        <v>111102</v>
      </c>
      <c r="BA55" s="518">
        <v>111106</v>
      </c>
      <c r="BB55" s="518">
        <v>111109</v>
      </c>
      <c r="BC55" s="518">
        <v>111104</v>
      </c>
      <c r="BD55" s="518">
        <v>16201028</v>
      </c>
      <c r="BE55" s="516" t="e" vm="2">
        <f>VLOOKUP(AT55,AT55:BD55,$P$21,FALSE)</f>
        <v>#VALUE!</v>
      </c>
      <c r="BF55" s="521" t="s">
        <v>52</v>
      </c>
      <c r="BG55" s="517" t="e" vm="99">
        <f>IF($P$9=1,BS55,"")</f>
        <v>#VALUE!</v>
      </c>
      <c r="BH55" s="514">
        <v>111133</v>
      </c>
      <c r="BI55" s="514">
        <v>111130</v>
      </c>
      <c r="BJ55" s="514">
        <v>111138</v>
      </c>
      <c r="BK55" s="514">
        <v>111135</v>
      </c>
      <c r="BL55" s="514">
        <v>111131</v>
      </c>
      <c r="BM55" s="514">
        <v>111137</v>
      </c>
      <c r="BN55" s="514">
        <v>111132</v>
      </c>
      <c r="BO55" s="514">
        <v>111136</v>
      </c>
      <c r="BP55" s="514">
        <v>111139</v>
      </c>
      <c r="BQ55" s="514">
        <v>111134</v>
      </c>
      <c r="BR55" s="514">
        <v>16231028</v>
      </c>
      <c r="BS55" s="515" t="e" vm="2">
        <f>VLOOKUP(BH55,BH55:BR55,$P$21,FALSE)</f>
        <v>#VALUE!</v>
      </c>
      <c r="BT55" s="518">
        <v>111123</v>
      </c>
      <c r="BU55" s="518">
        <v>111120</v>
      </c>
      <c r="BV55" s="518">
        <v>111128</v>
      </c>
      <c r="BW55" s="518">
        <v>111125</v>
      </c>
      <c r="BX55" s="518">
        <v>111121</v>
      </c>
      <c r="BY55" s="518">
        <v>111127</v>
      </c>
      <c r="BZ55" s="518">
        <v>111122</v>
      </c>
      <c r="CA55" s="518">
        <v>111126</v>
      </c>
      <c r="CB55" s="518">
        <v>111129</v>
      </c>
      <c r="CC55" s="518">
        <v>111124</v>
      </c>
      <c r="CD55" s="518">
        <v>16221028</v>
      </c>
      <c r="CE55" s="516" t="e" vm="2">
        <f>VLOOKUP(BT55,BT55:CD55,$P$21,FALSE)</f>
        <v>#VALUE!</v>
      </c>
      <c r="CF55" s="521" t="s">
        <v>53</v>
      </c>
      <c r="CG55" s="517" t="e" vm="99">
        <f>IF($P$9=1,CS55,"")</f>
        <v>#VALUE!</v>
      </c>
      <c r="CH55" s="514">
        <v>111173</v>
      </c>
      <c r="CI55" s="514">
        <v>111170</v>
      </c>
      <c r="CJ55" s="514">
        <v>111178</v>
      </c>
      <c r="CK55" s="514">
        <v>111175</v>
      </c>
      <c r="CL55" s="514">
        <v>111171</v>
      </c>
      <c r="CM55" s="514">
        <v>111177</v>
      </c>
      <c r="CN55" s="514">
        <v>111172</v>
      </c>
      <c r="CO55" s="514">
        <v>111176</v>
      </c>
      <c r="CP55" s="514">
        <v>111179</v>
      </c>
      <c r="CQ55" s="514">
        <v>111174</v>
      </c>
      <c r="CR55" s="514">
        <v>16251028</v>
      </c>
      <c r="CS55" s="515" t="e" vm="2">
        <f>VLOOKUP(CH55,CH55:CR55,$P$21,FALSE)</f>
        <v>#VALUE!</v>
      </c>
      <c r="CT55" s="526">
        <v>111163</v>
      </c>
      <c r="CU55" s="518">
        <v>111160</v>
      </c>
      <c r="CV55" s="518">
        <v>111168</v>
      </c>
      <c r="CW55" s="518">
        <v>111165</v>
      </c>
      <c r="CX55" s="518">
        <v>111161</v>
      </c>
      <c r="CY55" s="518">
        <v>111167</v>
      </c>
      <c r="CZ55" s="518">
        <v>111162</v>
      </c>
      <c r="DA55" s="518">
        <v>111166</v>
      </c>
      <c r="DB55" s="518">
        <v>111169</v>
      </c>
      <c r="DC55" s="518">
        <v>111164</v>
      </c>
      <c r="DD55" s="518">
        <v>16241028</v>
      </c>
      <c r="DE55" s="516" t="e" vm="2">
        <f>VLOOKUP(CT55,CT55:DD55,$P$21,FALSE)</f>
        <v>#VALUE!</v>
      </c>
      <c r="DF55" s="521" t="s">
        <v>54</v>
      </c>
      <c r="DG55" s="517" t="e" vm="99">
        <f>IF($P$9=1,DS55,"")</f>
        <v>#VALUE!</v>
      </c>
      <c r="DH55" s="514">
        <v>111293</v>
      </c>
      <c r="DI55" s="514">
        <v>111290</v>
      </c>
      <c r="DJ55" s="514">
        <v>111298</v>
      </c>
      <c r="DK55" s="514">
        <v>111295</v>
      </c>
      <c r="DL55" s="514">
        <v>111291</v>
      </c>
      <c r="DM55" s="514">
        <v>111297</v>
      </c>
      <c r="DN55" s="514">
        <v>111292</v>
      </c>
      <c r="DO55" s="514">
        <v>111296</v>
      </c>
      <c r="DP55" s="514">
        <v>111299</v>
      </c>
      <c r="DQ55" s="514">
        <v>111294</v>
      </c>
      <c r="DR55" s="514">
        <v>16271028</v>
      </c>
      <c r="DS55" s="515" t="e" vm="2">
        <f>VLOOKUP(DH55,DH55:DR55,$P$21,FALSE)</f>
        <v>#VALUE!</v>
      </c>
      <c r="DT55" s="526">
        <v>111283</v>
      </c>
      <c r="DU55" s="518">
        <v>111280</v>
      </c>
      <c r="DV55" s="518">
        <v>111288</v>
      </c>
      <c r="DW55" s="518">
        <v>111285</v>
      </c>
      <c r="DX55" s="518">
        <v>111281</v>
      </c>
      <c r="DY55" s="518">
        <v>111287</v>
      </c>
      <c r="DZ55" s="518">
        <v>111282</v>
      </c>
      <c r="EA55" s="518">
        <v>111286</v>
      </c>
      <c r="EB55" s="518">
        <v>111289</v>
      </c>
      <c r="EC55" s="518">
        <v>111284</v>
      </c>
      <c r="ED55" s="518">
        <v>16261028</v>
      </c>
      <c r="EE55" s="516" t="e" vm="2">
        <f>VLOOKUP(DT55,DT55:ED55,$P$21,FALSE)</f>
        <v>#VALUE!</v>
      </c>
      <c r="EF55" s="521" t="s">
        <v>55</v>
      </c>
      <c r="EG55" s="517" t="e" vm="99">
        <f>IF($P$9=1,ES55,"")</f>
        <v>#VALUE!</v>
      </c>
      <c r="EH55" s="514">
        <v>111193</v>
      </c>
      <c r="EI55" s="514">
        <v>111190</v>
      </c>
      <c r="EJ55" s="514">
        <v>111198</v>
      </c>
      <c r="EK55" s="514">
        <v>111195</v>
      </c>
      <c r="EL55" s="514">
        <v>111191</v>
      </c>
      <c r="EM55" s="514">
        <v>111197</v>
      </c>
      <c r="EN55" s="514">
        <v>111192</v>
      </c>
      <c r="EO55" s="514">
        <v>111196</v>
      </c>
      <c r="EP55" s="514">
        <v>111199</v>
      </c>
      <c r="EQ55" s="514">
        <v>111194</v>
      </c>
      <c r="ER55" s="514">
        <v>16291028</v>
      </c>
      <c r="ES55" s="515" t="e" vm="2">
        <f>VLOOKUP(EH55,EH55:ER55,$P$21,FALSE)</f>
        <v>#VALUE!</v>
      </c>
      <c r="ET55" s="526">
        <v>111183</v>
      </c>
      <c r="EU55" s="518">
        <v>111180</v>
      </c>
      <c r="EV55" s="518">
        <v>111188</v>
      </c>
      <c r="EW55" s="518">
        <v>111185</v>
      </c>
      <c r="EX55" s="518">
        <v>111181</v>
      </c>
      <c r="EY55" s="518">
        <v>111187</v>
      </c>
      <c r="EZ55" s="518">
        <v>111182</v>
      </c>
      <c r="FA55" s="518">
        <v>111186</v>
      </c>
      <c r="FB55" s="518">
        <v>111189</v>
      </c>
      <c r="FC55" s="518">
        <v>111184</v>
      </c>
      <c r="FD55" s="518">
        <v>16281028</v>
      </c>
      <c r="FE55" s="516" t="e" vm="2">
        <f>VLOOKUP(ET55,ET55:FD55,$P$21,FALSE)</f>
        <v>#VALUE!</v>
      </c>
      <c r="FF55" s="521" t="s">
        <v>56</v>
      </c>
      <c r="FG55" s="517" t="e" vm="99">
        <f>IF($P$9=1,FS55,"")</f>
        <v>#VALUE!</v>
      </c>
      <c r="FH55" s="514">
        <v>111213</v>
      </c>
      <c r="FI55" s="514">
        <v>111210</v>
      </c>
      <c r="FJ55" s="514">
        <v>111218</v>
      </c>
      <c r="FK55" s="514">
        <v>111215</v>
      </c>
      <c r="FL55" s="514">
        <v>111211</v>
      </c>
      <c r="FM55" s="514">
        <v>111217</v>
      </c>
      <c r="FN55" s="514">
        <v>111212</v>
      </c>
      <c r="FO55" s="514">
        <v>111216</v>
      </c>
      <c r="FP55" s="514">
        <v>111219</v>
      </c>
      <c r="FQ55" s="514">
        <v>111214</v>
      </c>
      <c r="FR55" s="514">
        <v>16311028</v>
      </c>
      <c r="FS55" s="515" t="e" vm="2">
        <f>VLOOKUP(FH55,FH55:FR55,$P$21,FALSE)</f>
        <v>#VALUE!</v>
      </c>
      <c r="FT55" s="526">
        <v>111203</v>
      </c>
      <c r="FU55" s="518">
        <v>111200</v>
      </c>
      <c r="FV55" s="518">
        <v>111208</v>
      </c>
      <c r="FW55" s="518">
        <v>111205</v>
      </c>
      <c r="FX55" s="518">
        <v>111201</v>
      </c>
      <c r="FY55" s="518">
        <v>111207</v>
      </c>
      <c r="FZ55" s="518">
        <v>111202</v>
      </c>
      <c r="GA55" s="518">
        <v>111206</v>
      </c>
      <c r="GB55" s="518">
        <v>111209</v>
      </c>
      <c r="GC55" s="518">
        <v>111204</v>
      </c>
      <c r="GD55" s="518">
        <v>16301028</v>
      </c>
      <c r="GE55" s="516" t="e" vm="2">
        <f>VLOOKUP(FT55,FT55:GD55,$P$21,FALSE)</f>
        <v>#VALUE!</v>
      </c>
      <c r="GF55" s="521" t="s">
        <v>57</v>
      </c>
      <c r="GG55" s="517" t="e" vm="99">
        <f>IF($P$9=1,GS55,"")</f>
        <v>#VALUE!</v>
      </c>
      <c r="GH55" s="514">
        <v>111233</v>
      </c>
      <c r="GI55" s="514">
        <v>111230</v>
      </c>
      <c r="GJ55" s="514">
        <v>111238</v>
      </c>
      <c r="GK55" s="514">
        <v>111235</v>
      </c>
      <c r="GL55" s="514">
        <v>111231</v>
      </c>
      <c r="GM55" s="514">
        <v>111237</v>
      </c>
      <c r="GN55" s="514">
        <v>111232</v>
      </c>
      <c r="GO55" s="514">
        <v>111236</v>
      </c>
      <c r="GP55" s="514">
        <v>111239</v>
      </c>
      <c r="GQ55" s="514">
        <v>111234</v>
      </c>
      <c r="GR55" s="514">
        <v>16331028</v>
      </c>
      <c r="GS55" s="515" t="e" vm="2">
        <f>VLOOKUP(GH55,GH55:GR55,$P$21,FALSE)</f>
        <v>#VALUE!</v>
      </c>
      <c r="GT55" s="526">
        <v>111223</v>
      </c>
      <c r="GU55" s="518">
        <v>111220</v>
      </c>
      <c r="GV55" s="518">
        <v>111228</v>
      </c>
      <c r="GW55" s="518">
        <v>111225</v>
      </c>
      <c r="GX55" s="518">
        <v>111221</v>
      </c>
      <c r="GY55" s="518">
        <v>111227</v>
      </c>
      <c r="GZ55" s="518">
        <v>111222</v>
      </c>
      <c r="HA55" s="518">
        <v>111226</v>
      </c>
      <c r="HB55" s="518">
        <v>111229</v>
      </c>
      <c r="HC55" s="518">
        <v>111224</v>
      </c>
      <c r="HD55" s="518">
        <v>16321028</v>
      </c>
      <c r="HE55" s="516" t="e" vm="2">
        <f>VLOOKUP(GT55,GT55:HD55,$P$21,FALSE)</f>
        <v>#VALUE!</v>
      </c>
      <c r="HF55" s="521" t="s">
        <v>58</v>
      </c>
      <c r="HG55" s="517" t="e" vm="99">
        <f>IF($P$9=1,HS55,"")</f>
        <v>#VALUE!</v>
      </c>
      <c r="HH55" s="514">
        <v>111613</v>
      </c>
      <c r="HI55" s="514">
        <v>111610</v>
      </c>
      <c r="HJ55" s="514">
        <v>111618</v>
      </c>
      <c r="HK55" s="514">
        <v>111615</v>
      </c>
      <c r="HL55" s="514">
        <v>111611</v>
      </c>
      <c r="HM55" s="514">
        <v>111617</v>
      </c>
      <c r="HN55" s="514">
        <v>111612</v>
      </c>
      <c r="HO55" s="514">
        <v>111616</v>
      </c>
      <c r="HP55" s="514">
        <v>111619</v>
      </c>
      <c r="HQ55" s="514">
        <v>111614</v>
      </c>
      <c r="HR55" s="514">
        <v>16351028</v>
      </c>
      <c r="HS55" s="515" t="e" vm="2">
        <f>VLOOKUP(HH55,HH55:HR55,$P$21,FALSE)</f>
        <v>#VALUE!</v>
      </c>
      <c r="HT55" s="526">
        <v>111603</v>
      </c>
      <c r="HU55" s="518">
        <v>111600</v>
      </c>
      <c r="HV55" s="518">
        <v>111608</v>
      </c>
      <c r="HW55" s="518">
        <v>111605</v>
      </c>
      <c r="HX55" s="518">
        <v>111601</v>
      </c>
      <c r="HY55" s="518">
        <v>111607</v>
      </c>
      <c r="HZ55" s="518">
        <v>111602</v>
      </c>
      <c r="IA55" s="518">
        <v>111606</v>
      </c>
      <c r="IB55" s="518">
        <v>111609</v>
      </c>
      <c r="IC55" s="518">
        <v>111604</v>
      </c>
      <c r="ID55" s="518">
        <v>16341028</v>
      </c>
      <c r="IE55" s="516" t="e" vm="2">
        <f>VLOOKUP(HT55,HT55:ID55,$P$21,FALSE)</f>
        <v>#VALUE!</v>
      </c>
      <c r="IF55" s="528" t="s">
        <v>59</v>
      </c>
      <c r="IG55" s="517" t="e" vm="99">
        <f>IF($P$9=1,IS55,"")</f>
        <v>#VALUE!</v>
      </c>
      <c r="IH55" s="530">
        <v>111253</v>
      </c>
      <c r="II55" s="530">
        <v>111250</v>
      </c>
      <c r="IJ55" s="530">
        <v>111258</v>
      </c>
      <c r="IK55" s="530">
        <v>111255</v>
      </c>
      <c r="IL55" s="530">
        <v>111251</v>
      </c>
      <c r="IM55" s="530">
        <v>111257</v>
      </c>
      <c r="IN55" s="530">
        <v>111252</v>
      </c>
      <c r="IO55" s="530">
        <v>111256</v>
      </c>
      <c r="IP55" s="530">
        <v>111259</v>
      </c>
      <c r="IQ55" s="530">
        <v>111254</v>
      </c>
      <c r="IR55" s="530">
        <v>16371028</v>
      </c>
      <c r="IS55" s="531" t="e" vm="2">
        <f>VLOOKUP(IH55,IH55:IR55,$P$21,FALSE)</f>
        <v>#VALUE!</v>
      </c>
      <c r="IT55" s="532">
        <v>111243</v>
      </c>
      <c r="IU55" s="533">
        <v>111240</v>
      </c>
      <c r="IV55" s="533">
        <v>111248</v>
      </c>
      <c r="IW55" s="533">
        <v>111245</v>
      </c>
      <c r="IX55" s="533">
        <v>111241</v>
      </c>
      <c r="IY55" s="533">
        <v>111247</v>
      </c>
      <c r="IZ55" s="533">
        <v>111242</v>
      </c>
      <c r="JA55" s="533">
        <v>111246</v>
      </c>
      <c r="JB55" s="533">
        <v>111249</v>
      </c>
      <c r="JC55" s="533">
        <v>111244</v>
      </c>
      <c r="JD55" s="533">
        <v>16361028</v>
      </c>
      <c r="JE55" s="534" t="e" vm="2">
        <f>VLOOKUP(IT55,IT55:JD55,$P$21,FALSE)</f>
        <v>#VALUE!</v>
      </c>
      <c r="JF55" s="528" t="s">
        <v>60</v>
      </c>
      <c r="JG55" s="517" t="e" vm="99">
        <f>IF($P$9=1,JS55,"")</f>
        <v>#VALUE!</v>
      </c>
      <c r="JH55" s="530">
        <v>111633</v>
      </c>
      <c r="JI55" s="530">
        <v>111630</v>
      </c>
      <c r="JJ55" s="530">
        <v>111638</v>
      </c>
      <c r="JK55" s="530">
        <v>111635</v>
      </c>
      <c r="JL55" s="530">
        <v>111631</v>
      </c>
      <c r="JM55" s="530">
        <v>111637</v>
      </c>
      <c r="JN55" s="530">
        <v>111632</v>
      </c>
      <c r="JO55" s="530">
        <v>111636</v>
      </c>
      <c r="JP55" s="530">
        <v>111639</v>
      </c>
      <c r="JQ55" s="530">
        <v>111634</v>
      </c>
      <c r="JR55" s="530">
        <v>16391028</v>
      </c>
      <c r="JS55" s="531" t="e" vm="2">
        <f>VLOOKUP(JH55,JH55:JR55,$P$21,FALSE)</f>
        <v>#VALUE!</v>
      </c>
      <c r="JT55" s="532">
        <v>111623</v>
      </c>
      <c r="JU55" s="533">
        <v>111620</v>
      </c>
      <c r="JV55" s="533">
        <v>111628</v>
      </c>
      <c r="JW55" s="533">
        <v>111625</v>
      </c>
      <c r="JX55" s="533">
        <v>111621</v>
      </c>
      <c r="JY55" s="533">
        <v>111627</v>
      </c>
      <c r="JZ55" s="533">
        <v>111622</v>
      </c>
      <c r="KA55" s="533">
        <v>111626</v>
      </c>
      <c r="KB55" s="533">
        <v>111629</v>
      </c>
      <c r="KC55" s="533">
        <v>111624</v>
      </c>
      <c r="KD55" s="533">
        <v>16381028</v>
      </c>
      <c r="KE55" s="534" t="e" vm="2">
        <f>VLOOKUP(JT55,JT55:KD55,$P$21,FALSE)</f>
        <v>#VALUE!</v>
      </c>
      <c r="KF55" s="119"/>
      <c r="KG55" s="119"/>
      <c r="KH55" s="119"/>
      <c r="KI55" s="119"/>
      <c r="KJ55" s="119"/>
      <c r="KK55" s="119"/>
      <c r="KL55" s="119"/>
      <c r="KM55" s="119"/>
      <c r="KN55" s="119"/>
      <c r="KP55" s="119"/>
      <c r="KQ55" s="119"/>
      <c r="KR55" s="119"/>
      <c r="KS55" s="119"/>
      <c r="KT55" s="119"/>
      <c r="KU55" s="119"/>
      <c r="KV55" s="119"/>
      <c r="KW55" s="119"/>
      <c r="KX55" s="119"/>
      <c r="KZ55" s="119"/>
      <c r="LA55" s="119"/>
      <c r="LB55" s="119"/>
      <c r="LC55" s="119"/>
      <c r="LD55" s="119"/>
      <c r="LE55" s="119"/>
      <c r="LF55" s="119"/>
      <c r="LG55" s="119"/>
      <c r="LH55" s="119"/>
      <c r="LI55" s="119"/>
      <c r="LK55" s="119"/>
      <c r="LL55" s="119"/>
      <c r="LM55" s="119"/>
      <c r="LN55" s="119"/>
      <c r="LO55" s="119"/>
      <c r="LP55" s="119"/>
      <c r="LQ55" s="119"/>
      <c r="LR55" s="119"/>
      <c r="LS55" s="119"/>
      <c r="LU55" s="119"/>
      <c r="LV55" s="119"/>
      <c r="LW55" s="119"/>
      <c r="LX55" s="119"/>
      <c r="LY55" s="119"/>
      <c r="LZ55" s="119"/>
      <c r="MA55" s="119"/>
      <c r="MB55" s="119"/>
      <c r="MC55" s="119"/>
      <c r="MD55" s="119"/>
      <c r="MF55" s="119"/>
      <c r="MG55" s="119"/>
      <c r="MH55" s="119"/>
      <c r="MI55" s="119"/>
      <c r="MJ55" s="119"/>
      <c r="MK55" s="119"/>
      <c r="ML55" s="119"/>
      <c r="MM55" s="119"/>
      <c r="MN55" s="119"/>
      <c r="MP55" s="119"/>
      <c r="MQ55" s="119"/>
      <c r="MR55" s="119"/>
      <c r="MS55" s="119"/>
      <c r="MT55" s="119"/>
      <c r="MU55" s="119"/>
      <c r="MV55" s="119"/>
      <c r="MW55" s="119"/>
      <c r="MX55" s="119"/>
      <c r="MY55" s="119"/>
      <c r="NA55" s="119"/>
      <c r="NB55" s="119"/>
      <c r="NC55" s="119"/>
      <c r="ND55" s="119"/>
      <c r="NE55" s="119"/>
      <c r="NF55" s="119"/>
      <c r="NG55" s="119"/>
      <c r="NH55" s="119"/>
      <c r="NI55" s="119"/>
      <c r="NK55" s="119"/>
      <c r="NL55" s="119"/>
      <c r="NM55" s="119"/>
      <c r="NN55" s="119"/>
      <c r="NO55" s="119"/>
      <c r="NP55" s="119"/>
      <c r="NQ55" s="119"/>
      <c r="NR55" s="119"/>
      <c r="NS55" s="119"/>
      <c r="NT55" s="119"/>
      <c r="NV55" s="119"/>
      <c r="NW55" s="119"/>
      <c r="NX55" s="119"/>
      <c r="NY55" s="119"/>
      <c r="NZ55" s="119"/>
      <c r="OA55" s="119"/>
      <c r="OB55" s="119"/>
      <c r="OC55" s="119"/>
      <c r="OD55" s="119"/>
      <c r="OF55" s="119"/>
      <c r="OG55" s="119"/>
      <c r="OH55" s="119"/>
      <c r="OI55" s="119"/>
      <c r="OJ55" s="119"/>
      <c r="OK55" s="119"/>
      <c r="OL55" s="119"/>
      <c r="OM55" s="119"/>
      <c r="ON55" s="119"/>
      <c r="OO55" s="119"/>
      <c r="OQ55" s="119"/>
      <c r="OR55" s="119"/>
      <c r="OS55" s="119"/>
      <c r="OT55" s="119"/>
      <c r="OU55" s="119"/>
      <c r="OV55" s="119"/>
      <c r="OW55" s="119"/>
      <c r="OX55" s="119"/>
      <c r="OY55" s="119"/>
      <c r="PA55" s="119"/>
      <c r="PB55" s="119"/>
      <c r="PC55" s="119"/>
      <c r="PD55" s="119"/>
      <c r="PE55" s="119"/>
      <c r="PF55" s="119"/>
      <c r="PG55" s="119"/>
      <c r="PH55" s="119"/>
      <c r="PI55" s="119"/>
      <c r="PJ55" s="119"/>
    </row>
    <row r="56" spans="1:426" ht="32.1" customHeight="1" thickBot="1">
      <c r="A56" s="93"/>
      <c r="B56" s="76" t="str">
        <f>VLOOKUP(878,Sprachindex!$A:$Z,Info!$O$7,FALSE)</f>
        <v>Stk.</v>
      </c>
      <c r="C56" s="75" t="e" vm="28">
        <v>#VALUE!</v>
      </c>
      <c r="D56" s="75" t="str">
        <f>IF(OR(J56=Formeln!$A$54,J56=Formeln!$A$55,J56=Formeln!$A$56),BE56,
IF(OR(J56=Formeln!$A$57,J56=Formeln!$A$58,J56=Formeln!$A$59),BZ56,
IF(OR(J56=Formeln!$A$60,J56=Formeln!$A$61,J56=Formeln!$A$62),CU56,
IF(OR(J56=Formeln!$A$63,J56=Formeln!$A$64),DP56,
IF(OR(J56=Formeln!$A$65,J56=Formeln!$A$66,J56=Formeln!$A$67),EK56,
IF(OR(J56=Formeln!$A$68,J56=Formeln!$A$69),FF56,
IF(OR(J56=Formeln!$A$70,J56=Formeln!$A$71,J56=Formeln!$A$72,J56=Formeln!$A$73,J56=Formeln!$A$74),GA56,
IF(OR(J56=Formeln!$A$75,J56=Formeln!$A$76,J56=Formeln!$A$77),GV56,""))))))))</f>
        <v/>
      </c>
      <c r="E56" s="618" t="str">
        <f>VLOOKUP(321,Sprachindex!$A:$Z,Info!$O$7,FALSE)</f>
        <v>Einfassung für Roto-Dachflächenfenster (stucco)</v>
      </c>
      <c r="F56" s="619"/>
      <c r="G56" s="619"/>
      <c r="H56" s="594" t="s">
        <v>39284</v>
      </c>
      <c r="I56" s="81" t="str">
        <f>VLOOKUP(591,Sprachindex!$A:$Z,Info!$O$7,FALSE)</f>
        <v>Maße:</v>
      </c>
      <c r="J56" s="624"/>
      <c r="K56" s="626"/>
      <c r="L56" s="76" t="str">
        <f>IF($A56=0,"",IF($J56=Formeln!$A$52," ",IF($P$11=1,AC56,AD56)))</f>
        <v/>
      </c>
      <c r="M56" s="161" t="str">
        <f>VLOOKUP(878,Sprachindex!$A:$Z,Info!$O$7,FALSE)</f>
        <v>Stk.</v>
      </c>
      <c r="N56" s="77"/>
      <c r="O56" s="204" t="str" cm="1">
        <f t="array" ref="O56">IF(ISNUMBER(L56),_xlfn.IFS(
OR(J56=Formeln!$A$54,J56=Formeln!$A$55,J56=Formeln!$A$56),R56,
OR(J56=Formeln!$A$57,J56=Formeln!$A$58,J56=Formeln!$A$59),S56,
OR(J56=Formeln!$A$60,J56=Formeln!$A$61,J56=Formeln!$A$62),T56,
OR(J56=Formeln!$A$63,J56=Formeln!$A$64),U56,
OR(J56=Formeln!$A$65,J56=Formeln!$A$66,J56=Formeln!$A$67),V56,
OR(J56=Formeln!$A$68,J56=Formeln!$A$69),W56,
OR(J56=Formeln!$A$70,J56=Formeln!$A$71,J56=Formeln!$A$72,J56=Formeln!$A$73,J56=Formeln!$A$74),X56,
OR(J56=Formeln!$A$75,J56=Formeln!$A$76,J56=Formeln!$A$77),Y56,TRUE,""),"")</f>
        <v/>
      </c>
      <c r="P56" s="267"/>
      <c r="Q56" s="560" t="str" cm="1">
        <f t="array" ref="Q56">_xlfn.IFS(OR(J56=Formeln!$A$54,J56=Formeln!$A$55,J56=Formeln!$A$56),AG56,
OR(J56=Formeln!$A$57,J56=Formeln!$A$58,J56=Formeln!$A$59),BG56,
OR(J56=Formeln!$A$60,J56=Formeln!$A$61,J56=Formeln!$A$62),CG56,
OR(J56=Formeln!$A$63,J56=Formeln!$A$64),DG56,
OR(J56=Formeln!$A$65,J56=Formeln!$A$66,J56=Formeln!$A$67),EG56,
OR(J56=Formeln!$A$68,J56=Formeln!$A$69),FG56,
OR(J56=Formeln!$A$70,J56=Formeln!$A$71,J56=Formeln!$A$72,J56=Formeln!$A$73,J56=Formeln!$A$74),GG56,
OR(J56=Formeln!$A$75,J56=Formeln!$A$76,J56=Formeln!$A$77),HG56,TRUE," ")</f>
        <v xml:space="preserve"> </v>
      </c>
      <c r="R56" s="182">
        <v>272.64</v>
      </c>
      <c r="S56" s="182">
        <v>279.95</v>
      </c>
      <c r="T56" s="182">
        <v>279.95</v>
      </c>
      <c r="U56" s="182">
        <v>294.37</v>
      </c>
      <c r="V56" s="182">
        <v>337.94</v>
      </c>
      <c r="W56" s="182">
        <v>345.15</v>
      </c>
      <c r="X56" s="182">
        <v>345.15</v>
      </c>
      <c r="Y56" s="182">
        <v>347.52</v>
      </c>
      <c r="Z56" s="179"/>
      <c r="AA56" s="179"/>
      <c r="AB56" s="179"/>
      <c r="AC56" s="139">
        <f t="shared" si="11"/>
        <v>0</v>
      </c>
      <c r="AD56" s="139">
        <f t="shared" si="10"/>
        <v>0</v>
      </c>
      <c r="AF56" s="549" t="s">
        <v>61</v>
      </c>
      <c r="AG56" s="517" t="e" vm="99">
        <f>IF($P$9=1,AS56,"")</f>
        <v>#VALUE!</v>
      </c>
      <c r="AH56" s="530">
        <v>111313</v>
      </c>
      <c r="AI56" s="530">
        <v>111310</v>
      </c>
      <c r="AJ56" s="530">
        <v>111318</v>
      </c>
      <c r="AK56" s="530">
        <v>111315</v>
      </c>
      <c r="AL56" s="530">
        <v>111311</v>
      </c>
      <c r="AM56" s="530">
        <v>111317</v>
      </c>
      <c r="AN56" s="530">
        <v>111312</v>
      </c>
      <c r="AO56" s="530">
        <v>111316</v>
      </c>
      <c r="AP56" s="530">
        <v>111319</v>
      </c>
      <c r="AQ56" s="530">
        <v>111314</v>
      </c>
      <c r="AR56" s="530">
        <v>16011028</v>
      </c>
      <c r="AS56" s="531" t="e" vm="2">
        <f>VLOOKUP(AH56,AH56:AR56,$P$21,FALSE)</f>
        <v>#VALUE!</v>
      </c>
      <c r="AT56" s="533">
        <v>111303</v>
      </c>
      <c r="AU56" s="533">
        <v>111300</v>
      </c>
      <c r="AV56" s="533">
        <v>111308</v>
      </c>
      <c r="AW56" s="533">
        <v>111305</v>
      </c>
      <c r="AX56" s="533">
        <v>111301</v>
      </c>
      <c r="AY56" s="533">
        <v>111307</v>
      </c>
      <c r="AZ56" s="533">
        <v>111302</v>
      </c>
      <c r="BA56" s="533">
        <v>111306</v>
      </c>
      <c r="BB56" s="533">
        <v>111309</v>
      </c>
      <c r="BC56" s="533">
        <v>111304</v>
      </c>
      <c r="BD56" s="533">
        <v>16021028</v>
      </c>
      <c r="BE56" s="534" t="e" vm="2">
        <f>VLOOKUP(AT56,AT56:BD56,$P$21,FALSE)</f>
        <v>#VALUE!</v>
      </c>
      <c r="BF56" s="549" t="s">
        <v>62</v>
      </c>
      <c r="BG56" s="517" t="e" vm="99">
        <f>IF($P$9=1,BS56,"")</f>
        <v>#VALUE!</v>
      </c>
      <c r="BH56" s="530">
        <v>111333</v>
      </c>
      <c r="BI56" s="530">
        <v>111330</v>
      </c>
      <c r="BJ56" s="530">
        <v>111338</v>
      </c>
      <c r="BK56" s="530">
        <v>111335</v>
      </c>
      <c r="BL56" s="530">
        <v>111331</v>
      </c>
      <c r="BM56" s="530">
        <v>111337</v>
      </c>
      <c r="BN56" s="530">
        <v>111332</v>
      </c>
      <c r="BO56" s="530">
        <v>111336</v>
      </c>
      <c r="BP56" s="530">
        <v>111339</v>
      </c>
      <c r="BQ56" s="530">
        <v>111334</v>
      </c>
      <c r="BR56" s="530">
        <v>16041028</v>
      </c>
      <c r="BS56" s="531" t="e" vm="2">
        <f>VLOOKUP(BH56,BH56:BR56,$P$21,FALSE)</f>
        <v>#VALUE!</v>
      </c>
      <c r="BT56" s="533">
        <v>111323</v>
      </c>
      <c r="BU56" s="533">
        <v>111320</v>
      </c>
      <c r="BV56" s="533">
        <v>111328</v>
      </c>
      <c r="BW56" s="533">
        <v>111325</v>
      </c>
      <c r="BX56" s="533">
        <v>111321</v>
      </c>
      <c r="BY56" s="533">
        <v>111327</v>
      </c>
      <c r="BZ56" s="533">
        <v>111322</v>
      </c>
      <c r="CA56" s="533">
        <v>111326</v>
      </c>
      <c r="CB56" s="533">
        <v>111329</v>
      </c>
      <c r="CC56" s="533">
        <v>111324</v>
      </c>
      <c r="CD56" s="533">
        <v>16031028</v>
      </c>
      <c r="CE56" s="534" t="e" vm="2">
        <f>VLOOKUP(BT56,BT56:CD56,$P$21,FALSE)</f>
        <v>#VALUE!</v>
      </c>
      <c r="CF56" s="549" t="s">
        <v>39081</v>
      </c>
      <c r="CG56" s="517" t="e" vm="99">
        <f>IF($P$9=1,CS56,"")</f>
        <v>#VALUE!</v>
      </c>
      <c r="CH56" s="530">
        <v>111353</v>
      </c>
      <c r="CI56" s="530">
        <v>111350</v>
      </c>
      <c r="CJ56" s="530">
        <v>111358</v>
      </c>
      <c r="CK56" s="530">
        <v>111355</v>
      </c>
      <c r="CL56" s="530">
        <v>111351</v>
      </c>
      <c r="CM56" s="530">
        <v>111357</v>
      </c>
      <c r="CN56" s="530">
        <v>111352</v>
      </c>
      <c r="CO56" s="530">
        <v>111356</v>
      </c>
      <c r="CP56" s="530">
        <v>111359</v>
      </c>
      <c r="CQ56" s="530">
        <v>111354</v>
      </c>
      <c r="CR56" s="530">
        <v>16061028</v>
      </c>
      <c r="CS56" s="531" t="e" vm="2">
        <f>VLOOKUP(CH56,CH56:CR56,$P$21,FALSE)</f>
        <v>#VALUE!</v>
      </c>
      <c r="CT56" s="532">
        <v>111343</v>
      </c>
      <c r="CU56" s="533">
        <v>111340</v>
      </c>
      <c r="CV56" s="533">
        <v>111348</v>
      </c>
      <c r="CW56" s="533">
        <v>111345</v>
      </c>
      <c r="CX56" s="533">
        <v>111341</v>
      </c>
      <c r="CY56" s="533">
        <v>111347</v>
      </c>
      <c r="CZ56" s="533">
        <v>111342</v>
      </c>
      <c r="DA56" s="533">
        <v>111346</v>
      </c>
      <c r="DB56" s="533">
        <v>111349</v>
      </c>
      <c r="DC56" s="533">
        <v>111344</v>
      </c>
      <c r="DD56" s="533">
        <v>16051028</v>
      </c>
      <c r="DE56" s="534" t="e" vm="2">
        <f>VLOOKUP(CT56,CT56:DD56,$P$21,FALSE)</f>
        <v>#VALUE!</v>
      </c>
      <c r="DF56" s="549" t="s">
        <v>39082</v>
      </c>
      <c r="DG56" s="517" t="e" vm="99">
        <f>IF($P$9=1,DS56,"")</f>
        <v>#VALUE!</v>
      </c>
      <c r="DH56" s="530">
        <v>111373</v>
      </c>
      <c r="DI56" s="530">
        <v>111370</v>
      </c>
      <c r="DJ56" s="530">
        <v>111378</v>
      </c>
      <c r="DK56" s="530">
        <v>111375</v>
      </c>
      <c r="DL56" s="530">
        <v>111371</v>
      </c>
      <c r="DM56" s="530">
        <v>111377</v>
      </c>
      <c r="DN56" s="530">
        <v>111372</v>
      </c>
      <c r="DO56" s="530">
        <v>111376</v>
      </c>
      <c r="DP56" s="530">
        <v>111379</v>
      </c>
      <c r="DQ56" s="530">
        <v>111374</v>
      </c>
      <c r="DR56" s="530">
        <v>16081028</v>
      </c>
      <c r="DS56" s="531" t="e" vm="2">
        <f>VLOOKUP(DH56,DH56:DR56,$P$21,FALSE)</f>
        <v>#VALUE!</v>
      </c>
      <c r="DT56" s="532">
        <v>111363</v>
      </c>
      <c r="DU56" s="533">
        <v>111360</v>
      </c>
      <c r="DV56" s="533">
        <v>111368</v>
      </c>
      <c r="DW56" s="533">
        <v>111365</v>
      </c>
      <c r="DX56" s="533">
        <v>111361</v>
      </c>
      <c r="DY56" s="533">
        <v>111367</v>
      </c>
      <c r="DZ56" s="533">
        <v>111362</v>
      </c>
      <c r="EA56" s="533">
        <v>111366</v>
      </c>
      <c r="EB56" s="533">
        <v>111369</v>
      </c>
      <c r="EC56" s="533">
        <v>111364</v>
      </c>
      <c r="ED56" s="533">
        <v>16071028</v>
      </c>
      <c r="EE56" s="534" t="e" vm="2">
        <f>VLOOKUP(DT56,DT56:ED56,$P$21,FALSE)</f>
        <v>#VALUE!</v>
      </c>
      <c r="EF56" s="549" t="s">
        <v>39083</v>
      </c>
      <c r="EG56" s="550" t="e" vm="99">
        <f>IF($P$9=1,FE56,IF($P$9=2,ES56,""))</f>
        <v>#VALUE!</v>
      </c>
      <c r="EH56" s="530">
        <v>111393</v>
      </c>
      <c r="EI56" s="530">
        <v>111390</v>
      </c>
      <c r="EJ56" s="530">
        <v>111398</v>
      </c>
      <c r="EK56" s="530">
        <v>111395</v>
      </c>
      <c r="EL56" s="530">
        <v>111391</v>
      </c>
      <c r="EM56" s="530">
        <v>111397</v>
      </c>
      <c r="EN56" s="530">
        <v>111392</v>
      </c>
      <c r="EO56" s="530">
        <v>111396</v>
      </c>
      <c r="EP56" s="530">
        <v>111399</v>
      </c>
      <c r="EQ56" s="530">
        <v>111394</v>
      </c>
      <c r="ER56" s="530">
        <v>16101028</v>
      </c>
      <c r="ES56" s="531" t="e" vm="2">
        <f>VLOOKUP(EH56,EH56:ER56,$P$21,FALSE)</f>
        <v>#VALUE!</v>
      </c>
      <c r="ET56" s="532">
        <v>111383</v>
      </c>
      <c r="EU56" s="533">
        <v>111380</v>
      </c>
      <c r="EV56" s="533">
        <v>111388</v>
      </c>
      <c r="EW56" s="533">
        <v>111385</v>
      </c>
      <c r="EX56" s="533">
        <v>111381</v>
      </c>
      <c r="EY56" s="533">
        <v>111387</v>
      </c>
      <c r="EZ56" s="533">
        <v>111382</v>
      </c>
      <c r="FA56" s="533">
        <v>111386</v>
      </c>
      <c r="FB56" s="533">
        <v>111389</v>
      </c>
      <c r="FC56" s="533">
        <v>111384</v>
      </c>
      <c r="FD56" s="533">
        <v>16091028</v>
      </c>
      <c r="FE56" s="534" t="e" vm="2">
        <f>VLOOKUP(ET56,ET56:FD56,$P$21,FALSE)</f>
        <v>#VALUE!</v>
      </c>
      <c r="FF56" s="549" t="s">
        <v>39084</v>
      </c>
      <c r="FG56" s="517" t="e" vm="99">
        <f>IF($P$9=1,FS56,"")</f>
        <v>#VALUE!</v>
      </c>
      <c r="FH56" s="530">
        <v>111413</v>
      </c>
      <c r="FI56" s="530">
        <v>111410</v>
      </c>
      <c r="FJ56" s="530">
        <v>111418</v>
      </c>
      <c r="FK56" s="530">
        <v>111415</v>
      </c>
      <c r="FL56" s="530">
        <v>111411</v>
      </c>
      <c r="FM56" s="530">
        <v>111417</v>
      </c>
      <c r="FN56" s="530">
        <v>111412</v>
      </c>
      <c r="FO56" s="530">
        <v>111416</v>
      </c>
      <c r="FP56" s="530">
        <v>111419</v>
      </c>
      <c r="FQ56" s="530">
        <v>111414</v>
      </c>
      <c r="FR56" s="530">
        <v>16121028</v>
      </c>
      <c r="FS56" s="531" t="e" vm="2">
        <f>VLOOKUP(FH56,FH56:FR56,$P$21,FALSE)</f>
        <v>#VALUE!</v>
      </c>
      <c r="FT56" s="532">
        <v>111403</v>
      </c>
      <c r="FU56" s="533">
        <v>111400</v>
      </c>
      <c r="FV56" s="533">
        <v>111408</v>
      </c>
      <c r="FW56" s="533">
        <v>111405</v>
      </c>
      <c r="FX56" s="533">
        <v>111401</v>
      </c>
      <c r="FY56" s="533">
        <v>111407</v>
      </c>
      <c r="FZ56" s="533">
        <v>111402</v>
      </c>
      <c r="GA56" s="533">
        <v>111406</v>
      </c>
      <c r="GB56" s="533">
        <v>111409</v>
      </c>
      <c r="GC56" s="533">
        <v>111404</v>
      </c>
      <c r="GD56" s="533">
        <v>16111028</v>
      </c>
      <c r="GE56" s="534" t="e" vm="2">
        <f>VLOOKUP(FT56,FT56:GD56,$P$21,FALSE)</f>
        <v>#VALUE!</v>
      </c>
      <c r="GF56" s="549" t="s">
        <v>39085</v>
      </c>
      <c r="GG56" s="517" t="e" vm="99">
        <f>IF($P$9=1,GS56,"")</f>
        <v>#VALUE!</v>
      </c>
      <c r="GH56" s="530">
        <v>111433</v>
      </c>
      <c r="GI56" s="530">
        <v>111430</v>
      </c>
      <c r="GJ56" s="530">
        <v>111438</v>
      </c>
      <c r="GK56" s="530">
        <v>111435</v>
      </c>
      <c r="GL56" s="530">
        <v>111431</v>
      </c>
      <c r="GM56" s="530">
        <v>111437</v>
      </c>
      <c r="GN56" s="530">
        <v>111432</v>
      </c>
      <c r="GO56" s="530">
        <v>111436</v>
      </c>
      <c r="GP56" s="530">
        <v>111439</v>
      </c>
      <c r="GQ56" s="530">
        <v>111434</v>
      </c>
      <c r="GR56" s="530">
        <v>16141028</v>
      </c>
      <c r="GS56" s="531" t="e" vm="2">
        <f>VLOOKUP(GH56,GH56:GR56,$P$21,FALSE)</f>
        <v>#VALUE!</v>
      </c>
      <c r="GT56" s="532">
        <v>111423</v>
      </c>
      <c r="GU56" s="533">
        <v>111420</v>
      </c>
      <c r="GV56" s="533">
        <v>111428</v>
      </c>
      <c r="GW56" s="533">
        <v>111425</v>
      </c>
      <c r="GX56" s="533">
        <v>111421</v>
      </c>
      <c r="GY56" s="533">
        <v>111427</v>
      </c>
      <c r="GZ56" s="533">
        <v>111422</v>
      </c>
      <c r="HA56" s="533">
        <v>111426</v>
      </c>
      <c r="HB56" s="533">
        <v>111429</v>
      </c>
      <c r="HC56" s="533">
        <v>111424</v>
      </c>
      <c r="HD56" s="533">
        <v>16131028</v>
      </c>
      <c r="HE56" s="534" t="e" vm="2">
        <f>VLOOKUP(GT56,GT56:HD56,$P$21,FALSE)</f>
        <v>#VALUE!</v>
      </c>
      <c r="HF56" s="549" t="s">
        <v>39086</v>
      </c>
      <c r="HG56" s="517" t="e" vm="99">
        <f>IF($P$9=1,HS56,"")</f>
        <v>#VALUE!</v>
      </c>
      <c r="HH56" s="530">
        <v>111453</v>
      </c>
      <c r="HI56" s="530">
        <v>111450</v>
      </c>
      <c r="HJ56" s="530">
        <v>111458</v>
      </c>
      <c r="HK56" s="530">
        <v>111455</v>
      </c>
      <c r="HL56" s="530">
        <v>111451</v>
      </c>
      <c r="HM56" s="530">
        <v>111457</v>
      </c>
      <c r="HN56" s="530">
        <v>111452</v>
      </c>
      <c r="HO56" s="530">
        <v>111456</v>
      </c>
      <c r="HP56" s="530">
        <v>111459</v>
      </c>
      <c r="HQ56" s="530">
        <v>111454</v>
      </c>
      <c r="HR56" s="530">
        <v>16161028</v>
      </c>
      <c r="HS56" s="531" t="e" vm="2">
        <f>VLOOKUP(HH56,HH56:HR56,$P$21,FALSE)</f>
        <v>#VALUE!</v>
      </c>
      <c r="HT56" s="532">
        <v>111443</v>
      </c>
      <c r="HU56" s="533">
        <v>111440</v>
      </c>
      <c r="HV56" s="533">
        <v>111448</v>
      </c>
      <c r="HW56" s="533">
        <v>111445</v>
      </c>
      <c r="HX56" s="533">
        <v>111441</v>
      </c>
      <c r="HY56" s="533">
        <v>111447</v>
      </c>
      <c r="HZ56" s="533">
        <v>111442</v>
      </c>
      <c r="IA56" s="533">
        <v>111446</v>
      </c>
      <c r="IB56" s="533">
        <v>111449</v>
      </c>
      <c r="IC56" s="533">
        <v>111444</v>
      </c>
      <c r="ID56" s="533">
        <v>16151028</v>
      </c>
      <c r="IE56" s="534" t="e" vm="2">
        <f>VLOOKUP(HT56,HT56:ID56,$P$21,FALSE)</f>
        <v>#VALUE!</v>
      </c>
      <c r="IF56" s="527"/>
      <c r="IH56" s="42"/>
      <c r="II56" s="42"/>
      <c r="IJ56" s="42"/>
      <c r="IK56" s="42"/>
      <c r="IL56" s="42"/>
      <c r="IM56" s="42"/>
      <c r="IN56" s="42"/>
      <c r="IO56" s="42"/>
      <c r="IP56" s="42"/>
      <c r="IQ56" s="42"/>
      <c r="IR56" s="42"/>
      <c r="IS56" s="129"/>
      <c r="IU56" s="119"/>
      <c r="IV56" s="119"/>
      <c r="IW56" s="119"/>
      <c r="IX56" s="119"/>
      <c r="IY56" s="119"/>
      <c r="IZ56" s="119"/>
      <c r="JA56" s="119"/>
      <c r="JB56" s="119"/>
      <c r="JC56" s="119"/>
      <c r="JD56" s="119"/>
      <c r="JE56" s="129"/>
      <c r="JH56" s="42"/>
      <c r="JI56" s="42"/>
      <c r="JJ56" s="42"/>
      <c r="JK56" s="42"/>
      <c r="JL56" s="42"/>
      <c r="JM56" s="42"/>
      <c r="JN56" s="42"/>
      <c r="JO56" s="42"/>
      <c r="JP56" s="42"/>
      <c r="JQ56" s="42"/>
      <c r="JR56" s="42"/>
      <c r="JS56" s="129"/>
      <c r="JU56" s="119"/>
      <c r="JV56" s="119"/>
      <c r="JW56" s="119"/>
      <c r="JX56" s="119"/>
      <c r="JY56" s="119"/>
      <c r="JZ56" s="119"/>
      <c r="KA56" s="119"/>
      <c r="KB56" s="119"/>
      <c r="KC56" s="119"/>
      <c r="KD56" s="119"/>
      <c r="KE56" s="129"/>
    </row>
    <row r="57" spans="1:426" ht="32.1" customHeight="1" thickTop="1">
      <c r="A57" s="93"/>
      <c r="B57" s="76" t="str">
        <f>VLOOKUP(878,Sprachindex!$A:$Z,Info!$O$7,FALSE)</f>
        <v>Stk.</v>
      </c>
      <c r="C57" s="75" t="e" vm="90">
        <v>#VALUE!</v>
      </c>
      <c r="D57" s="75">
        <v>111700</v>
      </c>
      <c r="E57" s="618" t="str">
        <f>VLOOKUP(322,Sprachindex!$A:$Z,Info!$O$7,FALSE)</f>
        <v>Einfassung für Roto-Q-Serie (stucco)</v>
      </c>
      <c r="F57" s="619"/>
      <c r="G57" s="619"/>
      <c r="H57" s="594" t="s">
        <v>39284</v>
      </c>
      <c r="I57" s="81" t="str">
        <f>VLOOKUP(591,Sprachindex!$A:$Z,Info!$O$7,FALSE)</f>
        <v>Maße:</v>
      </c>
      <c r="J57" s="624"/>
      <c r="K57" s="626"/>
      <c r="L57" s="76" t="str">
        <f>IF($A57=0,"",IF($J57=Formeln!$A$52," ",IF($P$11=1,AC57,AD57)))</f>
        <v/>
      </c>
      <c r="M57" s="399" t="str">
        <f t="shared" ref="M57" si="12">B57</f>
        <v>Stk.</v>
      </c>
      <c r="N57" s="77"/>
      <c r="O57" s="204" t="str" cm="1">
        <f t="array" ref="O57">IF(ISNUMBER(L57),
_xlfn.IFS(OR(J57=Formeln!$C$54,J57=Formeln!$C$55,J57=Formeln!$C$56),R57,
OR(J57=Formeln!$C$57,J57=Formeln!$C$58,J57=Formeln!$C$59),S57,
OR(J57=Formeln!$C$60,J57=Formeln!$C$61,J57=Formeln!$C$62,J57=Formeln!$C$63,J57=Formeln!$C$64),T57,
OR(J57=Formeln!$C$65,J57=Formeln!$C$66,J57=Formeln!$C$67,J57=Formeln!$C$68,J57=Formeln!$C$69,J57=Formeln!$C$70),U57,
OR(J57=Formeln!$C$71,J57=Formeln!$C$72,J57=Formeln!$C$73,J57=Formeln!$C$74,J57=Formeln!$C$75,J57=Formeln!$C$76),V57,
OR(J57=Formeln!$C$77,J57=Formeln!$C$78,J57=Formeln!$C$79,J57=Formeln!$C$80,J57=Formeln!$C$81),W57),"")</f>
        <v/>
      </c>
      <c r="P57" s="5"/>
      <c r="Q57" s="5"/>
      <c r="R57" s="182">
        <v>299.99</v>
      </c>
      <c r="S57" s="182">
        <v>307.95</v>
      </c>
      <c r="T57" s="182">
        <v>307.95</v>
      </c>
      <c r="U57" s="182">
        <v>371.6</v>
      </c>
      <c r="V57" s="182">
        <v>379.7</v>
      </c>
      <c r="W57" s="182">
        <v>382.31</v>
      </c>
      <c r="X57" s="179"/>
      <c r="Y57" s="179"/>
      <c r="Z57" s="179"/>
      <c r="AA57" s="179"/>
      <c r="AC57" s="139">
        <f t="shared" si="11"/>
        <v>0</v>
      </c>
      <c r="AD57" s="139">
        <f t="shared" si="10"/>
        <v>0</v>
      </c>
      <c r="BC57" s="119"/>
      <c r="BD57" s="119"/>
      <c r="BE57" s="119"/>
      <c r="BF57" s="119"/>
      <c r="BG57" s="119"/>
      <c r="BH57" s="119"/>
      <c r="BI57" s="119"/>
      <c r="BJ57" s="119"/>
      <c r="BK57" s="119"/>
      <c r="BM57" s="119"/>
      <c r="BN57" s="119"/>
      <c r="BO57" s="119"/>
      <c r="BP57" s="119"/>
      <c r="BQ57" s="119"/>
      <c r="BR57" s="119"/>
      <c r="BS57" s="119"/>
      <c r="BT57" s="119"/>
      <c r="BU57" s="119"/>
      <c r="BV57" s="119"/>
      <c r="BX57" s="119"/>
      <c r="BY57" s="119"/>
      <c r="BZ57" s="119"/>
      <c r="CA57" s="119"/>
      <c r="CB57" s="119"/>
      <c r="CC57" s="119"/>
      <c r="CD57" s="119"/>
      <c r="CE57" s="119"/>
      <c r="CF57" s="119"/>
      <c r="CH57" s="119"/>
      <c r="CI57" s="119"/>
      <c r="CJ57" s="119"/>
      <c r="CK57" s="119"/>
      <c r="CL57" s="119"/>
      <c r="CM57" s="119"/>
      <c r="CN57" s="119"/>
      <c r="CO57" s="119"/>
      <c r="CP57" s="119"/>
      <c r="CQ57" s="119"/>
      <c r="CS57" s="119"/>
      <c r="CT57" s="119"/>
      <c r="CU57" s="119"/>
      <c r="CV57" s="119"/>
      <c r="CW57" s="119"/>
      <c r="CX57" s="119"/>
      <c r="CY57" s="119"/>
      <c r="CZ57" s="119"/>
      <c r="DA57" s="119"/>
      <c r="DC57" s="119"/>
      <c r="DD57" s="119"/>
      <c r="DE57" s="119"/>
      <c r="DF57" s="119"/>
      <c r="DG57" s="119"/>
      <c r="DH57" s="119"/>
      <c r="DI57" s="119"/>
      <c r="DJ57" s="119"/>
      <c r="DK57" s="119"/>
      <c r="DL57" s="119"/>
      <c r="DX57" s="119"/>
      <c r="DY57" s="119"/>
      <c r="DZ57" s="119"/>
      <c r="EA57" s="119"/>
      <c r="EB57" s="119"/>
      <c r="EC57" s="119"/>
      <c r="ED57" s="119"/>
      <c r="EE57" s="119"/>
      <c r="EF57" s="119"/>
      <c r="EG57" s="119"/>
      <c r="EI57" s="119"/>
      <c r="EJ57" s="119"/>
      <c r="EK57" s="119"/>
      <c r="EL57" s="119"/>
      <c r="EM57" s="119"/>
      <c r="EN57" s="119"/>
      <c r="EO57" s="119"/>
      <c r="EP57" s="119"/>
      <c r="EQ57" s="119"/>
      <c r="ES57" s="119"/>
      <c r="ET57" s="119"/>
      <c r="EU57" s="119"/>
      <c r="EV57" s="119"/>
      <c r="EW57" s="119"/>
      <c r="EX57" s="119"/>
      <c r="EY57" s="119"/>
      <c r="EZ57" s="119"/>
      <c r="FA57" s="119"/>
      <c r="FB57" s="119"/>
    </row>
    <row r="58" spans="1:426" ht="32.1" customHeight="1">
      <c r="A58" s="93"/>
      <c r="B58" s="76" t="str">
        <f>VLOOKUP(878,Sprachindex!$A:$Z,Info!$O$7,FALSE)</f>
        <v>Stk.</v>
      </c>
      <c r="C58" s="75" t="e" vm="30">
        <v>#VALUE!</v>
      </c>
      <c r="D58" s="75" t="str">
        <f>IF(ISNUMBER(A58),AS58,"")</f>
        <v/>
      </c>
      <c r="E58" s="618" t="str">
        <f>VLOOKUP(345,Sprachindex!$A:$Z,Info!$O$7,FALSE)</f>
        <v>Einzeltritt (inkl. zwei Fußteile)</v>
      </c>
      <c r="F58" s="619"/>
      <c r="G58" s="619"/>
      <c r="H58" s="619"/>
      <c r="I58" s="619"/>
      <c r="J58" s="619"/>
      <c r="K58" s="620"/>
      <c r="L58" s="76" t="str">
        <f t="shared" ref="L58:L70" si="13">IF(A58=0,"",IF($P$11=1,AC58,AD58))</f>
        <v/>
      </c>
      <c r="M58" s="161" t="str">
        <f>VLOOKUP(878,Sprachindex!$A:$Z,Info!$O$7,FALSE)</f>
        <v>Stk.</v>
      </c>
      <c r="N58" s="77"/>
      <c r="O58" s="204" t="str">
        <f t="shared" ref="O58:O70" si="14">IF(ISNUMBER(A58),$L58*R58, "")</f>
        <v/>
      </c>
      <c r="P58" s="267"/>
      <c r="Q58" s="5"/>
      <c r="R58" s="182">
        <v>72.87</v>
      </c>
      <c r="S58" s="179"/>
      <c r="T58" s="179"/>
      <c r="U58" s="179"/>
      <c r="V58" s="179"/>
      <c r="W58" s="179"/>
      <c r="X58" s="179"/>
      <c r="Y58" s="179"/>
      <c r="Z58" s="179"/>
      <c r="AA58" s="179"/>
      <c r="AB58" s="179"/>
      <c r="AC58" s="139">
        <f t="shared" si="11"/>
        <v>0</v>
      </c>
      <c r="AD58" s="139">
        <f t="shared" si="10"/>
        <v>0</v>
      </c>
      <c r="AF58" s="135"/>
      <c r="AH58" s="548">
        <v>120073</v>
      </c>
      <c r="AI58" s="548">
        <v>120070</v>
      </c>
      <c r="AJ58" s="548">
        <v>120078</v>
      </c>
      <c r="AK58" s="548">
        <v>120075</v>
      </c>
      <c r="AL58" s="548">
        <v>120071</v>
      </c>
      <c r="AM58" s="548">
        <v>120077</v>
      </c>
      <c r="AN58" s="548">
        <v>120072</v>
      </c>
      <c r="AO58" s="548">
        <v>120076</v>
      </c>
      <c r="AP58" s="548">
        <v>120079</v>
      </c>
      <c r="AQ58" s="548">
        <v>120074</v>
      </c>
      <c r="AR58" s="548">
        <v>15061028</v>
      </c>
      <c r="AS58" s="509" t="e" vm="2">
        <f>VLOOKUP(AH58,AH58:AR58,$P$21,FALSE)</f>
        <v>#VALUE!</v>
      </c>
      <c r="AT58" s="119"/>
      <c r="AU58" s="119"/>
      <c r="AV58" s="119"/>
      <c r="AW58" s="119"/>
      <c r="AX58" s="119"/>
      <c r="AY58" s="119"/>
      <c r="AZ58" s="119"/>
      <c r="BA58" s="119"/>
      <c r="BB58" s="119"/>
      <c r="BC58" s="119"/>
    </row>
    <row r="59" spans="1:426" ht="32.1" customHeight="1">
      <c r="A59" s="93"/>
      <c r="B59" s="76" t="str">
        <f>VLOOKUP(878,Sprachindex!$A:$Z,Info!$O$7,FALSE)</f>
        <v>Stk.</v>
      </c>
      <c r="C59" s="75" t="e" vm="31">
        <v>#VALUE!</v>
      </c>
      <c r="D59" s="75" t="str">
        <f>IF(ISNUMBER(A59),AS59,"")</f>
        <v/>
      </c>
      <c r="E59" s="618" t="str">
        <f>VLOOKUP(567,Sprachindex!$A:$Z,Info!$O$7,FALSE)</f>
        <v>Laufstegstütze auf einem Fußteil</v>
      </c>
      <c r="F59" s="619"/>
      <c r="G59" s="619"/>
      <c r="H59" s="619"/>
      <c r="I59" s="619"/>
      <c r="J59" s="619"/>
      <c r="K59" s="620"/>
      <c r="L59" s="76" t="str">
        <f t="shared" si="13"/>
        <v/>
      </c>
      <c r="M59" s="161" t="str">
        <f>VLOOKUP(878,Sprachindex!$A:$Z,Info!$O$7,FALSE)</f>
        <v>Stk.</v>
      </c>
      <c r="N59" s="77"/>
      <c r="O59" s="184" t="str">
        <f t="shared" si="14"/>
        <v/>
      </c>
      <c r="P59" s="267"/>
      <c r="Q59" s="5"/>
      <c r="R59" s="182">
        <v>53.89</v>
      </c>
      <c r="S59" s="179"/>
      <c r="T59" s="179"/>
      <c r="U59" s="179"/>
      <c r="V59" s="179"/>
      <c r="W59" s="179"/>
      <c r="X59" s="179"/>
      <c r="Y59" s="179"/>
      <c r="Z59" s="179"/>
      <c r="AA59" s="179"/>
      <c r="AB59" s="179"/>
      <c r="AC59" s="139">
        <f t="shared" si="11"/>
        <v>0</v>
      </c>
      <c r="AD59" s="139">
        <f t="shared" si="10"/>
        <v>0</v>
      </c>
      <c r="AF59" s="135"/>
      <c r="AH59" s="498">
        <v>120083</v>
      </c>
      <c r="AI59" s="498">
        <v>120080</v>
      </c>
      <c r="AJ59" s="498">
        <v>120088</v>
      </c>
      <c r="AK59" s="498">
        <v>120085</v>
      </c>
      <c r="AL59" s="498">
        <v>120081</v>
      </c>
      <c r="AM59" s="498">
        <v>120087</v>
      </c>
      <c r="AN59" s="498">
        <v>120082</v>
      </c>
      <c r="AO59" s="498">
        <v>120086</v>
      </c>
      <c r="AP59" s="498">
        <v>120089</v>
      </c>
      <c r="AQ59" s="498">
        <v>120084</v>
      </c>
      <c r="AR59" s="498">
        <v>15391028</v>
      </c>
      <c r="AS59" s="507"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2">
        <v>#VALUE!</v>
      </c>
      <c r="D60" s="75">
        <v>649304</v>
      </c>
      <c r="E60" s="618" t="str">
        <f>VLOOKUP(568,Sprachindex!$A:$Z,Info!$O$7,FALSE)</f>
        <v>Laufstegstütze auf zwei Fußteilen</v>
      </c>
      <c r="F60" s="619"/>
      <c r="G60" s="619"/>
      <c r="H60" s="619"/>
      <c r="I60" s="619"/>
      <c r="J60" s="619"/>
      <c r="K60" s="620"/>
      <c r="L60" s="76" t="str">
        <f t="shared" si="13"/>
        <v/>
      </c>
      <c r="M60" s="161" t="str">
        <f>VLOOKUP(878,Sprachindex!$A:$Z,Info!$O$7,FALSE)</f>
        <v>Stk.</v>
      </c>
      <c r="N60" s="77"/>
      <c r="O60" s="184" t="str">
        <f t="shared" si="14"/>
        <v/>
      </c>
      <c r="P60" s="267"/>
      <c r="Q60" s="5"/>
      <c r="R60" s="182">
        <v>76.349999999999994</v>
      </c>
      <c r="S60" s="179"/>
      <c r="T60" s="179"/>
      <c r="U60" s="179"/>
      <c r="V60" s="179"/>
      <c r="W60" s="179"/>
      <c r="X60" s="179"/>
      <c r="Y60" s="179"/>
      <c r="Z60" s="179"/>
      <c r="AA60" s="179"/>
      <c r="AB60" s="179"/>
      <c r="AC60" s="139">
        <f t="shared" si="11"/>
        <v>0</v>
      </c>
      <c r="AD60" s="139">
        <f t="shared" si="10"/>
        <v>0</v>
      </c>
      <c r="AF60" s="135"/>
      <c r="AH60" s="498"/>
      <c r="AI60" s="498"/>
      <c r="AJ60" s="498"/>
      <c r="AK60" s="498"/>
      <c r="AL60" s="498"/>
      <c r="AM60" s="498"/>
      <c r="AN60" s="498"/>
      <c r="AO60" s="498"/>
      <c r="AP60" s="498"/>
      <c r="AQ60" s="498"/>
      <c r="AR60" s="498"/>
      <c r="AS60" s="507"/>
      <c r="AT60" s="119"/>
      <c r="AU60" s="119"/>
      <c r="AV60" s="119"/>
      <c r="AW60" s="119"/>
      <c r="AX60" s="119"/>
      <c r="AY60" s="119"/>
      <c r="AZ60" s="119"/>
      <c r="BA60" s="119"/>
      <c r="BB60" s="119"/>
      <c r="BC60" s="119"/>
    </row>
    <row r="61" spans="1:426" ht="32.1" customHeight="1">
      <c r="A61" s="93"/>
      <c r="B61" s="76" t="str">
        <f>VLOOKUP(878,Sprachindex!$A:$Z,Info!$O$7,FALSE)</f>
        <v>Stk.</v>
      </c>
      <c r="C61" s="75" t="e" vm="33">
        <v>#VALUE!</v>
      </c>
      <c r="D61" s="75" t="str">
        <f>IF(ISNUMBER(A61),AS61,"")</f>
        <v/>
      </c>
      <c r="E61" s="618" t="str">
        <f>VLOOKUP(560,Sprachindex!$A:$Z,Info!$O$7,FALSE)</f>
        <v>Laufsteg (250 × 1.200 mm)</v>
      </c>
      <c r="F61" s="619"/>
      <c r="G61" s="619"/>
      <c r="H61" s="619"/>
      <c r="I61" s="619"/>
      <c r="J61" s="619"/>
      <c r="K61" s="620"/>
      <c r="L61" s="76" t="str">
        <f t="shared" si="13"/>
        <v/>
      </c>
      <c r="M61" s="161" t="str">
        <f>VLOOKUP(878,Sprachindex!$A:$Z,Info!$O$7,FALSE)</f>
        <v>Stk.</v>
      </c>
      <c r="N61" s="77"/>
      <c r="O61" s="184" t="str">
        <f t="shared" si="14"/>
        <v/>
      </c>
      <c r="P61" s="267"/>
      <c r="Q61" s="5"/>
      <c r="R61" s="182">
        <v>76.66</v>
      </c>
      <c r="S61" s="179"/>
      <c r="T61" s="179"/>
      <c r="U61" s="179"/>
      <c r="V61" s="179"/>
      <c r="W61" s="179"/>
      <c r="X61" s="179"/>
      <c r="Y61" s="179"/>
      <c r="Z61" s="179"/>
      <c r="AA61" s="179"/>
      <c r="AB61" s="179"/>
      <c r="AC61" s="139">
        <f t="shared" si="11"/>
        <v>0</v>
      </c>
      <c r="AD61" s="139">
        <f t="shared" si="10"/>
        <v>0</v>
      </c>
      <c r="AF61" s="135"/>
      <c r="AH61" s="498">
        <v>120033</v>
      </c>
      <c r="AI61" s="498">
        <v>120030</v>
      </c>
      <c r="AJ61" s="498">
        <v>120038</v>
      </c>
      <c r="AK61" s="498">
        <v>120035</v>
      </c>
      <c r="AL61" s="498">
        <v>120031</v>
      </c>
      <c r="AM61" s="498">
        <v>120037</v>
      </c>
      <c r="AN61" s="498">
        <v>120032</v>
      </c>
      <c r="AO61" s="498">
        <v>120036</v>
      </c>
      <c r="AP61" s="498">
        <v>120039</v>
      </c>
      <c r="AQ61" s="498">
        <v>120034</v>
      </c>
      <c r="AR61" s="498">
        <v>15351028</v>
      </c>
      <c r="AS61" s="507" t="e" vm="2">
        <f>VLOOKUP(AH61,AH61:AR61,$P$21,FALSE)</f>
        <v>#VALUE!</v>
      </c>
      <c r="AT61" s="119"/>
      <c r="AU61" s="119"/>
      <c r="AV61" s="119"/>
      <c r="AW61" s="119"/>
      <c r="AX61" s="119"/>
      <c r="AY61" s="119"/>
      <c r="AZ61" s="119"/>
      <c r="BA61" s="119"/>
      <c r="BB61" s="537"/>
      <c r="BC61" s="119"/>
    </row>
    <row r="62" spans="1:426" ht="32.1" customHeight="1">
      <c r="A62" s="93"/>
      <c r="B62" s="76" t="str">
        <f>VLOOKUP(878,Sprachindex!$A:$Z,Info!$O$7,FALSE)</f>
        <v>Stk.</v>
      </c>
      <c r="C62" s="75" t="e" vm="34">
        <v>#VALUE!</v>
      </c>
      <c r="D62" s="75" t="str">
        <f t="shared" ref="D62:D64" si="15">IF(ISNUMBER(A62),AS62,"")</f>
        <v/>
      </c>
      <c r="E62" s="618" t="str">
        <f>VLOOKUP(563,Sprachindex!$A:$Z,Info!$O$7,FALSE)</f>
        <v>Laufsteg (250 × 800 mm)</v>
      </c>
      <c r="F62" s="619"/>
      <c r="G62" s="619"/>
      <c r="H62" s="619"/>
      <c r="I62" s="619"/>
      <c r="J62" s="619"/>
      <c r="K62" s="620"/>
      <c r="L62" s="76" t="str">
        <f t="shared" si="13"/>
        <v/>
      </c>
      <c r="M62" s="161" t="str">
        <f>VLOOKUP(878,Sprachindex!$A:$Z,Info!$O$7,FALSE)</f>
        <v>Stk.</v>
      </c>
      <c r="N62" s="77"/>
      <c r="O62" s="184" t="str">
        <f t="shared" si="14"/>
        <v/>
      </c>
      <c r="P62" s="267"/>
      <c r="Q62" s="5"/>
      <c r="R62" s="182">
        <v>56.6</v>
      </c>
      <c r="S62" s="179"/>
      <c r="T62" s="179"/>
      <c r="U62" s="179"/>
      <c r="V62" s="179"/>
      <c r="W62" s="179"/>
      <c r="X62" s="179"/>
      <c r="Y62" s="179"/>
      <c r="Z62" s="179"/>
      <c r="AA62" s="179"/>
      <c r="AB62" s="179"/>
      <c r="AC62" s="139">
        <f t="shared" si="11"/>
        <v>0</v>
      </c>
      <c r="AD62" s="139">
        <f t="shared" si="10"/>
        <v>0</v>
      </c>
      <c r="AF62" s="135"/>
      <c r="AH62" s="498">
        <v>120023</v>
      </c>
      <c r="AI62" s="498">
        <v>120020</v>
      </c>
      <c r="AJ62" s="498">
        <v>120028</v>
      </c>
      <c r="AK62" s="498">
        <v>120025</v>
      </c>
      <c r="AL62" s="498">
        <v>120021</v>
      </c>
      <c r="AM62" s="498">
        <v>120027</v>
      </c>
      <c r="AN62" s="498">
        <v>120022</v>
      </c>
      <c r="AO62" s="498">
        <v>120026</v>
      </c>
      <c r="AP62" s="498">
        <v>121075</v>
      </c>
      <c r="AQ62" s="498">
        <v>120024</v>
      </c>
      <c r="AR62" s="498">
        <v>50311028</v>
      </c>
      <c r="AS62" s="507" t="e" vm="2">
        <f>VLOOKUP(AH62,AH62:AR62,$P$21,FALSE)</f>
        <v>#VALUE!</v>
      </c>
      <c r="AT62" s="119"/>
      <c r="AU62" s="119"/>
      <c r="AV62" s="119"/>
      <c r="AW62" s="119"/>
      <c r="AX62" s="119"/>
      <c r="AY62" s="119"/>
      <c r="AZ62" s="119"/>
      <c r="BA62" s="119"/>
      <c r="BB62" s="119"/>
      <c r="BC62" s="119"/>
    </row>
    <row r="63" spans="1:426" ht="32.1" customHeight="1">
      <c r="A63" s="93"/>
      <c r="B63" s="76" t="str">
        <f>VLOOKUP(878,Sprachindex!$A:$Z,Info!$O$7,FALSE)</f>
        <v>Stk.</v>
      </c>
      <c r="C63" s="75" t="e" vm="35">
        <v>#VALUE!</v>
      </c>
      <c r="D63" s="75" t="str">
        <f t="shared" si="15"/>
        <v/>
      </c>
      <c r="E63" s="618" t="str">
        <f>VLOOKUP(562,Sprachindex!$A:$Z,Info!$O$7,FALSE)</f>
        <v>Laufsteg (250 × 600 mm)</v>
      </c>
      <c r="F63" s="619"/>
      <c r="G63" s="619"/>
      <c r="H63" s="619"/>
      <c r="I63" s="619"/>
      <c r="J63" s="619"/>
      <c r="K63" s="620"/>
      <c r="L63" s="76" t="str">
        <f t="shared" si="13"/>
        <v/>
      </c>
      <c r="M63" s="161" t="str">
        <f>VLOOKUP(878,Sprachindex!$A:$Z,Info!$O$7,FALSE)</f>
        <v>Stk.</v>
      </c>
      <c r="N63" s="77"/>
      <c r="O63" s="184" t="str">
        <f t="shared" si="14"/>
        <v/>
      </c>
      <c r="P63" s="267"/>
      <c r="Q63" s="5"/>
      <c r="R63" s="182">
        <v>54.1</v>
      </c>
      <c r="S63" s="179"/>
      <c r="T63" s="179"/>
      <c r="U63" s="179"/>
      <c r="V63" s="179"/>
      <c r="W63" s="179"/>
      <c r="X63" s="179"/>
      <c r="Y63" s="179"/>
      <c r="Z63" s="179"/>
      <c r="AA63" s="179"/>
      <c r="AB63" s="179"/>
      <c r="AC63" s="139">
        <f t="shared" si="11"/>
        <v>0</v>
      </c>
      <c r="AD63" s="139">
        <f t="shared" si="10"/>
        <v>0</v>
      </c>
      <c r="AF63" s="135"/>
      <c r="AH63" s="498">
        <v>120063</v>
      </c>
      <c r="AI63" s="498">
        <v>120060</v>
      </c>
      <c r="AJ63" s="498">
        <v>120068</v>
      </c>
      <c r="AK63" s="498">
        <v>120065</v>
      </c>
      <c r="AL63" s="498">
        <v>120061</v>
      </c>
      <c r="AM63" s="498">
        <v>120067</v>
      </c>
      <c r="AN63" s="498">
        <v>120062</v>
      </c>
      <c r="AO63" s="498">
        <v>120066</v>
      </c>
      <c r="AP63" s="498">
        <v>120069</v>
      </c>
      <c r="AQ63" s="498">
        <v>120064</v>
      </c>
      <c r="AR63" s="498">
        <v>15361028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6">
        <v>#VALUE!</v>
      </c>
      <c r="D64" s="75" t="str">
        <f t="shared" si="15"/>
        <v/>
      </c>
      <c r="E64" s="618" t="str">
        <f>VLOOKUP(561,Sprachindex!$A:$Z,Info!$O$7,FALSE)</f>
        <v>Laufsteg (250 × 420 mm)</v>
      </c>
      <c r="F64" s="619"/>
      <c r="G64" s="619"/>
      <c r="H64" s="619"/>
      <c r="I64" s="619"/>
      <c r="J64" s="619"/>
      <c r="K64" s="620"/>
      <c r="L64" s="76" t="str">
        <f t="shared" si="13"/>
        <v/>
      </c>
      <c r="M64" s="161" t="str">
        <f>VLOOKUP(878,Sprachindex!$A:$Z,Info!$O$7,FALSE)</f>
        <v>Stk.</v>
      </c>
      <c r="N64" s="77"/>
      <c r="O64" s="184" t="str">
        <f t="shared" si="14"/>
        <v/>
      </c>
      <c r="P64" s="267"/>
      <c r="Q64" s="5"/>
      <c r="R64" s="182">
        <v>40.14</v>
      </c>
      <c r="S64" s="179"/>
      <c r="T64" s="179"/>
      <c r="U64" s="179"/>
      <c r="V64" s="179"/>
      <c r="W64" s="179"/>
      <c r="X64" s="179"/>
      <c r="Y64" s="179"/>
      <c r="Z64" s="179"/>
      <c r="AA64" s="179"/>
      <c r="AB64" s="179"/>
      <c r="AC64" s="139">
        <f>ROUNDUP($A64/4,0)*4</f>
        <v>0</v>
      </c>
      <c r="AD64" s="139">
        <f t="shared" si="10"/>
        <v>0</v>
      </c>
      <c r="AF64" s="135"/>
      <c r="AH64" s="498">
        <v>120013</v>
      </c>
      <c r="AI64" s="498">
        <v>120010</v>
      </c>
      <c r="AJ64" s="498">
        <v>120018</v>
      </c>
      <c r="AK64" s="498">
        <v>120015</v>
      </c>
      <c r="AL64" s="498">
        <v>120011</v>
      </c>
      <c r="AM64" s="498">
        <v>120017</v>
      </c>
      <c r="AN64" s="498">
        <v>120012</v>
      </c>
      <c r="AO64" s="498">
        <v>120016</v>
      </c>
      <c r="AP64" s="498">
        <v>120019</v>
      </c>
      <c r="AQ64" s="498">
        <v>120014</v>
      </c>
      <c r="AR64" s="498">
        <v>15341028</v>
      </c>
      <c r="AS64" s="512"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7">
        <v>#VALUE!</v>
      </c>
      <c r="D65" s="75">
        <v>649305</v>
      </c>
      <c r="E65" s="618" t="str">
        <f>VLOOKUP(565,Sprachindex!$A:$Z,Info!$O$7,FALSE)</f>
        <v>Laufsteg (360 × 800 mm)</v>
      </c>
      <c r="F65" s="619"/>
      <c r="G65" s="619"/>
      <c r="H65" s="619"/>
      <c r="I65" s="619"/>
      <c r="J65" s="619"/>
      <c r="K65" s="620"/>
      <c r="L65" s="76" t="str">
        <f t="shared" si="13"/>
        <v/>
      </c>
      <c r="M65" s="161" t="str">
        <f>VLOOKUP(878,Sprachindex!$A:$Z,Info!$O$7,FALSE)</f>
        <v>Stk.</v>
      </c>
      <c r="N65" s="77"/>
      <c r="O65" s="184" t="str">
        <f t="shared" si="14"/>
        <v/>
      </c>
      <c r="P65" s="267"/>
      <c r="Q65" s="5"/>
      <c r="R65" s="182">
        <v>83.23</v>
      </c>
      <c r="S65" s="179"/>
      <c r="T65" s="179"/>
      <c r="U65" s="179"/>
      <c r="V65" s="179"/>
      <c r="W65" s="179"/>
      <c r="X65" s="179"/>
      <c r="Y65" s="179"/>
      <c r="Z65" s="179"/>
      <c r="AA65" s="179"/>
      <c r="AB65" s="179"/>
      <c r="AC65" s="139">
        <f>ROUNDUP($A65,0)</f>
        <v>0</v>
      </c>
      <c r="AD65" s="139">
        <f t="shared" si="10"/>
        <v>0</v>
      </c>
      <c r="AF65" s="135"/>
      <c r="AH65" s="538"/>
      <c r="AI65" s="538"/>
      <c r="AJ65" s="538"/>
      <c r="AK65" s="538"/>
      <c r="AL65" s="538"/>
      <c r="AM65" s="538"/>
      <c r="AN65" s="538"/>
      <c r="AO65" s="538"/>
      <c r="AP65" s="538"/>
      <c r="AQ65" s="538"/>
      <c r="AR65" s="539"/>
      <c r="AS65" s="539"/>
    </row>
    <row r="66" spans="1:58" ht="32.1" customHeight="1">
      <c r="A66" s="93"/>
      <c r="B66" s="76" t="str">
        <f>VLOOKUP(878,Sprachindex!$A:$Z,Info!$O$7,FALSE)</f>
        <v>Stk.</v>
      </c>
      <c r="C66" s="75" t="e" vm="35">
        <v>#VALUE!</v>
      </c>
      <c r="D66" s="75">
        <v>649306</v>
      </c>
      <c r="E66" s="618" t="str">
        <f>VLOOKUP(564,Sprachindex!$A:$Z,Info!$O$7,FALSE)</f>
        <v>Laufsteg (360 × 1.200 mm)</v>
      </c>
      <c r="F66" s="619"/>
      <c r="G66" s="619"/>
      <c r="H66" s="619"/>
      <c r="I66" s="619"/>
      <c r="J66" s="619"/>
      <c r="K66" s="620"/>
      <c r="L66" s="76" t="str">
        <f t="shared" si="13"/>
        <v/>
      </c>
      <c r="M66" s="161" t="str">
        <f>VLOOKUP(878,Sprachindex!$A:$Z,Info!$O$7,FALSE)</f>
        <v>Stk.</v>
      </c>
      <c r="N66" s="77"/>
      <c r="O66" s="184" t="str">
        <f t="shared" si="14"/>
        <v/>
      </c>
      <c r="P66" s="267"/>
      <c r="Q66" s="5"/>
      <c r="R66" s="182">
        <v>123.29</v>
      </c>
      <c r="S66" s="179"/>
      <c r="T66" s="179"/>
      <c r="U66" s="179"/>
      <c r="V66" s="179"/>
      <c r="W66" s="179"/>
      <c r="X66" s="179"/>
      <c r="Y66" s="179"/>
      <c r="Z66" s="179"/>
      <c r="AA66" s="179"/>
      <c r="AB66" s="179"/>
      <c r="AC66" s="139">
        <f>ROUNDUP($A66,0)</f>
        <v>0</v>
      </c>
      <c r="AD66" s="139">
        <f t="shared" si="10"/>
        <v>0</v>
      </c>
      <c r="AF66" s="135"/>
      <c r="AH66" s="119"/>
      <c r="AI66" s="119"/>
      <c r="AJ66" s="119"/>
      <c r="AK66" s="119"/>
      <c r="AL66" s="119"/>
      <c r="AM66" s="119"/>
      <c r="AN66" s="119"/>
      <c r="AO66" s="119"/>
      <c r="AP66" s="119"/>
      <c r="AQ66" s="119"/>
    </row>
    <row r="67" spans="1:58" ht="32.1" customHeight="1">
      <c r="A67" s="93"/>
      <c r="B67" s="76" t="str">
        <f>VLOOKUP(878,Sprachindex!$A:$Z,Info!$O$7,FALSE)</f>
        <v>Stk.</v>
      </c>
      <c r="C67" s="75" t="e" vm="38">
        <v>#VALUE!</v>
      </c>
      <c r="D67" s="80">
        <v>649001</v>
      </c>
      <c r="E67" s="618" t="str">
        <f>VLOOKUP(955,Sprachindex!$A:$Z,Info!$O$7,FALSE)</f>
        <v>Verbinder (verzinkt; für Laufsteg; Breite: 250 mm)</v>
      </c>
      <c r="F67" s="619"/>
      <c r="G67" s="619"/>
      <c r="H67" s="619"/>
      <c r="I67" s="619"/>
      <c r="J67" s="619"/>
      <c r="K67" s="620"/>
      <c r="L67" s="76" t="str">
        <f t="shared" si="13"/>
        <v/>
      </c>
      <c r="M67" s="161" t="str">
        <f>VLOOKUP(878,Sprachindex!$A:$Z,Info!$O$7,FALSE)</f>
        <v>Stk.</v>
      </c>
      <c r="N67" s="77"/>
      <c r="O67" s="184" t="str">
        <f t="shared" si="14"/>
        <v/>
      </c>
      <c r="P67" s="267"/>
      <c r="Q67" s="5"/>
      <c r="R67" s="182">
        <v>24.74</v>
      </c>
      <c r="S67" s="179"/>
      <c r="T67" s="179"/>
      <c r="U67" s="179"/>
      <c r="V67" s="179"/>
      <c r="W67" s="179"/>
      <c r="X67" s="179"/>
      <c r="Y67" s="179"/>
      <c r="Z67" s="179"/>
      <c r="AA67" s="179"/>
      <c r="AB67" s="179"/>
      <c r="AC67" s="139">
        <f>ROUNDUP($A67,0)</f>
        <v>0</v>
      </c>
      <c r="AD67" s="139">
        <f t="shared" si="10"/>
        <v>0</v>
      </c>
      <c r="AF67" s="135"/>
      <c r="AH67" s="540"/>
      <c r="AI67" s="540"/>
      <c r="AJ67" s="540"/>
      <c r="AK67" s="540"/>
      <c r="AL67" s="540"/>
      <c r="AM67" s="540"/>
      <c r="AN67" s="540"/>
      <c r="AO67" s="540"/>
      <c r="AP67" s="540"/>
      <c r="AQ67" s="540"/>
      <c r="AR67" s="540"/>
      <c r="AS67" s="540"/>
      <c r="AT67" s="20"/>
      <c r="AU67" s="20"/>
      <c r="AV67" s="20"/>
      <c r="AW67" s="20"/>
      <c r="AX67" s="20"/>
      <c r="AY67" s="20"/>
      <c r="AZ67" s="20"/>
      <c r="BA67" s="20"/>
    </row>
    <row r="68" spans="1:58" ht="32.1" customHeight="1">
      <c r="A68" s="93"/>
      <c r="B68" s="76" t="str">
        <f>VLOOKUP(878,Sprachindex!$A:$Z,Info!$O$7,FALSE)</f>
        <v>Stk.</v>
      </c>
      <c r="C68" s="75" t="e" vm="39">
        <v>#VALUE!</v>
      </c>
      <c r="D68" s="80">
        <v>649008</v>
      </c>
      <c r="E68" s="618" t="str">
        <f>VLOOKUP(956,Sprachindex!$A:$Z,Info!$O$7,FALSE)</f>
        <v>Verbinder (verzinkt; für Laufsteg; Breite: 360 mm)</v>
      </c>
      <c r="F68" s="619"/>
      <c r="G68" s="619"/>
      <c r="H68" s="619"/>
      <c r="I68" s="619"/>
      <c r="J68" s="619"/>
      <c r="K68" s="620"/>
      <c r="L68" s="76" t="str">
        <f t="shared" si="13"/>
        <v/>
      </c>
      <c r="M68" s="161" t="str">
        <f>VLOOKUP(878,Sprachindex!$A:$Z,Info!$O$7,FALSE)</f>
        <v>Stk.</v>
      </c>
      <c r="N68" s="77"/>
      <c r="O68" s="184" t="str">
        <f t="shared" si="14"/>
        <v/>
      </c>
      <c r="P68" s="267"/>
      <c r="Q68" s="5"/>
      <c r="R68" s="182">
        <v>54.66</v>
      </c>
      <c r="S68" s="179"/>
      <c r="T68" s="179"/>
      <c r="U68" s="179"/>
      <c r="V68" s="179"/>
      <c r="W68" s="179"/>
      <c r="X68" s="179"/>
      <c r="Y68" s="179"/>
      <c r="Z68" s="179"/>
      <c r="AA68" s="179"/>
      <c r="AB68" s="179"/>
      <c r="AC68" s="139">
        <f>ROUNDUP($A68,0)</f>
        <v>0</v>
      </c>
      <c r="AD68" s="139">
        <f t="shared" si="10"/>
        <v>0</v>
      </c>
      <c r="AF68" s="135"/>
      <c r="AH68" s="621" t="s">
        <v>26</v>
      </c>
      <c r="AI68" s="622"/>
      <c r="AJ68" s="622"/>
      <c r="AK68" s="622"/>
      <c r="AL68" s="622"/>
      <c r="AM68" s="622"/>
      <c r="AN68" s="622"/>
      <c r="AO68" s="622"/>
      <c r="AP68" s="622"/>
      <c r="AQ68" s="622"/>
      <c r="AR68" s="622"/>
      <c r="AS68" s="623"/>
      <c r="AT68" s="621" t="s">
        <v>27</v>
      </c>
      <c r="AU68" s="622"/>
      <c r="AV68" s="622"/>
      <c r="AW68" s="622"/>
      <c r="AX68" s="622"/>
      <c r="AY68" s="622"/>
      <c r="AZ68" s="622"/>
      <c r="BA68" s="622"/>
      <c r="BB68" s="622"/>
      <c r="BC68" s="622"/>
      <c r="BD68" s="623"/>
    </row>
    <row r="69" spans="1:58" ht="32.1" customHeight="1">
      <c r="A69" s="93"/>
      <c r="B69" s="76" t="str">
        <f>VLOOKUP(878,Sprachindex!$A:$Z,Info!$O$7,FALSE)</f>
        <v>Stk.</v>
      </c>
      <c r="C69" s="78" t="e" vm="40">
        <v>#VALUE!</v>
      </c>
      <c r="D69" s="80">
        <v>635661</v>
      </c>
      <c r="E69" s="618" t="str">
        <f>VLOOKUP(277,Sprachindex!$A:$Z,Info!$O$7,FALSE)</f>
        <v>Sicherheitsdachhaken auf Fußteilen</v>
      </c>
      <c r="F69" s="619"/>
      <c r="G69" s="619"/>
      <c r="H69" s="619"/>
      <c r="I69" s="619"/>
      <c r="J69" s="619"/>
      <c r="K69" s="620"/>
      <c r="L69" s="76" t="str">
        <f t="shared" si="13"/>
        <v/>
      </c>
      <c r="M69" s="161" t="str">
        <f>VLOOKUP(878,Sprachindex!$A:$Z,Info!$O$7,FALSE)</f>
        <v>Stk.</v>
      </c>
      <c r="N69" s="77"/>
      <c r="O69" s="184" t="str">
        <f t="shared" si="14"/>
        <v/>
      </c>
      <c r="P69" s="267"/>
      <c r="Q69" s="5"/>
      <c r="R69" s="182">
        <v>123.39</v>
      </c>
      <c r="S69" s="179"/>
      <c r="T69" s="179"/>
      <c r="U69" s="179"/>
      <c r="V69" s="179"/>
      <c r="W69" s="179"/>
      <c r="X69" s="179"/>
      <c r="Y69" s="179"/>
      <c r="Z69" s="179"/>
      <c r="AA69" s="179"/>
      <c r="AB69" s="179"/>
      <c r="AC69" s="139">
        <f>ROUNDUP($A69,0)</f>
        <v>0</v>
      </c>
      <c r="AD69" s="139">
        <f t="shared" si="10"/>
        <v>0</v>
      </c>
      <c r="AF69" s="135"/>
      <c r="AH69" s="47" t="s">
        <v>35</v>
      </c>
      <c r="AI69" s="47" t="s">
        <v>32</v>
      </c>
      <c r="AJ69" s="47" t="s">
        <v>40</v>
      </c>
      <c r="AK69" s="47" t="s">
        <v>37</v>
      </c>
      <c r="AL69" s="47" t="s">
        <v>33</v>
      </c>
      <c r="AM69" s="47" t="s">
        <v>39</v>
      </c>
      <c r="AN69" s="47" t="s">
        <v>34</v>
      </c>
      <c r="AO69" s="47" t="s">
        <v>38</v>
      </c>
      <c r="AP69" s="47" t="s">
        <v>41</v>
      </c>
      <c r="AQ69" s="47" t="s">
        <v>36</v>
      </c>
      <c r="AR69" s="47" t="s">
        <v>38962</v>
      </c>
      <c r="AS69" s="503" t="s">
        <v>39049</v>
      </c>
      <c r="AT69" s="47" t="s">
        <v>35</v>
      </c>
      <c r="AU69" s="47" t="s">
        <v>32</v>
      </c>
      <c r="AV69" s="47" t="s">
        <v>40</v>
      </c>
      <c r="AW69" s="47" t="s">
        <v>37</v>
      </c>
      <c r="AX69" s="47" t="s">
        <v>33</v>
      </c>
      <c r="AY69" s="47" t="s">
        <v>39</v>
      </c>
      <c r="AZ69" s="47" t="s">
        <v>34</v>
      </c>
      <c r="BA69" s="47" t="s">
        <v>38</v>
      </c>
      <c r="BB69" s="47" t="s">
        <v>41</v>
      </c>
      <c r="BC69" s="47" t="s">
        <v>36</v>
      </c>
      <c r="BD69" s="47" t="s">
        <v>38962</v>
      </c>
      <c r="BE69" s="503" t="s">
        <v>39049</v>
      </c>
      <c r="BF69" s="543"/>
    </row>
    <row r="70" spans="1:58" ht="32.1" customHeight="1">
      <c r="A70" s="93"/>
      <c r="B70" s="76" t="str">
        <f>VLOOKUP(878,Sprachindex!$A:$Z,Info!$O$7,FALSE)</f>
        <v>Stk.</v>
      </c>
      <c r="C70" s="78" t="e" vm="41">
        <v>#VALUE!</v>
      </c>
      <c r="D70" s="75" t="str">
        <f t="shared" ref="D70:D71" si="16">IF(ISNUMBER(A70),AS70,"")</f>
        <v/>
      </c>
      <c r="E70" s="618" t="str">
        <f>VLOOKUP(822,Sprachindex!$A:$Z,Info!$O$7,FALSE)</f>
        <v>Sicherheitsdachhaken</v>
      </c>
      <c r="F70" s="619"/>
      <c r="G70" s="619"/>
      <c r="H70" s="619"/>
      <c r="I70" s="619"/>
      <c r="J70" s="619"/>
      <c r="K70" s="620"/>
      <c r="L70" s="76" t="str">
        <f t="shared" si="13"/>
        <v/>
      </c>
      <c r="M70" s="161" t="str">
        <f>VLOOKUP(878,Sprachindex!$A:$Z,Info!$O$7,FALSE)</f>
        <v>Stk.</v>
      </c>
      <c r="N70" s="77"/>
      <c r="O70" s="184" t="str">
        <f t="shared" si="14"/>
        <v/>
      </c>
      <c r="P70" s="267"/>
      <c r="Q70" s="5"/>
      <c r="R70" s="182">
        <v>32.479999999999997</v>
      </c>
      <c r="S70" s="179"/>
      <c r="T70" s="179"/>
      <c r="U70" s="179"/>
      <c r="V70" s="179"/>
      <c r="W70" s="179"/>
      <c r="X70" s="179"/>
      <c r="Y70" s="179"/>
      <c r="Z70" s="179"/>
      <c r="AA70" s="179"/>
      <c r="AB70" s="179"/>
      <c r="AC70" s="139">
        <f>ROUNDUP($A70/12,0)*12</f>
        <v>0</v>
      </c>
      <c r="AD70" s="139">
        <f t="shared" si="10"/>
        <v>0</v>
      </c>
      <c r="AF70" s="135"/>
      <c r="AH70" s="44">
        <v>120003</v>
      </c>
      <c r="AI70" s="44">
        <v>120000</v>
      </c>
      <c r="AJ70" s="44">
        <v>120008</v>
      </c>
      <c r="AK70" s="44">
        <v>120005</v>
      </c>
      <c r="AL70" s="44">
        <v>120001</v>
      </c>
      <c r="AM70" s="44">
        <v>120007</v>
      </c>
      <c r="AN70" s="44">
        <v>120002</v>
      </c>
      <c r="AO70" s="44">
        <v>120006</v>
      </c>
      <c r="AP70" s="44">
        <v>120009</v>
      </c>
      <c r="AQ70" s="44">
        <v>120004</v>
      </c>
      <c r="AR70" s="44">
        <v>14031028</v>
      </c>
      <c r="AS70" s="512" t="e" vm="2">
        <f>VLOOKUP(AH70,AH70:AR70,$P$21,FALSE)</f>
        <v>#VALUE!</v>
      </c>
      <c r="BE70" s="132"/>
      <c r="BF70" s="132"/>
    </row>
    <row r="71" spans="1:58" ht="32.1" customHeight="1">
      <c r="A71" s="93"/>
      <c r="B71" s="76" t="str">
        <f>VLOOKUP(878,Sprachindex!$A:$Z,Info!$O$7,FALSE)</f>
        <v>Stk.</v>
      </c>
      <c r="C71" s="78"/>
      <c r="D71" s="75" t="str">
        <f t="shared" si="16"/>
        <v/>
      </c>
      <c r="E71" s="618" t="str">
        <f>VLOOKUP(325,Sprachindex!$A:$Z,Info!$O$7,FALSE)</f>
        <v>Einfassungsplatte für FX.12; glatt; ⌀ 80–125 mm</v>
      </c>
      <c r="F71" s="619"/>
      <c r="G71" s="619"/>
      <c r="H71" s="619"/>
      <c r="I71" s="619"/>
      <c r="J71" s="619"/>
      <c r="K71" s="620"/>
      <c r="L71" s="76" t="str">
        <f>IF(A71=0,"",IF($Z$11=1,AC71,AD71))</f>
        <v/>
      </c>
      <c r="M71" s="399" t="str">
        <f t="shared" si="0"/>
        <v>Stk.</v>
      </c>
      <c r="N71" s="77"/>
      <c r="O71" s="184" t="str">
        <f>IF(ISNUMBER(A71),$L71*R72, "")</f>
        <v/>
      </c>
      <c r="P71" s="5"/>
      <c r="Q71" s="5"/>
      <c r="R71" s="182">
        <v>122.36</v>
      </c>
      <c r="S71" s="179"/>
      <c r="T71" s="5"/>
      <c r="U71" s="5"/>
      <c r="V71" s="5"/>
      <c r="W71" s="5"/>
      <c r="X71" s="5"/>
      <c r="Y71" s="5"/>
      <c r="AC71" s="139">
        <f>ROUNDUP($A71/1,0)*1</f>
        <v>0</v>
      </c>
      <c r="AD71" s="139">
        <f t="shared" ref="AD71" si="17">ROUNDUP($A71,0)</f>
        <v>0</v>
      </c>
      <c r="AH71" s="44">
        <v>112843</v>
      </c>
      <c r="AI71" s="44">
        <v>112840</v>
      </c>
      <c r="AJ71" s="44">
        <v>112848</v>
      </c>
      <c r="AK71" s="44">
        <v>112845</v>
      </c>
      <c r="AL71" s="44">
        <v>112841</v>
      </c>
      <c r="AM71" s="44">
        <v>112847</v>
      </c>
      <c r="AN71" s="44">
        <v>112842</v>
      </c>
      <c r="AO71" s="44">
        <v>112846</v>
      </c>
      <c r="AP71" s="44">
        <v>112849</v>
      </c>
      <c r="AQ71" s="44">
        <v>112844</v>
      </c>
      <c r="AR71" s="44">
        <v>13341028</v>
      </c>
      <c r="AS71" s="512" t="e" vm="2">
        <f>VLOOKUP(AH71,AH71:AR71,$P$21,FALSE)</f>
        <v>#VALUE!</v>
      </c>
    </row>
    <row r="72" spans="1:58" ht="31.95" customHeight="1">
      <c r="A72" s="93"/>
      <c r="B72" s="76" t="str">
        <f>VLOOKUP(878,Sprachindex!$A:$Z,Info!$O$7,FALSE)</f>
        <v>Stk.</v>
      </c>
      <c r="C72" s="78" t="e" vm="98">
        <v>#VALUE!</v>
      </c>
      <c r="D72" s="75" t="str">
        <f>IF(ISNUMBER(A72),BE72,"")</f>
        <v/>
      </c>
      <c r="E72" s="618" t="str">
        <f>VLOOKUP(2942,Sprachindex!$A:$Z,Info!$O$7,FALSE)</f>
        <v>Einfassungsplatte, zum Einfalzen; Stucco</v>
      </c>
      <c r="F72" s="619"/>
      <c r="G72" s="619"/>
      <c r="H72" s="619"/>
      <c r="I72" s="619"/>
      <c r="J72" s="619"/>
      <c r="K72" s="620"/>
      <c r="L72" s="76" t="str">
        <f t="shared" ref="L72:L77" si="18">IF(A72=0,"",IF($P$11=1,AC72,AD72))</f>
        <v/>
      </c>
      <c r="M72" s="161" t="str">
        <f>VLOOKUP(878,Sprachindex!$A:$Z,Info!$O$7,FALSE)</f>
        <v>Stk.</v>
      </c>
      <c r="N72" s="77"/>
      <c r="O72" s="184" t="str">
        <f t="shared" ref="O72:O79" si="19">IF(ISNUMBER(A72),$L72*R72, "")</f>
        <v/>
      </c>
      <c r="P72" s="267"/>
      <c r="Q72" s="5"/>
      <c r="R72" s="182">
        <v>115.36</v>
      </c>
      <c r="S72" s="179"/>
      <c r="T72" s="179"/>
      <c r="U72" s="179"/>
      <c r="V72" s="179"/>
      <c r="W72" s="179"/>
      <c r="X72" s="179"/>
      <c r="Y72" s="179"/>
      <c r="Z72" s="179"/>
      <c r="AA72" s="179"/>
      <c r="AB72" s="179"/>
      <c r="AC72" s="139">
        <f>ROUNDUP($A72/5,0)*5</f>
        <v>0</v>
      </c>
      <c r="AD72" s="139">
        <f t="shared" ref="AD72:AD77" si="20">ROUNDUP($A72,0)</f>
        <v>0</v>
      </c>
      <c r="AF72" s="135"/>
      <c r="AH72" s="542">
        <v>110233</v>
      </c>
      <c r="AI72" s="542">
        <v>110230</v>
      </c>
      <c r="AJ72" s="542">
        <v>110238</v>
      </c>
      <c r="AK72" s="542">
        <v>110235</v>
      </c>
      <c r="AL72" s="542">
        <v>110231</v>
      </c>
      <c r="AM72" s="542">
        <v>110237</v>
      </c>
      <c r="AN72" s="542">
        <v>110232</v>
      </c>
      <c r="AO72" s="542">
        <v>110236</v>
      </c>
      <c r="AP72" s="542">
        <v>110239</v>
      </c>
      <c r="AQ72" s="542">
        <v>110234</v>
      </c>
      <c r="AR72" s="542"/>
      <c r="AS72" s="512"/>
      <c r="AT72" s="432">
        <v>112883</v>
      </c>
      <c r="AU72" s="541">
        <v>112880</v>
      </c>
      <c r="AV72" s="432">
        <v>112888</v>
      </c>
      <c r="AW72" s="432">
        <v>112885</v>
      </c>
      <c r="AX72" s="432">
        <v>112881</v>
      </c>
      <c r="AY72" s="432">
        <v>112887</v>
      </c>
      <c r="AZ72" s="432">
        <v>112882</v>
      </c>
      <c r="BA72" s="432">
        <v>112886</v>
      </c>
      <c r="BB72" s="432">
        <v>112889</v>
      </c>
      <c r="BC72" s="432">
        <v>112884</v>
      </c>
      <c r="BD72" s="432">
        <v>15011028</v>
      </c>
      <c r="BE72" s="512" t="e" vm="2">
        <f>VLOOKUP(AT72,AT72:BD72,$P$21,FALSE)</f>
        <v>#VALUE!</v>
      </c>
      <c r="BF72" s="544"/>
    </row>
    <row r="73" spans="1:58" ht="32.1" customHeight="1">
      <c r="A73" s="93"/>
      <c r="B73" s="76" t="str">
        <f>VLOOKUP(878,Sprachindex!$A:$Z,Info!$O$7,FALSE)</f>
        <v>Stk.</v>
      </c>
      <c r="C73" s="78" t="e" vm="44">
        <v>#VALUE!</v>
      </c>
      <c r="D73" s="75" t="str">
        <f>IF(ISNUMBER(A73),BE73,"")</f>
        <v/>
      </c>
      <c r="E73" s="618" t="str">
        <f>VLOOKUP(926,Sprachindex!$A:$Z,Info!$O$7,FALSE)</f>
        <v>Universaleinfassung (2-teilig); stucco; ⌀ 40–120 mm</v>
      </c>
      <c r="F73" s="619"/>
      <c r="G73" s="619"/>
      <c r="H73" s="619"/>
      <c r="I73" s="619"/>
      <c r="J73" s="619"/>
      <c r="K73" s="620"/>
      <c r="L73" s="76" t="str">
        <f t="shared" si="18"/>
        <v/>
      </c>
      <c r="M73" s="161" t="str">
        <f>VLOOKUP(878,Sprachindex!$A:$Z,Info!$O$7,FALSE)</f>
        <v>Stk.</v>
      </c>
      <c r="N73" s="77"/>
      <c r="O73" s="184" t="str">
        <f t="shared" si="19"/>
        <v/>
      </c>
      <c r="P73" s="267"/>
      <c r="Q73" s="5"/>
      <c r="R73" s="182">
        <v>122.16</v>
      </c>
      <c r="S73" s="179"/>
      <c r="T73" s="179"/>
      <c r="U73" s="179"/>
      <c r="V73" s="179"/>
      <c r="W73" s="179"/>
      <c r="X73" s="179"/>
      <c r="Y73" s="179"/>
      <c r="Z73" s="179"/>
      <c r="AA73" s="179"/>
      <c r="AB73" s="179"/>
      <c r="AC73" s="139">
        <f>ROUNDUP($A73,0)</f>
        <v>0</v>
      </c>
      <c r="AD73" s="139">
        <f t="shared" si="20"/>
        <v>0</v>
      </c>
      <c r="AF73" s="135"/>
      <c r="AH73" s="542"/>
      <c r="AI73" s="542"/>
      <c r="AJ73" s="542"/>
      <c r="AK73" s="542"/>
      <c r="AL73" s="542"/>
      <c r="AM73" s="542"/>
      <c r="AN73" s="542"/>
      <c r="AO73" s="542"/>
      <c r="AP73" s="542"/>
      <c r="AQ73" s="542"/>
      <c r="AR73" s="542"/>
      <c r="AS73" s="512"/>
      <c r="AT73" s="432">
        <v>110243</v>
      </c>
      <c r="AU73" s="432">
        <v>110240</v>
      </c>
      <c r="AV73" s="432">
        <v>110248</v>
      </c>
      <c r="AW73" s="432">
        <v>110245</v>
      </c>
      <c r="AX73" s="432">
        <v>110241</v>
      </c>
      <c r="AY73" s="432">
        <v>110247</v>
      </c>
      <c r="AZ73" s="432">
        <v>110242</v>
      </c>
      <c r="BA73" s="432">
        <v>110246</v>
      </c>
      <c r="BB73" s="432">
        <v>110249</v>
      </c>
      <c r="BC73" s="432">
        <v>110244</v>
      </c>
      <c r="BD73" s="432">
        <v>15031028</v>
      </c>
      <c r="BE73" s="512" t="e" vm="2">
        <f>VLOOKUP(AT73,AT73:BD73,$P$21,FALSE)</f>
        <v>#VALUE!</v>
      </c>
    </row>
    <row r="74" spans="1:58" ht="32.1" customHeight="1">
      <c r="A74" s="93"/>
      <c r="B74" s="76" t="str">
        <f>VLOOKUP(878,Sprachindex!$A:$Z,Info!$O$7,FALSE)</f>
        <v>Stk.</v>
      </c>
      <c r="C74" s="78" t="e" vm="45">
        <v>#VALUE!</v>
      </c>
      <c r="D74" s="75" t="str">
        <f t="shared" ref="D74:D76" si="21">IF(ISNUMBER(A74),AS74,"")</f>
        <v/>
      </c>
      <c r="E74" s="618" t="str">
        <f>VLOOKUP(364,Sprachindex!$A:$Z,Info!$O$7,FALSE)</f>
        <v>Entlüftungshaube (⌀ 100; glatt)</v>
      </c>
      <c r="F74" s="619"/>
      <c r="G74" s="619"/>
      <c r="H74" s="619"/>
      <c r="I74" s="619"/>
      <c r="J74" s="619"/>
      <c r="K74" s="620"/>
      <c r="L74" s="76" t="str">
        <f t="shared" si="18"/>
        <v/>
      </c>
      <c r="M74" s="161" t="str">
        <f>VLOOKUP(878,Sprachindex!$A:$Z,Info!$O$7,FALSE)</f>
        <v>Stk.</v>
      </c>
      <c r="N74" s="77"/>
      <c r="O74" s="184" t="str">
        <f t="shared" si="19"/>
        <v/>
      </c>
      <c r="P74" s="267"/>
      <c r="Q74" s="5"/>
      <c r="R74" s="182">
        <v>192.1</v>
      </c>
      <c r="S74" s="179"/>
      <c r="T74" s="179"/>
      <c r="U74" s="179"/>
      <c r="V74" s="179"/>
      <c r="W74" s="179"/>
      <c r="X74" s="179"/>
      <c r="Y74" s="179"/>
      <c r="Z74" s="179"/>
      <c r="AA74" s="179"/>
      <c r="AB74" s="179"/>
      <c r="AC74" s="139">
        <f>ROUNDUP($A74,0)</f>
        <v>0</v>
      </c>
      <c r="AD74" s="139">
        <f t="shared" si="20"/>
        <v>0</v>
      </c>
      <c r="AF74" s="135"/>
      <c r="AH74" s="433">
        <v>110283</v>
      </c>
      <c r="AI74" s="433">
        <v>110280</v>
      </c>
      <c r="AJ74" s="433">
        <v>110288</v>
      </c>
      <c r="AK74" s="433">
        <v>110285</v>
      </c>
      <c r="AL74" s="433">
        <v>110281</v>
      </c>
      <c r="AM74" s="433">
        <v>110287</v>
      </c>
      <c r="AN74" s="433">
        <v>110282</v>
      </c>
      <c r="AO74" s="433">
        <v>110286</v>
      </c>
      <c r="AP74" s="433">
        <v>110289</v>
      </c>
      <c r="AQ74" s="433">
        <v>110284</v>
      </c>
      <c r="AR74" s="433">
        <v>15071028</v>
      </c>
      <c r="AS74" s="512" t="e" vm="2">
        <f>VLOOKUP(AH74,AH74:AR74,$P$21,FALSE)</f>
        <v>#VALUE!</v>
      </c>
    </row>
    <row r="75" spans="1:58" ht="32.1" customHeight="1">
      <c r="A75" s="93"/>
      <c r="B75" s="76" t="str">
        <f>VLOOKUP(878,Sprachindex!$A:$Z,Info!$O$7,FALSE)</f>
        <v>Stk.</v>
      </c>
      <c r="C75" s="78" t="e" vm="46">
        <v>#VALUE!</v>
      </c>
      <c r="D75" s="75" t="str">
        <f t="shared" si="21"/>
        <v/>
      </c>
      <c r="E75" s="618" t="str">
        <f>VLOOKUP(366,Sprachindex!$A:$Z,Info!$O$7,FALSE)</f>
        <v>Entlüftungsrohr (⌀ 100; passend für HT-Rohr [NW 110])</v>
      </c>
      <c r="F75" s="619"/>
      <c r="G75" s="619"/>
      <c r="H75" s="619"/>
      <c r="I75" s="619"/>
      <c r="J75" s="619"/>
      <c r="K75" s="620"/>
      <c r="L75" s="76" t="str">
        <f t="shared" si="18"/>
        <v/>
      </c>
      <c r="M75" s="161" t="str">
        <f>VLOOKUP(878,Sprachindex!$A:$Z,Info!$O$7,FALSE)</f>
        <v>Stk.</v>
      </c>
      <c r="N75" s="77"/>
      <c r="O75" s="184" t="str">
        <f t="shared" si="19"/>
        <v/>
      </c>
      <c r="P75" s="267"/>
      <c r="Q75" s="5"/>
      <c r="R75" s="182">
        <v>79.069999999999993</v>
      </c>
      <c r="S75" s="179"/>
      <c r="T75" s="179"/>
      <c r="U75" s="179"/>
      <c r="V75" s="179"/>
      <c r="W75" s="179"/>
      <c r="X75" s="179"/>
      <c r="Y75" s="179"/>
      <c r="Z75" s="179"/>
      <c r="AA75" s="179"/>
      <c r="AB75" s="179"/>
      <c r="AC75" s="139">
        <f>ROUNDUP($A75,0)</f>
        <v>0</v>
      </c>
      <c r="AD75" s="139">
        <f t="shared" si="20"/>
        <v>0</v>
      </c>
      <c r="AF75" s="135"/>
      <c r="AH75" s="433">
        <v>110203</v>
      </c>
      <c r="AI75" s="433">
        <v>110200</v>
      </c>
      <c r="AJ75" s="433">
        <v>110208</v>
      </c>
      <c r="AK75" s="433">
        <v>110205</v>
      </c>
      <c r="AL75" s="433">
        <v>110201</v>
      </c>
      <c r="AM75" s="433">
        <v>110207</v>
      </c>
      <c r="AN75" s="433">
        <v>110202</v>
      </c>
      <c r="AO75" s="433">
        <v>110206</v>
      </c>
      <c r="AP75" s="433">
        <v>121015</v>
      </c>
      <c r="AQ75" s="433">
        <v>110204</v>
      </c>
      <c r="AR75" s="433">
        <v>15081028</v>
      </c>
      <c r="AS75" s="512" t="e" vm="2">
        <f>VLOOKUP(AH75,AH75:AR75,$P$21,FALSE)</f>
        <v>#VALUE!</v>
      </c>
    </row>
    <row r="76" spans="1:58" ht="32.1" customHeight="1">
      <c r="A76" s="93"/>
      <c r="B76" s="76" t="str">
        <f>VLOOKUP(878,Sprachindex!$A:$Z,Info!$O$7,FALSE)</f>
        <v>Stk.</v>
      </c>
      <c r="C76" s="78" t="e" vm="47">
        <v>#VALUE!</v>
      </c>
      <c r="D76" s="75" t="str">
        <f t="shared" si="21"/>
        <v/>
      </c>
      <c r="E76" s="618" t="str">
        <f>VLOOKUP(368,Sprachindex!$A:$Z,Info!$O$7,FALSE)</f>
        <v>Entlüftungsrohr (⌀ 120; passend für HT-Rohr [NW 125])</v>
      </c>
      <c r="F76" s="619"/>
      <c r="G76" s="619"/>
      <c r="H76" s="619"/>
      <c r="I76" s="619"/>
      <c r="J76" s="619"/>
      <c r="K76" s="620"/>
      <c r="L76" s="76" t="str">
        <f t="shared" si="18"/>
        <v/>
      </c>
      <c r="M76" s="161" t="str">
        <f>VLOOKUP(878,Sprachindex!$A:$Z,Info!$O$7,FALSE)</f>
        <v>Stk.</v>
      </c>
      <c r="N76" s="77"/>
      <c r="O76" s="184" t="str">
        <f t="shared" si="19"/>
        <v/>
      </c>
      <c r="P76" s="267"/>
      <c r="Q76" s="5"/>
      <c r="R76" s="182">
        <v>83.85</v>
      </c>
      <c r="S76" s="179"/>
      <c r="T76" s="179"/>
      <c r="U76" s="179"/>
      <c r="V76" s="179"/>
      <c r="W76" s="179"/>
      <c r="X76" s="179"/>
      <c r="Y76" s="179"/>
      <c r="Z76" s="179"/>
      <c r="AA76" s="179"/>
      <c r="AB76" s="179"/>
      <c r="AC76" s="139">
        <f>ROUNDUP($A76,0)</f>
        <v>0</v>
      </c>
      <c r="AD76" s="139">
        <f t="shared" si="20"/>
        <v>0</v>
      </c>
      <c r="AF76" s="135"/>
      <c r="AH76" s="433">
        <v>110213</v>
      </c>
      <c r="AI76" s="433">
        <v>110210</v>
      </c>
      <c r="AJ76" s="433">
        <v>110218</v>
      </c>
      <c r="AK76" s="433">
        <v>110215</v>
      </c>
      <c r="AL76" s="433">
        <v>110211</v>
      </c>
      <c r="AM76" s="433">
        <v>110217</v>
      </c>
      <c r="AN76" s="433">
        <v>110212</v>
      </c>
      <c r="AO76" s="433">
        <v>110216</v>
      </c>
      <c r="AP76" s="433">
        <v>121025</v>
      </c>
      <c r="AQ76" s="433">
        <v>110214</v>
      </c>
      <c r="AR76" s="433">
        <v>15091028</v>
      </c>
      <c r="AS76" s="512" t="e" vm="2">
        <f>VLOOKUP(AH76,AH76:AR76,$P$21,FALSE)</f>
        <v>#VALUE!</v>
      </c>
    </row>
    <row r="77" spans="1:58" ht="32.1" customHeight="1">
      <c r="A77" s="93"/>
      <c r="B77" s="76" t="str">
        <f>VLOOKUP(878,Sprachindex!$A:$Z,Info!$O$7,FALSE)</f>
        <v>Stk.</v>
      </c>
      <c r="C77" s="78" t="e" vm="48">
        <v>#VALUE!</v>
      </c>
      <c r="D77" s="80">
        <v>340943</v>
      </c>
      <c r="E77" s="618" t="str">
        <f>VLOOKUP(379,Sprachindex!$A:$Z,Info!$O$7,FALSE)</f>
        <v>Faltmanschette (Ø 100–130)</v>
      </c>
      <c r="F77" s="619"/>
      <c r="G77" s="619"/>
      <c r="H77" s="619"/>
      <c r="I77" s="619"/>
      <c r="J77" s="619"/>
      <c r="K77" s="620"/>
      <c r="L77" s="76" t="str">
        <f t="shared" si="18"/>
        <v/>
      </c>
      <c r="M77" s="161" t="str">
        <f>VLOOKUP(878,Sprachindex!$A:$Z,Info!$O$7,FALSE)</f>
        <v>Stk.</v>
      </c>
      <c r="N77" s="77"/>
      <c r="O77" s="184" t="str">
        <f t="shared" si="19"/>
        <v/>
      </c>
      <c r="P77" s="267"/>
      <c r="Q77" s="5"/>
      <c r="R77" s="182">
        <v>38.86</v>
      </c>
      <c r="S77" s="179"/>
      <c r="T77" s="179"/>
      <c r="U77" s="179"/>
      <c r="V77" s="179"/>
      <c r="W77" s="179"/>
      <c r="X77" s="179"/>
      <c r="Y77" s="179"/>
      <c r="Z77" s="179"/>
      <c r="AA77" s="179"/>
      <c r="AB77" s="179"/>
      <c r="AC77" s="139">
        <f>ROUNDUP($A77,0)</f>
        <v>0</v>
      </c>
      <c r="AD77" s="139">
        <f t="shared" si="20"/>
        <v>0</v>
      </c>
      <c r="AF77" s="135"/>
      <c r="AS77" s="512"/>
      <c r="AT77" s="47" t="s">
        <v>35</v>
      </c>
      <c r="AU77" s="47" t="s">
        <v>32</v>
      </c>
      <c r="AV77" s="47" t="s">
        <v>40</v>
      </c>
      <c r="AW77" s="47" t="s">
        <v>37</v>
      </c>
      <c r="AX77" s="47" t="s">
        <v>33</v>
      </c>
      <c r="AY77" s="47" t="s">
        <v>39</v>
      </c>
      <c r="AZ77" s="47" t="s">
        <v>34</v>
      </c>
      <c r="BA77" s="47" t="s">
        <v>38</v>
      </c>
      <c r="BB77" s="47" t="s">
        <v>41</v>
      </c>
      <c r="BC77" s="47" t="s">
        <v>36</v>
      </c>
      <c r="BD77" s="47" t="s">
        <v>38962</v>
      </c>
      <c r="BE77" s="132"/>
      <c r="BF77" s="132"/>
    </row>
    <row r="78" spans="1:58" ht="32.1" customHeight="1">
      <c r="A78" s="93"/>
      <c r="B78" s="76" t="str">
        <f>VLOOKUP(878,Sprachindex!$A:$Z,Info!$O$7,FALSE)</f>
        <v>Stk.</v>
      </c>
      <c r="C78" s="78" t="e" vm="96">
        <v>#VALUE!</v>
      </c>
      <c r="D78" s="75" t="str">
        <f>IF(ISNUMBER(A78),IF($P$9=1,AS78,""),"")</f>
        <v/>
      </c>
      <c r="E78" s="618" t="str">
        <f>IF($P$9=1,VLOOKUP(936,Sprachindex!$A:$Z,Info!$O$7,FALSE),VLOOKUP(2943,Sprachindex!$A:$Z,Info!$O$7,FALSE))</f>
        <v>Unterlagsplatte (540 × 125 mm [Länge × Breite]; stucco)</v>
      </c>
      <c r="F78" s="619"/>
      <c r="G78" s="619"/>
      <c r="H78" s="619"/>
      <c r="I78" s="619"/>
      <c r="J78" s="619"/>
      <c r="K78" s="620"/>
      <c r="L78" s="76" t="str">
        <f>IF(A78=0,"",IF($P$11=1,AC78,AD78))</f>
        <v/>
      </c>
      <c r="M78" s="399" t="str">
        <f t="shared" ref="M78:M79" si="22">B78</f>
        <v>Stk.</v>
      </c>
      <c r="N78" s="77"/>
      <c r="O78" s="184" t="str">
        <f t="shared" si="19"/>
        <v/>
      </c>
      <c r="P78" s="5"/>
      <c r="Q78" s="5"/>
      <c r="R78" s="182">
        <v>11.04</v>
      </c>
      <c r="S78" s="179"/>
      <c r="T78" s="5"/>
      <c r="U78" s="5"/>
      <c r="V78" s="5"/>
      <c r="W78" s="5"/>
      <c r="X78" s="5"/>
      <c r="Y78" s="5"/>
      <c r="AC78" s="139">
        <f>ROUNDUP($A78/15,0)*15</f>
        <v>0</v>
      </c>
      <c r="AD78" s="139">
        <f t="shared" ref="AD78" si="23">ROUNDUP($A78,0)</f>
        <v>0</v>
      </c>
      <c r="AH78" s="433">
        <v>110363</v>
      </c>
      <c r="AI78" s="433">
        <v>110360</v>
      </c>
      <c r="AJ78" s="433">
        <v>110368</v>
      </c>
      <c r="AK78" s="433">
        <v>110365</v>
      </c>
      <c r="AL78" s="433">
        <v>110361</v>
      </c>
      <c r="AM78" s="433">
        <v>110367</v>
      </c>
      <c r="AN78" s="433">
        <v>110362</v>
      </c>
      <c r="AO78" s="433">
        <v>110366</v>
      </c>
      <c r="AP78" s="433">
        <v>110369</v>
      </c>
      <c r="AQ78" s="433">
        <v>110364</v>
      </c>
      <c r="AR78" s="433">
        <v>15531028</v>
      </c>
      <c r="AS78" s="512" t="e" vm="2">
        <f t="shared" ref="AS78" si="24">VLOOKUP(AH78,AH78:AR78,$P$21,FALSE)</f>
        <v>#VALUE!</v>
      </c>
      <c r="AT78" s="432">
        <v>110373</v>
      </c>
      <c r="AU78" s="432">
        <v>110370</v>
      </c>
      <c r="AV78" s="432">
        <v>110378</v>
      </c>
      <c r="AW78" s="432">
        <v>110375</v>
      </c>
      <c r="AX78" s="432">
        <v>110371</v>
      </c>
      <c r="AY78" s="432">
        <v>110377</v>
      </c>
      <c r="AZ78" s="432">
        <v>110372</v>
      </c>
      <c r="BA78" s="432">
        <v>110376</v>
      </c>
      <c r="BB78" s="432">
        <v>110379</v>
      </c>
      <c r="BC78" s="432">
        <v>110374</v>
      </c>
      <c r="BD78" s="432">
        <v>15541028</v>
      </c>
      <c r="BE78" s="512" t="e" vm="2">
        <f>VLOOKUP(AT78,AT78:BD78,$P$21,FALSE)</f>
        <v>#VALUE!</v>
      </c>
    </row>
    <row r="79" spans="1:58" ht="32.1" customHeight="1">
      <c r="A79" s="93"/>
      <c r="B79" s="76" t="str">
        <f>VLOOKUP(878,Sprachindex!$A:$Z,Info!$O$7,FALSE)</f>
        <v>Stk.</v>
      </c>
      <c r="C79" s="78" t="e" vm="97">
        <v>#VALUE!</v>
      </c>
      <c r="D79" s="75" t="str">
        <f>IF(ISNUMBER(A79),AS79,"")</f>
        <v/>
      </c>
      <c r="E79" s="618" t="str">
        <f>VLOOKUP(798,Sprachindex!$A:$Z,Info!$O$7,FALSE)</f>
        <v>Schneestopper für Dachplatte R.16, FX.12 und DS.19</v>
      </c>
      <c r="F79" s="619"/>
      <c r="G79" s="619"/>
      <c r="H79" s="619"/>
      <c r="I79" s="619"/>
      <c r="J79" s="619"/>
      <c r="K79" s="620"/>
      <c r="L79" s="76" t="str">
        <f>IF(A79=0,"",IF($O$11=1,AD79,AE79))</f>
        <v/>
      </c>
      <c r="M79" s="399" t="str">
        <f t="shared" si="22"/>
        <v>Stk.</v>
      </c>
      <c r="N79" s="77"/>
      <c r="O79" s="184" t="str">
        <f t="shared" si="19"/>
        <v/>
      </c>
      <c r="P79" s="5"/>
      <c r="Q79" s="5"/>
      <c r="R79" s="182">
        <v>1.79</v>
      </c>
      <c r="S79" s="179"/>
      <c r="T79" s="5"/>
      <c r="U79" s="5"/>
      <c r="V79" s="5"/>
      <c r="W79" s="5"/>
      <c r="X79" s="5"/>
      <c r="Y79" s="5"/>
      <c r="AC79" s="1"/>
      <c r="AD79" s="139">
        <f>ROUNDUP($A79/100,0)*100</f>
        <v>0</v>
      </c>
      <c r="AE79" s="139">
        <f t="shared" ref="AE79" si="25">ROUNDUP($A79,0)</f>
        <v>0</v>
      </c>
      <c r="AF79" s="8"/>
      <c r="AG79" s="5"/>
      <c r="AH79" s="44">
        <v>112044</v>
      </c>
      <c r="AI79" s="44">
        <v>112041</v>
      </c>
      <c r="AJ79" s="44">
        <v>112049</v>
      </c>
      <c r="AK79" s="44">
        <v>112046</v>
      </c>
      <c r="AL79" s="44">
        <v>112042</v>
      </c>
      <c r="AM79" s="44">
        <v>112047</v>
      </c>
      <c r="AN79" s="44">
        <v>112043</v>
      </c>
      <c r="AO79" s="44">
        <v>112048</v>
      </c>
      <c r="AP79" s="44">
        <v>112050</v>
      </c>
      <c r="AQ79" s="44">
        <v>112045</v>
      </c>
      <c r="AR79" s="1">
        <v>15481028</v>
      </c>
      <c r="AS79" s="512" t="e" vm="2">
        <f>VLOOKUP(AH79,AH79:AR79,$P$21,FALSE)</f>
        <v>#VALUE!</v>
      </c>
    </row>
    <row r="80" spans="1:58" ht="32.1" customHeight="1">
      <c r="A80" s="93"/>
      <c r="B80" s="76" t="str">
        <f>VLOOKUP(878,Sprachindex!$A:$Z,Info!$O$7,FALSE)</f>
        <v>Stk.</v>
      </c>
      <c r="C80" s="78" t="e" vm="51">
        <v>#VALUE!</v>
      </c>
      <c r="D80" s="75" t="str">
        <f>IF(ISNUMBER(A80),AS80,"")</f>
        <v/>
      </c>
      <c r="E80" s="618" t="str">
        <f>VLOOKUP(2190,Sprachindex!$A:$Z,Info!$O$7,FALSE)</f>
        <v>Haken für Schneerechensystem, inkl. Befestigungsmaterial</v>
      </c>
      <c r="F80" s="619"/>
      <c r="G80" s="619"/>
      <c r="H80" s="619"/>
      <c r="I80" s="619"/>
      <c r="J80" s="619"/>
      <c r="K80" s="620"/>
      <c r="L80" s="76" t="str">
        <f t="shared" ref="L80:L97" si="26">IF(A80=0,"",IF($P$11=1,AC80,AD80))</f>
        <v/>
      </c>
      <c r="M80" s="161" t="str">
        <f>VLOOKUP(878,Sprachindex!$A:$Z,Info!$O$7,FALSE)</f>
        <v>Stk.</v>
      </c>
      <c r="N80" s="77"/>
      <c r="O80" s="184" t="str">
        <f t="shared" ref="O80:O103" si="27">IF(ISNUMBER(A80),$L80*R80, "")</f>
        <v/>
      </c>
      <c r="P80" s="267"/>
      <c r="Q80" s="5"/>
      <c r="R80" s="182">
        <v>57.49</v>
      </c>
      <c r="S80" s="179"/>
      <c r="T80" s="179"/>
      <c r="U80" s="179"/>
      <c r="V80" s="179"/>
      <c r="W80" s="179"/>
      <c r="X80" s="179"/>
      <c r="Y80" s="179"/>
      <c r="Z80" s="179"/>
      <c r="AA80" s="179"/>
      <c r="AB80" s="179"/>
      <c r="AC80" s="139">
        <f>ROUNDUP($A80/10,0)*10</f>
        <v>0</v>
      </c>
      <c r="AD80" s="139">
        <f t="shared" ref="AD80:AD81" si="28">ROUNDUP($A80,0)</f>
        <v>0</v>
      </c>
      <c r="AF80" s="135"/>
      <c r="AH80" s="44">
        <v>120183</v>
      </c>
      <c r="AI80" s="44">
        <v>120180</v>
      </c>
      <c r="AJ80" s="44">
        <v>120188</v>
      </c>
      <c r="AK80" s="44">
        <v>120185</v>
      </c>
      <c r="AL80" s="44">
        <v>120181</v>
      </c>
      <c r="AM80" s="44">
        <v>120187</v>
      </c>
      <c r="AN80" s="44">
        <v>120182</v>
      </c>
      <c r="AO80" s="44">
        <v>120186</v>
      </c>
      <c r="AP80" s="44">
        <v>120189</v>
      </c>
      <c r="AQ80" s="44">
        <v>120184</v>
      </c>
      <c r="AR80" s="44">
        <v>14121028</v>
      </c>
      <c r="AS80" s="512" t="e" vm="2">
        <f>VLOOKUP(AH80,AH80:AR80,$P$21,FALSE)</f>
        <v>#VALUE!</v>
      </c>
    </row>
    <row r="81" spans="1:45" ht="32.1" customHeight="1">
      <c r="A81" s="93"/>
      <c r="B81" s="76" t="str">
        <f>VLOOKUP(878,Sprachindex!$A:$Z,Info!$O$7,FALSE)</f>
        <v>Stk.</v>
      </c>
      <c r="C81" s="78" t="e" vm="52">
        <v>#VALUE!</v>
      </c>
      <c r="D81" s="75" t="str">
        <f t="shared" ref="D81:D94" si="29">IF(ISNUMBER(A81),AS81,"")</f>
        <v/>
      </c>
      <c r="E81" s="618" t="str">
        <f>VLOOKUP(2191,Sprachindex!$A:$Z,Info!$O$7,FALSE)</f>
        <v>Haken für Schneerechensystem XL, inkl. Befestigungsmaterial</v>
      </c>
      <c r="F81" s="619"/>
      <c r="G81" s="619"/>
      <c r="H81" s="619"/>
      <c r="I81" s="619"/>
      <c r="J81" s="619"/>
      <c r="K81" s="620"/>
      <c r="L81" s="76" t="str">
        <f t="shared" si="26"/>
        <v/>
      </c>
      <c r="M81" s="161" t="str">
        <f>VLOOKUP(878,Sprachindex!$A:$Z,Info!$O$7,FALSE)</f>
        <v>Stk.</v>
      </c>
      <c r="N81" s="77"/>
      <c r="O81" s="184" t="str">
        <f t="shared" si="27"/>
        <v/>
      </c>
      <c r="P81" s="267"/>
      <c r="Q81" s="5"/>
      <c r="R81" s="182">
        <v>100.84</v>
      </c>
      <c r="S81" s="179"/>
      <c r="T81" s="179"/>
      <c r="U81" s="179"/>
      <c r="V81" s="179"/>
      <c r="W81" s="179"/>
      <c r="X81" s="179"/>
      <c r="Y81" s="179"/>
      <c r="Z81" s="179"/>
      <c r="AA81" s="179"/>
      <c r="AB81" s="179"/>
      <c r="AC81" s="139">
        <f>ROUNDUP($A81/18,0)*18</f>
        <v>0</v>
      </c>
      <c r="AD81" s="139">
        <f t="shared" si="28"/>
        <v>0</v>
      </c>
      <c r="AF81" s="135"/>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512" t="e" vm="2">
        <f t="shared" ref="AS81:AS94" si="30">VLOOKUP(AH81,AH81:AR81,$P$21,FALSE)</f>
        <v>#VALUE!</v>
      </c>
    </row>
    <row r="82" spans="1:45" ht="32.1" customHeight="1">
      <c r="A82" s="93"/>
      <c r="B82" s="76" t="str">
        <f>VLOOKUP(1512,Sprachindex!$A:$Z,Info!$O$7,FALSE)</f>
        <v>lfm</v>
      </c>
      <c r="C82" s="78" t="e" vm="53">
        <v>#VALUE!</v>
      </c>
      <c r="D82" s="75" t="str">
        <f t="shared" si="29"/>
        <v/>
      </c>
      <c r="E82" s="618" t="str">
        <f>VLOOKUP(793,Sprachindex!$A:$Z,Info!$O$7,FALSE)</f>
        <v>Einlegeprofil (3.000 mm)</v>
      </c>
      <c r="F82" s="619"/>
      <c r="G82" s="619"/>
      <c r="H82" s="619"/>
      <c r="I82" s="619"/>
      <c r="J82" s="619"/>
      <c r="K82" s="620"/>
      <c r="L82" s="76" t="str">
        <f t="shared" si="26"/>
        <v/>
      </c>
      <c r="M82" s="161" t="str">
        <f>VLOOKUP(1512,Sprachindex!$A:$Z,Info!$O$7,FALSE)</f>
        <v>lfm</v>
      </c>
      <c r="N82" s="77"/>
      <c r="O82" s="184" t="str">
        <f t="shared" si="27"/>
        <v/>
      </c>
      <c r="P82" s="267"/>
      <c r="Q82" s="5"/>
      <c r="R82" s="182">
        <v>11.03</v>
      </c>
      <c r="S82" s="179"/>
      <c r="T82" s="179"/>
      <c r="U82" s="179"/>
      <c r="V82" s="179"/>
      <c r="W82" s="179"/>
      <c r="X82" s="179"/>
      <c r="Y82" s="179"/>
      <c r="Z82" s="179"/>
      <c r="AA82" s="179"/>
      <c r="AB82" s="179"/>
      <c r="AC82" s="139">
        <f>ROUNDUP($A82/3,0)*3</f>
        <v>0</v>
      </c>
      <c r="AD82" s="139">
        <f>ROUNDUP($A82/3,0)*3</f>
        <v>0</v>
      </c>
      <c r="AF82" s="135"/>
      <c r="AH82" s="44">
        <v>120353</v>
      </c>
      <c r="AI82" s="44">
        <v>120350</v>
      </c>
      <c r="AJ82" s="44">
        <v>120358</v>
      </c>
      <c r="AK82" s="44">
        <v>120355</v>
      </c>
      <c r="AL82" s="44">
        <v>120351</v>
      </c>
      <c r="AM82" s="44">
        <v>120357</v>
      </c>
      <c r="AN82" s="44">
        <v>120352</v>
      </c>
      <c r="AO82" s="44">
        <v>120356</v>
      </c>
      <c r="AP82" s="44">
        <v>120359</v>
      </c>
      <c r="AQ82" s="44">
        <v>120354</v>
      </c>
      <c r="AR82" s="44">
        <v>14231028</v>
      </c>
      <c r="AS82" s="512" t="e" vm="2">
        <f t="shared" si="30"/>
        <v>#VALUE!</v>
      </c>
    </row>
    <row r="83" spans="1:45" ht="32.1" customHeight="1">
      <c r="A83" s="93"/>
      <c r="B83" s="76" t="str">
        <f>VLOOKUP(878,Sprachindex!$A:$Z,Info!$O$7,FALSE)</f>
        <v>Stk.</v>
      </c>
      <c r="C83" s="78" t="e" vm="54">
        <v>#VALUE!</v>
      </c>
      <c r="D83" s="75" t="str">
        <f t="shared" si="29"/>
        <v/>
      </c>
      <c r="E83" s="618" t="str">
        <f>VLOOKUP(794,Sprachindex!$A:$Z,Info!$O$7,FALSE)</f>
        <v>Eiskralle</v>
      </c>
      <c r="F83" s="619"/>
      <c r="G83" s="619"/>
      <c r="H83" s="619"/>
      <c r="I83" s="619"/>
      <c r="J83" s="619"/>
      <c r="K83" s="620"/>
      <c r="L83" s="76" t="str">
        <f t="shared" si="26"/>
        <v/>
      </c>
      <c r="M83" s="161" t="str">
        <f>VLOOKUP(878,Sprachindex!$A:$Z,Info!$O$7,FALSE)</f>
        <v>Stk.</v>
      </c>
      <c r="N83" s="77"/>
      <c r="O83" s="184" t="str">
        <f t="shared" si="27"/>
        <v/>
      </c>
      <c r="P83" s="267"/>
      <c r="Q83" s="5"/>
      <c r="R83" s="182">
        <v>4.78</v>
      </c>
      <c r="S83" s="179"/>
      <c r="T83" s="179"/>
      <c r="U83" s="179"/>
      <c r="V83" s="179"/>
      <c r="W83" s="179"/>
      <c r="X83" s="179"/>
      <c r="Y83" s="179"/>
      <c r="Z83" s="179"/>
      <c r="AA83" s="179"/>
      <c r="AB83" s="179"/>
      <c r="AC83" s="139">
        <f>ROUNDUP($A83/100,0)*100</f>
        <v>0</v>
      </c>
      <c r="AD83" s="139">
        <f t="shared" ref="AD83:AD92" si="31">ROUNDUP($A83,0)</f>
        <v>0</v>
      </c>
      <c r="AF83" s="135"/>
      <c r="AH83" s="44">
        <v>120703</v>
      </c>
      <c r="AI83" s="44">
        <v>120700</v>
      </c>
      <c r="AJ83" s="44">
        <v>120708</v>
      </c>
      <c r="AK83" s="44">
        <v>120705</v>
      </c>
      <c r="AL83" s="44">
        <v>120701</v>
      </c>
      <c r="AM83" s="44">
        <v>120707</v>
      </c>
      <c r="AN83" s="44">
        <v>120702</v>
      </c>
      <c r="AO83" s="44">
        <v>120706</v>
      </c>
      <c r="AP83" s="44">
        <v>120709</v>
      </c>
      <c r="AQ83" s="44">
        <v>120704</v>
      </c>
      <c r="AR83" s="44">
        <v>14111028</v>
      </c>
      <c r="AS83" s="512" t="e" vm="2">
        <f t="shared" si="30"/>
        <v>#VALUE!</v>
      </c>
    </row>
    <row r="84" spans="1:45" ht="32.1" customHeight="1">
      <c r="A84" s="93"/>
      <c r="B84" s="76" t="str">
        <f>VLOOKUP(878,Sprachindex!$A:$Z,Info!$O$7,FALSE)</f>
        <v>Stk.</v>
      </c>
      <c r="C84" s="78" t="e" vm="55">
        <v>#VALUE!</v>
      </c>
      <c r="D84" s="75" t="str">
        <f t="shared" si="29"/>
        <v/>
      </c>
      <c r="E84" s="618" t="str">
        <f>VLOOKUP(791,Sprachindex!$A:$Z,Info!$O$7,FALSE)</f>
        <v>Abschluss für Schneerechensystem</v>
      </c>
      <c r="F84" s="619"/>
      <c r="G84" s="619"/>
      <c r="H84" s="619"/>
      <c r="I84" s="619"/>
      <c r="J84" s="619"/>
      <c r="K84" s="620"/>
      <c r="L84" s="76" t="str">
        <f t="shared" si="26"/>
        <v/>
      </c>
      <c r="M84" s="161" t="str">
        <f>VLOOKUP(878,Sprachindex!$A:$Z,Info!$O$7,FALSE)</f>
        <v>Stk.</v>
      </c>
      <c r="N84" s="77"/>
      <c r="O84" s="184" t="str">
        <f t="shared" si="27"/>
        <v/>
      </c>
      <c r="P84" s="267"/>
      <c r="Q84" s="5"/>
      <c r="R84" s="182">
        <v>6.52</v>
      </c>
      <c r="S84" s="179"/>
      <c r="T84" s="179"/>
      <c r="U84" s="179"/>
      <c r="V84" s="179"/>
      <c r="W84" s="179"/>
      <c r="X84" s="179"/>
      <c r="Y84" s="179"/>
      <c r="Z84" s="179"/>
      <c r="AA84" s="179"/>
      <c r="AB84" s="179"/>
      <c r="AC84" s="139">
        <f>ROUNDUP($A84/2,0)*2</f>
        <v>0</v>
      </c>
      <c r="AD84" s="139">
        <f t="shared" si="31"/>
        <v>0</v>
      </c>
      <c r="AF84" s="135"/>
      <c r="AH84" s="44">
        <v>120393</v>
      </c>
      <c r="AI84" s="44">
        <v>120390</v>
      </c>
      <c r="AJ84" s="44">
        <v>120398</v>
      </c>
      <c r="AK84" s="44">
        <v>120395</v>
      </c>
      <c r="AL84" s="44">
        <v>120391</v>
      </c>
      <c r="AM84" s="44">
        <v>120397</v>
      </c>
      <c r="AN84" s="44">
        <v>120392</v>
      </c>
      <c r="AO84" s="44">
        <v>120396</v>
      </c>
      <c r="AP84" s="44">
        <v>120399</v>
      </c>
      <c r="AQ84" s="44">
        <v>120394</v>
      </c>
      <c r="AR84" s="44">
        <v>14101028</v>
      </c>
      <c r="AS84" s="512" t="e" vm="2">
        <f t="shared" si="30"/>
        <v>#VALUE!</v>
      </c>
    </row>
    <row r="85" spans="1:45" ht="32.1" customHeight="1">
      <c r="A85" s="93"/>
      <c r="B85" s="76" t="str">
        <f>VLOOKUP(878,Sprachindex!$A:$Z,Info!$O$7,FALSE)</f>
        <v>Stk.</v>
      </c>
      <c r="C85" s="78" t="e" vm="56">
        <v>#VALUE!</v>
      </c>
      <c r="D85" s="75" t="str">
        <f t="shared" si="29"/>
        <v/>
      </c>
      <c r="E85" s="618" t="str">
        <f>VLOOKUP(2192,Sprachindex!$A:$Z,Info!$O$7,FALSE)</f>
        <v>Abschluss für Schneerechensystem XL</v>
      </c>
      <c r="F85" s="619"/>
      <c r="G85" s="619"/>
      <c r="H85" s="619"/>
      <c r="I85" s="619"/>
      <c r="J85" s="619"/>
      <c r="K85" s="620"/>
      <c r="L85" s="76" t="str">
        <f t="shared" si="26"/>
        <v/>
      </c>
      <c r="M85" s="161" t="str">
        <f>VLOOKUP(878,Sprachindex!$A:$Z,Info!$O$7,FALSE)</f>
        <v>Stk.</v>
      </c>
      <c r="N85" s="77"/>
      <c r="O85" s="184" t="str">
        <f t="shared" si="27"/>
        <v/>
      </c>
      <c r="P85" s="267"/>
      <c r="Q85" s="5"/>
      <c r="R85" s="182">
        <v>8.5500000000000007</v>
      </c>
      <c r="S85" s="179"/>
      <c r="T85" s="179"/>
      <c r="U85" s="179"/>
      <c r="V85" s="179"/>
      <c r="W85" s="179"/>
      <c r="X85" s="179"/>
      <c r="Y85" s="179"/>
      <c r="Z85" s="179"/>
      <c r="AA85" s="179"/>
      <c r="AB85" s="179"/>
      <c r="AC85" s="139">
        <f>ROUNDUP($A85/18,0)*18</f>
        <v>0</v>
      </c>
      <c r="AD85" s="139">
        <f t="shared" si="31"/>
        <v>0</v>
      </c>
      <c r="AF85" s="135"/>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512" t="e" vm="2">
        <f t="shared" si="30"/>
        <v>#VALUE!</v>
      </c>
    </row>
    <row r="86" spans="1:45" ht="32.1" customHeight="1">
      <c r="A86" s="93"/>
      <c r="B86" s="76" t="str">
        <f>VLOOKUP(878,Sprachindex!$A:$Z,Info!$O$7,FALSE)</f>
        <v>Stk.</v>
      </c>
      <c r="C86" s="78" t="e" vm="57">
        <v>#VALUE!</v>
      </c>
      <c r="D86" s="75" t="str">
        <f t="shared" si="29"/>
        <v/>
      </c>
      <c r="E86" s="618" t="str">
        <f>VLOOKUP(424,Sprachindex!$A:$Z,Info!$O$7,FALSE)</f>
        <v>Gebirgsschneefangstütze</v>
      </c>
      <c r="F86" s="619"/>
      <c r="G86" s="619"/>
      <c r="H86" s="619"/>
      <c r="I86" s="619"/>
      <c r="J86" s="619"/>
      <c r="K86" s="620"/>
      <c r="L86" s="76" t="str">
        <f t="shared" si="26"/>
        <v/>
      </c>
      <c r="M86" s="161" t="str">
        <f>VLOOKUP(878,Sprachindex!$A:$Z,Info!$O$7,FALSE)</f>
        <v>Stk.</v>
      </c>
      <c r="N86" s="77"/>
      <c r="O86" s="184" t="str">
        <f t="shared" si="27"/>
        <v/>
      </c>
      <c r="P86" s="267"/>
      <c r="Q86" s="5"/>
      <c r="R86" s="182">
        <v>57.49</v>
      </c>
      <c r="S86" s="179"/>
      <c r="T86" s="179"/>
      <c r="U86" s="179"/>
      <c r="V86" s="179"/>
      <c r="W86" s="179"/>
      <c r="X86" s="179"/>
      <c r="Y86" s="179"/>
      <c r="Z86" s="179"/>
      <c r="AA86" s="179"/>
      <c r="AB86" s="179"/>
      <c r="AC86" s="139">
        <f>ROUNDUP($A86/2,0)*2</f>
        <v>0</v>
      </c>
      <c r="AD86" s="139">
        <f t="shared" si="31"/>
        <v>0</v>
      </c>
      <c r="AF86" s="135"/>
      <c r="AH86" s="44">
        <v>120153</v>
      </c>
      <c r="AI86" s="44">
        <v>120150</v>
      </c>
      <c r="AJ86" s="44">
        <v>120158</v>
      </c>
      <c r="AK86" s="44">
        <v>120155</v>
      </c>
      <c r="AL86" s="44">
        <v>120151</v>
      </c>
      <c r="AM86" s="44">
        <v>120157</v>
      </c>
      <c r="AN86" s="44">
        <v>120152</v>
      </c>
      <c r="AO86" s="44">
        <v>120156</v>
      </c>
      <c r="AP86" s="44">
        <v>120159</v>
      </c>
      <c r="AQ86" s="44">
        <v>120154</v>
      </c>
      <c r="AR86" s="119">
        <v>14061028</v>
      </c>
      <c r="AS86" s="512" t="e" vm="2">
        <f t="shared" si="30"/>
        <v>#VALUE!</v>
      </c>
    </row>
    <row r="87" spans="1:45" ht="32.1" customHeight="1">
      <c r="A87" s="93"/>
      <c r="B87" s="76" t="str">
        <f>VLOOKUP(878,Sprachindex!$A:$Z,Info!$O$7,FALSE)</f>
        <v>Stk.</v>
      </c>
      <c r="C87" s="78" t="e" vm="58">
        <v>#VALUE!</v>
      </c>
      <c r="D87" s="75" t="str">
        <f t="shared" si="29"/>
        <v/>
      </c>
      <c r="E87" s="618" t="str">
        <f>VLOOKUP(510,Sprachindex!$A:$Z,Info!$O$7,FALSE)</f>
        <v>Kaminhut (700 × 700 mm)</v>
      </c>
      <c r="F87" s="619"/>
      <c r="G87" s="619"/>
      <c r="H87" s="619"/>
      <c r="I87" s="619"/>
      <c r="J87" s="619"/>
      <c r="K87" s="620"/>
      <c r="L87" s="76" t="str">
        <f t="shared" si="26"/>
        <v/>
      </c>
      <c r="M87" s="161" t="str">
        <f>VLOOKUP(878,Sprachindex!$A:$Z,Info!$O$7,FALSE)</f>
        <v>Stk.</v>
      </c>
      <c r="N87" s="77"/>
      <c r="O87" s="184" t="str">
        <f t="shared" si="27"/>
        <v/>
      </c>
      <c r="P87" s="267"/>
      <c r="Q87" s="5"/>
      <c r="R87" s="182">
        <v>157.28</v>
      </c>
      <c r="S87" s="179"/>
      <c r="T87" s="179"/>
      <c r="U87" s="179"/>
      <c r="V87" s="179"/>
      <c r="W87" s="179"/>
      <c r="X87" s="179"/>
      <c r="Y87" s="179"/>
      <c r="Z87" s="179"/>
      <c r="AA87" s="179"/>
      <c r="AB87" s="179"/>
      <c r="AC87" s="139">
        <f>ROUNDUP($A87,0)</f>
        <v>0</v>
      </c>
      <c r="AD87" s="139">
        <f t="shared" si="31"/>
        <v>0</v>
      </c>
      <c r="AF87" s="135"/>
      <c r="AH87" s="44">
        <v>110423</v>
      </c>
      <c r="AI87" s="44">
        <v>110420</v>
      </c>
      <c r="AJ87" s="44">
        <v>110428</v>
      </c>
      <c r="AK87" s="44">
        <v>110425</v>
      </c>
      <c r="AL87" s="44">
        <v>110421</v>
      </c>
      <c r="AM87" s="44">
        <v>110427</v>
      </c>
      <c r="AN87" s="44">
        <v>110422</v>
      </c>
      <c r="AO87" s="44">
        <v>110426</v>
      </c>
      <c r="AP87" s="44">
        <v>110429</v>
      </c>
      <c r="AQ87" s="44">
        <v>110424</v>
      </c>
      <c r="AR87" s="44">
        <v>15261028</v>
      </c>
      <c r="AS87" s="512" t="e" vm="2">
        <f t="shared" si="30"/>
        <v>#VALUE!</v>
      </c>
    </row>
    <row r="88" spans="1:45" ht="32.1" customHeight="1">
      <c r="A88" s="93"/>
      <c r="B88" s="76" t="str">
        <f>VLOOKUP(878,Sprachindex!$A:$Z,Info!$O$7,FALSE)</f>
        <v>Stk.</v>
      </c>
      <c r="C88" s="78" t="e" vm="59">
        <v>#VALUE!</v>
      </c>
      <c r="D88" s="75" t="str">
        <f t="shared" si="29"/>
        <v/>
      </c>
      <c r="E88" s="618" t="str">
        <f>VLOOKUP(511,Sprachindex!$A:$Z,Info!$O$7,FALSE)</f>
        <v>Kaminhut (800 × 800 mm)</v>
      </c>
      <c r="F88" s="619"/>
      <c r="G88" s="619"/>
      <c r="H88" s="619"/>
      <c r="I88" s="619"/>
      <c r="J88" s="619"/>
      <c r="K88" s="620"/>
      <c r="L88" s="76" t="str">
        <f t="shared" si="26"/>
        <v/>
      </c>
      <c r="M88" s="161" t="str">
        <f>VLOOKUP(878,Sprachindex!$A:$Z,Info!$O$7,FALSE)</f>
        <v>Stk.</v>
      </c>
      <c r="N88" s="77"/>
      <c r="O88" s="184" t="str">
        <f t="shared" si="27"/>
        <v/>
      </c>
      <c r="P88" s="267"/>
      <c r="Q88" s="5"/>
      <c r="R88" s="182">
        <v>169.95</v>
      </c>
      <c r="S88" s="179"/>
      <c r="T88" s="179"/>
      <c r="U88" s="179"/>
      <c r="V88" s="179"/>
      <c r="W88" s="179"/>
      <c r="X88" s="179"/>
      <c r="Y88" s="179"/>
      <c r="Z88" s="179"/>
      <c r="AA88" s="179"/>
      <c r="AB88" s="179"/>
      <c r="AC88" s="139">
        <f>ROUNDUP($A88,0)</f>
        <v>0</v>
      </c>
      <c r="AD88" s="139">
        <f t="shared" si="31"/>
        <v>0</v>
      </c>
      <c r="AF88" s="135"/>
      <c r="AH88" s="44">
        <v>110433</v>
      </c>
      <c r="AI88" s="44">
        <v>110430</v>
      </c>
      <c r="AJ88" s="44">
        <v>110438</v>
      </c>
      <c r="AK88" s="44">
        <v>110435</v>
      </c>
      <c r="AL88" s="44">
        <v>110431</v>
      </c>
      <c r="AM88" s="44">
        <v>110437</v>
      </c>
      <c r="AN88" s="44">
        <v>110432</v>
      </c>
      <c r="AO88" s="44">
        <v>110436</v>
      </c>
      <c r="AP88" s="44">
        <v>110439</v>
      </c>
      <c r="AQ88" s="44">
        <v>110434</v>
      </c>
      <c r="AR88" s="44">
        <v>15271028</v>
      </c>
      <c r="AS88" s="512" t="e" vm="2">
        <f t="shared" si="30"/>
        <v>#VALUE!</v>
      </c>
    </row>
    <row r="89" spans="1:45" ht="32.1" customHeight="1">
      <c r="A89" s="93"/>
      <c r="B89" s="76" t="str">
        <f>VLOOKUP(878,Sprachindex!$A:$Z,Info!$O$7,FALSE)</f>
        <v>Stk.</v>
      </c>
      <c r="C89" s="78" t="e" vm="60">
        <v>#VALUE!</v>
      </c>
      <c r="D89" s="75" t="str">
        <f t="shared" si="29"/>
        <v/>
      </c>
      <c r="E89" s="618" t="str">
        <f>VLOOKUP(507,Sprachindex!$A:$Z,Info!$O$7,FALSE)</f>
        <v>Kaminhut (1.000 × 700 mm)</v>
      </c>
      <c r="F89" s="619"/>
      <c r="G89" s="619"/>
      <c r="H89" s="619"/>
      <c r="I89" s="619"/>
      <c r="J89" s="619"/>
      <c r="K89" s="620"/>
      <c r="L89" s="76" t="str">
        <f t="shared" si="26"/>
        <v/>
      </c>
      <c r="M89" s="161" t="str">
        <f>VLOOKUP(878,Sprachindex!$A:$Z,Info!$O$7,FALSE)</f>
        <v>Stk.</v>
      </c>
      <c r="N89" s="77"/>
      <c r="O89" s="184" t="str">
        <f t="shared" si="27"/>
        <v/>
      </c>
      <c r="P89" s="267"/>
      <c r="Q89" s="5"/>
      <c r="R89" s="182">
        <v>170.57</v>
      </c>
      <c r="S89" s="179"/>
      <c r="T89" s="179"/>
      <c r="U89" s="179"/>
      <c r="V89" s="179"/>
      <c r="W89" s="179"/>
      <c r="X89" s="179"/>
      <c r="Y89" s="179"/>
      <c r="Z89" s="179"/>
      <c r="AA89" s="179"/>
      <c r="AB89" s="179"/>
      <c r="AC89" s="139">
        <f>ROUNDUP($A89,0)</f>
        <v>0</v>
      </c>
      <c r="AD89" s="139">
        <f t="shared" si="31"/>
        <v>0</v>
      </c>
      <c r="AF89" s="135"/>
      <c r="AH89" s="44">
        <v>110443</v>
      </c>
      <c r="AI89" s="44">
        <v>110440</v>
      </c>
      <c r="AJ89" s="44">
        <v>110448</v>
      </c>
      <c r="AK89" s="44">
        <v>110445</v>
      </c>
      <c r="AL89" s="44">
        <v>110441</v>
      </c>
      <c r="AM89" s="44">
        <v>110447</v>
      </c>
      <c r="AN89" s="44">
        <v>110442</v>
      </c>
      <c r="AO89" s="44">
        <v>110446</v>
      </c>
      <c r="AP89" s="44">
        <v>110449</v>
      </c>
      <c r="AQ89" s="44">
        <v>110444</v>
      </c>
      <c r="AR89" s="44">
        <v>15281028</v>
      </c>
      <c r="AS89" s="512" t="e" vm="2">
        <f t="shared" si="30"/>
        <v>#VALUE!</v>
      </c>
    </row>
    <row r="90" spans="1:45" ht="32.1" customHeight="1">
      <c r="A90" s="93"/>
      <c r="B90" s="76" t="str">
        <f>VLOOKUP(878,Sprachindex!$A:$Z,Info!$O$7,FALSE)</f>
        <v>Stk.</v>
      </c>
      <c r="C90" s="78" t="e" vm="61">
        <v>#VALUE!</v>
      </c>
      <c r="D90" s="75" t="str">
        <f t="shared" si="29"/>
        <v/>
      </c>
      <c r="E90" s="618" t="str">
        <f>VLOOKUP(508,Sprachindex!$A:$Z,Info!$O$7,FALSE)</f>
        <v>Kaminhut (1.100 × 800 mm)</v>
      </c>
      <c r="F90" s="619"/>
      <c r="G90" s="619"/>
      <c r="H90" s="619"/>
      <c r="I90" s="619"/>
      <c r="J90" s="619"/>
      <c r="K90" s="620"/>
      <c r="L90" s="76" t="str">
        <f t="shared" si="26"/>
        <v/>
      </c>
      <c r="M90" s="161" t="str">
        <f>VLOOKUP(878,Sprachindex!$A:$Z,Info!$O$7,FALSE)</f>
        <v>Stk.</v>
      </c>
      <c r="N90" s="77"/>
      <c r="O90" s="184" t="str">
        <f t="shared" si="27"/>
        <v/>
      </c>
      <c r="P90" s="267"/>
      <c r="Q90" s="5"/>
      <c r="R90" s="182">
        <v>204.46</v>
      </c>
      <c r="S90" s="179"/>
      <c r="T90" s="179"/>
      <c r="U90" s="179"/>
      <c r="V90" s="179"/>
      <c r="W90" s="179"/>
      <c r="X90" s="179"/>
      <c r="Y90" s="179"/>
      <c r="Z90" s="179"/>
      <c r="AA90" s="179"/>
      <c r="AB90" s="179"/>
      <c r="AC90" s="139">
        <f>ROUNDUP($A90,0)</f>
        <v>0</v>
      </c>
      <c r="AD90" s="139">
        <f t="shared" si="31"/>
        <v>0</v>
      </c>
      <c r="AF90" s="135"/>
      <c r="AH90" s="44">
        <v>110453</v>
      </c>
      <c r="AI90" s="44">
        <v>110450</v>
      </c>
      <c r="AJ90" s="44">
        <v>110458</v>
      </c>
      <c r="AK90" s="44">
        <v>110455</v>
      </c>
      <c r="AL90" s="44">
        <v>110451</v>
      </c>
      <c r="AM90" s="44">
        <v>110457</v>
      </c>
      <c r="AN90" s="44">
        <v>110452</v>
      </c>
      <c r="AO90" s="44">
        <v>110456</v>
      </c>
      <c r="AP90" s="44">
        <v>110459</v>
      </c>
      <c r="AQ90" s="44">
        <v>110454</v>
      </c>
      <c r="AR90" s="44">
        <v>15291028</v>
      </c>
      <c r="AS90" s="512" t="e" vm="2">
        <f t="shared" si="30"/>
        <v>#VALUE!</v>
      </c>
    </row>
    <row r="91" spans="1:45" ht="32.1" customHeight="1">
      <c r="A91" s="93"/>
      <c r="B91" s="76" t="str">
        <f>VLOOKUP(878,Sprachindex!$A:$Z,Info!$O$7,FALSE)</f>
        <v>Stk.</v>
      </c>
      <c r="C91" s="78" t="e" vm="59">
        <v>#VALUE!</v>
      </c>
      <c r="D91" s="75" t="str">
        <f t="shared" si="29"/>
        <v/>
      </c>
      <c r="E91" s="618" t="str">
        <f>VLOOKUP(509,Sprachindex!$A:$Z,Info!$O$7,FALSE)</f>
        <v>Kaminhut (1.500 × 800 mm)</v>
      </c>
      <c r="F91" s="619"/>
      <c r="G91" s="619"/>
      <c r="H91" s="619"/>
      <c r="I91" s="619"/>
      <c r="J91" s="619"/>
      <c r="K91" s="620"/>
      <c r="L91" s="76" t="str">
        <f t="shared" si="26"/>
        <v/>
      </c>
      <c r="M91" s="161" t="str">
        <f>VLOOKUP(878,Sprachindex!$A:$Z,Info!$O$7,FALSE)</f>
        <v>Stk.</v>
      </c>
      <c r="N91" s="77"/>
      <c r="O91" s="184" t="str">
        <f t="shared" si="27"/>
        <v/>
      </c>
      <c r="P91" s="267"/>
      <c r="Q91" s="5"/>
      <c r="R91" s="182">
        <v>279.54000000000002</v>
      </c>
      <c r="S91" s="179"/>
      <c r="T91" s="179"/>
      <c r="U91" s="179"/>
      <c r="V91" s="179"/>
      <c r="W91" s="179"/>
      <c r="X91" s="179"/>
      <c r="Y91" s="179"/>
      <c r="Z91" s="179"/>
      <c r="AA91" s="179"/>
      <c r="AB91" s="179"/>
      <c r="AC91" s="139">
        <f>ROUNDUP($A91,0)</f>
        <v>0</v>
      </c>
      <c r="AD91" s="139">
        <f t="shared" si="31"/>
        <v>0</v>
      </c>
      <c r="AF91" s="135"/>
      <c r="AH91" s="44">
        <v>110463</v>
      </c>
      <c r="AI91" s="44">
        <v>110460</v>
      </c>
      <c r="AJ91" s="44">
        <v>110468</v>
      </c>
      <c r="AK91" s="44">
        <v>110465</v>
      </c>
      <c r="AL91" s="44">
        <v>110461</v>
      </c>
      <c r="AM91" s="44">
        <v>110467</v>
      </c>
      <c r="AN91" s="44">
        <v>110462</v>
      </c>
      <c r="AO91" s="44">
        <v>110466</v>
      </c>
      <c r="AP91" s="44">
        <v>110469</v>
      </c>
      <c r="AQ91" s="44">
        <v>110464</v>
      </c>
      <c r="AR91" s="44">
        <v>15301028</v>
      </c>
      <c r="AS91" s="512" t="e" vm="2">
        <f t="shared" si="30"/>
        <v>#VALUE!</v>
      </c>
    </row>
    <row r="92" spans="1:45" ht="32.1" customHeight="1">
      <c r="A92" s="93"/>
      <c r="B92" s="76" t="str">
        <f>VLOOKUP(878,Sprachindex!$A:$Z,Info!$O$7,FALSE)</f>
        <v>Stk.</v>
      </c>
      <c r="C92" s="78" t="e" vm="62">
        <v>#VALUE!</v>
      </c>
      <c r="D92" s="75" t="str">
        <f t="shared" si="29"/>
        <v/>
      </c>
      <c r="E92" s="618" t="str">
        <f>VLOOKUP(512,Sprachindex!$A:$Z,Info!$O$7,FALSE)</f>
        <v>Kaminstrebe gebogen</v>
      </c>
      <c r="F92" s="619"/>
      <c r="G92" s="619"/>
      <c r="H92" s="619"/>
      <c r="I92" s="619"/>
      <c r="J92" s="619"/>
      <c r="K92" s="620"/>
      <c r="L92" s="76" t="str">
        <f t="shared" si="26"/>
        <v/>
      </c>
      <c r="M92" s="161" t="str">
        <f>VLOOKUP(878,Sprachindex!$A:$Z,Info!$O$7,FALSE)</f>
        <v>Stk.</v>
      </c>
      <c r="N92" s="77"/>
      <c r="O92" s="184" t="str">
        <f t="shared" si="27"/>
        <v/>
      </c>
      <c r="P92" s="267"/>
      <c r="Q92" s="5"/>
      <c r="R92" s="182">
        <v>17.27</v>
      </c>
      <c r="S92" s="179"/>
      <c r="T92" s="179"/>
      <c r="U92" s="179"/>
      <c r="V92" s="179"/>
      <c r="W92" s="179"/>
      <c r="X92" s="179"/>
      <c r="Y92" s="179"/>
      <c r="Z92" s="179"/>
      <c r="AA92" s="179"/>
      <c r="AB92" s="179"/>
      <c r="AC92" s="139">
        <f>ROUNDUP($A92/10,0)*10</f>
        <v>0</v>
      </c>
      <c r="AD92" s="139">
        <f t="shared" si="31"/>
        <v>0</v>
      </c>
      <c r="AF92" s="135"/>
      <c r="AH92" s="44">
        <v>110413</v>
      </c>
      <c r="AI92" s="44">
        <v>110410</v>
      </c>
      <c r="AJ92" s="44">
        <v>110418</v>
      </c>
      <c r="AK92" s="44">
        <v>110415</v>
      </c>
      <c r="AL92" s="44">
        <v>110411</v>
      </c>
      <c r="AM92" s="44">
        <v>110417</v>
      </c>
      <c r="AN92" s="44">
        <v>110412</v>
      </c>
      <c r="AO92" s="44">
        <v>110416</v>
      </c>
      <c r="AP92" s="44">
        <v>110419</v>
      </c>
      <c r="AQ92" s="44">
        <v>110414</v>
      </c>
      <c r="AR92" s="44">
        <v>15331028</v>
      </c>
      <c r="AS92" s="512" t="e" vm="2">
        <f t="shared" si="30"/>
        <v>#VALUE!</v>
      </c>
    </row>
    <row r="93" spans="1:45" ht="32.1" customHeight="1">
      <c r="A93" s="93"/>
      <c r="B93" s="76" t="str">
        <f>VLOOKUP(1512,Sprachindex!$A:$Z,Info!$O$7,FALSE)</f>
        <v>lfm</v>
      </c>
      <c r="C93" s="78" t="e" vm="63">
        <v>#VALUE!</v>
      </c>
      <c r="D93" s="75" t="str">
        <f t="shared" si="29"/>
        <v/>
      </c>
      <c r="E93" s="618" t="str">
        <f>VLOOKUP(402,Sprachindex!$A:$Z,Info!$O$7,FALSE)</f>
        <v>Flachprofil (35 × 7 × 3.000 mm)</v>
      </c>
      <c r="F93" s="619"/>
      <c r="G93" s="619"/>
      <c r="H93" s="619"/>
      <c r="I93" s="619"/>
      <c r="J93" s="619"/>
      <c r="K93" s="620"/>
      <c r="L93" s="76" t="str">
        <f t="shared" si="26"/>
        <v/>
      </c>
      <c r="M93" s="161" t="str">
        <f>VLOOKUP(1512,Sprachindex!$A:$Z,Info!$O$7,FALSE)</f>
        <v>lfm</v>
      </c>
      <c r="N93" s="77"/>
      <c r="O93" s="184" t="str">
        <f t="shared" si="27"/>
        <v/>
      </c>
      <c r="P93" s="267"/>
      <c r="Q93" s="5"/>
      <c r="R93" s="182">
        <v>11.66</v>
      </c>
      <c r="S93" s="179"/>
      <c r="T93" s="179"/>
      <c r="U93" s="179"/>
      <c r="V93" s="179"/>
      <c r="W93" s="179"/>
      <c r="X93" s="179"/>
      <c r="Y93" s="179"/>
      <c r="Z93" s="179"/>
      <c r="AA93" s="179"/>
      <c r="AB93" s="179"/>
      <c r="AC93" s="139">
        <f>ROUNDUP($A93/3,0)*3</f>
        <v>0</v>
      </c>
      <c r="AD93" s="139">
        <f>ROUNDUP($A93/3,0)*3</f>
        <v>0</v>
      </c>
      <c r="AF93" s="135"/>
      <c r="AH93" s="44">
        <v>110403</v>
      </c>
      <c r="AI93" s="44">
        <v>110400</v>
      </c>
      <c r="AJ93" s="44">
        <v>110408</v>
      </c>
      <c r="AK93" s="44">
        <v>110405</v>
      </c>
      <c r="AL93" s="44">
        <v>110401</v>
      </c>
      <c r="AM93" s="44">
        <v>110407</v>
      </c>
      <c r="AN93" s="44">
        <v>110402</v>
      </c>
      <c r="AO93" s="44">
        <v>110406</v>
      </c>
      <c r="AP93" s="111" t="s">
        <v>63</v>
      </c>
      <c r="AQ93" s="44">
        <v>110404</v>
      </c>
      <c r="AR93" s="111">
        <v>15321028</v>
      </c>
      <c r="AS93" s="512" t="e" vm="2">
        <f t="shared" si="30"/>
        <v>#VALUE!</v>
      </c>
    </row>
    <row r="94" spans="1:45" ht="32.1" customHeight="1">
      <c r="A94" s="93"/>
      <c r="B94" s="76" t="str">
        <f>VLOOKUP(878,Sprachindex!$A:$Z,Info!$O$7,FALSE)</f>
        <v>Stk.</v>
      </c>
      <c r="C94" s="78"/>
      <c r="D94" s="75" t="str">
        <f t="shared" si="29"/>
        <v/>
      </c>
      <c r="E94" s="618" t="str">
        <f>VLOOKUP(459,Sprachindex!$A:$Z,Info!$O$7,FALSE)</f>
        <v>Hauerbuckel; zum Abdecken von Befestigungsmitteln</v>
      </c>
      <c r="F94" s="619"/>
      <c r="G94" s="619"/>
      <c r="H94" s="619"/>
      <c r="I94" s="619"/>
      <c r="J94" s="619"/>
      <c r="K94" s="620"/>
      <c r="L94" s="76" t="str">
        <f t="shared" si="26"/>
        <v/>
      </c>
      <c r="M94" s="161" t="str">
        <f>VLOOKUP(878,Sprachindex!$A:$Z,Info!$O$7,FALSE)</f>
        <v>Stk.</v>
      </c>
      <c r="N94" s="77"/>
      <c r="O94" s="184" t="str">
        <f t="shared" si="27"/>
        <v/>
      </c>
      <c r="P94" s="267"/>
      <c r="Q94" s="5"/>
      <c r="R94" s="182">
        <v>2.12</v>
      </c>
      <c r="S94" s="179"/>
      <c r="T94" s="179"/>
      <c r="U94" s="179"/>
      <c r="V94" s="179"/>
      <c r="W94" s="179"/>
      <c r="X94" s="179"/>
      <c r="Y94" s="179"/>
      <c r="Z94" s="179"/>
      <c r="AA94" s="179"/>
      <c r="AB94" s="179"/>
      <c r="AC94" s="139">
        <f>ROUNDUP($A94,0)</f>
        <v>0</v>
      </c>
      <c r="AD94" s="139">
        <f>ROUNDUP($A94,0)</f>
        <v>0</v>
      </c>
      <c r="AF94" s="135"/>
      <c r="AH94" s="44">
        <v>112404</v>
      </c>
      <c r="AI94" s="44">
        <v>112401</v>
      </c>
      <c r="AJ94" s="44">
        <v>112409</v>
      </c>
      <c r="AK94" s="44">
        <v>112406</v>
      </c>
      <c r="AL94" s="44">
        <v>112402</v>
      </c>
      <c r="AM94" s="44">
        <v>112408</v>
      </c>
      <c r="AN94" s="44">
        <v>112403</v>
      </c>
      <c r="AO94" s="44">
        <v>112407</v>
      </c>
      <c r="AP94" s="44">
        <v>112410</v>
      </c>
      <c r="AQ94" s="44">
        <v>112405</v>
      </c>
      <c r="AR94" s="44">
        <v>58581028</v>
      </c>
      <c r="AS94" s="512" t="e" vm="2">
        <f t="shared" si="30"/>
        <v>#VALUE!</v>
      </c>
    </row>
    <row r="95" spans="1:45" ht="32.1" customHeight="1">
      <c r="A95" s="93"/>
      <c r="B95" s="76" t="s">
        <v>31</v>
      </c>
      <c r="C95" s="78" t="e" vm="65">
        <v>#VALUE!</v>
      </c>
      <c r="D95" s="75">
        <v>340404</v>
      </c>
      <c r="E95" s="618" t="str">
        <f>VLOOKUP(1422,Sprachindex!$A:$Z,Info!$O$7,FALSE)</f>
        <v>Dachleitungshalter für Blitzschutzdraht</v>
      </c>
      <c r="F95" s="619"/>
      <c r="G95" s="619"/>
      <c r="H95" s="619"/>
      <c r="I95" s="619"/>
      <c r="J95" s="619"/>
      <c r="K95" s="620"/>
      <c r="L95" s="76" t="str">
        <f t="shared" si="26"/>
        <v/>
      </c>
      <c r="M95" s="161" t="s">
        <v>31</v>
      </c>
      <c r="N95" s="77"/>
      <c r="O95" s="184" t="str">
        <f t="shared" si="27"/>
        <v/>
      </c>
      <c r="P95" s="267"/>
      <c r="Q95" s="5"/>
      <c r="R95" s="182">
        <v>7.37</v>
      </c>
      <c r="S95" s="179"/>
      <c r="T95" s="179"/>
      <c r="U95" s="179"/>
      <c r="V95" s="179"/>
      <c r="W95" s="179"/>
      <c r="X95" s="179"/>
      <c r="Y95" s="179"/>
      <c r="Z95" s="179"/>
      <c r="AA95" s="179"/>
      <c r="AB95" s="179"/>
      <c r="AC95" s="139">
        <f>ROUNDUP($A95/50,0)*50</f>
        <v>0</v>
      </c>
      <c r="AD95" s="139">
        <f t="shared" ref="AD95:AD103" si="32">ROUNDUP($A95,0)</f>
        <v>0</v>
      </c>
      <c r="AF95" s="135"/>
      <c r="AH95" s="119"/>
      <c r="AI95" s="119"/>
      <c r="AJ95" s="119"/>
      <c r="AK95" s="119"/>
      <c r="AL95" s="119"/>
      <c r="AM95" s="119"/>
      <c r="AN95" s="119"/>
      <c r="AO95" s="119"/>
      <c r="AP95" s="119"/>
      <c r="AQ95" s="119"/>
      <c r="AR95" s="119"/>
      <c r="AS95" s="547"/>
    </row>
    <row r="96" spans="1:45" ht="32.1" customHeight="1">
      <c r="A96" s="93"/>
      <c r="B96" s="76" t="str">
        <f>VLOOKUP(878,Sprachindex!$A:$Z,Info!$O$7,FALSE)</f>
        <v>Stk.</v>
      </c>
      <c r="C96" s="75" t="e" vm="66">
        <v>#VALUE!</v>
      </c>
      <c r="D96" s="75">
        <v>420501</v>
      </c>
      <c r="E96" s="654" t="str">
        <f>VLOOKUP(851,Sprachindex!$A:$Z,Info!$O$7,FALSE)</f>
        <v>Spezialkleber</v>
      </c>
      <c r="F96" s="655"/>
      <c r="G96" s="655"/>
      <c r="H96" s="655"/>
      <c r="I96" s="655"/>
      <c r="J96" s="655"/>
      <c r="K96" s="656"/>
      <c r="L96" s="76" t="str">
        <f t="shared" si="26"/>
        <v/>
      </c>
      <c r="M96" s="161" t="str">
        <f>VLOOKUP(878,Sprachindex!$A:$Z,Info!$O$7,FALSE)</f>
        <v>Stk.</v>
      </c>
      <c r="N96" s="77"/>
      <c r="O96" s="184" t="str">
        <f t="shared" si="27"/>
        <v/>
      </c>
      <c r="P96" s="267"/>
      <c r="Q96" s="5"/>
      <c r="R96" s="182">
        <v>40.299999999999997</v>
      </c>
      <c r="S96" s="179"/>
      <c r="T96" s="179"/>
      <c r="U96" s="179"/>
      <c r="V96" s="179"/>
      <c r="W96" s="179"/>
      <c r="X96" s="179"/>
      <c r="Y96" s="179"/>
      <c r="Z96" s="179"/>
      <c r="AA96" s="179"/>
      <c r="AB96" s="179"/>
      <c r="AC96" s="139">
        <f>ROUNDUP($A96/24,0)*24</f>
        <v>0</v>
      </c>
      <c r="AD96" s="139">
        <f t="shared" si="32"/>
        <v>0</v>
      </c>
      <c r="AF96" s="140"/>
      <c r="AS96" s="20"/>
    </row>
    <row r="97" spans="1:57" ht="32.1" customHeight="1">
      <c r="A97" s="93"/>
      <c r="B97" s="76" t="str">
        <f>VLOOKUP(821,Sprachindex!$A:$Z,Info!$O$7,FALSE)</f>
        <v>Set</v>
      </c>
      <c r="C97" s="75" t="e" vm="67">
        <v>#VALUE!</v>
      </c>
      <c r="D97" s="75">
        <v>420500</v>
      </c>
      <c r="E97" s="618" t="str">
        <f>VLOOKUP(852,Sprachindex!$A:$Z,Info!$O$7,FALSE)</f>
        <v>Spezialkleberset</v>
      </c>
      <c r="F97" s="619"/>
      <c r="G97" s="619"/>
      <c r="H97" s="619"/>
      <c r="I97" s="619"/>
      <c r="J97" s="619"/>
      <c r="K97" s="620"/>
      <c r="L97" s="76" t="str">
        <f t="shared" si="26"/>
        <v/>
      </c>
      <c r="M97" s="161" t="str">
        <f>VLOOKUP(821,Sprachindex!$A:$Z,Info!$O$7,FALSE)</f>
        <v>Set</v>
      </c>
      <c r="N97" s="77"/>
      <c r="O97" s="184" t="str">
        <f t="shared" si="27"/>
        <v/>
      </c>
      <c r="P97" s="267"/>
      <c r="Q97" s="5"/>
      <c r="R97" s="182">
        <v>55.18</v>
      </c>
      <c r="S97" s="179"/>
      <c r="T97" s="179"/>
      <c r="U97" s="179"/>
      <c r="V97" s="179"/>
      <c r="W97" s="179"/>
      <c r="X97" s="179"/>
      <c r="Y97" s="179"/>
      <c r="Z97" s="179"/>
      <c r="AA97" s="179"/>
      <c r="AB97" s="179"/>
      <c r="AC97" s="139">
        <f t="shared" ref="AC97:AC101" si="33">ROUNDUP($A97,0)</f>
        <v>0</v>
      </c>
      <c r="AD97" s="139">
        <f t="shared" si="32"/>
        <v>0</v>
      </c>
      <c r="AF97" s="135"/>
      <c r="AH97" s="47" t="s">
        <v>35</v>
      </c>
      <c r="AI97" s="47" t="s">
        <v>32</v>
      </c>
      <c r="AJ97" s="47" t="s">
        <v>40</v>
      </c>
      <c r="AK97" s="47" t="s">
        <v>37</v>
      </c>
      <c r="AL97" s="47" t="s">
        <v>33</v>
      </c>
      <c r="AM97" s="47" t="s">
        <v>39</v>
      </c>
      <c r="AN97" s="47" t="s">
        <v>34</v>
      </c>
      <c r="AO97" s="47" t="s">
        <v>38</v>
      </c>
      <c r="AP97" s="47" t="s">
        <v>41</v>
      </c>
      <c r="AQ97" s="47" t="s">
        <v>36</v>
      </c>
      <c r="AR97" s="439" t="s">
        <v>38962</v>
      </c>
      <c r="AS97" s="20"/>
      <c r="AT97" s="149" t="s">
        <v>35</v>
      </c>
      <c r="AU97" s="47" t="s">
        <v>32</v>
      </c>
      <c r="AV97" s="47" t="s">
        <v>40</v>
      </c>
      <c r="AW97" s="47" t="s">
        <v>37</v>
      </c>
      <c r="AX97" s="47" t="s">
        <v>33</v>
      </c>
      <c r="AY97" s="47" t="s">
        <v>39</v>
      </c>
      <c r="AZ97" s="47" t="s">
        <v>34</v>
      </c>
      <c r="BA97" s="47" t="s">
        <v>38</v>
      </c>
      <c r="BB97" s="47" t="s">
        <v>41</v>
      </c>
      <c r="BC97" s="47" t="s">
        <v>36</v>
      </c>
      <c r="BD97" s="47" t="s">
        <v>38962</v>
      </c>
    </row>
    <row r="98" spans="1:57" ht="32.1" customHeight="1">
      <c r="A98" s="93"/>
      <c r="B98" s="76" t="str">
        <f>VLOOKUP(878,Sprachindex!$A:$Z,Info!$O$7,FALSE)</f>
        <v>Stk.</v>
      </c>
      <c r="C98" s="78" t="e" vm="70">
        <v>#VALUE!</v>
      </c>
      <c r="D98" s="75">
        <v>340415</v>
      </c>
      <c r="E98" s="618" t="str">
        <f>VLOOKUP(184,Sprachindex!$A:$Z,Info!$O$7,FALSE)</f>
        <v>Aufsparrenschraubenpaket</v>
      </c>
      <c r="F98" s="619"/>
      <c r="G98" s="619"/>
      <c r="H98" s="619"/>
      <c r="I98" s="619"/>
      <c r="J98" s="619"/>
      <c r="K98" s="620"/>
      <c r="L98" s="76" t="str">
        <f>IF($A98=0,"",IF($P$11=1,AC98,AD98))</f>
        <v/>
      </c>
      <c r="M98" s="161" t="str">
        <f>VLOOKUP(878,Sprachindex!$A:$Z,Info!$O$7,FALSE)</f>
        <v>Stk.</v>
      </c>
      <c r="N98" s="77"/>
      <c r="O98" s="184" t="str">
        <f t="shared" si="27"/>
        <v/>
      </c>
      <c r="P98" s="267"/>
      <c r="Q98" s="5"/>
      <c r="R98" s="182">
        <v>26.8</v>
      </c>
      <c r="S98" s="179"/>
      <c r="T98" s="179"/>
      <c r="U98" s="179"/>
      <c r="V98" s="179"/>
      <c r="W98" s="179"/>
      <c r="X98" s="179"/>
      <c r="Y98" s="179"/>
      <c r="Z98" s="179"/>
      <c r="AA98" s="179"/>
      <c r="AB98" s="179"/>
      <c r="AC98" s="139">
        <f t="shared" si="33"/>
        <v>0</v>
      </c>
      <c r="AD98" s="139">
        <f t="shared" si="32"/>
        <v>0</v>
      </c>
      <c r="AF98" s="135"/>
      <c r="AS98" s="20"/>
    </row>
    <row r="99" spans="1:57" ht="32.1" customHeight="1">
      <c r="A99" s="93"/>
      <c r="B99" s="76" t="str">
        <f>VLOOKUP(878,Sprachindex!$A:$Z,Info!$O$7,FALSE)</f>
        <v>Stk.</v>
      </c>
      <c r="C99" s="78" t="e" vm="71">
        <v>#VALUE!</v>
      </c>
      <c r="D99" s="75">
        <v>340416</v>
      </c>
      <c r="E99" s="618" t="str">
        <f>VLOOKUP(183,Sprachindex!$A:$Z,Info!$O$7,FALSE)</f>
        <v>Aufsparrenmontagepaket</v>
      </c>
      <c r="F99" s="619"/>
      <c r="G99" s="619"/>
      <c r="H99" s="619"/>
      <c r="I99" s="619"/>
      <c r="J99" s="619"/>
      <c r="K99" s="620"/>
      <c r="L99" s="76" t="str">
        <f>IF($A99=0,"",IF($P$11=1,AC99,AD99))</f>
        <v/>
      </c>
      <c r="M99" s="161" t="str">
        <f>VLOOKUP(878,Sprachindex!$A:$Z,Info!$O$7,FALSE)</f>
        <v>Stk.</v>
      </c>
      <c r="N99" s="77"/>
      <c r="O99" s="184" t="str">
        <f t="shared" si="27"/>
        <v/>
      </c>
      <c r="P99" s="267"/>
      <c r="Q99" s="5"/>
      <c r="R99" s="182">
        <v>44.93</v>
      </c>
      <c r="S99" s="179"/>
      <c r="T99" s="179"/>
      <c r="U99" s="179"/>
      <c r="V99" s="179"/>
      <c r="W99" s="179"/>
      <c r="X99" s="179"/>
      <c r="Y99" s="179"/>
      <c r="Z99" s="179"/>
      <c r="AA99" s="179"/>
      <c r="AB99" s="179"/>
      <c r="AC99" s="139">
        <f t="shared" si="33"/>
        <v>0</v>
      </c>
      <c r="AD99" s="139">
        <f t="shared" si="32"/>
        <v>0</v>
      </c>
      <c r="AF99" s="135"/>
      <c r="AS99" s="20"/>
    </row>
    <row r="100" spans="1:57" ht="32.1" customHeight="1">
      <c r="A100" s="93"/>
      <c r="B100" s="76" t="str">
        <f>VLOOKUP(878,Sprachindex!$A:$Z,Info!$O$7,FALSE)</f>
        <v>Stk.</v>
      </c>
      <c r="C100" s="78" t="e" vm="72">
        <v>#VALUE!</v>
      </c>
      <c r="D100" s="75">
        <v>119008</v>
      </c>
      <c r="E100" s="618" t="str">
        <f>VLOOKUP(2237,Sprachindex!$A:$Z,Info!$O$7,FALSE) &amp; " (" &amp; VLOOKUP(2668,Sprachindex!$A:$Z,Info!$O$7,FALSE) &amp; ")"</f>
        <v>Taurus-BEF-10 auf Fußteilen (P.10 Schwarz)</v>
      </c>
      <c r="F100" s="619"/>
      <c r="G100" s="619"/>
      <c r="H100" s="619"/>
      <c r="I100" s="619"/>
      <c r="J100" s="619"/>
      <c r="K100" s="620"/>
      <c r="L100" s="76" t="str">
        <f>IF($A100=0,"",IF($P$11=1,AC100,AD100))</f>
        <v/>
      </c>
      <c r="M100" s="161" t="str">
        <f>VLOOKUP(878,Sprachindex!$A:$Z,Info!$O$7,FALSE)</f>
        <v>Stk.</v>
      </c>
      <c r="N100" s="77"/>
      <c r="O100" s="184" t="str">
        <f t="shared" si="27"/>
        <v/>
      </c>
      <c r="P100" s="267"/>
      <c r="Q100" s="5"/>
      <c r="R100" s="182">
        <v>142.76</v>
      </c>
      <c r="S100" s="179"/>
      <c r="T100" s="179"/>
      <c r="U100" s="179"/>
      <c r="V100" s="179"/>
      <c r="W100" s="179"/>
      <c r="X100" s="179"/>
      <c r="Y100" s="179"/>
      <c r="Z100" s="179"/>
      <c r="AA100" s="179"/>
      <c r="AB100" s="179"/>
      <c r="AC100" s="139">
        <f t="shared" si="33"/>
        <v>0</v>
      </c>
      <c r="AD100" s="139">
        <f t="shared" si="32"/>
        <v>0</v>
      </c>
      <c r="AF100" s="135"/>
      <c r="AS100" s="20"/>
    </row>
    <row r="101" spans="1:57" ht="32.1" customHeight="1">
      <c r="A101" s="93"/>
      <c r="B101" s="76" t="str">
        <f>VLOOKUP(878,Sprachindex!$A:$Z,Info!$O$7,FALSE)</f>
        <v>Stk.</v>
      </c>
      <c r="C101" s="78" t="e" vm="73">
        <v>#VALUE!</v>
      </c>
      <c r="D101" s="75">
        <v>120268</v>
      </c>
      <c r="E101" s="618" t="str">
        <f>VLOOKUP(2238,Sprachindex!$A:$Z,Info!$O$7,FALSE) &amp; " (" &amp; VLOOKUP(2668,Sprachindex!$A:$Z,Info!$O$7,FALSE) &amp; ")"</f>
        <v>Einzelanschlagspunkt auf Fußteilen (P.10 Schwarz)</v>
      </c>
      <c r="F101" s="619"/>
      <c r="G101" s="619"/>
      <c r="H101" s="619"/>
      <c r="I101" s="619"/>
      <c r="J101" s="619"/>
      <c r="K101" s="620"/>
      <c r="L101" s="76" t="str">
        <f>IF($A101=0,"",IF($P$11=1,AC101,AD101))</f>
        <v/>
      </c>
      <c r="M101" s="161" t="str">
        <f>VLOOKUP(878,Sprachindex!$A:$Z,Info!$O$7,FALSE)</f>
        <v>Stk.</v>
      </c>
      <c r="N101" s="77"/>
      <c r="O101" s="184" t="str">
        <f t="shared" si="27"/>
        <v/>
      </c>
      <c r="P101" s="267"/>
      <c r="Q101" s="5"/>
      <c r="R101" s="182">
        <v>139.66999999999999</v>
      </c>
      <c r="S101" s="179"/>
      <c r="T101" s="179"/>
      <c r="U101" s="179"/>
      <c r="V101" s="179"/>
      <c r="W101" s="179"/>
      <c r="X101" s="179"/>
      <c r="Y101" s="179"/>
      <c r="Z101" s="179"/>
      <c r="AA101" s="179"/>
      <c r="AB101" s="179"/>
      <c r="AC101" s="139">
        <f t="shared" si="33"/>
        <v>0</v>
      </c>
      <c r="AD101" s="139">
        <f t="shared" si="32"/>
        <v>0</v>
      </c>
      <c r="AF101" s="135"/>
      <c r="AH101" s="464" t="s">
        <v>5067</v>
      </c>
      <c r="AI101" s="464" t="s">
        <v>9960</v>
      </c>
      <c r="AJ101" s="464" t="s">
        <v>28580</v>
      </c>
      <c r="AK101" s="464" t="s">
        <v>39129</v>
      </c>
      <c r="AS101" s="20"/>
    </row>
    <row r="102" spans="1:57" ht="32.1" customHeight="1">
      <c r="A102" s="93"/>
      <c r="B102" s="76" t="str">
        <f>VLOOKUP(531,Sprachindex!$A:$Z,Info!$O$7,FALSE)</f>
        <v>kg</v>
      </c>
      <c r="C102" s="78" t="e" vm="74">
        <v>#VALUE!</v>
      </c>
      <c r="D102" s="75" t="str" cm="1">
        <f t="array" ref="D102">_xlfn.IFS(I102=Formeln!$A$107,AI102,I102=Formeln!$A$108,AH102,I102=Formeln!$A$109,AK102,I102=Formeln!$A$110,AJ102,TRUE,"")</f>
        <v/>
      </c>
      <c r="E102" s="618" t="str">
        <f>VLOOKUP(583,Sprachindex!$A:$Z,Info!$O$7,FALSE)</f>
        <v>Lochblech (⌀ 5 mm) ca. 24 kg/Rolle (0,7 × 1.000 mm)</v>
      </c>
      <c r="F102" s="619"/>
      <c r="G102" s="619"/>
      <c r="H102" s="647"/>
      <c r="I102" s="624"/>
      <c r="J102" s="625"/>
      <c r="K102" s="626"/>
      <c r="L102" s="76" t="str">
        <f>IF($A102=0,"",IF($I102=Formeln!$A$106," ",IF($P$11=1,AC102,AD102)))</f>
        <v/>
      </c>
      <c r="M102" s="161" t="str">
        <f>VLOOKUP(531,Sprachindex!$A:$Z,Info!$O$7,FALSE)</f>
        <v>kg</v>
      </c>
      <c r="N102" s="77"/>
      <c r="O102" s="204" t="str">
        <f t="shared" si="27"/>
        <v/>
      </c>
      <c r="P102" s="267"/>
      <c r="Q102" s="5"/>
      <c r="R102" s="182">
        <v>0</v>
      </c>
      <c r="S102" s="179"/>
      <c r="T102" s="179"/>
      <c r="U102" s="179"/>
      <c r="V102" s="179"/>
      <c r="W102" s="179"/>
      <c r="X102" s="179"/>
      <c r="Y102" s="179"/>
      <c r="Z102" s="179"/>
      <c r="AA102" s="179"/>
      <c r="AB102" s="179"/>
      <c r="AC102" s="139">
        <f>ROUNDUP($A102/24,0)*24</f>
        <v>0</v>
      </c>
      <c r="AD102" s="139">
        <f t="shared" si="32"/>
        <v>0</v>
      </c>
      <c r="AF102" s="141" t="str">
        <f>IF(A102&gt;24, Formeln!$A$119, Formeln!$A$118)</f>
        <v>Rolle</v>
      </c>
      <c r="AH102" s="44">
        <v>507202</v>
      </c>
      <c r="AI102" s="44">
        <v>507206</v>
      </c>
      <c r="AJ102" s="44">
        <v>507205</v>
      </c>
      <c r="AK102" s="163">
        <v>507203</v>
      </c>
      <c r="AL102" s="559"/>
      <c r="AS102" s="510"/>
    </row>
    <row r="103" spans="1:57" ht="32.1" customHeight="1">
      <c r="A103" s="93"/>
      <c r="B103" s="76" t="str">
        <f>VLOOKUP(531,Sprachindex!$A:$Z,Info!$O$7,FALSE)</f>
        <v>kg</v>
      </c>
      <c r="C103" s="78" t="e" vm="75">
        <v>#VALUE!</v>
      </c>
      <c r="D103" s="75" t="str">
        <f>IF(ISNUMBER(A103),IF($P$9=1,AS103,""),"")</f>
        <v/>
      </c>
      <c r="E103" s="618" t="str">
        <f>VLOOKUP(669,Sprachindex!$A:$Z,Info!$O$7,FALSE)</f>
        <v>PREFALZ Ergänzungsband; 0,7 × 1.000 mm (für Zusatzverblechungen)</v>
      </c>
      <c r="F103" s="619"/>
      <c r="G103" s="619"/>
      <c r="H103" s="619"/>
      <c r="I103" s="619"/>
      <c r="J103" s="619"/>
      <c r="K103" s="620"/>
      <c r="L103" s="76" t="str">
        <f>IF(A103=0,"",IF($P$11=1,AD103,AC103))</f>
        <v/>
      </c>
      <c r="M103" s="161" t="str">
        <f>VLOOKUP(531,Sprachindex!$A:$Z,Info!$O$7,FALSE)</f>
        <v>kg</v>
      </c>
      <c r="N103" s="77"/>
      <c r="O103" s="204" t="str">
        <f t="shared" si="27"/>
        <v/>
      </c>
      <c r="P103" s="267"/>
      <c r="Q103" s="5"/>
      <c r="R103" s="182">
        <v>0</v>
      </c>
      <c r="S103" s="179"/>
      <c r="T103" s="179"/>
      <c r="U103" s="179"/>
      <c r="V103" s="179"/>
      <c r="W103" s="179"/>
      <c r="X103" s="179"/>
      <c r="Y103" s="179"/>
      <c r="Z103" s="179"/>
      <c r="AA103" s="179"/>
      <c r="AB103" s="179"/>
      <c r="AC103" s="151">
        <f>ROUNDUP($A103/30,0)*30</f>
        <v>0</v>
      </c>
      <c r="AD103" s="151">
        <f t="shared" si="32"/>
        <v>0</v>
      </c>
      <c r="AF103" s="141" t="str">
        <f>IF(A103&gt;60, Formeln!$A$119, Formeln!$A$118)</f>
        <v>Rolle</v>
      </c>
      <c r="AH103" s="545" t="s">
        <v>85</v>
      </c>
      <c r="AI103" s="433" t="s">
        <v>65</v>
      </c>
      <c r="AJ103" s="433" t="s">
        <v>72</v>
      </c>
      <c r="AK103" s="433" t="s">
        <v>69</v>
      </c>
      <c r="AL103" s="433" t="s">
        <v>66</v>
      </c>
      <c r="AM103" s="433" t="s">
        <v>71</v>
      </c>
      <c r="AN103" s="433" t="s">
        <v>67</v>
      </c>
      <c r="AO103" s="433" t="s">
        <v>70</v>
      </c>
      <c r="AP103" s="433" t="s">
        <v>73</v>
      </c>
      <c r="AQ103" s="433" t="s">
        <v>68</v>
      </c>
      <c r="AR103" s="545" t="s">
        <v>277</v>
      </c>
      <c r="AS103" s="512" t="e" vm="2">
        <f>VLOOKUP(AH103,AH103:AR103,$P$21,FALSE)</f>
        <v>#VALUE!</v>
      </c>
      <c r="AT103" s="432" t="s">
        <v>77</v>
      </c>
      <c r="AU103" s="432" t="s">
        <v>74</v>
      </c>
      <c r="AV103" s="432" t="s">
        <v>82</v>
      </c>
      <c r="AW103" s="432" t="s">
        <v>79</v>
      </c>
      <c r="AX103" s="432" t="s">
        <v>75</v>
      </c>
      <c r="AY103" s="432" t="s">
        <v>81</v>
      </c>
      <c r="AZ103" s="432" t="s">
        <v>76</v>
      </c>
      <c r="BA103" s="432" t="s">
        <v>80</v>
      </c>
      <c r="BB103" s="432" t="s">
        <v>83</v>
      </c>
      <c r="BC103" s="432" t="s">
        <v>78</v>
      </c>
      <c r="BD103" s="546" t="s">
        <v>293</v>
      </c>
      <c r="BE103" s="512" t="e" vm="2">
        <f>VLOOKUP(AT103,AT103:BD103,$P$21,FALSE)</f>
        <v>#VALUE!</v>
      </c>
    </row>
    <row r="104" spans="1:57" ht="32.1" customHeight="1">
      <c r="A104" s="93"/>
      <c r="B104" s="98"/>
      <c r="C104" s="98"/>
      <c r="D104" s="98"/>
      <c r="E104" s="648"/>
      <c r="F104" s="649"/>
      <c r="G104" s="649"/>
      <c r="H104" s="649"/>
      <c r="I104" s="649"/>
      <c r="J104" s="649"/>
      <c r="K104" s="650"/>
      <c r="L104" s="98"/>
      <c r="M104" s="399"/>
      <c r="N104" s="412"/>
      <c r="O104" s="184"/>
      <c r="P104" s="5"/>
      <c r="Q104" s="5"/>
      <c r="R104" s="179"/>
      <c r="S104" s="179"/>
      <c r="T104" s="5"/>
      <c r="U104" s="5"/>
      <c r="V104" s="5"/>
      <c r="W104" s="5"/>
      <c r="X104" s="5"/>
      <c r="Y104" s="5"/>
      <c r="AC104" s="1"/>
      <c r="AD104" s="8"/>
      <c r="AE104" s="8"/>
      <c r="AH104" s="47" t="s">
        <v>32</v>
      </c>
      <c r="AI104" s="47" t="s">
        <v>33</v>
      </c>
      <c r="AJ104" s="47" t="s">
        <v>34</v>
      </c>
      <c r="AK104" s="47" t="s">
        <v>35</v>
      </c>
      <c r="AL104" s="47" t="s">
        <v>36</v>
      </c>
      <c r="AM104" s="47" t="s">
        <v>37</v>
      </c>
      <c r="AN104" s="47" t="s">
        <v>38</v>
      </c>
      <c r="AO104" s="47" t="s">
        <v>39</v>
      </c>
      <c r="AP104" s="47" t="s">
        <v>40</v>
      </c>
      <c r="AQ104" s="47" t="s">
        <v>41</v>
      </c>
      <c r="AR104" s="47" t="s">
        <v>32</v>
      </c>
      <c r="AS104" s="47" t="s">
        <v>33</v>
      </c>
      <c r="AT104" s="47" t="s">
        <v>34</v>
      </c>
      <c r="AU104" s="47" t="s">
        <v>35</v>
      </c>
      <c r="AV104" s="47" t="s">
        <v>36</v>
      </c>
      <c r="AW104" s="47" t="s">
        <v>37</v>
      </c>
      <c r="AX104" s="47" t="s">
        <v>38</v>
      </c>
      <c r="AY104" s="47" t="s">
        <v>39</v>
      </c>
      <c r="AZ104" s="47" t="s">
        <v>40</v>
      </c>
      <c r="BA104" s="47" t="s">
        <v>41</v>
      </c>
    </row>
    <row r="105" spans="1:57" ht="32.1" customHeight="1">
      <c r="A105" s="93"/>
      <c r="B105" s="98"/>
      <c r="C105" s="98"/>
      <c r="D105" s="98"/>
      <c r="E105" s="648"/>
      <c r="F105" s="649"/>
      <c r="G105" s="649"/>
      <c r="H105" s="649"/>
      <c r="I105" s="649"/>
      <c r="J105" s="649"/>
      <c r="K105" s="650"/>
      <c r="L105" s="98"/>
      <c r="M105" s="399"/>
      <c r="N105" s="412"/>
      <c r="O105" s="184"/>
      <c r="P105" s="5"/>
      <c r="Q105" s="5"/>
      <c r="R105" s="186"/>
      <c r="S105" s="179"/>
      <c r="T105" s="5"/>
      <c r="U105" s="5"/>
      <c r="V105" s="5"/>
      <c r="W105" s="5"/>
      <c r="X105" s="5"/>
      <c r="Y105" s="5"/>
      <c r="AC105" s="1"/>
      <c r="AD105" s="8"/>
      <c r="AE105" s="8"/>
    </row>
    <row r="106" spans="1:57" ht="32.1" customHeight="1" thickBot="1">
      <c r="A106" s="143"/>
      <c r="B106" s="144"/>
      <c r="C106" s="144"/>
      <c r="D106" s="144"/>
      <c r="E106" s="651"/>
      <c r="F106" s="652"/>
      <c r="G106" s="652"/>
      <c r="H106" s="652"/>
      <c r="I106" s="652"/>
      <c r="J106" s="652"/>
      <c r="K106" s="653"/>
      <c r="L106" s="144"/>
      <c r="M106" s="400"/>
      <c r="N106" s="413"/>
      <c r="O106" s="203"/>
      <c r="P106" s="5"/>
      <c r="Q106" s="5"/>
      <c r="R106" s="186"/>
      <c r="S106" s="179"/>
      <c r="T106" s="5"/>
      <c r="U106" s="5"/>
      <c r="V106" s="5"/>
      <c r="W106" s="5"/>
      <c r="X106" s="5"/>
      <c r="Y106" s="5"/>
      <c r="AC106" s="1"/>
      <c r="AD106" s="8"/>
      <c r="AE106" s="8"/>
    </row>
    <row r="107" spans="1:57" ht="15" customHeight="1">
      <c r="A107" s="67"/>
      <c r="B107" s="67"/>
      <c r="C107" s="67"/>
      <c r="D107" s="641"/>
      <c r="E107" s="641"/>
      <c r="F107" s="641"/>
      <c r="G107" s="641"/>
      <c r="H107" s="641"/>
      <c r="I107" s="641"/>
      <c r="J107" s="641"/>
      <c r="K107" s="641"/>
      <c r="L107" s="641"/>
      <c r="M107" s="641"/>
      <c r="N107" s="641"/>
      <c r="O107" s="203"/>
      <c r="P107" s="5"/>
      <c r="Q107" s="5"/>
      <c r="R107" s="186"/>
      <c r="S107" s="179"/>
      <c r="T107" s="5"/>
      <c r="U107" s="5"/>
      <c r="V107" s="5"/>
      <c r="W107" s="5"/>
      <c r="X107" s="5"/>
      <c r="Y107" s="5"/>
    </row>
    <row r="108" spans="1:57" ht="17.399999999999999">
      <c r="A108" s="67"/>
      <c r="B108" s="67"/>
      <c r="C108" s="84" t="str">
        <f>VLOOKUP(1035,Sprachindex!$A:$Z,Info!$O$7,FALSE)</f>
        <v>Zusatzvermerk:</v>
      </c>
      <c r="D108" s="642"/>
      <c r="E108" s="642"/>
      <c r="F108" s="642"/>
      <c r="G108" s="642"/>
      <c r="H108" s="642"/>
      <c r="I108" s="642"/>
      <c r="J108" s="642"/>
      <c r="K108" s="642"/>
      <c r="L108" s="642"/>
      <c r="M108" s="642"/>
      <c r="N108" s="642"/>
      <c r="O108" s="180">
        <f>SUM(O31:O106)</f>
        <v>0</v>
      </c>
      <c r="P108" s="186"/>
      <c r="Q108" s="186"/>
      <c r="R108" s="186"/>
      <c r="S108" s="179"/>
      <c r="T108" s="186"/>
      <c r="U108" s="186"/>
      <c r="V108" s="186"/>
      <c r="W108" s="186"/>
      <c r="X108" s="186"/>
      <c r="Y108" s="186"/>
    </row>
    <row r="109" spans="1:57" ht="17.399999999999999">
      <c r="A109" s="67"/>
      <c r="B109" s="67"/>
      <c r="C109" s="67"/>
      <c r="D109" s="643"/>
      <c r="E109" s="643"/>
      <c r="F109" s="643"/>
      <c r="G109" s="643"/>
      <c r="H109" s="643"/>
      <c r="I109" s="643"/>
      <c r="J109" s="643"/>
      <c r="K109" s="643"/>
      <c r="L109" s="643"/>
      <c r="M109" s="643"/>
      <c r="N109" s="643"/>
      <c r="O109" s="186"/>
      <c r="P109" s="186"/>
      <c r="Q109" s="186"/>
      <c r="R109" s="186"/>
      <c r="S109" s="186"/>
      <c r="T109" s="186"/>
      <c r="U109" s="186"/>
      <c r="V109" s="186"/>
      <c r="W109" s="186"/>
      <c r="X109" s="186"/>
      <c r="Y109" s="186"/>
    </row>
    <row r="110" spans="1:57" ht="17.399999999999999">
      <c r="A110" s="67"/>
      <c r="B110" s="67"/>
      <c r="C110" s="67"/>
      <c r="D110" s="642"/>
      <c r="E110" s="642"/>
      <c r="F110" s="642"/>
      <c r="G110" s="642"/>
      <c r="H110" s="642"/>
      <c r="I110" s="642"/>
      <c r="J110" s="642"/>
      <c r="K110" s="642"/>
      <c r="L110" s="642"/>
      <c r="M110" s="642"/>
      <c r="N110" s="642"/>
      <c r="O110" s="186"/>
      <c r="P110" s="186"/>
      <c r="Q110" s="186"/>
      <c r="R110" s="67"/>
      <c r="S110" s="186"/>
      <c r="T110" s="186"/>
      <c r="U110" s="186"/>
      <c r="V110" s="186"/>
      <c r="W110" s="186"/>
      <c r="X110" s="186"/>
      <c r="Y110" s="186"/>
    </row>
    <row r="111" spans="1:57" ht="17.399999999999999">
      <c r="A111" s="67"/>
      <c r="B111" s="67"/>
      <c r="C111" s="67"/>
      <c r="D111" s="643"/>
      <c r="E111" s="643"/>
      <c r="F111" s="643"/>
      <c r="G111" s="643"/>
      <c r="H111" s="643"/>
      <c r="I111" s="643"/>
      <c r="J111" s="643"/>
      <c r="K111" s="643"/>
      <c r="L111" s="643"/>
      <c r="M111" s="643"/>
      <c r="N111" s="643"/>
      <c r="O111" s="186"/>
      <c r="P111" s="186"/>
      <c r="Q111" s="186"/>
      <c r="R111" s="67"/>
      <c r="S111" s="186"/>
      <c r="T111" s="186"/>
      <c r="U111" s="186"/>
      <c r="V111" s="186"/>
      <c r="W111" s="186"/>
      <c r="X111" s="186"/>
      <c r="Y111" s="186"/>
    </row>
    <row r="112" spans="1:57" ht="17.399999999999999">
      <c r="A112" s="67"/>
      <c r="B112" s="67"/>
      <c r="C112" s="67"/>
      <c r="D112" s="642"/>
      <c r="E112" s="642"/>
      <c r="F112" s="642"/>
      <c r="G112" s="642"/>
      <c r="H112" s="642"/>
      <c r="I112" s="642"/>
      <c r="J112" s="642"/>
      <c r="K112" s="642"/>
      <c r="L112" s="642"/>
      <c r="M112" s="642"/>
      <c r="N112" s="642"/>
      <c r="O112" s="67"/>
      <c r="P112" s="186"/>
      <c r="Q112" s="186"/>
      <c r="R112" s="66"/>
      <c r="S112" s="186"/>
      <c r="T112" s="186"/>
      <c r="U112" s="186"/>
      <c r="V112" s="186"/>
      <c r="W112" s="186"/>
      <c r="X112" s="186"/>
      <c r="Y112" s="186"/>
    </row>
    <row r="113" spans="1:25" ht="17.399999999999999">
      <c r="A113" s="67"/>
      <c r="B113" s="67"/>
      <c r="C113" s="67"/>
      <c r="D113" s="67"/>
      <c r="E113" s="67"/>
      <c r="F113" s="67"/>
      <c r="G113" s="67"/>
      <c r="H113" s="67"/>
      <c r="I113" s="67"/>
      <c r="J113" s="67"/>
      <c r="K113" s="67"/>
      <c r="L113" s="67"/>
      <c r="M113" s="67"/>
      <c r="N113" s="67"/>
      <c r="O113" s="67"/>
      <c r="P113" s="67"/>
      <c r="Q113" s="67"/>
      <c r="S113" s="186"/>
      <c r="T113" s="67"/>
      <c r="U113" s="67"/>
      <c r="V113" s="67"/>
      <c r="W113" s="67"/>
      <c r="X113" s="67"/>
      <c r="Y113" s="67"/>
    </row>
    <row r="114" spans="1:25" ht="17.399999999999999">
      <c r="A114" s="67"/>
      <c r="B114" s="67"/>
      <c r="C114" s="67"/>
      <c r="D114" s="67"/>
      <c r="E114" s="67"/>
      <c r="F114" s="67"/>
      <c r="G114" s="67"/>
      <c r="H114" s="67"/>
      <c r="I114" s="67"/>
      <c r="J114" s="67"/>
      <c r="K114" s="67"/>
      <c r="L114" s="67"/>
      <c r="M114" s="67"/>
      <c r="N114" s="67"/>
      <c r="O114" s="66"/>
      <c r="P114" s="67"/>
      <c r="Q114" s="67"/>
      <c r="S114" s="67"/>
      <c r="T114" s="67"/>
      <c r="U114" s="67"/>
      <c r="V114" s="67"/>
      <c r="W114" s="67"/>
      <c r="X114" s="67"/>
      <c r="Y114" s="67"/>
    </row>
    <row r="115" spans="1:25" ht="17.399999999999999">
      <c r="A115" s="85" t="str">
        <f>VLOOKUP(2097,Sprachindex!$A:$Z,Info!$O$7,FALSE)</f>
        <v>Produkttechnik</v>
      </c>
      <c r="B115" s="86"/>
      <c r="C115" s="86"/>
      <c r="D115" s="646"/>
      <c r="E115" s="646"/>
      <c r="F115" s="646"/>
      <c r="G115" s="646"/>
      <c r="H115" s="646"/>
      <c r="I115" s="646"/>
      <c r="J115" s="646"/>
      <c r="K115" s="87" t="str">
        <f>VLOOKUP(856,Sprachindex!$A:$Z,Info!$O$7,FALSE)</f>
        <v>Stand:</v>
      </c>
      <c r="L115" s="644">
        <f>Info!M59</f>
        <v>45728</v>
      </c>
      <c r="M115" s="644"/>
      <c r="N115" s="645"/>
      <c r="P115" s="66"/>
      <c r="Q115" s="66"/>
      <c r="S115" s="67"/>
      <c r="T115" s="66"/>
      <c r="U115" s="66"/>
      <c r="V115" s="66"/>
      <c r="W115" s="66"/>
      <c r="X115" s="66"/>
      <c r="Y115" s="66"/>
    </row>
    <row r="116" spans="1:25" ht="17.399999999999999">
      <c r="S116" s="66"/>
    </row>
    <row r="117" spans="1:25" ht="13.8" hidden="1"/>
    <row r="118" spans="1:25" ht="13.8" hidden="1"/>
    <row r="119" spans="1:25" ht="13.8" hidden="1"/>
    <row r="120" spans="1:25" ht="13.8" hidden="1"/>
    <row r="121" spans="1:25" ht="13.8" hidden="1"/>
    <row r="122" spans="1:25" ht="13.8" hidden="1"/>
    <row r="123" spans="1:25" ht="13.8" hidden="1"/>
    <row r="124" spans="1:25" ht="14.25" hidden="1" customHeight="1"/>
    <row r="125" spans="1:25" ht="14.25" hidden="1" customHeight="1"/>
    <row r="126" spans="1:25" ht="14.25" hidden="1" customHeight="1"/>
  </sheetData>
  <sheetProtection algorithmName="SHA-512" hashValue="d2tPVGnklyqIBUo8NC0zWApPn4/H7fFvHsB4H4nhLU5xj78hJ3c/oN5VwqStjZQRJ1qOD5BVltK2zMsVUI4i1w==" saltValue="eVgmdPDjJGP6eeHgGpn9xQ==" spinCount="100000" sheet="1" objects="1" scenarios="1" selectLockedCells="1" autoFilter="0"/>
  <protectedRanges>
    <protectedRange password="DEBF" sqref="AD104:AE106" name="darf vom Benutzer nicht verändert werden_1_5_10"/>
    <protectedRange password="DEBF" sqref="AC31:AC32" name="darf vom Benutzer nicht verändert werden_1_5_2_2_2_1"/>
    <protectedRange password="DEBF" sqref="AC71:AD71" name="darf vom Benutzer nicht verändert werden_1_5_16"/>
    <protectedRange password="DEBF" sqref="AC50:AD51" name="darf vom Benutzer nicht verändert werden_1_5_14_1"/>
    <protectedRange password="DEBF" sqref="AC98:AD103" name="darf vom Benutzer nicht verändert werden_1_5_7"/>
    <protectedRange password="DEBF" sqref="AF102:AF103" name="darf vom Benutzer nicht verändert werden_1_12_1"/>
    <protectedRange password="DEBF" sqref="AC80:AD97" name="darf vom Benutzer nicht verändert werden_1_5_8"/>
    <protectedRange password="DEBF" sqref="AC33" name="darf vom Benutzer nicht verändert werden_1_5_2_7_1"/>
    <protectedRange password="DEBF" sqref="AD33" name="darf vom Benutzer nicht verändert werden_1_3_1"/>
    <protectedRange password="DEBF" sqref="AD34" name="darf vom Benutzer nicht verändert werden_1_1_5"/>
    <protectedRange password="DEBF" sqref="AC34" name="darf vom Benutzer nicht verändert werden_1_4_5"/>
    <protectedRange password="DEBF" sqref="AD37" name="darf vom Benutzer nicht verändert werden_1_2_6_1"/>
    <protectedRange password="DEBF" sqref="AC37" name="darf vom Benutzer nicht verändert werden_1_5_12_1"/>
    <protectedRange password="DEBF" sqref="AC39:AD45 AC49:AD49" name="darf vom Benutzer nicht verändert werden_1_5_14_2"/>
    <protectedRange password="DEBF" sqref="AC38:AD38" name="darf vom Benutzer nicht verändert werden_1_5_27"/>
    <protectedRange password="DEBF" sqref="AC36:AD36" name="darf vom Benutzer nicht verändert werden_1_5_1_1"/>
    <protectedRange password="DEBF" sqref="AC46:AD48" name="darf vom Benutzer nicht verändert werden_1_5_5_1"/>
    <protectedRange password="DEBF" sqref="AC52:AD53 AC57:AD57" name="darf vom Benutzer nicht verändert werden_1_5_14_3"/>
    <protectedRange password="DEBF" sqref="AC54:AD56" name="darf vom Benutzer nicht verändert werden_1_5_6"/>
    <protectedRange password="DEBF" sqref="AC58:AD60" name="darf vom Benutzer nicht verändert werden_1_5_11_1"/>
    <protectedRange password="DEBF" sqref="AC61:AD70" name="darf vom Benutzer nicht verändert werden_1_5_11_2"/>
    <protectedRange password="DEBF" sqref="AC72:AD77" name="darf vom Benutzer nicht verändert werden_1_5_9_1"/>
    <protectedRange password="DEBF" sqref="AC78:AD78" name="darf vom Benutzer nicht verändert werden_1_5_16_1"/>
    <protectedRange password="DEBF" sqref="AD79:AF79" name="darf vom Benutzer nicht verändert werden_1_5_1_2"/>
    <protectedRange password="DEBF" sqref="AE35" name="darf vom Benutzer nicht verändert werden_1_2"/>
    <protectedRange password="DEBF" sqref="AD35" name="darf vom Benutzer nicht verändert werden_1_5_2_5"/>
  </protectedRanges>
  <autoFilter ref="A29:A106" xr:uid="{00000000-0009-0000-0000-000007000000}"/>
  <mergeCells count="113">
    <mergeCell ref="E90:K90"/>
    <mergeCell ref="E91:K91"/>
    <mergeCell ref="E94:K94"/>
    <mergeCell ref="E96:K96"/>
    <mergeCell ref="E97:K97"/>
    <mergeCell ref="E99:K99"/>
    <mergeCell ref="E102:H102"/>
    <mergeCell ref="I102:K102"/>
    <mergeCell ref="E98:K98"/>
    <mergeCell ref="E95:K95"/>
    <mergeCell ref="D115:J115"/>
    <mergeCell ref="E104:K104"/>
    <mergeCell ref="E105:K105"/>
    <mergeCell ref="E106:K106"/>
    <mergeCell ref="E73:K73"/>
    <mergeCell ref="E74:K74"/>
    <mergeCell ref="E75:K75"/>
    <mergeCell ref="E86:K86"/>
    <mergeCell ref="E92:K92"/>
    <mergeCell ref="E93:K93"/>
    <mergeCell ref="E76:K76"/>
    <mergeCell ref="E87:K87"/>
    <mergeCell ref="E77:K77"/>
    <mergeCell ref="E78:K78"/>
    <mergeCell ref="E79:K79"/>
    <mergeCell ref="E80:K80"/>
    <mergeCell ref="E85:K85"/>
    <mergeCell ref="E100:K100"/>
    <mergeCell ref="D107:N108"/>
    <mergeCell ref="D109:N110"/>
    <mergeCell ref="D111:N112"/>
    <mergeCell ref="L115:N115"/>
    <mergeCell ref="E88:K88"/>
    <mergeCell ref="E89:K89"/>
    <mergeCell ref="E51:K51"/>
    <mergeCell ref="E50:K50"/>
    <mergeCell ref="H35:K35"/>
    <mergeCell ref="E36:K36"/>
    <mergeCell ref="H48:K48"/>
    <mergeCell ref="E43:K43"/>
    <mergeCell ref="E34:G34"/>
    <mergeCell ref="H34:K34"/>
    <mergeCell ref="E35:G35"/>
    <mergeCell ref="E37:G37"/>
    <mergeCell ref="H37:K37"/>
    <mergeCell ref="C11:E11"/>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B24:B27"/>
    <mergeCell ref="C27:E27"/>
    <mergeCell ref="C24:E24"/>
    <mergeCell ref="C25:E25"/>
    <mergeCell ref="C26:E26"/>
    <mergeCell ref="AD29:AE29"/>
    <mergeCell ref="E83:K83"/>
    <mergeCell ref="E84:K84"/>
    <mergeCell ref="E72:K72"/>
    <mergeCell ref="E60:K60"/>
    <mergeCell ref="E65:K65"/>
    <mergeCell ref="E66:K66"/>
    <mergeCell ref="E67:K67"/>
    <mergeCell ref="E61:K61"/>
    <mergeCell ref="E62:K62"/>
    <mergeCell ref="E63:K63"/>
    <mergeCell ref="E64:K64"/>
    <mergeCell ref="E68:K68"/>
    <mergeCell ref="E69:K69"/>
    <mergeCell ref="E70:K70"/>
    <mergeCell ref="E71:K71"/>
    <mergeCell ref="E38:K38"/>
    <mergeCell ref="E39:K39"/>
    <mergeCell ref="E82:K82"/>
    <mergeCell ref="E81:K81"/>
    <mergeCell ref="E59:K59"/>
    <mergeCell ref="E49:K49"/>
    <mergeCell ref="E55:H55"/>
    <mergeCell ref="J55:K55"/>
    <mergeCell ref="E56:G56"/>
    <mergeCell ref="E57:G57"/>
    <mergeCell ref="E103:K103"/>
    <mergeCell ref="AH37:AR37"/>
    <mergeCell ref="AT37:BD37"/>
    <mergeCell ref="E46:G46"/>
    <mergeCell ref="H46:K46"/>
    <mergeCell ref="AH68:AS68"/>
    <mergeCell ref="AT68:BD68"/>
    <mergeCell ref="E40:K40"/>
    <mergeCell ref="E41:K41"/>
    <mergeCell ref="E42:K42"/>
    <mergeCell ref="E52:K52"/>
    <mergeCell ref="E53:K53"/>
    <mergeCell ref="E44:K44"/>
    <mergeCell ref="E45:K45"/>
    <mergeCell ref="E47:G47"/>
    <mergeCell ref="H47:K47"/>
    <mergeCell ref="E48:G48"/>
    <mergeCell ref="E101:K101"/>
    <mergeCell ref="J56:K56"/>
    <mergeCell ref="E58:K58"/>
    <mergeCell ref="E54:K54"/>
    <mergeCell ref="J57:K57"/>
  </mergeCells>
  <conditionalFormatting sqref="A31:A106">
    <cfRule type="cellIs" dxfId="673" priority="6" operator="equal">
      <formula>""</formula>
    </cfRule>
  </conditionalFormatting>
  <conditionalFormatting sqref="B104:E106">
    <cfRule type="cellIs" dxfId="672" priority="963" operator="equal">
      <formula>""</formula>
    </cfRule>
  </conditionalFormatting>
  <conditionalFormatting sqref="C9:E11">
    <cfRule type="cellIs" dxfId="670" priority="1096" operator="equal">
      <formula>""</formula>
    </cfRule>
  </conditionalFormatting>
  <conditionalFormatting sqref="C13:E15">
    <cfRule type="cellIs" dxfId="669" priority="1093" operator="equal">
      <formula>""</formula>
    </cfRule>
  </conditionalFormatting>
  <conditionalFormatting sqref="C18:E21">
    <cfRule type="cellIs" dxfId="668" priority="1089" operator="equal">
      <formula>""</formula>
    </cfRule>
  </conditionalFormatting>
  <conditionalFormatting sqref="C24:E27">
    <cfRule type="cellIs" dxfId="667" priority="405" operator="equal">
      <formula>""</formula>
    </cfRule>
  </conditionalFormatting>
  <conditionalFormatting sqref="D67">
    <cfRule type="duplicateValues" dxfId="666" priority="34"/>
  </conditionalFormatting>
  <conditionalFormatting sqref="D68">
    <cfRule type="duplicateValues" dxfId="665" priority="38"/>
  </conditionalFormatting>
  <conditionalFormatting sqref="D69">
    <cfRule type="duplicateValues" dxfId="664" priority="37"/>
  </conditionalFormatting>
  <conditionalFormatting sqref="D77">
    <cfRule type="duplicateValues" dxfId="663" priority="20"/>
  </conditionalFormatting>
  <conditionalFormatting sqref="H35:K35">
    <cfRule type="cellIs" dxfId="657" priority="7" operator="equal">
      <formula>""</formula>
    </cfRule>
  </conditionalFormatting>
  <conditionalFormatting sqref="I13">
    <cfRule type="expression" dxfId="654" priority="673">
      <formula>$Z$13=1</formula>
    </cfRule>
    <cfRule type="expression" dxfId="653" priority="670">
      <formula>$Z$13=2</formula>
    </cfRule>
  </conditionalFormatting>
  <conditionalFormatting sqref="I21:I22 I28">
    <cfRule type="expression" dxfId="652" priority="1114">
      <formula>$Z$21=10</formula>
    </cfRule>
  </conditionalFormatting>
  <conditionalFormatting sqref="I24:I26">
    <cfRule type="cellIs" dxfId="651" priority="150" operator="equal">
      <formula>""</formula>
    </cfRule>
  </conditionalFormatting>
  <conditionalFormatting sqref="J21:K22">
    <cfRule type="expression" dxfId="649" priority="1113">
      <formula>$Z$21=10</formula>
    </cfRule>
  </conditionalFormatting>
  <conditionalFormatting sqref="L13">
    <cfRule type="expression" dxfId="647" priority="672">
      <formula>$Z$13=2</formula>
    </cfRule>
    <cfRule type="expression" dxfId="646" priority="671">
      <formula>$Z$13=1</formula>
    </cfRule>
  </conditionalFormatting>
  <conditionalFormatting sqref="L104:M106">
    <cfRule type="cellIs" dxfId="645" priority="1005" operator="equal">
      <formula>""</formula>
    </cfRule>
  </conditionalFormatting>
  <conditionalFormatting sqref="AH86 AJ86:AR86">
    <cfRule type="duplicateValues" dxfId="642" priority="134"/>
  </conditionalFormatting>
  <conditionalFormatting sqref="AH102:AL102">
    <cfRule type="duplicateValues" dxfId="641" priority="133"/>
  </conditionalFormatting>
  <conditionalFormatting sqref="AH82:AO82 AQ82">
    <cfRule type="duplicateValues" dxfId="640" priority="132"/>
  </conditionalFormatting>
  <conditionalFormatting sqref="AH83:AO83 AQ83">
    <cfRule type="duplicateValues" dxfId="639" priority="131"/>
  </conditionalFormatting>
  <conditionalFormatting sqref="AH87:AO87 AQ87">
    <cfRule type="duplicateValues" dxfId="638" priority="130"/>
  </conditionalFormatting>
  <conditionalFormatting sqref="AH88:AO88 AQ88">
    <cfRule type="duplicateValues" dxfId="637" priority="129"/>
  </conditionalFormatting>
  <conditionalFormatting sqref="AH89:AO89 AQ89">
    <cfRule type="duplicateValues" dxfId="636" priority="128"/>
  </conditionalFormatting>
  <conditionalFormatting sqref="AH90:AO90 AQ90">
    <cfRule type="duplicateValues" dxfId="635" priority="127"/>
  </conditionalFormatting>
  <conditionalFormatting sqref="AH91:AO91 AQ91">
    <cfRule type="duplicateValues" dxfId="634" priority="126"/>
  </conditionalFormatting>
  <conditionalFormatting sqref="AH93:AO93 AQ93">
    <cfRule type="duplicateValues" dxfId="633" priority="125"/>
  </conditionalFormatting>
  <conditionalFormatting sqref="AH65:AP65">
    <cfRule type="duplicateValues" dxfId="632" priority="36"/>
  </conditionalFormatting>
  <conditionalFormatting sqref="AH66:AP66">
    <cfRule type="duplicateValues" dxfId="631" priority="40"/>
  </conditionalFormatting>
  <conditionalFormatting sqref="AH95:AP95 AH94:AO94 AQ94">
    <cfRule type="duplicateValues" dxfId="630" priority="124"/>
  </conditionalFormatting>
  <conditionalFormatting sqref="AH71:AQ71">
    <cfRule type="duplicateValues" dxfId="629" priority="430"/>
  </conditionalFormatting>
  <conditionalFormatting sqref="AH79:AQ79">
    <cfRule type="duplicateValues" dxfId="628" priority="10"/>
  </conditionalFormatting>
  <conditionalFormatting sqref="AH36:AR36">
    <cfRule type="duplicateValues" dxfId="627" priority="112"/>
  </conditionalFormatting>
  <conditionalFormatting sqref="AH46:AR46">
    <cfRule type="duplicateValues" dxfId="626" priority="108"/>
  </conditionalFormatting>
  <conditionalFormatting sqref="AH47:AR47">
    <cfRule type="duplicateValues" dxfId="625" priority="107"/>
  </conditionalFormatting>
  <conditionalFormatting sqref="AH48:AR48">
    <cfRule type="duplicateValues" dxfId="624" priority="106"/>
  </conditionalFormatting>
  <conditionalFormatting sqref="AH49:AR49">
    <cfRule type="duplicateValues" dxfId="623" priority="103"/>
  </conditionalFormatting>
  <conditionalFormatting sqref="AH50:AR50">
    <cfRule type="duplicateValues" dxfId="622" priority="168"/>
  </conditionalFormatting>
  <conditionalFormatting sqref="AH51:AR51">
    <cfRule type="duplicateValues" dxfId="621" priority="171"/>
  </conditionalFormatting>
  <conditionalFormatting sqref="AH54:AR54">
    <cfRule type="duplicateValues" dxfId="620" priority="92"/>
  </conditionalFormatting>
  <conditionalFormatting sqref="AH55:AR56">
    <cfRule type="duplicateValues" dxfId="619" priority="64"/>
  </conditionalFormatting>
  <conditionalFormatting sqref="AH58:AR60">
    <cfRule type="duplicateValues" dxfId="618" priority="42"/>
  </conditionalFormatting>
  <conditionalFormatting sqref="AH61:AR64">
    <cfRule type="duplicateValues" dxfId="617" priority="26"/>
  </conditionalFormatting>
  <conditionalFormatting sqref="AH70:AR70">
    <cfRule type="duplicateValues" dxfId="616" priority="41"/>
  </conditionalFormatting>
  <conditionalFormatting sqref="AH74:AR76">
    <cfRule type="duplicateValues" dxfId="615" priority="17"/>
  </conditionalFormatting>
  <conditionalFormatting sqref="AH80:AR81">
    <cfRule type="duplicateValues" dxfId="614" priority="138"/>
  </conditionalFormatting>
  <conditionalFormatting sqref="AH84:AR84">
    <cfRule type="duplicateValues" dxfId="613" priority="139"/>
  </conditionalFormatting>
  <conditionalFormatting sqref="AH85:AR85">
    <cfRule type="duplicateValues" dxfId="612" priority="140"/>
  </conditionalFormatting>
  <conditionalFormatting sqref="AH92:AR92">
    <cfRule type="duplicateValues" dxfId="611" priority="123"/>
  </conditionalFormatting>
  <conditionalFormatting sqref="AI86">
    <cfRule type="duplicateValues" dxfId="610" priority="122"/>
  </conditionalFormatting>
  <conditionalFormatting sqref="AP31">
    <cfRule type="duplicateValues" dxfId="609" priority="176"/>
  </conditionalFormatting>
  <conditionalFormatting sqref="AP32">
    <cfRule type="duplicateValues" dxfId="608" priority="175"/>
  </conditionalFormatting>
  <conditionalFormatting sqref="AQ31 AH31:AO31">
    <cfRule type="duplicateValues" dxfId="607" priority="2068"/>
  </conditionalFormatting>
  <conditionalFormatting sqref="AQ32 AH32:AO32">
    <cfRule type="duplicateValues" dxfId="606" priority="2067"/>
  </conditionalFormatting>
  <conditionalFormatting sqref="AQ65">
    <cfRule type="duplicateValues" dxfId="605" priority="35"/>
  </conditionalFormatting>
  <conditionalFormatting sqref="AQ66">
    <cfRule type="duplicateValues" dxfId="604" priority="39"/>
  </conditionalFormatting>
  <conditionalFormatting sqref="AQ95:AR95 AR94 AP94">
    <cfRule type="duplicateValues" dxfId="603" priority="121"/>
  </conditionalFormatting>
  <conditionalFormatting sqref="AR31:AR32">
    <cfRule type="duplicateValues" dxfId="602" priority="12"/>
  </conditionalFormatting>
  <conditionalFormatting sqref="AR71">
    <cfRule type="duplicateValues" dxfId="601" priority="11"/>
  </conditionalFormatting>
  <conditionalFormatting sqref="AR82 AP82">
    <cfRule type="duplicateValues" dxfId="600" priority="120"/>
  </conditionalFormatting>
  <conditionalFormatting sqref="AR83 AP83">
    <cfRule type="duplicateValues" dxfId="599" priority="119"/>
  </conditionalFormatting>
  <conditionalFormatting sqref="AR87 AP87">
    <cfRule type="duplicateValues" dxfId="598" priority="118"/>
  </conditionalFormatting>
  <conditionalFormatting sqref="AR88 AP88">
    <cfRule type="duplicateValues" dxfId="597" priority="141"/>
  </conditionalFormatting>
  <conditionalFormatting sqref="AR89 AP89">
    <cfRule type="duplicateValues" dxfId="596" priority="142"/>
  </conditionalFormatting>
  <conditionalFormatting sqref="AR90 AP90">
    <cfRule type="duplicateValues" dxfId="595" priority="143"/>
  </conditionalFormatting>
  <conditionalFormatting sqref="AR91 AP91">
    <cfRule type="duplicateValues" dxfId="594" priority="144"/>
  </conditionalFormatting>
  <conditionalFormatting sqref="AR93 AP93">
    <cfRule type="duplicateValues" dxfId="593" priority="135"/>
  </conditionalFormatting>
  <conditionalFormatting sqref="AT72:AU72 AX72 AZ72 AH72:AR73">
    <cfRule type="duplicateValues" dxfId="592" priority="22"/>
  </conditionalFormatting>
  <conditionalFormatting sqref="AT103:AU103 AX103 AZ103 AH103:AR103">
    <cfRule type="duplicateValues" dxfId="591" priority="136"/>
  </conditionalFormatting>
  <conditionalFormatting sqref="AT46:AV48">
    <cfRule type="duplicateValues" dxfId="590" priority="105"/>
  </conditionalFormatting>
  <conditionalFormatting sqref="AT49:AV49">
    <cfRule type="duplicateValues" dxfId="589" priority="104"/>
  </conditionalFormatting>
  <conditionalFormatting sqref="AT78:AW78 AH78:AR78">
    <cfRule type="duplicateValues" dxfId="588" priority="16"/>
  </conditionalFormatting>
  <conditionalFormatting sqref="AT50:BA50">
    <cfRule type="duplicateValues" dxfId="587" priority="167"/>
  </conditionalFormatting>
  <conditionalFormatting sqref="AT51:BA51">
    <cfRule type="duplicateValues" dxfId="586" priority="170"/>
  </conditionalFormatting>
  <conditionalFormatting sqref="AT54:BA54 BC54:BD54">
    <cfRule type="duplicateValues" dxfId="585" priority="93"/>
  </conditionalFormatting>
  <conditionalFormatting sqref="AT58:BC58">
    <cfRule type="duplicateValues" dxfId="584" priority="45"/>
  </conditionalFormatting>
  <conditionalFormatting sqref="AT59:BC59">
    <cfRule type="duplicateValues" dxfId="583" priority="43"/>
  </conditionalFormatting>
  <conditionalFormatting sqref="AT60:BC60">
    <cfRule type="duplicateValues" dxfId="582" priority="44"/>
  </conditionalFormatting>
  <conditionalFormatting sqref="AT55:BD55">
    <cfRule type="duplicateValues" dxfId="581" priority="91"/>
  </conditionalFormatting>
  <conditionalFormatting sqref="AT56:BD56">
    <cfRule type="duplicateValues" dxfId="580" priority="46"/>
  </conditionalFormatting>
  <conditionalFormatting sqref="AT73:BD73">
    <cfRule type="duplicateValues" dxfId="579" priority="18"/>
  </conditionalFormatting>
  <conditionalFormatting sqref="AV72:AW72 AY72 BA72:BC72">
    <cfRule type="duplicateValues" dxfId="578" priority="21"/>
  </conditionalFormatting>
  <conditionalFormatting sqref="AV103:AW103 AY103 BA103:BD103">
    <cfRule type="duplicateValues" dxfId="577" priority="137"/>
  </conditionalFormatting>
  <conditionalFormatting sqref="AX78:BD78">
    <cfRule type="duplicateValues" dxfId="576" priority="15"/>
  </conditionalFormatting>
  <conditionalFormatting sqref="AY39:AY45 BA39:BD45 AV39:AW45">
    <cfRule type="duplicateValues" dxfId="575" priority="111"/>
  </conditionalFormatting>
  <conditionalFormatting sqref="AZ39:AZ45 AT39:AU45 AX39:AX45 AH39:AR45">
    <cfRule type="duplicateValues" dxfId="574" priority="110"/>
  </conditionalFormatting>
  <conditionalFormatting sqref="BB54">
    <cfRule type="duplicateValues" dxfId="573" priority="25"/>
  </conditionalFormatting>
  <conditionalFormatting sqref="BB61:BB64 BC61 AT61:BA61">
    <cfRule type="duplicateValues" dxfId="572" priority="33"/>
  </conditionalFormatting>
  <conditionalFormatting sqref="BB62">
    <cfRule type="duplicateValues" dxfId="571" priority="31"/>
  </conditionalFormatting>
  <conditionalFormatting sqref="BB63">
    <cfRule type="duplicateValues" dxfId="570" priority="29"/>
  </conditionalFormatting>
  <conditionalFormatting sqref="BB64">
    <cfRule type="duplicateValues" dxfId="569" priority="27"/>
  </conditionalFormatting>
  <conditionalFormatting sqref="BC62 AT62:BA62">
    <cfRule type="duplicateValues" dxfId="568" priority="32"/>
  </conditionalFormatting>
  <conditionalFormatting sqref="BC63 AT63:BA63">
    <cfRule type="duplicateValues" dxfId="567" priority="30"/>
  </conditionalFormatting>
  <conditionalFormatting sqref="BC64 AT64:BA64">
    <cfRule type="duplicateValues" dxfId="566" priority="28"/>
  </conditionalFormatting>
  <conditionalFormatting sqref="BC57:BK57 BM57:BV57">
    <cfRule type="duplicateValues" dxfId="565" priority="98"/>
  </conditionalFormatting>
  <conditionalFormatting sqref="BD72">
    <cfRule type="duplicateValues" dxfId="564" priority="19"/>
  </conditionalFormatting>
  <conditionalFormatting sqref="BT55:CD56">
    <cfRule type="duplicateValues" dxfId="563" priority="63"/>
  </conditionalFormatting>
  <conditionalFormatting sqref="BX57:CF57 CH57:CQ57">
    <cfRule type="duplicateValues" dxfId="562" priority="97"/>
  </conditionalFormatting>
  <conditionalFormatting sqref="CH55:CR56 BH55:BR56">
    <cfRule type="duplicateValues" dxfId="561" priority="62"/>
  </conditionalFormatting>
  <conditionalFormatting sqref="CS57:DA57 DX57:EG57">
    <cfRule type="duplicateValues" dxfId="560" priority="96"/>
  </conditionalFormatting>
  <conditionalFormatting sqref="CU55:DD56">
    <cfRule type="duplicateValues" dxfId="559" priority="61"/>
  </conditionalFormatting>
  <conditionalFormatting sqref="DC57:DL57">
    <cfRule type="duplicateValues" dxfId="558" priority="94"/>
  </conditionalFormatting>
  <conditionalFormatting sqref="DH55:DR56">
    <cfRule type="duplicateValues" dxfId="557" priority="60"/>
  </conditionalFormatting>
  <conditionalFormatting sqref="DU55:ED56">
    <cfRule type="duplicateValues" dxfId="556" priority="59"/>
  </conditionalFormatting>
  <conditionalFormatting sqref="EH55:ER56">
    <cfRule type="duplicateValues" dxfId="555" priority="58"/>
  </conditionalFormatting>
  <conditionalFormatting sqref="EI57:EQ57 ES57:FB57">
    <cfRule type="duplicateValues" dxfId="554" priority="95"/>
  </conditionalFormatting>
  <conditionalFormatting sqref="EU55:FD56">
    <cfRule type="duplicateValues" dxfId="553" priority="57"/>
  </conditionalFormatting>
  <conditionalFormatting sqref="FH55:FR56">
    <cfRule type="duplicateValues" dxfId="552" priority="56"/>
  </conditionalFormatting>
  <conditionalFormatting sqref="FU55:GD56">
    <cfRule type="duplicateValues" dxfId="551" priority="55"/>
  </conditionalFormatting>
  <conditionalFormatting sqref="GH55:GR56">
    <cfRule type="duplicateValues" dxfId="550" priority="54"/>
  </conditionalFormatting>
  <conditionalFormatting sqref="GU55:HD56">
    <cfRule type="duplicateValues" dxfId="549" priority="53"/>
  </conditionalFormatting>
  <conditionalFormatting sqref="HH55:HR56">
    <cfRule type="duplicateValues" dxfId="548" priority="52"/>
  </conditionalFormatting>
  <conditionalFormatting sqref="HU55:ID56">
    <cfRule type="duplicateValues" dxfId="547" priority="51"/>
  </conditionalFormatting>
  <conditionalFormatting sqref="IH55:IR56">
    <cfRule type="duplicateValues" dxfId="546" priority="50"/>
  </conditionalFormatting>
  <conditionalFormatting sqref="IU55:JD56">
    <cfRule type="duplicateValues" dxfId="545" priority="49"/>
  </conditionalFormatting>
  <conditionalFormatting sqref="JH55:JR56">
    <cfRule type="duplicateValues" dxfId="544" priority="48"/>
  </conditionalFormatting>
  <conditionalFormatting sqref="JU55:KD56">
    <cfRule type="duplicateValues" dxfId="543" priority="47"/>
  </conditionalFormatting>
  <conditionalFormatting sqref="KF55:KM55">
    <cfRule type="duplicateValues" dxfId="542" priority="90"/>
  </conditionalFormatting>
  <conditionalFormatting sqref="KN55">
    <cfRule type="duplicateValues" dxfId="541" priority="65"/>
  </conditionalFormatting>
  <conditionalFormatting sqref="KP55">
    <cfRule type="duplicateValues" dxfId="540" priority="77"/>
  </conditionalFormatting>
  <conditionalFormatting sqref="KQ55:KX55">
    <cfRule type="duplicateValues" dxfId="539" priority="89"/>
  </conditionalFormatting>
  <conditionalFormatting sqref="KZ55:LH55">
    <cfRule type="duplicateValues" dxfId="538" priority="88"/>
  </conditionalFormatting>
  <conditionalFormatting sqref="LI55">
    <cfRule type="duplicateValues" dxfId="537" priority="66"/>
  </conditionalFormatting>
  <conditionalFormatting sqref="LK55">
    <cfRule type="duplicateValues" dxfId="536" priority="76"/>
  </conditionalFormatting>
  <conditionalFormatting sqref="LL55:LS55">
    <cfRule type="duplicateValues" dxfId="535" priority="87"/>
  </conditionalFormatting>
  <conditionalFormatting sqref="LU55:MC55">
    <cfRule type="duplicateValues" dxfId="534" priority="86"/>
  </conditionalFormatting>
  <conditionalFormatting sqref="MD55">
    <cfRule type="duplicateValues" dxfId="533" priority="67"/>
  </conditionalFormatting>
  <conditionalFormatting sqref="MF55">
    <cfRule type="duplicateValues" dxfId="532" priority="75"/>
  </conditionalFormatting>
  <conditionalFormatting sqref="MG55:MN55">
    <cfRule type="duplicateValues" dxfId="531" priority="85"/>
  </conditionalFormatting>
  <conditionalFormatting sqref="MP55:MX55">
    <cfRule type="duplicateValues" dxfId="530" priority="84"/>
  </conditionalFormatting>
  <conditionalFormatting sqref="MY55">
    <cfRule type="duplicateValues" dxfId="529" priority="68"/>
  </conditionalFormatting>
  <conditionalFormatting sqref="NA55">
    <cfRule type="duplicateValues" dxfId="528" priority="74"/>
  </conditionalFormatting>
  <conditionalFormatting sqref="NB55:NI55">
    <cfRule type="duplicateValues" dxfId="527" priority="83"/>
  </conditionalFormatting>
  <conditionalFormatting sqref="NK55:NS55">
    <cfRule type="duplicateValues" dxfId="526" priority="82"/>
  </conditionalFormatting>
  <conditionalFormatting sqref="NT55">
    <cfRule type="duplicateValues" dxfId="525" priority="69"/>
  </conditionalFormatting>
  <conditionalFormatting sqref="NV55">
    <cfRule type="duplicateValues" dxfId="524" priority="73"/>
  </conditionalFormatting>
  <conditionalFormatting sqref="NW55:OD55">
    <cfRule type="duplicateValues" dxfId="523" priority="81"/>
  </conditionalFormatting>
  <conditionalFormatting sqref="OF55:ON55">
    <cfRule type="duplicateValues" dxfId="522" priority="80"/>
  </conditionalFormatting>
  <conditionalFormatting sqref="OO55">
    <cfRule type="duplicateValues" dxfId="521" priority="70"/>
  </conditionalFormatting>
  <conditionalFormatting sqref="OQ55">
    <cfRule type="duplicateValues" dxfId="520" priority="72"/>
  </conditionalFormatting>
  <conditionalFormatting sqref="OR55:OY55">
    <cfRule type="duplicateValues" dxfId="519" priority="79"/>
  </conditionalFormatting>
  <conditionalFormatting sqref="PA55:PJ55">
    <cfRule type="duplicateValues" dxfId="518" priority="78"/>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progId="CorelDraw.Graphic.15" shapeId="50204" r:id="rId5">
          <objectPr defaultSize="0" autoPict="0" r:id="rId6">
            <anchor moveWithCells="1" sizeWithCells="1">
              <from>
                <xdr:col>2</xdr:col>
                <xdr:colOff>190500</xdr:colOff>
                <xdr:row>70</xdr:row>
                <xdr:rowOff>68580</xdr:rowOff>
              </from>
              <to>
                <xdr:col>2</xdr:col>
                <xdr:colOff>601980</xdr:colOff>
                <xdr:row>70</xdr:row>
                <xdr:rowOff>373380</xdr:rowOff>
              </to>
            </anchor>
          </objectPr>
        </oleObject>
      </mc:Choice>
      <mc:Fallback>
        <oleObject progId="CorelDraw.Graphic.15" shapeId="50204" r:id="rId5"/>
      </mc:Fallback>
    </mc:AlternateContent>
  </oleObjects>
  <mc:AlternateContent xmlns:mc="http://schemas.openxmlformats.org/markup-compatibility/2006">
    <mc:Choice Requires="x14">
      <controls>
        <mc:AlternateContent xmlns:mc="http://schemas.openxmlformats.org/markup-compatibility/2006">
          <mc:Choice Requires="x14">
            <control shapeId="50177" r:id="rId7"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0185" r:id="rId8" name="Option Button 9">
              <controlPr defaultSize="0" autoFill="0" autoLine="0" autoPict="0" altText="">
                <anchor moveWithCells="1">
                  <from>
                    <xdr:col>5</xdr:col>
                    <xdr:colOff>563880</xdr:colOff>
                    <xdr:row>15</xdr:row>
                    <xdr:rowOff>30480</xdr:rowOff>
                  </from>
                  <to>
                    <xdr:col>7</xdr:col>
                    <xdr:colOff>320040</xdr:colOff>
                    <xdr:row>15</xdr:row>
                    <xdr:rowOff>182880</xdr:rowOff>
                  </to>
                </anchor>
              </controlPr>
            </control>
          </mc:Choice>
        </mc:AlternateContent>
        <mc:AlternateContent xmlns:mc="http://schemas.openxmlformats.org/markup-compatibility/2006">
          <mc:Choice Requires="x14">
            <control shapeId="50186" r:id="rId9" name="Option Button 10">
              <controlPr defaultSize="0" autoFill="0" autoLine="0" autoPict="0" altText="">
                <anchor moveWithCells="1">
                  <from>
                    <xdr:col>5</xdr:col>
                    <xdr:colOff>563880</xdr:colOff>
                    <xdr:row>16</xdr:row>
                    <xdr:rowOff>30480</xdr:rowOff>
                  </from>
                  <to>
                    <xdr:col>7</xdr:col>
                    <xdr:colOff>320040</xdr:colOff>
                    <xdr:row>16</xdr:row>
                    <xdr:rowOff>182880</xdr:rowOff>
                  </to>
                </anchor>
              </controlPr>
            </control>
          </mc:Choice>
        </mc:AlternateContent>
        <mc:AlternateContent xmlns:mc="http://schemas.openxmlformats.org/markup-compatibility/2006">
          <mc:Choice Requires="x14">
            <control shapeId="50187" r:id="rId10" name="Option Button 11">
              <controlPr defaultSize="0" autoFill="0" autoLine="0" autoPict="0" altText="">
                <anchor moveWithCells="1">
                  <from>
                    <xdr:col>5</xdr:col>
                    <xdr:colOff>563880</xdr:colOff>
                    <xdr:row>17</xdr:row>
                    <xdr:rowOff>30480</xdr:rowOff>
                  </from>
                  <to>
                    <xdr:col>7</xdr:col>
                    <xdr:colOff>320040</xdr:colOff>
                    <xdr:row>17</xdr:row>
                    <xdr:rowOff>182880</xdr:rowOff>
                  </to>
                </anchor>
              </controlPr>
            </control>
          </mc:Choice>
        </mc:AlternateContent>
        <mc:AlternateContent xmlns:mc="http://schemas.openxmlformats.org/markup-compatibility/2006">
          <mc:Choice Requires="x14">
            <control shapeId="50188" r:id="rId11" name="Option Button 12">
              <controlPr defaultSize="0" autoFill="0" autoLine="0" autoPict="0" altText="">
                <anchor moveWithCells="1">
                  <from>
                    <xdr:col>5</xdr:col>
                    <xdr:colOff>563880</xdr:colOff>
                    <xdr:row>18</xdr:row>
                    <xdr:rowOff>30480</xdr:rowOff>
                  </from>
                  <to>
                    <xdr:col>7</xdr:col>
                    <xdr:colOff>320040</xdr:colOff>
                    <xdr:row>18</xdr:row>
                    <xdr:rowOff>182880</xdr:rowOff>
                  </to>
                </anchor>
              </controlPr>
            </control>
          </mc:Choice>
        </mc:AlternateContent>
        <mc:AlternateContent xmlns:mc="http://schemas.openxmlformats.org/markup-compatibility/2006">
          <mc:Choice Requires="x14">
            <control shapeId="50189" r:id="rId12" name="Option Button 13">
              <controlPr defaultSize="0" autoFill="0" autoLine="0" autoPict="0" altText="">
                <anchor moveWithCells="1">
                  <from>
                    <xdr:col>5</xdr:col>
                    <xdr:colOff>563880</xdr:colOff>
                    <xdr:row>19</xdr:row>
                    <xdr:rowOff>22860</xdr:rowOff>
                  </from>
                  <to>
                    <xdr:col>7</xdr:col>
                    <xdr:colOff>327660</xdr:colOff>
                    <xdr:row>19</xdr:row>
                    <xdr:rowOff>182880</xdr:rowOff>
                  </to>
                </anchor>
              </controlPr>
            </control>
          </mc:Choice>
        </mc:AlternateContent>
        <mc:AlternateContent xmlns:mc="http://schemas.openxmlformats.org/markup-compatibility/2006">
          <mc:Choice Requires="x14">
            <control shapeId="50190" r:id="rId13" name="Option Button 14">
              <controlPr defaultSize="0" autoFill="0" autoLine="0" autoPict="0" altText="">
                <anchor moveWithCells="1">
                  <from>
                    <xdr:col>5</xdr:col>
                    <xdr:colOff>563880</xdr:colOff>
                    <xdr:row>20</xdr:row>
                    <xdr:rowOff>22860</xdr:rowOff>
                  </from>
                  <to>
                    <xdr:col>7</xdr:col>
                    <xdr:colOff>312420</xdr:colOff>
                    <xdr:row>21</xdr:row>
                    <xdr:rowOff>7620</xdr:rowOff>
                  </to>
                </anchor>
              </controlPr>
            </control>
          </mc:Choice>
        </mc:AlternateContent>
        <mc:AlternateContent xmlns:mc="http://schemas.openxmlformats.org/markup-compatibility/2006">
          <mc:Choice Requires="x14">
            <control shapeId="50191" r:id="rId14" name="Option Button 15">
              <controlPr defaultSize="0" autoFill="0" autoLine="0" autoPict="0" altText="">
                <anchor moveWithCells="1">
                  <from>
                    <xdr:col>8</xdr:col>
                    <xdr:colOff>762000</xdr:colOff>
                    <xdr:row>15</xdr:row>
                    <xdr:rowOff>22860</xdr:rowOff>
                  </from>
                  <to>
                    <xdr:col>10</xdr:col>
                    <xdr:colOff>312420</xdr:colOff>
                    <xdr:row>15</xdr:row>
                    <xdr:rowOff>175260</xdr:rowOff>
                  </to>
                </anchor>
              </controlPr>
            </control>
          </mc:Choice>
        </mc:AlternateContent>
        <mc:AlternateContent xmlns:mc="http://schemas.openxmlformats.org/markup-compatibility/2006">
          <mc:Choice Requires="x14">
            <control shapeId="50192" r:id="rId15" name="Option Button 16">
              <controlPr defaultSize="0" autoFill="0" autoLine="0" autoPict="0" altText="">
                <anchor moveWithCells="1">
                  <from>
                    <xdr:col>8</xdr:col>
                    <xdr:colOff>762000</xdr:colOff>
                    <xdr:row>16</xdr:row>
                    <xdr:rowOff>22860</xdr:rowOff>
                  </from>
                  <to>
                    <xdr:col>10</xdr:col>
                    <xdr:colOff>388620</xdr:colOff>
                    <xdr:row>17</xdr:row>
                    <xdr:rowOff>22860</xdr:rowOff>
                  </to>
                </anchor>
              </controlPr>
            </control>
          </mc:Choice>
        </mc:AlternateContent>
        <mc:AlternateContent xmlns:mc="http://schemas.openxmlformats.org/markup-compatibility/2006">
          <mc:Choice Requires="x14">
            <control shapeId="50193" r:id="rId16" name="Option Button 17">
              <controlPr defaultSize="0" autoFill="0" autoLine="0" autoPict="0" altText="">
                <anchor moveWithCells="1">
                  <from>
                    <xdr:col>8</xdr:col>
                    <xdr:colOff>754380</xdr:colOff>
                    <xdr:row>17</xdr:row>
                    <xdr:rowOff>38100</xdr:rowOff>
                  </from>
                  <to>
                    <xdr:col>10</xdr:col>
                    <xdr:colOff>297180</xdr:colOff>
                    <xdr:row>18</xdr:row>
                    <xdr:rowOff>0</xdr:rowOff>
                  </to>
                </anchor>
              </controlPr>
            </control>
          </mc:Choice>
        </mc:AlternateContent>
        <mc:AlternateContent xmlns:mc="http://schemas.openxmlformats.org/markup-compatibility/2006">
          <mc:Choice Requires="x14">
            <control shapeId="50194" r:id="rId17"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0201" r:id="rId18"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0206" r:id="rId19" name="Option Button 30">
              <controlPr defaultSize="0" autoFill="0" autoLine="0" autoPict="0" altText="">
                <anchor moveWithCells="1">
                  <from>
                    <xdr:col>8</xdr:col>
                    <xdr:colOff>754380</xdr:colOff>
                    <xdr:row>18</xdr:row>
                    <xdr:rowOff>22860</xdr:rowOff>
                  </from>
                  <to>
                    <xdr:col>10</xdr:col>
                    <xdr:colOff>297180</xdr:colOff>
                    <xdr:row>18</xdr:row>
                    <xdr:rowOff>175260</xdr:rowOff>
                  </to>
                </anchor>
              </controlPr>
            </control>
          </mc:Choice>
        </mc:AlternateContent>
        <mc:AlternateContent xmlns:mc="http://schemas.openxmlformats.org/markup-compatibility/2006">
          <mc:Choice Requires="x14">
            <control shapeId="50207" r:id="rId20"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0208" r:id="rId21"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0216" r:id="rId22" name="Group Box 40">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0217" r:id="rId23" name="Option Button 4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0218" r:id="rId24" name="Option Button 4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0219" r:id="rId25" name="Option Button 43">
              <controlPr defaultSize="0" autoFill="0" autoLine="0" autoPict="0" altText="">
                <anchor moveWithCells="1">
                  <from>
                    <xdr:col>8</xdr:col>
                    <xdr:colOff>762000</xdr:colOff>
                    <xdr:row>19</xdr:row>
                    <xdr:rowOff>22860</xdr:rowOff>
                  </from>
                  <to>
                    <xdr:col>10</xdr:col>
                    <xdr:colOff>312420</xdr:colOff>
                    <xdr:row>19</xdr:row>
                    <xdr:rowOff>175260</xdr:rowOff>
                  </to>
                </anchor>
              </controlPr>
            </control>
          </mc:Choice>
        </mc:AlternateContent>
        <mc:AlternateContent xmlns:mc="http://schemas.openxmlformats.org/markup-compatibility/2006">
          <mc:Choice Requires="x14">
            <control shapeId="50221" r:id="rId26" name="Group Box 45">
              <controlPr defaultSize="0" autoFill="0" autoPict="0">
                <anchor moveWithCells="1">
                  <from>
                    <xdr:col>5</xdr:col>
                    <xdr:colOff>548640</xdr:colOff>
                    <xdr:row>13</xdr:row>
                    <xdr:rowOff>152400</xdr:rowOff>
                  </from>
                  <to>
                    <xdr:col>14</xdr:col>
                    <xdr:colOff>0</xdr:colOff>
                    <xdr:row>21</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5" id="{F0F1911D-7C40-4FB8-80A3-EE91601F3C24}">
            <xm:f>Info!$V$7=2</xm:f>
            <x14:dxf>
              <font>
                <color theme="0" tint="-4.9989318521683403E-2"/>
              </font>
              <fill>
                <patternFill>
                  <bgColor theme="0"/>
                </patternFill>
              </fill>
              <border>
                <vertical/>
                <horizontal/>
              </border>
            </x14:dxf>
          </x14:cfRule>
          <xm:sqref>B100:N100</xm:sqref>
        </x14:conditionalFormatting>
        <x14:conditionalFormatting xmlns:xm="http://schemas.microsoft.com/office/excel/2006/main">
          <x14:cfRule type="expression" priority="101" id="{60ED5F0C-1003-41A3-AAAB-A5E7477E9CD6}">
            <xm:f>$H$47=Formeln!$B$1</xm:f>
            <x14:dxf>
              <fill>
                <patternFill>
                  <bgColor theme="0" tint="-0.14996795556505021"/>
                </patternFill>
              </fill>
            </x14:dxf>
          </x14:cfRule>
          <xm:sqref>H46</xm:sqref>
        </x14:conditionalFormatting>
        <x14:conditionalFormatting xmlns:xm="http://schemas.microsoft.com/office/excel/2006/main">
          <x14:cfRule type="expression" priority="102" id="{26A7940B-F2DC-43D1-9389-BC1DDA2B9322}">
            <xm:f>$H$48=Formeln!$A$1</xm:f>
            <x14:dxf>
              <fill>
                <patternFill>
                  <bgColor theme="0" tint="-0.14996795556505021"/>
                </patternFill>
              </fill>
            </x14:dxf>
          </x14:cfRule>
          <xm:sqref>H47</xm:sqref>
        </x14:conditionalFormatting>
        <x14:conditionalFormatting xmlns:xm="http://schemas.microsoft.com/office/excel/2006/main">
          <x14:cfRule type="expression" priority="1" id="{172EF08B-EEFC-4154-91C8-A9DBCCAF89D7}">
            <xm:f>$H$56=Formeln!$G$63</xm:f>
            <x14:dxf>
              <fill>
                <patternFill>
                  <bgColor theme="0" tint="-0.14996795556505021"/>
                </patternFill>
              </fill>
            </x14:dxf>
          </x14:cfRule>
          <xm:sqref>H56</xm:sqref>
        </x14:conditionalFormatting>
        <x14:conditionalFormatting xmlns:xm="http://schemas.microsoft.com/office/excel/2006/main">
          <x14:cfRule type="expression" priority="2" id="{1B7577D6-A207-40FE-82F3-F91B7005FE9A}">
            <xm:f>$H$57=Formeln!$G$63</xm:f>
            <x14:dxf>
              <fill>
                <patternFill>
                  <bgColor theme="0" tint="-0.14996795556505021"/>
                </patternFill>
              </fill>
            </x14:dxf>
          </x14:cfRule>
          <xm:sqref>H57</xm:sqref>
        </x14:conditionalFormatting>
        <x14:conditionalFormatting xmlns:xm="http://schemas.microsoft.com/office/excel/2006/main">
          <x14:cfRule type="expression" priority="115" id="{5F0DF2A9-A35E-4100-8C66-FD2CAA700AC2}">
            <xm:f>$H$35=Formeln!$A$1</xm:f>
            <x14:dxf>
              <fill>
                <patternFill>
                  <bgColor theme="0" tint="-0.14996795556505021"/>
                </patternFill>
              </fill>
            </x14:dxf>
          </x14:cfRule>
          <xm:sqref>H34:K34</xm:sqref>
        </x14:conditionalFormatting>
        <x14:conditionalFormatting xmlns:xm="http://schemas.microsoft.com/office/excel/2006/main">
          <x14:cfRule type="expression" priority="114" id="{7D46B631-0A7D-44CA-BE95-144FF4A5C483}">
            <xm:f>$H$38=Formeln!$A$1</xm:f>
            <x14:dxf>
              <fill>
                <patternFill>
                  <bgColor theme="0" tint="-0.14996795556505021"/>
                </patternFill>
              </fill>
            </x14:dxf>
          </x14:cfRule>
          <xm:sqref>H37:K37</xm:sqref>
        </x14:conditionalFormatting>
        <x14:conditionalFormatting xmlns:xm="http://schemas.microsoft.com/office/excel/2006/main">
          <x14:cfRule type="expression" priority="109" id="{D52B22B8-E12A-46D3-AE03-7377F32B9723}">
            <xm:f>$H$49=Formeln!$A$1</xm:f>
            <x14:dxf>
              <fill>
                <patternFill>
                  <bgColor theme="0" tint="-0.14996795556505021"/>
                </patternFill>
              </fill>
            </x14:dxf>
          </x14:cfRule>
          <xm:sqref>H48:K48</xm:sqref>
        </x14:conditionalFormatting>
        <x14:conditionalFormatting xmlns:xm="http://schemas.microsoft.com/office/excel/2006/main">
          <x14:cfRule type="expression" priority="146" id="{FA53874A-AAD7-4C10-9B1E-5BB13A2BD565}">
            <xm:f>$I$105=Formeln!$A$1</xm:f>
            <x14:dxf>
              <fill>
                <patternFill>
                  <bgColor theme="0" tint="-0.14996795556505021"/>
                </patternFill>
              </fill>
            </x14:dxf>
          </x14:cfRule>
          <xm:sqref>I102:K102</xm:sqref>
        </x14:conditionalFormatting>
        <x14:conditionalFormatting xmlns:xm="http://schemas.microsoft.com/office/excel/2006/main">
          <x14:cfRule type="expression" priority="71" id="{EF78CB02-2D8A-4863-8566-25C13EABDCA5}">
            <xm:f>$J55=Formeln!$A$1</xm:f>
            <x14:dxf>
              <fill>
                <patternFill>
                  <bgColor theme="0" tint="-0.14996795556505021"/>
                </patternFill>
              </fill>
            </x14:dxf>
          </x14:cfRule>
          <xm:sqref>J55:K57</xm:sqref>
        </x14:conditionalFormatting>
        <x14:conditionalFormatting xmlns:xm="http://schemas.microsoft.com/office/excel/2006/main">
          <x14:cfRule type="expression" priority="3" id="{FB8510AA-54C7-45BE-8389-3F4E31C4F533}">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154" id="{A1909CC8-2C08-4814-8CEE-56D96CE58255}">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F97D4895-E5E5-4A29-911E-23CAB3DC1256}">
          <x14:formula1>
            <xm:f>Formeln!$A$30:$A$51</xm:f>
          </x14:formula1>
          <xm:sqref>J55:K55</xm:sqref>
        </x14:dataValidation>
        <x14:dataValidation type="list" allowBlank="1" showInputMessage="1" showErrorMessage="1" xr:uid="{7D54923D-4ED6-4EB4-A178-566962668698}">
          <x14:formula1>
            <xm:f>Formeln!$A$20:$A$22</xm:f>
          </x14:formula1>
          <xm:sqref>H48:K48</xm:sqref>
        </x14:dataValidation>
        <x14:dataValidation type="list" allowBlank="1" showInputMessage="1" showErrorMessage="1" xr:uid="{4A512BE4-E90D-4D2D-BF33-27F141C667B7}">
          <x14:formula1>
            <xm:f>Formeln!$A$17:$A$19</xm:f>
          </x14:formula1>
          <xm:sqref>H47:K47</xm:sqref>
        </x14:dataValidation>
        <x14:dataValidation type="list" allowBlank="1" showInputMessage="1" showErrorMessage="1" xr:uid="{DC41274E-8609-434C-924B-B40F4D93EA3E}">
          <x14:formula1>
            <xm:f>Formeln!$A$9:$A$15</xm:f>
          </x14:formula1>
          <xm:sqref>H37:K37</xm:sqref>
        </x14:dataValidation>
        <x14:dataValidation type="list" allowBlank="1" showInputMessage="1" showErrorMessage="1" xr:uid="{82FD1EA3-E8F7-4B9C-BD46-AAB9E7379851}">
          <x14:formula1>
            <xm:f>Formeln!$A$5:$A$8</xm:f>
          </x14:formula1>
          <xm:sqref>H35:K35</xm:sqref>
        </x14:dataValidation>
        <x14:dataValidation type="list" allowBlank="1" showInputMessage="1" showErrorMessage="1" xr:uid="{E9D611F2-14AE-4232-9605-77498A643B69}">
          <x14:formula1>
            <xm:f>Formeln!$A$1:$A$4</xm:f>
          </x14:formula1>
          <xm:sqref>H34:K34</xm:sqref>
        </x14:dataValidation>
        <x14:dataValidation type="list" allowBlank="1" showInputMessage="1" showErrorMessage="1" xr:uid="{DCD4CB0C-D1A1-4FF5-B0BC-20BBEE97586E}">
          <x14:formula1>
            <xm:f>Formeln!$A$52:$A$103</xm:f>
          </x14:formula1>
          <xm:sqref>J56:K56</xm:sqref>
        </x14:dataValidation>
        <x14:dataValidation type="list" allowBlank="1" showInputMessage="1" showErrorMessage="1" xr:uid="{63A7D1CA-5D7C-4FA1-BEA1-13FFBF4C6D95}">
          <x14:formula1>
            <xm:f>Formeln!$C$52:$C$111</xm:f>
          </x14:formula1>
          <xm:sqref>J57:K57</xm:sqref>
        </x14:dataValidation>
        <x14:dataValidation type="list" allowBlank="1" showInputMessage="1" showErrorMessage="1" xr:uid="{BEE7EA17-E8BE-4525-91A0-A306C1C993A3}">
          <x14:formula1>
            <xm:f>Formeln!$A$106:$A$110</xm:f>
          </x14:formula1>
          <xm:sqref>I102:K102</xm:sqref>
        </x14:dataValidation>
        <x14:dataValidation type="list" allowBlank="1" showInputMessage="1" showErrorMessage="1" xr:uid="{7B345030-D353-4954-8BAC-F098E816C1F4}">
          <x14:formula1>
            <xm:f>Formeln!$B$17:$B$19</xm:f>
          </x14:formula1>
          <xm:sqref>H46:K46</xm:sqref>
        </x14:dataValidation>
        <x14:dataValidation type="list" allowBlank="1" showInputMessage="1" showErrorMessage="1" xr:uid="{2A0B4145-8CA4-4E6D-8580-73263274A3C7}">
          <x14:formula1>
            <xm:f>Formeln!$G$63:$G$65</xm:f>
          </x14:formula1>
          <xm:sqref>H56:H57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DN2951"/>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88671875" style="1" customWidth="1"/>
    <col min="15" max="15" width="14.6640625" style="5" customWidth="1"/>
    <col min="16" max="16" width="8.5546875" style="5" customWidth="1"/>
    <col min="17" max="24" width="8.5546875" style="5" hidden="1" customWidth="1"/>
    <col min="25" max="25" width="9.6640625" style="5" hidden="1" customWidth="1"/>
    <col min="26" max="28" width="8.5546875" style="5" hidden="1" customWidth="1"/>
    <col min="29" max="30" width="8.5546875" style="9" hidden="1" customWidth="1"/>
    <col min="31" max="33" width="8.5546875" style="1" hidden="1" customWidth="1"/>
    <col min="34" max="54" width="11.6640625" style="1" hidden="1" customWidth="1"/>
    <col min="55" max="118" width="8.5546875" style="36" hidden="1" customWidth="1"/>
    <col min="119" max="16384" width="8.5546875" style="1" hidden="1"/>
  </cols>
  <sheetData>
    <row r="1" spans="1:31" ht="28.2">
      <c r="N1" s="2" t="str">
        <f>VLOOKUP(279,Sprachindex!$A:$Z,Info!$O$7,FALSE)</f>
        <v>Dachsysteme</v>
      </c>
    </row>
    <row r="2" spans="1:31" ht="28.2">
      <c r="D2" s="18"/>
      <c r="N2" s="2" t="str">
        <f>VLOOKUP(666,Sprachindex!$A:$Z,Info!$O$7,FALSE)</f>
        <v>PREFALZ</v>
      </c>
    </row>
    <row r="3" spans="1:31" ht="15" customHeight="1"/>
    <row r="4" spans="1:31" ht="16.95" customHeight="1">
      <c r="A4" s="67"/>
      <c r="B4" s="67"/>
      <c r="C4" s="67"/>
      <c r="D4" s="67"/>
      <c r="E4" s="67"/>
      <c r="F4" s="67"/>
      <c r="G4" s="67"/>
      <c r="H4" s="67"/>
      <c r="I4" s="67"/>
      <c r="J4" s="67"/>
      <c r="K4" s="67"/>
      <c r="L4" s="67"/>
      <c r="M4" s="67"/>
      <c r="N4" s="186"/>
      <c r="O4" s="68"/>
      <c r="P4" s="68"/>
      <c r="Q4" s="68"/>
      <c r="R4" s="68"/>
      <c r="S4" s="68"/>
      <c r="T4" s="68"/>
      <c r="U4" s="68"/>
      <c r="V4" s="68"/>
      <c r="W4" s="68"/>
      <c r="X4" s="68"/>
      <c r="Y4" s="68"/>
      <c r="Z4" s="68"/>
      <c r="AA4" s="68"/>
      <c r="AB4" s="68"/>
      <c r="AE4" s="3"/>
    </row>
    <row r="5" spans="1:31" ht="16.95" customHeight="1">
      <c r="A5" s="67"/>
      <c r="B5" s="67"/>
      <c r="C5" s="67"/>
      <c r="D5" s="67"/>
      <c r="E5" s="67"/>
      <c r="F5" s="67"/>
      <c r="G5" s="67"/>
      <c r="H5" s="67"/>
      <c r="I5" s="67"/>
      <c r="J5" s="67"/>
      <c r="K5" s="67"/>
      <c r="L5" s="67"/>
      <c r="M5" s="67"/>
      <c r="N5" s="186"/>
      <c r="O5" s="68"/>
      <c r="P5" s="68"/>
      <c r="Q5" s="68"/>
      <c r="R5" s="68"/>
      <c r="S5" s="68"/>
      <c r="T5" s="68"/>
      <c r="U5" s="68"/>
      <c r="V5" s="68"/>
      <c r="W5" s="68"/>
      <c r="X5" s="68"/>
      <c r="Y5" s="68"/>
      <c r="Z5" s="68"/>
      <c r="AA5" s="68"/>
      <c r="AB5" s="68"/>
      <c r="AE5" s="3"/>
    </row>
    <row r="6" spans="1:31" ht="16.95" customHeight="1">
      <c r="A6" s="67"/>
      <c r="B6" s="67"/>
      <c r="C6" s="67"/>
      <c r="D6" s="67"/>
      <c r="E6" s="67"/>
      <c r="F6" s="67"/>
      <c r="G6" s="67"/>
      <c r="H6" s="67"/>
      <c r="I6" s="67"/>
      <c r="J6" s="67"/>
      <c r="K6" s="67"/>
      <c r="L6" s="67"/>
      <c r="M6" s="67"/>
      <c r="N6" s="186"/>
      <c r="O6" s="94"/>
      <c r="P6" s="94"/>
      <c r="Q6" s="94"/>
      <c r="R6" s="94"/>
      <c r="S6" s="94"/>
      <c r="T6" s="94"/>
      <c r="U6" s="94"/>
      <c r="V6" s="94"/>
      <c r="W6" s="94"/>
      <c r="X6" s="94"/>
      <c r="Y6" s="94"/>
      <c r="Z6" s="94"/>
      <c r="AA6" s="94"/>
      <c r="AB6" s="94"/>
      <c r="AE6" s="3"/>
    </row>
    <row r="7" spans="1:31" ht="16.95" customHeight="1">
      <c r="A7" s="67"/>
      <c r="B7" s="67"/>
      <c r="C7" s="67"/>
      <c r="D7" s="67"/>
      <c r="E7" s="67"/>
      <c r="F7" s="67"/>
      <c r="G7" s="67"/>
      <c r="H7" s="67"/>
      <c r="I7" s="67"/>
      <c r="J7" s="67"/>
      <c r="K7" s="67"/>
      <c r="L7" s="67"/>
      <c r="M7" s="67"/>
      <c r="N7" s="186"/>
      <c r="O7" s="500"/>
      <c r="P7" s="94"/>
      <c r="Q7" s="94"/>
      <c r="R7" s="94"/>
      <c r="S7" s="94"/>
      <c r="T7" s="94"/>
      <c r="U7" s="94"/>
      <c r="V7" s="94"/>
      <c r="W7" s="94"/>
      <c r="X7" s="94"/>
      <c r="Y7" s="94"/>
      <c r="Z7" s="94"/>
      <c r="AA7" s="94"/>
      <c r="AB7" s="94"/>
      <c r="AE7" s="3"/>
    </row>
    <row r="8" spans="1:31" ht="16.95" customHeight="1">
      <c r="A8" s="83" t="str">
        <f>VLOOKUP(393,Sprachindex!$A:$Z,Info!$O$7,FALSE)</f>
        <v>Firma / Besteller:</v>
      </c>
      <c r="B8" s="67"/>
      <c r="C8" s="67"/>
      <c r="D8" s="67"/>
      <c r="E8" s="67"/>
      <c r="F8" s="67"/>
      <c r="G8" s="67"/>
      <c r="H8" s="67"/>
      <c r="I8" s="67"/>
      <c r="J8" s="67"/>
      <c r="K8" s="67"/>
      <c r="L8" s="67"/>
      <c r="M8" s="67"/>
      <c r="N8" s="67"/>
      <c r="O8" s="68"/>
      <c r="P8" s="68"/>
      <c r="Q8" s="68"/>
      <c r="R8" s="68"/>
      <c r="S8" s="68"/>
      <c r="T8" s="68"/>
      <c r="U8" s="68"/>
      <c r="V8" s="68"/>
      <c r="W8" s="68"/>
      <c r="X8" s="68"/>
      <c r="Y8" s="68"/>
      <c r="Z8" s="68"/>
      <c r="AA8" s="68"/>
      <c r="AB8" s="88"/>
      <c r="AD8" s="10"/>
    </row>
    <row r="9" spans="1:31" ht="15" customHeight="1">
      <c r="A9" s="67"/>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M9" s="67"/>
      <c r="N9" s="67"/>
      <c r="O9" s="94">
        <v>0</v>
      </c>
      <c r="P9" s="94"/>
      <c r="Q9" s="94"/>
      <c r="R9" s="94"/>
      <c r="S9" s="94"/>
      <c r="T9" s="94"/>
      <c r="U9" s="94"/>
      <c r="V9" s="94"/>
      <c r="W9" s="94"/>
      <c r="X9" s="94"/>
      <c r="Y9" s="94"/>
      <c r="Z9" s="94"/>
      <c r="AA9" s="94"/>
      <c r="AB9" s="70"/>
      <c r="AC9" s="11"/>
      <c r="AE9" s="4"/>
    </row>
    <row r="10" spans="1:31" ht="15" customHeight="1">
      <c r="A10" s="67"/>
      <c r="B10" s="71" t="str">
        <f>VLOOKUP(884,Sprachindex!$A:$Z,Info!$O$7,FALSE)</f>
        <v>Straße:</v>
      </c>
      <c r="C10" s="615"/>
      <c r="D10" s="616"/>
      <c r="E10" s="617"/>
      <c r="F10" s="67"/>
      <c r="G10" s="67"/>
      <c r="H10" s="67"/>
      <c r="I10" s="67"/>
      <c r="J10" s="68">
        <v>1</v>
      </c>
      <c r="K10" s="67"/>
      <c r="L10" s="67"/>
      <c r="M10" s="67"/>
      <c r="N10" s="67"/>
      <c r="O10" s="68"/>
      <c r="P10" s="68"/>
      <c r="Q10" s="68"/>
      <c r="R10" s="68"/>
      <c r="S10" s="68"/>
      <c r="T10" s="68"/>
      <c r="U10" s="68"/>
      <c r="V10" s="68"/>
      <c r="W10" s="68"/>
      <c r="X10" s="68"/>
      <c r="Y10" s="68"/>
      <c r="Z10" s="68"/>
      <c r="AA10" s="68"/>
      <c r="AB10" s="88"/>
      <c r="AE10" s="4"/>
    </row>
    <row r="11" spans="1:31"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94"/>
      <c r="R11" s="94"/>
      <c r="S11" s="94"/>
      <c r="T11" s="94"/>
      <c r="U11" s="94"/>
      <c r="V11" s="94"/>
      <c r="W11" s="94"/>
      <c r="X11" s="94"/>
      <c r="Y11" s="94"/>
      <c r="Z11" s="94"/>
      <c r="AA11" s="94"/>
      <c r="AB11" s="70"/>
      <c r="AC11" s="11"/>
      <c r="AE11" s="4"/>
    </row>
    <row r="12" spans="1:31" ht="15" customHeight="1">
      <c r="A12" s="67"/>
      <c r="B12" s="67"/>
      <c r="C12" s="67"/>
      <c r="D12" s="67"/>
      <c r="E12" s="67"/>
      <c r="F12" s="67"/>
      <c r="G12" s="67"/>
      <c r="H12" s="67"/>
      <c r="I12" s="71"/>
      <c r="J12" s="68">
        <v>1</v>
      </c>
      <c r="K12" s="67"/>
      <c r="L12" s="67"/>
      <c r="M12" s="67"/>
      <c r="N12" s="67"/>
      <c r="O12" s="68"/>
      <c r="P12" s="68"/>
      <c r="Q12" s="68"/>
      <c r="R12" s="68"/>
      <c r="S12" s="68"/>
      <c r="T12" s="68"/>
      <c r="U12" s="68"/>
      <c r="V12" s="68"/>
      <c r="W12" s="68"/>
      <c r="X12" s="68"/>
      <c r="Y12" s="68"/>
      <c r="Z12" s="68"/>
      <c r="AA12" s="68"/>
      <c r="AB12" s="88"/>
    </row>
    <row r="13" spans="1:31"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94"/>
      <c r="R13" s="94"/>
      <c r="S13" s="94"/>
      <c r="T13" s="94"/>
      <c r="U13" s="94"/>
      <c r="V13" s="94"/>
      <c r="W13" s="94"/>
      <c r="X13" s="94"/>
      <c r="Y13" s="94"/>
      <c r="Z13" s="94"/>
      <c r="AA13" s="94"/>
      <c r="AB13" s="70"/>
      <c r="AC13" s="12"/>
      <c r="AE13" s="4"/>
    </row>
    <row r="14" spans="1:31" ht="15" customHeight="1">
      <c r="A14" s="67"/>
      <c r="B14" s="71" t="str">
        <f>VLOOKUP(901,Sprachindex!$A:$Z,Info!$O$7,FALSE)</f>
        <v>Telefon:</v>
      </c>
      <c r="C14" s="615"/>
      <c r="D14" s="616"/>
      <c r="E14" s="617"/>
      <c r="F14" s="67"/>
      <c r="G14" s="67"/>
      <c r="H14" s="67"/>
      <c r="I14" s="67"/>
      <c r="J14" s="67"/>
      <c r="K14" s="67"/>
      <c r="L14" s="67"/>
      <c r="M14" s="67"/>
      <c r="N14" s="67"/>
      <c r="O14" s="68"/>
      <c r="P14" s="68"/>
      <c r="Q14" s="68"/>
      <c r="R14" s="68"/>
      <c r="S14" s="68"/>
      <c r="T14" s="68"/>
      <c r="U14" s="68"/>
      <c r="V14" s="68"/>
      <c r="W14" s="68"/>
      <c r="X14" s="68"/>
      <c r="Y14" s="68"/>
      <c r="Z14" s="68"/>
      <c r="AA14" s="68"/>
      <c r="AB14" s="70"/>
      <c r="AE14" s="4"/>
    </row>
    <row r="15" spans="1:31"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68"/>
      <c r="P15" s="68"/>
      <c r="Q15" s="68"/>
      <c r="R15" s="68"/>
      <c r="S15" s="68"/>
      <c r="T15" s="68"/>
      <c r="U15" s="68"/>
      <c r="V15" s="68"/>
      <c r="W15" s="68"/>
      <c r="X15" s="68"/>
      <c r="Y15" s="68"/>
      <c r="Z15" s="68"/>
      <c r="AA15" s="68"/>
      <c r="AB15" s="88"/>
      <c r="AE15" s="4"/>
    </row>
    <row r="16" spans="1:31" ht="15" customHeight="1">
      <c r="A16" s="67"/>
      <c r="B16" s="67"/>
      <c r="C16" s="67"/>
      <c r="D16" s="67"/>
      <c r="E16" s="67"/>
      <c r="F16" s="67"/>
      <c r="G16" s="67" t="str">
        <f>VLOOKUP(25,Sprachindex!$A:$Z,Info!$O$7,FALSE)</f>
        <v>01 P.10 Braun</v>
      </c>
      <c r="H16" s="67"/>
      <c r="I16" s="66" t="str">
        <f>VLOOKUP(51,Sprachindex!$A:$Z,Info!$O$7,FALSE)</f>
        <v>11 P.10 Nussbraun</v>
      </c>
      <c r="J16" s="67"/>
      <c r="K16" s="66" t="str">
        <f>VLOOKUP(112,Sprachindex!$A:$Z,Info!$O$7,FALSE)</f>
        <v>46 Patinagrün</v>
      </c>
      <c r="L16" s="67"/>
      <c r="M16" s="67"/>
      <c r="N16" s="67"/>
      <c r="O16" s="68"/>
      <c r="P16" s="68"/>
      <c r="Q16" s="68"/>
      <c r="R16" s="68"/>
      <c r="S16" s="68"/>
      <c r="T16" s="68"/>
      <c r="U16" s="68"/>
      <c r="V16" s="68"/>
      <c r="W16" s="68"/>
      <c r="X16" s="68"/>
      <c r="Y16" s="68"/>
      <c r="Z16" s="68"/>
      <c r="AA16" s="68"/>
      <c r="AB16" s="70"/>
    </row>
    <row r="17" spans="1:118" ht="15" customHeight="1">
      <c r="A17" s="83" t="str">
        <f>VLOOKUP(580,Sprachindex!$A:$Z,Info!$O$7,FALSE)</f>
        <v>Lieferadresse:</v>
      </c>
      <c r="B17" s="67"/>
      <c r="C17" s="67"/>
      <c r="D17" s="67"/>
      <c r="E17" s="67"/>
      <c r="F17" s="67"/>
      <c r="G17" s="67" t="str">
        <f>VLOOKUP(27,Sprachindex!$A:$Z,Info!$O$7,FALSE)</f>
        <v>02 P.10 Anthrazit</v>
      </c>
      <c r="H17" s="67"/>
      <c r="I17" s="66" t="str">
        <f>VLOOKUP(35,Sprachindex!$A:$Z,Info!$O$7,FALSE)</f>
        <v>06 P.10 Moosgrün</v>
      </c>
      <c r="J17" s="67"/>
      <c r="K17" s="66" t="str">
        <f>VLOOKUP(72,Sprachindex!$A:$Z,Info!$O$7,FALSE)</f>
        <v>23 Schwarzgrau</v>
      </c>
      <c r="L17" s="67"/>
      <c r="M17" s="67"/>
      <c r="N17" s="67"/>
      <c r="O17" s="68"/>
      <c r="P17" s="68"/>
      <c r="Q17" s="68"/>
      <c r="R17" s="68"/>
      <c r="S17" s="68"/>
      <c r="T17" s="68"/>
      <c r="U17" s="68"/>
      <c r="V17" s="68"/>
      <c r="W17" s="68"/>
      <c r="X17" s="68"/>
      <c r="Y17" s="68"/>
      <c r="Z17" s="68"/>
      <c r="AA17" s="68"/>
      <c r="AB17" s="70"/>
      <c r="AD17" s="10"/>
    </row>
    <row r="18" spans="1:118" ht="15" customHeight="1">
      <c r="A18" s="67"/>
      <c r="B18" s="71" t="str">
        <f>VLOOKUP(622,Sprachindex!$A:$Z,Info!$O$7,FALSE)</f>
        <v>Name:</v>
      </c>
      <c r="C18" s="615"/>
      <c r="D18" s="616"/>
      <c r="E18" s="617"/>
      <c r="F18" s="67"/>
      <c r="G18" s="67" t="str">
        <f>VLOOKUP(28,Sprachindex!$A:$Z,Info!$O$7,FALSE)</f>
        <v>03 P.10 Schwarz</v>
      </c>
      <c r="H18" s="67"/>
      <c r="I18" s="66" t="str">
        <f>VLOOKUP(38,Sprachindex!$A:$Z,Info!$O$7,FALSE)</f>
        <v>08 P.10 Zinkgrau</v>
      </c>
      <c r="J18" s="67"/>
      <c r="K18" s="66" t="str">
        <f>VLOOKUP(113,Sprachindex!$A:$Z,Info!$O$7,FALSE)</f>
        <v>47 Patinagrau</v>
      </c>
      <c r="L18" s="67"/>
      <c r="M18" s="67"/>
      <c r="N18" s="67"/>
      <c r="O18" s="90"/>
      <c r="P18" s="90"/>
      <c r="Q18" s="90"/>
      <c r="R18" s="90"/>
      <c r="S18" s="90"/>
      <c r="T18" s="90"/>
      <c r="U18" s="90"/>
      <c r="V18" s="90"/>
      <c r="W18" s="90"/>
      <c r="X18" s="90"/>
      <c r="Y18" s="90"/>
      <c r="Z18" s="90"/>
      <c r="AA18" s="90"/>
      <c r="AB18" s="88"/>
      <c r="AE18" s="4"/>
    </row>
    <row r="19" spans="1:118" ht="15" customHeight="1">
      <c r="A19" s="67"/>
      <c r="B19" s="71" t="str">
        <f>VLOOKUP(540,Sprachindex!$A:$Z,Info!$O$7,FALSE)</f>
        <v>Kommission:</v>
      </c>
      <c r="C19" s="615"/>
      <c r="D19" s="616"/>
      <c r="E19" s="617"/>
      <c r="F19" s="67"/>
      <c r="G19" s="67" t="str">
        <f>VLOOKUP(30,Sprachindex!$A:$Z,Info!$O$7,FALSE)</f>
        <v>04 P.10 Ziegelrot</v>
      </c>
      <c r="H19" s="67"/>
      <c r="I19" s="66" t="str">
        <f>VLOOKUP(42,Sprachindex!$A:$Z,Info!$O$7,FALSE)</f>
        <v>10 P.10 Prefaweiß</v>
      </c>
      <c r="J19" s="67"/>
      <c r="K19" s="66" t="str">
        <f>VLOOKUP(59,Sprachindex!$A:$Z,Info!$O$7,FALSE)</f>
        <v>17 P.10 Reinweiß</v>
      </c>
      <c r="L19" s="67"/>
      <c r="M19" s="67"/>
      <c r="N19" s="67"/>
      <c r="O19" s="68"/>
      <c r="P19" s="68"/>
      <c r="Q19" s="68"/>
      <c r="R19" s="68"/>
      <c r="S19" s="68"/>
      <c r="T19" s="68"/>
      <c r="U19" s="68"/>
      <c r="V19" s="68"/>
      <c r="W19" s="68"/>
      <c r="X19" s="68"/>
      <c r="Y19" s="68"/>
      <c r="Z19" s="68"/>
      <c r="AA19" s="68"/>
      <c r="AB19" s="70"/>
      <c r="AC19" s="142"/>
      <c r="AE19" s="4"/>
    </row>
    <row r="20" spans="1:118" ht="15" customHeight="1">
      <c r="A20" s="67"/>
      <c r="B20" s="71" t="str">
        <f>VLOOKUP(884,Sprachindex!$A:$Z,Info!$O$7,FALSE)</f>
        <v>Straße:</v>
      </c>
      <c r="C20" s="615"/>
      <c r="D20" s="616"/>
      <c r="E20" s="617"/>
      <c r="F20" s="67"/>
      <c r="G20" s="67" t="str">
        <f>VLOOKUP(33,Sprachindex!$A:$Z,Info!$O$7,FALSE)</f>
        <v>05 P.10 Oxydrot</v>
      </c>
      <c r="H20" s="67"/>
      <c r="I20" s="67" t="str">
        <f>VLOOKUP(54,Sprachindex!$A:$Z,Info!$O$7,FALSE)</f>
        <v>13 Naturblank</v>
      </c>
      <c r="J20" s="67"/>
      <c r="K20" s="66" t="str">
        <f>VLOOKUP(63,Sprachindex!$A:$Z,Info!$O$7,FALSE)</f>
        <v>19 P.10 Dunkelgrau</v>
      </c>
      <c r="L20" s="67"/>
      <c r="M20" s="67"/>
      <c r="N20" s="67"/>
      <c r="O20" s="68"/>
      <c r="P20" s="68"/>
      <c r="Q20" s="68"/>
      <c r="R20" s="68"/>
      <c r="S20" s="68"/>
      <c r="T20" s="68"/>
      <c r="U20" s="68"/>
      <c r="V20" s="68"/>
      <c r="W20" s="68"/>
      <c r="X20" s="68"/>
      <c r="Y20" s="68"/>
      <c r="Z20" s="68"/>
      <c r="AA20" s="68"/>
      <c r="AB20" s="70"/>
      <c r="AC20" s="142"/>
      <c r="AE20" s="4"/>
    </row>
    <row r="21" spans="1:118" ht="15" customHeight="1">
      <c r="A21" s="67"/>
      <c r="B21" s="71" t="str">
        <f>VLOOKUP(641,Sprachindex!$A:$Z,Info!$O$7,FALSE)</f>
        <v>Ort:</v>
      </c>
      <c r="C21" s="615"/>
      <c r="D21" s="616"/>
      <c r="E21" s="617"/>
      <c r="F21" s="67"/>
      <c r="G21" s="67" t="str">
        <f>VLOOKUP(37,Sprachindex!$A:$Z,Info!$O$7,FALSE)</f>
        <v>07 P.10 Hellgrau</v>
      </c>
      <c r="H21" s="67"/>
      <c r="I21" s="66" t="str">
        <f>VLOOKUP(52,Sprachindex!$A:$Z,Info!$O$7,FALSE)</f>
        <v>12 Silbermetallic</v>
      </c>
      <c r="J21" s="67"/>
      <c r="K21" s="66" t="str">
        <f>"28 " &amp; VLOOKUP(3030,Sprachindex!$A:$Z,Info!$O$7,FALSE)</f>
        <v>28 P.10 Prefabronze</v>
      </c>
      <c r="L21" s="100"/>
      <c r="M21" s="67"/>
      <c r="N21" s="67"/>
      <c r="O21" s="94">
        <v>0</v>
      </c>
      <c r="P21" s="94"/>
      <c r="Q21" s="94"/>
      <c r="R21" s="94"/>
      <c r="S21" s="94"/>
      <c r="T21" s="94"/>
      <c r="U21" s="94"/>
      <c r="V21" s="94"/>
      <c r="W21" s="94"/>
      <c r="X21" s="94"/>
      <c r="Y21" s="94"/>
      <c r="Z21" s="94"/>
      <c r="AA21" s="94"/>
      <c r="AB21" s="88"/>
      <c r="AC21" s="142"/>
      <c r="AE21" s="4"/>
    </row>
    <row r="22" spans="1:118" ht="15" customHeight="1">
      <c r="A22" s="67"/>
      <c r="B22" s="71"/>
      <c r="C22" s="67"/>
      <c r="D22" s="67"/>
      <c r="E22" s="67"/>
      <c r="F22" s="67"/>
      <c r="G22" s="66" t="str">
        <f>VLOOKUP(110,Sprachindex!$A:$Z,Info!$O$7,FALSE)</f>
        <v>43 P.10 Steingrau</v>
      </c>
      <c r="H22" s="67"/>
      <c r="I22" s="66" t="str">
        <f>VLOOKUP(111,Sprachindex!$A:$Z,Info!$O$7,FALSE)</f>
        <v>45 Bronze</v>
      </c>
      <c r="J22" s="67"/>
      <c r="K22" s="67"/>
      <c r="L22" s="67"/>
      <c r="M22" s="67"/>
      <c r="N22" s="67"/>
      <c r="O22" s="68"/>
      <c r="P22" s="68"/>
      <c r="Q22" s="68"/>
      <c r="R22" s="68"/>
      <c r="S22" s="68"/>
      <c r="T22" s="68"/>
      <c r="U22" s="68"/>
      <c r="V22" s="68"/>
      <c r="W22" s="68"/>
      <c r="X22" s="68"/>
      <c r="Y22" s="68"/>
      <c r="Z22" s="68"/>
      <c r="AA22" s="68"/>
      <c r="AB22" s="70"/>
      <c r="AC22" s="142"/>
      <c r="AE22" s="4"/>
    </row>
    <row r="23" spans="1:118" ht="15" customHeight="1">
      <c r="A23" s="67"/>
      <c r="B23" s="71"/>
      <c r="C23" s="67"/>
      <c r="D23" s="67"/>
      <c r="E23" s="67"/>
      <c r="F23" s="67"/>
      <c r="G23" s="66"/>
      <c r="H23" s="67"/>
      <c r="I23" s="66"/>
      <c r="J23" s="67"/>
      <c r="K23" s="67"/>
      <c r="L23" s="67"/>
      <c r="M23" s="67"/>
      <c r="N23" s="67"/>
      <c r="O23" s="68"/>
      <c r="P23" s="68"/>
      <c r="Q23" s="68"/>
      <c r="R23" s="68"/>
      <c r="S23" s="68"/>
      <c r="T23" s="68"/>
      <c r="U23" s="68"/>
      <c r="V23" s="68"/>
      <c r="W23" s="68"/>
      <c r="X23" s="68"/>
      <c r="Y23" s="68"/>
      <c r="Z23" s="68"/>
      <c r="AA23" s="68"/>
      <c r="AB23" s="70"/>
      <c r="AC23" s="142"/>
      <c r="AE23" s="4"/>
    </row>
    <row r="24" spans="1:118" s="5" customFormat="1" ht="15" customHeight="1">
      <c r="A24" s="83" t="str">
        <f>VLOOKUP(1427,Sprachindex!$A:$Z,Info!$O$7,FALSE)</f>
        <v>Projektdaten:</v>
      </c>
      <c r="B24" s="71"/>
      <c r="C24" s="67"/>
      <c r="D24" s="67"/>
      <c r="E24" s="67"/>
      <c r="F24" s="67"/>
      <c r="G24" s="83" t="str">
        <f>VLOOKUP(1428,Sprachindex!$A:$Z,Info!$O$7,FALSE)</f>
        <v>techn. Ausarbeitung PREFA:</v>
      </c>
      <c r="H24" s="71"/>
      <c r="I24" s="67"/>
      <c r="J24" s="67"/>
      <c r="K24" s="67"/>
      <c r="L24" s="67"/>
      <c r="M24" s="67"/>
      <c r="N24" s="67"/>
      <c r="O24" s="68"/>
      <c r="P24" s="68"/>
      <c r="Q24" s="68"/>
      <c r="R24" s="68"/>
      <c r="S24" s="68"/>
      <c r="T24" s="68"/>
      <c r="U24" s="68"/>
      <c r="V24" s="68"/>
      <c r="W24" s="68"/>
      <c r="X24" s="68"/>
      <c r="Y24" s="68"/>
      <c r="Z24" s="68"/>
      <c r="AA24" s="68"/>
      <c r="AB24" s="88"/>
      <c r="AC24" s="142"/>
      <c r="AD24" s="52"/>
      <c r="AE24" s="14"/>
      <c r="BC24" s="443"/>
      <c r="BD24" s="443"/>
      <c r="BE24" s="443"/>
      <c r="BF24" s="443"/>
      <c r="BG24" s="443"/>
      <c r="BH24" s="443"/>
      <c r="BI24" s="443"/>
      <c r="BJ24" s="443"/>
      <c r="BK24" s="443"/>
      <c r="BL24" s="443"/>
      <c r="BM24" s="443"/>
      <c r="BN24" s="443"/>
      <c r="BO24" s="443"/>
      <c r="BP24" s="443"/>
      <c r="BQ24" s="443"/>
      <c r="BR24" s="443"/>
      <c r="BS24" s="443"/>
      <c r="BT24" s="443"/>
      <c r="BU24" s="443"/>
      <c r="BV24" s="443"/>
      <c r="BW24" s="443"/>
      <c r="BX24" s="443"/>
      <c r="BY24" s="443"/>
      <c r="BZ24" s="443"/>
      <c r="CA24" s="443"/>
      <c r="CB24" s="443"/>
      <c r="CC24" s="443"/>
      <c r="CD24" s="443"/>
      <c r="CE24" s="443"/>
      <c r="CF24" s="443"/>
      <c r="CG24" s="443"/>
      <c r="CH24" s="443"/>
      <c r="CI24" s="443"/>
      <c r="CJ24" s="443"/>
      <c r="CK24" s="443"/>
      <c r="CL24" s="443"/>
      <c r="CM24" s="443"/>
      <c r="CN24" s="443"/>
      <c r="CO24" s="443"/>
      <c r="CP24" s="443"/>
      <c r="CQ24" s="443"/>
      <c r="CR24" s="443"/>
      <c r="CS24" s="443"/>
      <c r="CT24" s="443"/>
      <c r="CU24" s="443"/>
      <c r="CV24" s="443"/>
      <c r="CW24" s="443"/>
      <c r="CX24" s="443"/>
      <c r="CY24" s="443"/>
      <c r="CZ24" s="443"/>
      <c r="DA24" s="443"/>
      <c r="DB24" s="443"/>
      <c r="DC24" s="443"/>
      <c r="DD24" s="443"/>
      <c r="DE24" s="443"/>
      <c r="DF24" s="443"/>
      <c r="DG24" s="443"/>
      <c r="DH24" s="443"/>
      <c r="DI24" s="443"/>
      <c r="DJ24" s="443"/>
      <c r="DK24" s="443"/>
      <c r="DL24" s="443"/>
      <c r="DM24" s="443"/>
      <c r="DN24" s="443"/>
    </row>
    <row r="25" spans="1:118" s="5" customFormat="1" ht="15" customHeight="1">
      <c r="A25" s="1"/>
      <c r="B25" s="640" t="str">
        <f>VLOOKUP(1430,Sprachindex!$A:$Z,Info!$O$7,FALSE)</f>
        <v>Beschreibung</v>
      </c>
      <c r="C25" s="615"/>
      <c r="D25" s="616"/>
      <c r="E25" s="617"/>
      <c r="F25" s="67"/>
      <c r="G25" s="83"/>
      <c r="H25" s="71" t="str">
        <f>VLOOKUP(1429,Sprachindex!$A:$Z,Info!$O$7,FALSE)</f>
        <v>Bearbeiter:</v>
      </c>
      <c r="I25" s="415"/>
      <c r="J25" s="67"/>
      <c r="K25" s="67"/>
      <c r="L25" s="67"/>
      <c r="M25" s="67"/>
      <c r="N25" s="67"/>
      <c r="O25" s="68"/>
      <c r="P25" s="68"/>
      <c r="Q25" s="68"/>
      <c r="R25" s="68"/>
      <c r="S25" s="68"/>
      <c r="T25" s="68"/>
      <c r="U25" s="68"/>
      <c r="V25" s="68"/>
      <c r="W25" s="68"/>
      <c r="X25" s="68"/>
      <c r="Y25" s="68"/>
      <c r="Z25" s="68"/>
      <c r="AA25" s="68"/>
      <c r="AB25" s="70"/>
      <c r="AC25" s="142"/>
      <c r="AD25" s="52"/>
      <c r="AE25" s="14"/>
      <c r="BC25" s="443"/>
      <c r="BD25" s="443"/>
      <c r="BE25" s="443"/>
      <c r="BF25" s="443"/>
      <c r="BG25" s="443"/>
      <c r="BH25" s="443"/>
      <c r="BI25" s="443"/>
      <c r="BJ25" s="443"/>
      <c r="BK25" s="443"/>
      <c r="BL25" s="443"/>
      <c r="BM25" s="443"/>
      <c r="BN25" s="443"/>
      <c r="BO25" s="443"/>
      <c r="BP25" s="443"/>
      <c r="BQ25" s="443"/>
      <c r="BR25" s="443"/>
      <c r="BS25" s="443"/>
      <c r="BT25" s="443"/>
      <c r="BU25" s="443"/>
      <c r="BV25" s="443"/>
      <c r="BW25" s="443"/>
      <c r="BX25" s="443"/>
      <c r="BY25" s="443"/>
      <c r="BZ25" s="443"/>
      <c r="CA25" s="443"/>
      <c r="CB25" s="443"/>
      <c r="CC25" s="443"/>
      <c r="CD25" s="443"/>
      <c r="CE25" s="443"/>
      <c r="CF25" s="443"/>
      <c r="CG25" s="443"/>
      <c r="CH25" s="443"/>
      <c r="CI25" s="443"/>
      <c r="CJ25" s="443"/>
      <c r="CK25" s="443"/>
      <c r="CL25" s="443"/>
      <c r="CM25" s="443"/>
      <c r="CN25" s="443"/>
      <c r="CO25" s="443"/>
      <c r="CP25" s="443"/>
      <c r="CQ25" s="443"/>
      <c r="CR25" s="443"/>
      <c r="CS25" s="443"/>
      <c r="CT25" s="443"/>
      <c r="CU25" s="443"/>
      <c r="CV25" s="443"/>
      <c r="CW25" s="443"/>
      <c r="CX25" s="443"/>
      <c r="CY25" s="443"/>
      <c r="CZ25" s="443"/>
      <c r="DA25" s="443"/>
      <c r="DB25" s="443"/>
      <c r="DC25" s="443"/>
      <c r="DD25" s="443"/>
      <c r="DE25" s="443"/>
      <c r="DF25" s="443"/>
      <c r="DG25" s="443"/>
      <c r="DH25" s="443"/>
      <c r="DI25" s="443"/>
      <c r="DJ25" s="443"/>
      <c r="DK25" s="443"/>
      <c r="DL25" s="443"/>
      <c r="DM25" s="443"/>
      <c r="DN25" s="443"/>
    </row>
    <row r="26" spans="1:118" s="5" customFormat="1" ht="15" customHeight="1">
      <c r="A26" s="1"/>
      <c r="B26" s="640"/>
      <c r="C26" s="615"/>
      <c r="D26" s="616"/>
      <c r="E26" s="617"/>
      <c r="F26" s="67"/>
      <c r="G26" s="83"/>
      <c r="H26" s="71" t="str">
        <f>VLOOKUP(2243,Sprachindex!$A:$Z,Info!$O$7,FALSE)</f>
        <v>Projekt-ID:</v>
      </c>
      <c r="I26" s="415"/>
      <c r="J26" s="67"/>
      <c r="K26" s="67"/>
      <c r="L26" s="67"/>
      <c r="M26" s="67"/>
      <c r="N26" s="67"/>
      <c r="O26" s="68"/>
      <c r="P26" s="68"/>
      <c r="Q26" s="68"/>
      <c r="R26" s="68"/>
      <c r="S26" s="68"/>
      <c r="T26" s="68"/>
      <c r="U26" s="68"/>
      <c r="V26" s="68"/>
      <c r="W26" s="68"/>
      <c r="X26" s="68"/>
      <c r="Y26" s="68"/>
      <c r="Z26" s="68"/>
      <c r="AA26" s="68"/>
      <c r="AB26" s="70"/>
      <c r="AC26" s="142"/>
      <c r="AD26" s="52"/>
      <c r="AE26" s="14"/>
      <c r="BC26" s="443"/>
      <c r="BD26" s="443"/>
      <c r="BE26" s="443"/>
      <c r="BF26" s="443"/>
      <c r="BG26" s="443"/>
      <c r="BH26" s="443"/>
      <c r="BI26" s="443"/>
      <c r="BJ26" s="443"/>
      <c r="BK26" s="443"/>
      <c r="BL26" s="443"/>
      <c r="BM26" s="443"/>
      <c r="BN26" s="443"/>
      <c r="BO26" s="443"/>
      <c r="BP26" s="443"/>
      <c r="BQ26" s="443"/>
      <c r="BR26" s="443"/>
      <c r="BS26" s="443"/>
      <c r="BT26" s="443"/>
      <c r="BU26" s="443"/>
      <c r="BV26" s="443"/>
      <c r="BW26" s="443"/>
      <c r="BX26" s="443"/>
      <c r="BY26" s="443"/>
      <c r="BZ26" s="443"/>
      <c r="CA26" s="443"/>
      <c r="CB26" s="443"/>
      <c r="CC26" s="443"/>
      <c r="CD26" s="443"/>
      <c r="CE26" s="443"/>
      <c r="CF26" s="443"/>
      <c r="CG26" s="443"/>
      <c r="CH26" s="443"/>
      <c r="CI26" s="443"/>
      <c r="CJ26" s="443"/>
      <c r="CK26" s="443"/>
      <c r="CL26" s="443"/>
      <c r="CM26" s="443"/>
      <c r="CN26" s="443"/>
      <c r="CO26" s="443"/>
      <c r="CP26" s="443"/>
      <c r="CQ26" s="443"/>
      <c r="CR26" s="443"/>
      <c r="CS26" s="443"/>
      <c r="CT26" s="443"/>
      <c r="CU26" s="443"/>
      <c r="CV26" s="443"/>
      <c r="CW26" s="443"/>
      <c r="CX26" s="443"/>
      <c r="CY26" s="443"/>
      <c r="CZ26" s="443"/>
      <c r="DA26" s="443"/>
      <c r="DB26" s="443"/>
      <c r="DC26" s="443"/>
      <c r="DD26" s="443"/>
      <c r="DE26" s="443"/>
      <c r="DF26" s="443"/>
      <c r="DG26" s="443"/>
      <c r="DH26" s="443"/>
      <c r="DI26" s="443"/>
      <c r="DJ26" s="443"/>
      <c r="DK26" s="443"/>
      <c r="DL26" s="443"/>
      <c r="DM26" s="443"/>
      <c r="DN26" s="443"/>
    </row>
    <row r="27" spans="1:118" s="5" customFormat="1" ht="15" customHeight="1">
      <c r="A27" s="1"/>
      <c r="B27" s="640"/>
      <c r="C27" s="615"/>
      <c r="D27" s="616"/>
      <c r="E27" s="617"/>
      <c r="F27" s="67"/>
      <c r="G27" s="83"/>
      <c r="H27" s="71" t="str">
        <f>VLOOKUP(286,Sprachindex!$A:$Z,Info!$O$7,FALSE)</f>
        <v>Datum:</v>
      </c>
      <c r="I27" s="483">
        <f ca="1">TODAY()</f>
        <v>45770</v>
      </c>
      <c r="J27" s="67"/>
      <c r="K27" s="67"/>
      <c r="L27" s="67"/>
      <c r="M27" s="67"/>
      <c r="N27" s="67"/>
      <c r="O27" s="68"/>
      <c r="P27" s="68"/>
      <c r="Q27" s="68"/>
      <c r="R27" s="68"/>
      <c r="S27" s="68"/>
      <c r="T27" s="68"/>
      <c r="U27" s="68"/>
      <c r="V27" s="68"/>
      <c r="W27" s="68"/>
      <c r="X27" s="68"/>
      <c r="Y27" s="68"/>
      <c r="Z27" s="68"/>
      <c r="AA27" s="68"/>
      <c r="AB27" s="88"/>
      <c r="AC27" s="142"/>
      <c r="AD27" s="52"/>
      <c r="AE27" s="4"/>
      <c r="AF27" s="4"/>
      <c r="BC27" s="443"/>
      <c r="BD27" s="443"/>
      <c r="BE27" s="443"/>
      <c r="BF27" s="443"/>
      <c r="BG27" s="443"/>
      <c r="BH27" s="443"/>
      <c r="BI27" s="443"/>
      <c r="BJ27" s="443"/>
      <c r="BK27" s="443"/>
      <c r="BL27" s="443"/>
      <c r="BM27" s="443"/>
      <c r="BN27" s="443"/>
      <c r="BO27" s="443"/>
      <c r="BP27" s="443"/>
      <c r="BQ27" s="443"/>
      <c r="BR27" s="443"/>
      <c r="BS27" s="443"/>
      <c r="BT27" s="443"/>
      <c r="BU27" s="443"/>
      <c r="BV27" s="443"/>
      <c r="BW27" s="443"/>
      <c r="BX27" s="443"/>
      <c r="BY27" s="443"/>
      <c r="BZ27" s="443"/>
      <c r="CA27" s="443"/>
      <c r="CB27" s="443"/>
      <c r="CC27" s="443"/>
      <c r="CD27" s="443"/>
      <c r="CE27" s="443"/>
      <c r="CF27" s="443"/>
      <c r="CG27" s="443"/>
      <c r="CH27" s="443"/>
      <c r="CI27" s="443"/>
      <c r="CJ27" s="443"/>
      <c r="CK27" s="443"/>
      <c r="CL27" s="443"/>
      <c r="CM27" s="443"/>
      <c r="CN27" s="443"/>
      <c r="CO27" s="443"/>
      <c r="CP27" s="443"/>
      <c r="CQ27" s="443"/>
      <c r="CR27" s="443"/>
      <c r="CS27" s="443"/>
      <c r="CT27" s="443"/>
      <c r="CU27" s="443"/>
      <c r="CV27" s="443"/>
      <c r="CW27" s="443"/>
      <c r="CX27" s="443"/>
      <c r="CY27" s="443"/>
      <c r="CZ27" s="443"/>
      <c r="DA27" s="443"/>
      <c r="DB27" s="443"/>
      <c r="DC27" s="443"/>
      <c r="DD27" s="443"/>
      <c r="DE27" s="443"/>
      <c r="DF27" s="443"/>
      <c r="DG27" s="443"/>
      <c r="DH27" s="443"/>
      <c r="DI27" s="443"/>
      <c r="DJ27" s="443"/>
      <c r="DK27" s="443"/>
      <c r="DL27" s="443"/>
      <c r="DM27" s="443"/>
      <c r="DN27" s="443"/>
    </row>
    <row r="28" spans="1:118" s="5" customFormat="1" ht="15" customHeight="1">
      <c r="A28" s="1"/>
      <c r="B28" s="640"/>
      <c r="C28" s="615"/>
      <c r="D28" s="616"/>
      <c r="E28" s="617"/>
      <c r="F28" s="67"/>
      <c r="L28" s="67"/>
      <c r="M28" s="67"/>
      <c r="N28" s="67"/>
      <c r="O28" s="68"/>
      <c r="P28" s="68"/>
      <c r="Q28" s="68"/>
      <c r="R28" s="68"/>
      <c r="S28" s="68"/>
      <c r="T28" s="68"/>
      <c r="U28" s="68"/>
      <c r="V28" s="68"/>
      <c r="W28" s="68"/>
      <c r="X28" s="68"/>
      <c r="Y28" s="68"/>
      <c r="Z28" s="68"/>
      <c r="AA28" s="68"/>
      <c r="AB28" s="70"/>
      <c r="AC28" s="142"/>
      <c r="AD28" s="52"/>
      <c r="AE28" s="14"/>
      <c r="BC28" s="443"/>
      <c r="BD28" s="443"/>
      <c r="BE28" s="443"/>
      <c r="BF28" s="443"/>
      <c r="BG28" s="443"/>
      <c r="BH28" s="443"/>
      <c r="BI28" s="443"/>
      <c r="BJ28" s="443"/>
      <c r="BK28" s="443"/>
      <c r="BL28" s="443"/>
      <c r="BM28" s="443"/>
      <c r="BN28" s="443"/>
      <c r="BO28" s="443"/>
      <c r="BP28" s="443"/>
      <c r="BQ28" s="443"/>
      <c r="BR28" s="443"/>
      <c r="BS28" s="443"/>
      <c r="BT28" s="443"/>
      <c r="BU28" s="443"/>
      <c r="BV28" s="443"/>
      <c r="BW28" s="443"/>
      <c r="BX28" s="443"/>
      <c r="BY28" s="443"/>
      <c r="BZ28" s="443"/>
      <c r="CA28" s="443"/>
      <c r="CB28" s="443"/>
      <c r="CC28" s="443"/>
      <c r="CD28" s="443"/>
      <c r="CE28" s="443"/>
      <c r="CF28" s="443"/>
      <c r="CG28" s="443"/>
      <c r="CH28" s="443"/>
      <c r="CI28" s="443"/>
      <c r="CJ28" s="443"/>
      <c r="CK28" s="443"/>
      <c r="CL28" s="443"/>
      <c r="CM28" s="443"/>
      <c r="CN28" s="443"/>
      <c r="CO28" s="443"/>
      <c r="CP28" s="443"/>
      <c r="CQ28" s="443"/>
      <c r="CR28" s="443"/>
      <c r="CS28" s="443"/>
      <c r="CT28" s="443"/>
      <c r="CU28" s="443"/>
      <c r="CV28" s="443"/>
      <c r="CW28" s="443"/>
      <c r="CX28" s="443"/>
      <c r="CY28" s="443"/>
      <c r="CZ28" s="443"/>
      <c r="DA28" s="443"/>
      <c r="DB28" s="443"/>
      <c r="DC28" s="443"/>
      <c r="DD28" s="443"/>
      <c r="DE28" s="443"/>
      <c r="DF28" s="443"/>
      <c r="DG28" s="443"/>
      <c r="DH28" s="443"/>
      <c r="DI28" s="443"/>
      <c r="DJ28" s="443"/>
      <c r="DK28" s="443"/>
      <c r="DL28" s="443"/>
      <c r="DM28" s="443"/>
      <c r="DN28" s="443"/>
    </row>
    <row r="29" spans="1:118" ht="15" customHeight="1" thickBot="1">
      <c r="A29" s="95" t="str">
        <f>VLOOKUP(392,Sprachindex!$A:$Z,Info!$O$7,FALSE)</f>
        <v>Filter:</v>
      </c>
      <c r="B29" s="676"/>
      <c r="C29" s="676"/>
      <c r="D29" s="676"/>
      <c r="E29" s="676"/>
      <c r="F29" s="67"/>
      <c r="G29" s="67"/>
      <c r="H29" s="67"/>
      <c r="I29" s="67"/>
      <c r="J29" s="67"/>
      <c r="K29" s="67"/>
      <c r="L29" s="67"/>
      <c r="M29" s="67"/>
      <c r="N29" s="67"/>
      <c r="O29" s="68"/>
      <c r="P29" s="68"/>
      <c r="Q29" s="68"/>
      <c r="R29" s="68"/>
      <c r="S29" s="68"/>
      <c r="T29" s="68"/>
      <c r="U29" s="68"/>
      <c r="V29" s="68"/>
      <c r="W29" s="68"/>
      <c r="X29" s="68"/>
      <c r="Y29" s="68"/>
      <c r="Z29" s="68"/>
      <c r="AA29" s="68"/>
      <c r="AB29" s="88"/>
      <c r="AC29" s="142"/>
      <c r="AD29" s="627" t="s">
        <v>25</v>
      </c>
      <c r="AE29" s="627"/>
      <c r="AH29" s="1" t="s">
        <v>26</v>
      </c>
      <c r="BC29" s="36" t="s">
        <v>27</v>
      </c>
      <c r="BW29" s="36" t="s">
        <v>91</v>
      </c>
      <c r="BX29" s="36" t="s">
        <v>92</v>
      </c>
      <c r="BY29" s="36" t="s">
        <v>26</v>
      </c>
      <c r="CS29" s="36" t="s">
        <v>27</v>
      </c>
    </row>
    <row r="30" spans="1:118"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112" t="str">
        <f>VLOOKUP(332,Sprachindex!$A:$Z,Info!$O$7,FALSE)</f>
        <v>Einheit</v>
      </c>
      <c r="N30" s="409" t="str">
        <f>VLOOKUP(377,Sprachindex!$A:$Z,Info!$O$7,FALSE)</f>
        <v>Eventual</v>
      </c>
      <c r="O30" s="183" t="str">
        <f>VLOOKUP(1786,Sprachindex!$A:$Z,Info!$O$7,FALSE)</f>
        <v>Preis</v>
      </c>
      <c r="R30" s="75" t="s">
        <v>29</v>
      </c>
      <c r="S30" s="75" t="s">
        <v>29</v>
      </c>
      <c r="T30" s="179"/>
      <c r="U30" s="179"/>
      <c r="V30" s="179"/>
      <c r="W30" s="179"/>
      <c r="X30" s="179"/>
      <c r="Y30" s="179"/>
      <c r="Z30" s="179"/>
      <c r="AA30" s="179"/>
      <c r="AB30" s="88"/>
      <c r="AC30" s="129"/>
      <c r="AD30" s="153" t="s">
        <v>30</v>
      </c>
      <c r="AE30" s="153" t="s">
        <v>93</v>
      </c>
      <c r="AH30" s="457" t="s">
        <v>94</v>
      </c>
      <c r="AI30" s="458" t="s">
        <v>95</v>
      </c>
      <c r="AJ30" s="458" t="s">
        <v>96</v>
      </c>
      <c r="AK30" s="458" t="s">
        <v>97</v>
      </c>
      <c r="AL30" s="458" t="s">
        <v>98</v>
      </c>
      <c r="AM30" s="458" t="s">
        <v>99</v>
      </c>
      <c r="AN30" s="458" t="s">
        <v>100</v>
      </c>
      <c r="AO30" s="458" t="s">
        <v>101</v>
      </c>
      <c r="AP30" s="458" t="s">
        <v>102</v>
      </c>
      <c r="AQ30" s="458" t="s">
        <v>103</v>
      </c>
      <c r="AR30" s="458" t="s">
        <v>104</v>
      </c>
      <c r="AS30" s="458" t="s">
        <v>84</v>
      </c>
      <c r="AT30" s="458" t="s">
        <v>105</v>
      </c>
      <c r="AU30" s="458" t="s">
        <v>106</v>
      </c>
      <c r="AV30" s="458" t="s">
        <v>107</v>
      </c>
      <c r="AW30" s="458" t="s">
        <v>108</v>
      </c>
      <c r="AX30" s="459" t="s">
        <v>109</v>
      </c>
      <c r="AY30" s="459" t="s">
        <v>110</v>
      </c>
      <c r="AZ30" s="459" t="s">
        <v>111</v>
      </c>
      <c r="BA30" s="120" t="s">
        <v>39157</v>
      </c>
      <c r="BB30" s="563" t="s">
        <v>39158</v>
      </c>
      <c r="BC30" s="447" t="s">
        <v>94</v>
      </c>
      <c r="BD30" s="448" t="s">
        <v>95</v>
      </c>
      <c r="BE30" s="448" t="s">
        <v>96</v>
      </c>
      <c r="BF30" s="448" t="s">
        <v>97</v>
      </c>
      <c r="BG30" s="448" t="s">
        <v>98</v>
      </c>
      <c r="BH30" s="448" t="s">
        <v>99</v>
      </c>
      <c r="BI30" s="448" t="s">
        <v>100</v>
      </c>
      <c r="BJ30" s="448" t="s">
        <v>101</v>
      </c>
      <c r="BK30" s="448" t="s">
        <v>102</v>
      </c>
      <c r="BL30" s="448" t="s">
        <v>103</v>
      </c>
      <c r="BM30" s="448" t="s">
        <v>104</v>
      </c>
      <c r="BN30" s="448" t="s">
        <v>84</v>
      </c>
      <c r="BO30" s="448" t="s">
        <v>105</v>
      </c>
      <c r="BP30" s="448" t="s">
        <v>106</v>
      </c>
      <c r="BQ30" s="448" t="s">
        <v>107</v>
      </c>
      <c r="BR30" s="448" t="s">
        <v>108</v>
      </c>
      <c r="BS30" s="448" t="s">
        <v>109</v>
      </c>
      <c r="BT30" s="448" t="s">
        <v>110</v>
      </c>
      <c r="BU30" s="449" t="s">
        <v>111</v>
      </c>
      <c r="BV30" s="120" t="s">
        <v>39157</v>
      </c>
      <c r="BW30" s="563" t="s">
        <v>39158</v>
      </c>
      <c r="BX30" s="444" t="s">
        <v>94</v>
      </c>
      <c r="BY30" s="445" t="s">
        <v>95</v>
      </c>
      <c r="BZ30" s="445" t="s">
        <v>96</v>
      </c>
      <c r="CA30" s="445" t="s">
        <v>97</v>
      </c>
      <c r="CB30" s="445" t="s">
        <v>98</v>
      </c>
      <c r="CC30" s="445" t="s">
        <v>99</v>
      </c>
      <c r="CD30" s="445" t="s">
        <v>100</v>
      </c>
      <c r="CE30" s="445" t="s">
        <v>101</v>
      </c>
      <c r="CF30" s="445" t="s">
        <v>102</v>
      </c>
      <c r="CG30" s="445" t="s">
        <v>103</v>
      </c>
      <c r="CH30" s="445" t="s">
        <v>104</v>
      </c>
      <c r="CI30" s="445" t="s">
        <v>84</v>
      </c>
      <c r="CJ30" s="445" t="s">
        <v>105</v>
      </c>
      <c r="CK30" s="445" t="s">
        <v>106</v>
      </c>
      <c r="CL30" s="445" t="s">
        <v>107</v>
      </c>
      <c r="CM30" s="445" t="s">
        <v>108</v>
      </c>
      <c r="CN30" s="446" t="s">
        <v>109</v>
      </c>
      <c r="CO30" s="446" t="s">
        <v>110</v>
      </c>
      <c r="CP30" s="446" t="s">
        <v>111</v>
      </c>
      <c r="CQ30" s="120" t="s">
        <v>39157</v>
      </c>
      <c r="CR30" s="563" t="s">
        <v>39158</v>
      </c>
      <c r="CS30" s="562" t="s">
        <v>94</v>
      </c>
      <c r="CT30" s="448" t="s">
        <v>95</v>
      </c>
      <c r="CU30" s="448" t="s">
        <v>96</v>
      </c>
      <c r="CV30" s="448" t="s">
        <v>97</v>
      </c>
      <c r="CW30" s="448" t="s">
        <v>98</v>
      </c>
      <c r="CX30" s="448" t="s">
        <v>99</v>
      </c>
      <c r="CY30" s="448" t="s">
        <v>100</v>
      </c>
      <c r="CZ30" s="448" t="s">
        <v>101</v>
      </c>
      <c r="DA30" s="448" t="s">
        <v>102</v>
      </c>
      <c r="DB30" s="448" t="s">
        <v>103</v>
      </c>
      <c r="DC30" s="448" t="s">
        <v>104</v>
      </c>
      <c r="DD30" s="448" t="s">
        <v>84</v>
      </c>
      <c r="DE30" s="448" t="s">
        <v>105</v>
      </c>
      <c r="DF30" s="448" t="s">
        <v>106</v>
      </c>
      <c r="DG30" s="448" t="s">
        <v>107</v>
      </c>
      <c r="DH30" s="448" t="s">
        <v>108</v>
      </c>
      <c r="DI30" s="448" t="s">
        <v>109</v>
      </c>
      <c r="DJ30" s="448" t="s">
        <v>110</v>
      </c>
      <c r="DK30" s="449" t="s">
        <v>111</v>
      </c>
      <c r="DL30" s="120" t="s">
        <v>39157</v>
      </c>
      <c r="DM30" s="563" t="s">
        <v>39158</v>
      </c>
    </row>
    <row r="31" spans="1:118" ht="32.1" customHeight="1">
      <c r="A31" s="410"/>
      <c r="B31" s="114" t="str">
        <f>VLOOKUP(531,Sprachindex!$A:$Z,Info!$O$7,FALSE)</f>
        <v>kg</v>
      </c>
      <c r="C31" s="101"/>
      <c r="D31" s="106" t="str" cm="1">
        <f t="array" ref="D31">_xlfn.IFS(AND($J31=Formeln!$A$288,$O$9=1),$BW31,AND($J31=Formeln!$A$288,$O$9=2),$BB31,AND($J31=Formeln!$A$289,$O$9=1),$DM31,AND($J31=Formeln!$A$289,$O$9=2),$CR31,TRUE,"")</f>
        <v/>
      </c>
      <c r="E31" s="674" t="str">
        <f>VLOOKUP(673,Sprachindex!$A:$Z,Info!$O$7,FALSE)</f>
        <v>PREFALZ Farbaluminiumband; 0,7 × 500 mm</v>
      </c>
      <c r="F31" s="675"/>
      <c r="G31" s="675"/>
      <c r="H31" s="675"/>
      <c r="I31" s="675"/>
      <c r="J31" s="672"/>
      <c r="K31" s="673"/>
      <c r="L31" s="114" t="str">
        <f>IF(A31=0,"",IF($O$11=1,AD31,AE31))</f>
        <v/>
      </c>
      <c r="M31" s="411" t="str">
        <f>B31</f>
        <v>kg</v>
      </c>
      <c r="N31" s="403"/>
      <c r="O31" s="184"/>
      <c r="R31" s="182"/>
      <c r="S31" s="179"/>
      <c r="T31" s="179"/>
      <c r="U31" s="179"/>
      <c r="V31" s="179"/>
      <c r="W31" s="179"/>
      <c r="X31" s="179"/>
      <c r="Z31" s="179"/>
      <c r="AA31" s="179"/>
      <c r="AB31" s="94"/>
      <c r="AC31" s="179" t="s">
        <v>113</v>
      </c>
      <c r="AD31" s="205">
        <f>IF(J31=$AC$31,ROUNDUP(A31/60,0)*60,IF(J31=$AC$32,ROUNDUP(A31/500,0)*500,0))</f>
        <v>0</v>
      </c>
      <c r="AE31" s="150">
        <f t="shared" ref="AE31:AE38" si="0">ROUNDUP($A31,0)</f>
        <v>0</v>
      </c>
      <c r="AF31" s="8" t="b">
        <f>IF(J31=Formeln!$A$288,IF(A31&gt;60, Formeln!$A$119, Formeln!$A$118),IF(J31=Formeln!$A$289,IF(A31&gt;500, Formeln!$A$119, Formeln!$A$118)))</f>
        <v>0</v>
      </c>
      <c r="AH31" t="s">
        <v>114</v>
      </c>
      <c r="AI31" t="s">
        <v>115</v>
      </c>
      <c r="AJ31" t="s">
        <v>116</v>
      </c>
      <c r="AK31" t="s">
        <v>117</v>
      </c>
      <c r="AL31" t="s">
        <v>118</v>
      </c>
      <c r="AM31" t="s">
        <v>119</v>
      </c>
      <c r="AN31" t="s">
        <v>120</v>
      </c>
      <c r="AO31" t="s">
        <v>121</v>
      </c>
      <c r="AP31" t="s">
        <v>122</v>
      </c>
      <c r="AQ31" t="s">
        <v>123</v>
      </c>
      <c r="AR31" t="s">
        <v>124</v>
      </c>
      <c r="AS31" t="s">
        <v>125</v>
      </c>
      <c r="AT31" t="s">
        <v>126</v>
      </c>
      <c r="AU31" t="s">
        <v>127</v>
      </c>
      <c r="AV31" t="s">
        <v>128</v>
      </c>
      <c r="AW31" t="s">
        <v>129</v>
      </c>
      <c r="AX31" t="s">
        <v>130</v>
      </c>
      <c r="AY31" t="s">
        <v>131</v>
      </c>
      <c r="AZ31" t="s">
        <v>132</v>
      </c>
      <c r="BA31" s="460" t="s">
        <v>133</v>
      </c>
      <c r="BB31" s="54" t="e" vm="2">
        <f>VLOOKUP(AH31,AH31:BA31,$O$21,FALSE)</f>
        <v>#VALUE!</v>
      </c>
      <c r="BC31" s="123" t="s">
        <v>134</v>
      </c>
      <c r="BD31" s="123" t="s">
        <v>135</v>
      </c>
      <c r="BE31" s="123" t="s">
        <v>136</v>
      </c>
      <c r="BF31" s="123" t="s">
        <v>137</v>
      </c>
      <c r="BG31" s="123" t="s">
        <v>138</v>
      </c>
      <c r="BH31" s="123" t="s">
        <v>139</v>
      </c>
      <c r="BI31" s="123" t="s">
        <v>140</v>
      </c>
      <c r="BJ31" s="123" t="s">
        <v>141</v>
      </c>
      <c r="BK31" s="123" t="s">
        <v>142</v>
      </c>
      <c r="BL31" s="123" t="s">
        <v>143</v>
      </c>
      <c r="BM31" s="123" t="s">
        <v>144</v>
      </c>
      <c r="BN31" s="123" t="s">
        <v>145</v>
      </c>
      <c r="BO31" s="123" t="s">
        <v>146</v>
      </c>
      <c r="BP31" s="123" t="s">
        <v>147</v>
      </c>
      <c r="BQ31" s="451" t="s">
        <v>2349</v>
      </c>
      <c r="BR31" s="451" t="s">
        <v>2349</v>
      </c>
      <c r="BS31" s="451" t="s">
        <v>2349</v>
      </c>
      <c r="BT31" s="451" t="s">
        <v>148</v>
      </c>
      <c r="BU31" s="451" t="s">
        <v>149</v>
      </c>
      <c r="BV31" s="456" t="s">
        <v>150</v>
      </c>
      <c r="BW31" s="54" t="e" vm="2">
        <f>VLOOKUP(BC31,BC31:BV31,$O$21,FALSE)</f>
        <v>#VALUE!</v>
      </c>
      <c r="BX31" s="123" t="s">
        <v>151</v>
      </c>
      <c r="BY31" s="123" t="s">
        <v>152</v>
      </c>
      <c r="BZ31" s="123" t="s">
        <v>153</v>
      </c>
      <c r="CA31" s="123" t="s">
        <v>154</v>
      </c>
      <c r="CB31" s="123" t="s">
        <v>155</v>
      </c>
      <c r="CC31" s="123" t="s">
        <v>156</v>
      </c>
      <c r="CD31" s="123" t="s">
        <v>157</v>
      </c>
      <c r="CE31" s="123" t="s">
        <v>158</v>
      </c>
      <c r="CF31" s="123" t="s">
        <v>159</v>
      </c>
      <c r="CG31" s="123" t="s">
        <v>160</v>
      </c>
      <c r="CH31" s="123" t="s">
        <v>161</v>
      </c>
      <c r="CI31" s="123" t="s">
        <v>162</v>
      </c>
      <c r="CJ31" s="123" t="s">
        <v>163</v>
      </c>
      <c r="CK31" s="123" t="s">
        <v>164</v>
      </c>
      <c r="CL31" s="123" t="s">
        <v>165</v>
      </c>
      <c r="CM31" s="123" t="s">
        <v>166</v>
      </c>
      <c r="CN31" s="123" t="s">
        <v>167</v>
      </c>
      <c r="CO31" s="123" t="s">
        <v>168</v>
      </c>
      <c r="CP31" s="123" t="s">
        <v>169</v>
      </c>
      <c r="CQ31" s="455" t="s">
        <v>170</v>
      </c>
      <c r="CR31" s="54" t="e" vm="2">
        <f>VLOOKUP(BX31,BX31:CQ31,$O$21,FALSE)</f>
        <v>#VALUE!</v>
      </c>
      <c r="CS31" s="123" t="s">
        <v>171</v>
      </c>
      <c r="CT31" s="123" t="s">
        <v>172</v>
      </c>
      <c r="CU31" s="123" t="s">
        <v>173</v>
      </c>
      <c r="CV31" s="123" t="s">
        <v>174</v>
      </c>
      <c r="CW31" s="123" t="s">
        <v>175</v>
      </c>
      <c r="CX31" s="123" t="s">
        <v>139</v>
      </c>
      <c r="CY31" s="123" t="s">
        <v>176</v>
      </c>
      <c r="CZ31" s="123" t="s">
        <v>177</v>
      </c>
      <c r="DA31" s="123" t="s">
        <v>178</v>
      </c>
      <c r="DB31" s="123" t="s">
        <v>179</v>
      </c>
      <c r="DC31" s="123" t="s">
        <v>180</v>
      </c>
      <c r="DD31" s="123" t="s">
        <v>181</v>
      </c>
      <c r="DE31" s="123" t="s">
        <v>182</v>
      </c>
      <c r="DF31" s="123" t="s">
        <v>183</v>
      </c>
      <c r="DG31" s="451" t="s">
        <v>2349</v>
      </c>
      <c r="DH31" s="451" t="s">
        <v>2349</v>
      </c>
      <c r="DI31" s="451" t="s">
        <v>2349</v>
      </c>
      <c r="DJ31" s="451" t="s">
        <v>184</v>
      </c>
      <c r="DK31" s="451" t="s">
        <v>185</v>
      </c>
      <c r="DL31" s="456" t="s">
        <v>186</v>
      </c>
      <c r="DM31" s="54" t="e" vm="2">
        <f>VLOOKUP(CS31,CS31:DL31,$O$21,FALSE)</f>
        <v>#VALUE!</v>
      </c>
    </row>
    <row r="32" spans="1:118" ht="32.1" customHeight="1">
      <c r="A32" s="93"/>
      <c r="B32" s="114" t="str">
        <f>VLOOKUP(531,Sprachindex!$A:$Z,Info!$O$7,FALSE)</f>
        <v>kg</v>
      </c>
      <c r="C32" s="101"/>
      <c r="D32" s="105" t="str" cm="1">
        <f t="array" ref="D32">_xlfn.IFS(AND($J32=Formeln!$A$288,$O$9=1),$BW32,AND($J32=Formeln!$A$288,$O$9=2),$BB32,AND($J32=Formeln!$A$289,$O$9=1),$DM32,AND($J32=Formeln!$A$289,$O$9=2),$CR32,TRUE,"")</f>
        <v/>
      </c>
      <c r="E32" s="654" t="str">
        <f>VLOOKUP(674,Sprachindex!$A:$Z,Info!$O$7,FALSE)</f>
        <v>PREFALZ Farbaluminiumband; 0,7 × 650 mm</v>
      </c>
      <c r="F32" s="655"/>
      <c r="G32" s="655"/>
      <c r="H32" s="655"/>
      <c r="I32" s="655"/>
      <c r="J32" s="624"/>
      <c r="K32" s="625"/>
      <c r="L32" s="76" t="str">
        <f t="shared" ref="L32:L33" si="1">IF(A32=0,"",IF($O$11=1,AD32,AE32))</f>
        <v/>
      </c>
      <c r="M32" s="399" t="str">
        <f t="shared" ref="M32:M79" si="2">B32</f>
        <v>kg</v>
      </c>
      <c r="N32" s="77"/>
      <c r="O32" s="184"/>
      <c r="R32" s="182"/>
      <c r="S32" s="179"/>
      <c r="T32" s="179"/>
      <c r="U32" s="179"/>
      <c r="V32" s="179"/>
      <c r="W32" s="179"/>
      <c r="X32" s="179"/>
      <c r="Z32" s="179"/>
      <c r="AA32" s="179"/>
      <c r="AB32" s="94"/>
      <c r="AC32" s="179" t="s">
        <v>112</v>
      </c>
      <c r="AD32" s="205">
        <f>IF(J32=$AC$31,ROUNDUP(A32/60,0)*60,IF(J32=$AC$32,ROUNDUP(A32/500,0)*500,0))</f>
        <v>0</v>
      </c>
      <c r="AE32" s="139">
        <f t="shared" si="0"/>
        <v>0</v>
      </c>
      <c r="AF32" s="8" t="b">
        <f>IF(J32=Formeln!$A$288,IF(A32&gt;60, Formeln!$A$119, Formeln!$A$118),IF(J32=Formeln!$A$289,IF(A32&gt;500, Formeln!$A$119, Formeln!$A$118)))</f>
        <v>0</v>
      </c>
      <c r="AH32" t="s">
        <v>187</v>
      </c>
      <c r="AI32" t="s">
        <v>188</v>
      </c>
      <c r="AJ32" t="s">
        <v>189</v>
      </c>
      <c r="AK32" t="s">
        <v>190</v>
      </c>
      <c r="AL32" t="s">
        <v>191</v>
      </c>
      <c r="AM32" t="s">
        <v>192</v>
      </c>
      <c r="AN32" t="s">
        <v>193</v>
      </c>
      <c r="AO32" t="s">
        <v>194</v>
      </c>
      <c r="AP32" t="s">
        <v>195</v>
      </c>
      <c r="AQ32" t="s">
        <v>196</v>
      </c>
      <c r="AR32" t="s">
        <v>197</v>
      </c>
      <c r="AS32" t="s">
        <v>198</v>
      </c>
      <c r="AT32" t="s">
        <v>199</v>
      </c>
      <c r="AU32" t="s">
        <v>200</v>
      </c>
      <c r="AV32" s="461" t="s">
        <v>2349</v>
      </c>
      <c r="AW32" t="s">
        <v>201</v>
      </c>
      <c r="AX32" t="s">
        <v>202</v>
      </c>
      <c r="AY32" t="s">
        <v>203</v>
      </c>
      <c r="AZ32" t="s">
        <v>204</v>
      </c>
      <c r="BA32" s="460" t="s">
        <v>205</v>
      </c>
      <c r="BB32" s="54" t="e" vm="2">
        <f>VLOOKUP(AH32,AH32:BA32,$O$21,FALSE)</f>
        <v>#VALUE!</v>
      </c>
      <c r="BC32" s="123" t="s">
        <v>206</v>
      </c>
      <c r="BD32" s="123" t="s">
        <v>207</v>
      </c>
      <c r="BE32" s="123" t="s">
        <v>208</v>
      </c>
      <c r="BF32" s="123" t="s">
        <v>209</v>
      </c>
      <c r="BG32" s="123" t="s">
        <v>210</v>
      </c>
      <c r="BH32" s="123" t="s">
        <v>211</v>
      </c>
      <c r="BI32" s="123" t="s">
        <v>212</v>
      </c>
      <c r="BJ32" s="123" t="s">
        <v>213</v>
      </c>
      <c r="BK32" s="123" t="s">
        <v>214</v>
      </c>
      <c r="BL32" s="123" t="s">
        <v>215</v>
      </c>
      <c r="BM32" s="123" t="s">
        <v>216</v>
      </c>
      <c r="BN32" s="123" t="s">
        <v>217</v>
      </c>
      <c r="BO32" s="123" t="s">
        <v>218</v>
      </c>
      <c r="BP32" s="123" t="s">
        <v>219</v>
      </c>
      <c r="BQ32" s="451" t="s">
        <v>2349</v>
      </c>
      <c r="BR32" s="451" t="s">
        <v>2349</v>
      </c>
      <c r="BS32" s="451" t="s">
        <v>2349</v>
      </c>
      <c r="BT32" s="451" t="s">
        <v>220</v>
      </c>
      <c r="BU32" s="451" t="s">
        <v>221</v>
      </c>
      <c r="BV32" s="456" t="s">
        <v>222</v>
      </c>
      <c r="BW32" s="54" t="e" vm="2">
        <f>VLOOKUP(BC32,BC32:BV32,$O$21,FALSE)</f>
        <v>#VALUE!</v>
      </c>
      <c r="BX32" s="123" t="s">
        <v>223</v>
      </c>
      <c r="BY32" s="123" t="s">
        <v>224</v>
      </c>
      <c r="BZ32" s="123" t="s">
        <v>225</v>
      </c>
      <c r="CA32" s="123" t="s">
        <v>226</v>
      </c>
      <c r="CB32" s="123" t="s">
        <v>227</v>
      </c>
      <c r="CC32" s="123" t="s">
        <v>228</v>
      </c>
      <c r="CD32" s="123" t="s">
        <v>229</v>
      </c>
      <c r="CE32" s="123" t="s">
        <v>230</v>
      </c>
      <c r="CF32" s="123" t="s">
        <v>231</v>
      </c>
      <c r="CG32" s="123" t="s">
        <v>232</v>
      </c>
      <c r="CH32" s="123" t="s">
        <v>233</v>
      </c>
      <c r="CI32" s="123" t="s">
        <v>234</v>
      </c>
      <c r="CJ32" s="123" t="s">
        <v>235</v>
      </c>
      <c r="CK32" s="123" t="s">
        <v>236</v>
      </c>
      <c r="CL32" s="451" t="s">
        <v>2349</v>
      </c>
      <c r="CM32" s="123" t="s">
        <v>237</v>
      </c>
      <c r="CN32" s="123" t="s">
        <v>238</v>
      </c>
      <c r="CO32" s="123" t="s">
        <v>239</v>
      </c>
      <c r="CP32" s="123" t="s">
        <v>240</v>
      </c>
      <c r="CQ32" s="455" t="s">
        <v>241</v>
      </c>
      <c r="CR32" s="54" t="e" vm="2">
        <f>VLOOKUP(BX32,BX32:CQ32,$O$21,FALSE)</f>
        <v>#VALUE!</v>
      </c>
      <c r="CS32" s="123" t="s">
        <v>242</v>
      </c>
      <c r="CT32" s="123" t="s">
        <v>243</v>
      </c>
      <c r="CU32" s="123" t="s">
        <v>244</v>
      </c>
      <c r="CV32" s="123" t="s">
        <v>245</v>
      </c>
      <c r="CW32" s="123" t="s">
        <v>246</v>
      </c>
      <c r="CX32" s="123" t="s">
        <v>247</v>
      </c>
      <c r="CY32" s="123" t="s">
        <v>248</v>
      </c>
      <c r="CZ32" s="123" t="s">
        <v>249</v>
      </c>
      <c r="DA32" s="123" t="s">
        <v>250</v>
      </c>
      <c r="DB32" s="123" t="s">
        <v>251</v>
      </c>
      <c r="DC32" s="123" t="s">
        <v>252</v>
      </c>
      <c r="DD32" s="123" t="s">
        <v>253</v>
      </c>
      <c r="DE32" s="123" t="s">
        <v>254</v>
      </c>
      <c r="DF32" s="123" t="s">
        <v>255</v>
      </c>
      <c r="DG32" s="451" t="s">
        <v>2349</v>
      </c>
      <c r="DH32" s="451" t="s">
        <v>2349</v>
      </c>
      <c r="DI32" s="451" t="s">
        <v>2349</v>
      </c>
      <c r="DJ32" s="451" t="s">
        <v>256</v>
      </c>
      <c r="DK32" s="451" t="s">
        <v>257</v>
      </c>
      <c r="DL32" s="456" t="s">
        <v>258</v>
      </c>
      <c r="DM32" s="54" t="e" vm="2">
        <f>VLOOKUP(CS32,CS32:DL32,$O$21,FALSE)</f>
        <v>#VALUE!</v>
      </c>
    </row>
    <row r="33" spans="1:117" ht="32.1" customHeight="1">
      <c r="A33" s="93"/>
      <c r="B33" s="114" t="str">
        <f>VLOOKUP(531,Sprachindex!$A:$Z,Info!$O$7,FALSE)</f>
        <v>kg</v>
      </c>
      <c r="C33" s="101"/>
      <c r="D33" s="105" t="str" cm="1">
        <f t="array" ref="D33">_xlfn.IFS(AND($J33=Formeln!$A$288,$O$9=1),$BW33,AND($J33=Formeln!$A$288,$O$9=2),$BB33,AND($J33=Formeln!$A$289,$O$9=1),$DM33,AND($J33=Formeln!$A$289,$O$9=2),$CR33,TRUE,"")</f>
        <v/>
      </c>
      <c r="E33" s="654" t="str">
        <f>VLOOKUP(672,Sprachindex!$A:$Z,Info!$O$7,FALSE)</f>
        <v>PREFALZ Farbaluminiumband; 0,7 × 1.000 mm (für Zusatzverblechungen)</v>
      </c>
      <c r="F33" s="655"/>
      <c r="G33" s="655"/>
      <c r="H33" s="655"/>
      <c r="I33" s="655"/>
      <c r="J33" s="624"/>
      <c r="K33" s="625"/>
      <c r="L33" s="76" t="str">
        <f t="shared" si="1"/>
        <v/>
      </c>
      <c r="M33" s="399" t="str">
        <f t="shared" si="2"/>
        <v>kg</v>
      </c>
      <c r="N33" s="77"/>
      <c r="O33" s="184"/>
      <c r="R33" s="182"/>
      <c r="S33" s="179"/>
      <c r="T33" s="179"/>
      <c r="U33" s="179"/>
      <c r="V33" s="179"/>
      <c r="W33" s="179"/>
      <c r="X33" s="179"/>
      <c r="Y33" s="179"/>
      <c r="Z33" s="179"/>
      <c r="AA33" s="179"/>
      <c r="AB33" s="94"/>
      <c r="AC33" s="1"/>
      <c r="AD33" s="205">
        <f>IF(J33=$AC$31,ROUNDUP(A33/60,0)*60,IF(J33=$AC$32,ROUNDUP(A33/500,0)*500,0))</f>
        <v>0</v>
      </c>
      <c r="AE33" s="139">
        <f t="shared" si="0"/>
        <v>0</v>
      </c>
      <c r="AF33" s="8" t="b">
        <f>IF(J33=Formeln!$A$288,IF(A33&gt;60, Formeln!$A$119, Formeln!$A$118),IF(J33=Formeln!$A$289,IF(A33&gt;500, Formeln!$A$119, Formeln!$A$118)))</f>
        <v>0</v>
      </c>
      <c r="AH33" t="s">
        <v>259</v>
      </c>
      <c r="AI33" t="s">
        <v>260</v>
      </c>
      <c r="AJ33" t="s">
        <v>261</v>
      </c>
      <c r="AK33" t="s">
        <v>262</v>
      </c>
      <c r="AL33" t="s">
        <v>263</v>
      </c>
      <c r="AM33" t="s">
        <v>264</v>
      </c>
      <c r="AN33" t="s">
        <v>265</v>
      </c>
      <c r="AO33" t="s">
        <v>266</v>
      </c>
      <c r="AP33" t="s">
        <v>267</v>
      </c>
      <c r="AQ33" t="s">
        <v>268</v>
      </c>
      <c r="AR33" t="s">
        <v>269</v>
      </c>
      <c r="AS33" t="s">
        <v>270</v>
      </c>
      <c r="AT33" t="s">
        <v>271</v>
      </c>
      <c r="AU33" t="s">
        <v>272</v>
      </c>
      <c r="AV33" t="s">
        <v>273</v>
      </c>
      <c r="AW33" t="s">
        <v>274</v>
      </c>
      <c r="AX33" t="s">
        <v>275</v>
      </c>
      <c r="AY33" t="s">
        <v>276</v>
      </c>
      <c r="AZ33" t="s">
        <v>73</v>
      </c>
      <c r="BA33" s="460" t="s">
        <v>277</v>
      </c>
      <c r="BB33" s="54" t="e" vm="2">
        <f>VLOOKUP(AH33,AH33:BA33,$O$21,FALSE)</f>
        <v>#VALUE!</v>
      </c>
      <c r="BC33" s="123" t="s">
        <v>278</v>
      </c>
      <c r="BD33" s="123" t="s">
        <v>279</v>
      </c>
      <c r="BE33" s="123" t="s">
        <v>280</v>
      </c>
      <c r="BF33" s="123" t="s">
        <v>281</v>
      </c>
      <c r="BG33" s="123" t="s">
        <v>282</v>
      </c>
      <c r="BH33" s="123" t="s">
        <v>283</v>
      </c>
      <c r="BI33" s="123" t="s">
        <v>284</v>
      </c>
      <c r="BJ33" s="123" t="s">
        <v>285</v>
      </c>
      <c r="BK33" s="123" t="s">
        <v>286</v>
      </c>
      <c r="BL33" s="123" t="s">
        <v>287</v>
      </c>
      <c r="BM33" s="123" t="s">
        <v>288</v>
      </c>
      <c r="BN33" s="123" t="s">
        <v>289</v>
      </c>
      <c r="BO33" s="123" t="s">
        <v>290</v>
      </c>
      <c r="BP33" s="123" t="s">
        <v>291</v>
      </c>
      <c r="BQ33" s="451" t="s">
        <v>2349</v>
      </c>
      <c r="BR33" s="451" t="s">
        <v>2349</v>
      </c>
      <c r="BS33" s="451" t="s">
        <v>2349</v>
      </c>
      <c r="BT33" s="451" t="s">
        <v>292</v>
      </c>
      <c r="BU33" s="451" t="s">
        <v>83</v>
      </c>
      <c r="BV33" s="456" t="s">
        <v>293</v>
      </c>
      <c r="BW33" s="54" t="e" vm="2">
        <f>VLOOKUP(BC33,BC33:BV33,$O$21,FALSE)</f>
        <v>#VALUE!</v>
      </c>
      <c r="BX33" s="123" t="s">
        <v>294</v>
      </c>
      <c r="BY33" s="123" t="s">
        <v>295</v>
      </c>
      <c r="BZ33" s="123" t="s">
        <v>296</v>
      </c>
      <c r="CA33" s="123" t="s">
        <v>297</v>
      </c>
      <c r="CB33" s="123" t="s">
        <v>298</v>
      </c>
      <c r="CC33" s="123" t="s">
        <v>299</v>
      </c>
      <c r="CD33" s="123" t="s">
        <v>300</v>
      </c>
      <c r="CE33" s="123" t="s">
        <v>301</v>
      </c>
      <c r="CF33" s="123" t="s">
        <v>302</v>
      </c>
      <c r="CG33" s="123" t="s">
        <v>303</v>
      </c>
      <c r="CH33" s="123" t="s">
        <v>304</v>
      </c>
      <c r="CI33" s="123" t="s">
        <v>305</v>
      </c>
      <c r="CJ33" s="123" t="s">
        <v>306</v>
      </c>
      <c r="CK33" s="123" t="s">
        <v>307</v>
      </c>
      <c r="CL33" s="123" t="s">
        <v>308</v>
      </c>
      <c r="CM33" s="123" t="s">
        <v>309</v>
      </c>
      <c r="CN33" s="123" t="s">
        <v>310</v>
      </c>
      <c r="CO33" s="123" t="s">
        <v>311</v>
      </c>
      <c r="CP33" s="123" t="s">
        <v>312</v>
      </c>
      <c r="CQ33" s="455" t="s">
        <v>313</v>
      </c>
      <c r="CR33" s="54" t="e" vm="2">
        <f>VLOOKUP(BX33,BX33:CQ33,$O$21,FALSE)</f>
        <v>#VALUE!</v>
      </c>
      <c r="CS33" s="123" t="s">
        <v>314</v>
      </c>
      <c r="CT33" s="123" t="s">
        <v>315</v>
      </c>
      <c r="CU33" s="123" t="s">
        <v>316</v>
      </c>
      <c r="CV33" s="123" t="s">
        <v>317</v>
      </c>
      <c r="CW33" s="123" t="s">
        <v>318</v>
      </c>
      <c r="CX33" s="123" t="s">
        <v>319</v>
      </c>
      <c r="CY33" s="123" t="s">
        <v>320</v>
      </c>
      <c r="CZ33" s="123" t="s">
        <v>321</v>
      </c>
      <c r="DA33" s="123" t="s">
        <v>322</v>
      </c>
      <c r="DB33" s="123" t="s">
        <v>323</v>
      </c>
      <c r="DC33" s="123" t="s">
        <v>324</v>
      </c>
      <c r="DD33" s="123" t="s">
        <v>2349</v>
      </c>
      <c r="DE33" s="123" t="s">
        <v>325</v>
      </c>
      <c r="DF33" s="123" t="s">
        <v>326</v>
      </c>
      <c r="DG33" s="451" t="s">
        <v>2349</v>
      </c>
      <c r="DH33" s="451" t="s">
        <v>2349</v>
      </c>
      <c r="DI33" s="451" t="s">
        <v>2349</v>
      </c>
      <c r="DJ33" s="451" t="s">
        <v>327</v>
      </c>
      <c r="DK33" s="451" t="s">
        <v>328</v>
      </c>
      <c r="DL33" s="456" t="s">
        <v>329</v>
      </c>
      <c r="DM33" s="54" t="e" vm="2">
        <f>VLOOKUP(CS33,CS33:DL33,$O$21,FALSE)</f>
        <v>#VALUE!</v>
      </c>
    </row>
    <row r="34" spans="1:117" ht="32.1" customHeight="1">
      <c r="A34" s="93"/>
      <c r="B34" s="76" t="str">
        <f>VLOOKUP(878,Sprachindex!$A:$Z,Info!$O$7,FALSE)</f>
        <v>Stk.</v>
      </c>
      <c r="C34" s="75"/>
      <c r="D34" s="105">
        <v>534004</v>
      </c>
      <c r="E34" s="618" t="str">
        <f>VLOOKUP(631,Sprachindex!$A:$Z,Info!$O$7,FALSE)</f>
        <v>Niro-Winkelstehfalzhaft</v>
      </c>
      <c r="F34" s="619"/>
      <c r="G34" s="619"/>
      <c r="H34" s="619"/>
      <c r="I34" s="619"/>
      <c r="J34" s="619"/>
      <c r="K34" s="620"/>
      <c r="L34" s="76" t="str">
        <f>IF(A34=0,"",IF($O$11=1,AD34,AE34))</f>
        <v/>
      </c>
      <c r="M34" s="399" t="str">
        <f t="shared" si="2"/>
        <v>Stk.</v>
      </c>
      <c r="N34" s="77"/>
      <c r="O34" s="184" t="str">
        <f t="shared" ref="O34:O35" si="3">IF(ISNUMBER(A34),$L34*R34, "")</f>
        <v/>
      </c>
      <c r="R34" s="182">
        <v>7.0000000000000007E-2</v>
      </c>
      <c r="S34" s="179"/>
      <c r="T34" s="179"/>
      <c r="U34" s="179"/>
      <c r="V34" s="179"/>
      <c r="W34" s="179"/>
      <c r="X34" s="179"/>
      <c r="Y34" s="179"/>
      <c r="Z34" s="179"/>
      <c r="AA34" s="179"/>
      <c r="AB34" s="68"/>
      <c r="AC34" s="1"/>
      <c r="AD34" s="139">
        <f>ROUNDUP($A34/500,0)*500</f>
        <v>0</v>
      </c>
      <c r="AE34" s="139">
        <f t="shared" si="0"/>
        <v>0</v>
      </c>
    </row>
    <row r="35" spans="1:117" ht="32.1" customHeight="1">
      <c r="A35" s="93"/>
      <c r="B35" s="76" t="str">
        <f>VLOOKUP(878,Sprachindex!$A:$Z,Info!$O$7,FALSE)</f>
        <v>Stk.</v>
      </c>
      <c r="C35" s="75"/>
      <c r="D35" s="105">
        <v>535004</v>
      </c>
      <c r="E35" s="618" t="str">
        <f>VLOOKUP(630,Sprachindex!$A:$Z,Info!$O$7,FALSE)</f>
        <v>Niro-Winkelschiebehaft (Scharenlänge bis 12 m)</v>
      </c>
      <c r="F35" s="619"/>
      <c r="G35" s="619"/>
      <c r="H35" s="619"/>
      <c r="I35" s="619"/>
      <c r="J35" s="619"/>
      <c r="K35" s="620"/>
      <c r="L35" s="76" t="str">
        <f>IF(A35=0,"",IF($O$11=1,AD35,AE35))</f>
        <v/>
      </c>
      <c r="M35" s="399" t="str">
        <f t="shared" si="2"/>
        <v>Stk.</v>
      </c>
      <c r="N35" s="77"/>
      <c r="O35" s="184" t="str">
        <f t="shared" si="3"/>
        <v/>
      </c>
      <c r="R35" s="182">
        <v>0.3</v>
      </c>
      <c r="S35" s="179"/>
      <c r="T35" s="179"/>
      <c r="U35" s="179"/>
      <c r="V35" s="179"/>
      <c r="W35" s="179"/>
      <c r="X35" s="179"/>
      <c r="Y35" s="179"/>
      <c r="Z35" s="179"/>
      <c r="AA35" s="179"/>
      <c r="AB35" s="68"/>
      <c r="AC35" s="1"/>
      <c r="AD35" s="139">
        <f>ROUNDUP($A35/500,0)*500</f>
        <v>0</v>
      </c>
      <c r="AE35" s="139">
        <f t="shared" si="0"/>
        <v>0</v>
      </c>
    </row>
    <row r="36" spans="1:117" ht="32.1" customHeight="1">
      <c r="A36" s="93"/>
      <c r="B36" s="76" t="str">
        <f>VLOOKUP(878,Sprachindex!$A:$Z,Info!$O$7,FALSE)</f>
        <v>Stk.</v>
      </c>
      <c r="C36" s="75"/>
      <c r="D36" s="105">
        <v>535005</v>
      </c>
      <c r="E36" s="618" t="str">
        <f>VLOOKUP(629,Sprachindex!$A:$Z,Info!$O$7,FALSE)</f>
        <v>Niro-Winkellangschiebehaft (Scharenlänge bis 15 m)</v>
      </c>
      <c r="F36" s="619"/>
      <c r="G36" s="619"/>
      <c r="H36" s="619"/>
      <c r="I36" s="619"/>
      <c r="J36" s="619"/>
      <c r="K36" s="620"/>
      <c r="L36" s="76" t="str">
        <f>IF(A36=0,"",IF($O$11=1,AD36,AE36))</f>
        <v/>
      </c>
      <c r="M36" s="399" t="str">
        <f t="shared" si="2"/>
        <v>Stk.</v>
      </c>
      <c r="N36" s="77"/>
      <c r="O36" s="184" t="str">
        <f>IF(ISNUMBER(L36),$L36*R36, "")</f>
        <v/>
      </c>
      <c r="R36" s="182">
        <v>0.65</v>
      </c>
      <c r="S36" s="179"/>
      <c r="T36" s="179"/>
      <c r="U36" s="179"/>
      <c r="V36" s="179"/>
      <c r="W36" s="179"/>
      <c r="X36" s="179"/>
      <c r="Y36" s="179"/>
      <c r="Z36" s="179"/>
      <c r="AA36" s="179"/>
      <c r="AB36" s="68"/>
      <c r="AC36" s="1"/>
      <c r="AD36" s="139">
        <f>ROUNDUP($A36/500,0)*500</f>
        <v>0</v>
      </c>
      <c r="AE36" s="139">
        <f t="shared" si="0"/>
        <v>0</v>
      </c>
    </row>
    <row r="37" spans="1:117" ht="32.1" customHeight="1">
      <c r="A37" s="93"/>
      <c r="B37" s="76" t="str">
        <f>VLOOKUP(878,Sprachindex!$A:$Z,Info!$O$7,FALSE)</f>
        <v>Stk.</v>
      </c>
      <c r="C37" s="75"/>
      <c r="D37" s="105">
        <v>534001</v>
      </c>
      <c r="E37" s="618" t="str">
        <f>VLOOKUP(627,Sprachindex!$A:$Z,Info!$O$7,FALSE)</f>
        <v>Niro-Hosenhaft</v>
      </c>
      <c r="F37" s="619"/>
      <c r="G37" s="619"/>
      <c r="H37" s="619"/>
      <c r="I37" s="619"/>
      <c r="J37" s="619"/>
      <c r="K37" s="620"/>
      <c r="L37" s="76" t="str">
        <f>IF(A37=0,"",IF($O$11=1,AD37,AE37))</f>
        <v/>
      </c>
      <c r="M37" s="399" t="str">
        <f t="shared" si="2"/>
        <v>Stk.</v>
      </c>
      <c r="N37" s="77"/>
      <c r="O37" s="184" t="str">
        <f>IF(ISNUMBER(L37),$L37*R37, "")</f>
        <v/>
      </c>
      <c r="R37" s="182">
        <v>0.3</v>
      </c>
      <c r="S37" s="179"/>
      <c r="T37" s="179"/>
      <c r="U37" s="179"/>
      <c r="V37" s="179"/>
      <c r="W37" s="179"/>
      <c r="X37" s="179"/>
      <c r="Y37" s="179"/>
      <c r="Z37" s="179"/>
      <c r="AA37" s="179"/>
      <c r="AB37" s="68"/>
      <c r="AC37" s="1"/>
      <c r="AD37" s="139">
        <f>ROUNDUP($A37/250,0)*250</f>
        <v>0</v>
      </c>
      <c r="AE37" s="139">
        <f t="shared" si="0"/>
        <v>0</v>
      </c>
    </row>
    <row r="38" spans="1:117" ht="32.1" customHeight="1">
      <c r="A38" s="93"/>
      <c r="B38" s="76" t="str">
        <f>VLOOKUP(878,Sprachindex!$A:$Z,Info!$O$7,FALSE)</f>
        <v>Stk.</v>
      </c>
      <c r="C38" s="75"/>
      <c r="D38" s="105">
        <v>535001</v>
      </c>
      <c r="E38" s="618" t="str">
        <f>VLOOKUP(628,Sprachindex!$A:$Z,Info!$O$7,FALSE)</f>
        <v>Niro-Hosenschiebehaft</v>
      </c>
      <c r="F38" s="619"/>
      <c r="G38" s="619"/>
      <c r="H38" s="619"/>
      <c r="I38" s="619"/>
      <c r="J38" s="619"/>
      <c r="K38" s="620"/>
      <c r="L38" s="76" t="str">
        <f>IF(A38=0,"",IF($O$11=1,AD38,AE38))</f>
        <v/>
      </c>
      <c r="M38" s="399" t="str">
        <f t="shared" si="2"/>
        <v>Stk.</v>
      </c>
      <c r="N38" s="77"/>
      <c r="O38" s="184" t="str">
        <f t="shared" ref="O38:O47" si="4">IF(ISNUMBER(A38),$L38*R38, "")</f>
        <v/>
      </c>
      <c r="R38" s="182">
        <v>0.52</v>
      </c>
      <c r="S38" s="179"/>
      <c r="T38" s="179"/>
      <c r="U38" s="179"/>
      <c r="V38" s="179"/>
      <c r="W38" s="179"/>
      <c r="X38" s="179"/>
      <c r="Y38" s="179"/>
      <c r="Z38" s="179"/>
      <c r="AA38" s="179"/>
      <c r="AB38" s="68"/>
      <c r="AC38" s="1"/>
      <c r="AD38" s="139">
        <f>ROUNDUP($A38/250,0)*250</f>
        <v>0</v>
      </c>
      <c r="AE38" s="139">
        <f t="shared" si="0"/>
        <v>0</v>
      </c>
      <c r="AF38" s="6">
        <f>IF(H38=Formeln!A2,570,IF(H38=Formeln!A3,480,IF(H38=Formeln!A4,380,0)))</f>
        <v>0</v>
      </c>
    </row>
    <row r="39" spans="1:117" ht="32.1" customHeight="1">
      <c r="A39" s="93"/>
      <c r="B39" s="76" t="str">
        <f>VLOOKUP(531,Sprachindex!$A:$Z,Info!$O$7,FALSE)</f>
        <v>kg</v>
      </c>
      <c r="C39" s="75"/>
      <c r="D39" s="105" t="str">
        <f>IF(H39=Formeln!A2,340397,IF(H39=Formeln!A3,340398,""))</f>
        <v/>
      </c>
      <c r="E39" s="618" t="str">
        <f>VLOOKUP(706,Sprachindex!$A:$Z,Info!$O$7,FALSE)</f>
        <v>Rillennagel (Niro)</v>
      </c>
      <c r="F39" s="619"/>
      <c r="G39" s="619"/>
      <c r="H39" s="624"/>
      <c r="I39" s="625"/>
      <c r="J39" s="625"/>
      <c r="K39" s="626"/>
      <c r="L39" s="76" t="str">
        <f>IF(A39=0,"",IF(H39=Formeln!$A$1,"",IF($O$11=1,AD39,AE39)))</f>
        <v/>
      </c>
      <c r="M39" s="399" t="str">
        <f t="shared" si="2"/>
        <v>kg</v>
      </c>
      <c r="N39" s="77"/>
      <c r="O39" s="184" t="str">
        <f>IF(ISNUMBER(L39), IF(H39=Formeln!A16, $L39*S39, $L39*R39), "")</f>
        <v/>
      </c>
      <c r="R39" s="182">
        <v>31.83</v>
      </c>
      <c r="S39" s="179"/>
      <c r="T39" s="179"/>
      <c r="U39" s="179"/>
      <c r="V39" s="179"/>
      <c r="W39" s="179"/>
      <c r="X39" s="179"/>
      <c r="Y39" s="179"/>
      <c r="Z39" s="179"/>
      <c r="AA39" s="179"/>
      <c r="AB39" s="68"/>
      <c r="AC39" s="1"/>
      <c r="AD39" s="138">
        <f>IF(OR($H39=Formeln!$A$2,$H39=Formeln!$A$3),ROUNDUP($A39/2.5,0)*2.5,ROUNDUP($A39/2,0)*2)</f>
        <v>0</v>
      </c>
      <c r="AE39" s="138">
        <f>ROUNDUP($A39,2)</f>
        <v>0</v>
      </c>
      <c r="AF39" s="6">
        <f>IF(H39=Formeln!A2,570,IF(H39=Formeln!A3,480,IF(H39=Formeln!A4,380,0)))</f>
        <v>0</v>
      </c>
    </row>
    <row r="40" spans="1:117" ht="32.1" customHeight="1">
      <c r="A40" s="93"/>
      <c r="B40" s="76" t="str">
        <f>VLOOKUP(878,Sprachindex!$A:$Z,Info!$O$7,FALSE)</f>
        <v>Stk.</v>
      </c>
      <c r="C40" s="75"/>
      <c r="D40" s="579" t="str">
        <f>IF(H40=Formeln!A6,341395,IF(H40=Formeln!A7,341396,IF(H40=Formeln!A8,341398,"")))</f>
        <v/>
      </c>
      <c r="E40" s="618" t="str">
        <f>VLOOKUP(2186,Sprachindex!$A:$Z,Info!$O$7,FALSE)</f>
        <v>Rillennägel gebunden</v>
      </c>
      <c r="F40" s="619"/>
      <c r="G40" s="619"/>
      <c r="H40" s="624"/>
      <c r="I40" s="625"/>
      <c r="J40" s="625"/>
      <c r="K40" s="626"/>
      <c r="L40" s="134" t="str">
        <f>IF($A40=0,"",IF($H40=Formeln!$A$5,"",IF($O$11=1,AD40,AE40)))</f>
        <v/>
      </c>
      <c r="M40" s="399" t="str">
        <f t="shared" si="2"/>
        <v>Stk.</v>
      </c>
      <c r="N40" s="77"/>
      <c r="O40" s="184" t="str">
        <f>IF(ISNUMBER(A40),IF(H40=Formeln!A7,$L40*S40/1000,IF(H40=Formeln!A6,$L40*R40/1000,L40*T40/1000))," ")</f>
        <v xml:space="preserve"> </v>
      </c>
      <c r="R40" s="182">
        <v>31.5</v>
      </c>
      <c r="S40" s="182">
        <v>47.3</v>
      </c>
      <c r="T40" s="582">
        <v>66.3</v>
      </c>
      <c r="U40" s="179"/>
      <c r="V40" s="179"/>
      <c r="W40" s="179"/>
      <c r="X40" s="179"/>
      <c r="Y40" s="179"/>
      <c r="Z40" s="179"/>
      <c r="AA40" s="179"/>
      <c r="AC40" s="129"/>
      <c r="AD40" s="138">
        <f>ROUNDUP($A40/$AF40,0)*$AF40</f>
        <v>0</v>
      </c>
      <c r="AE40" s="139">
        <f>ROUNDUP($A40/1000,0)*1000</f>
        <v>0</v>
      </c>
      <c r="AF40" s="140">
        <f>IF($H40=Formeln!$A$7,2400,3200)</f>
        <v>3200</v>
      </c>
    </row>
    <row r="41" spans="1:117" ht="32.1" customHeight="1">
      <c r="A41" s="93"/>
      <c r="B41" s="76" t="str">
        <f>VLOOKUP(878,Sprachindex!$A:$Z,Info!$O$7,FALSE)</f>
        <v>Stk.</v>
      </c>
      <c r="C41" s="75"/>
      <c r="D41" s="105">
        <v>534005</v>
      </c>
      <c r="E41" s="618" t="str">
        <f>VLOOKUP(1945,Sprachindex!$A:$Z,Info!$O$7,FALSE)</f>
        <v>Niro-Winkelstehfalzhaft für Befestigung mit Schrauben</v>
      </c>
      <c r="F41" s="619"/>
      <c r="G41" s="619"/>
      <c r="H41" s="619"/>
      <c r="I41" s="619"/>
      <c r="J41" s="619"/>
      <c r="K41" s="620"/>
      <c r="L41" s="76" t="str">
        <f t="shared" ref="L41:L47" si="5">IF(A41=0,"",IF($O$11=1,AD41,AE41))</f>
        <v/>
      </c>
      <c r="M41" s="399" t="str">
        <f t="shared" si="2"/>
        <v>Stk.</v>
      </c>
      <c r="N41" s="77"/>
      <c r="O41" s="184" t="str">
        <f t="shared" si="4"/>
        <v/>
      </c>
      <c r="R41" s="182">
        <v>0.13</v>
      </c>
      <c r="S41" s="179"/>
      <c r="T41" s="179"/>
      <c r="U41" s="179"/>
      <c r="V41" s="179"/>
      <c r="W41" s="179"/>
      <c r="X41" s="179"/>
      <c r="Y41" s="179"/>
      <c r="Z41" s="179"/>
      <c r="AA41" s="179"/>
      <c r="AB41" s="68"/>
      <c r="AC41" s="1"/>
      <c r="AD41" s="139">
        <f>ROUNDUP($A41/500,0)*500</f>
        <v>0</v>
      </c>
      <c r="AE41" s="139">
        <f>ROUNDUP($A41,0)</f>
        <v>0</v>
      </c>
    </row>
    <row r="42" spans="1:117" ht="32.1" customHeight="1" thickBot="1">
      <c r="A42" s="93"/>
      <c r="B42" s="76" t="str">
        <f>VLOOKUP(878,Sprachindex!$A:$Z,Info!$O$7,FALSE)</f>
        <v>Stk.</v>
      </c>
      <c r="C42" s="75"/>
      <c r="D42" s="105">
        <v>535006</v>
      </c>
      <c r="E42" s="618" t="str">
        <f>VLOOKUP(1946,Sprachindex!$A:$Z,Info!$O$7,FALSE)</f>
        <v>Niro-Winkelschiebehaft für Befestigung mit Schrauben</v>
      </c>
      <c r="F42" s="619"/>
      <c r="G42" s="619"/>
      <c r="H42" s="619"/>
      <c r="I42" s="619"/>
      <c r="J42" s="619"/>
      <c r="K42" s="620"/>
      <c r="L42" s="76" t="str">
        <f t="shared" si="5"/>
        <v/>
      </c>
      <c r="M42" s="399" t="str">
        <f t="shared" si="2"/>
        <v>Stk.</v>
      </c>
      <c r="N42" s="77"/>
      <c r="O42" s="184" t="str">
        <f t="shared" si="4"/>
        <v/>
      </c>
      <c r="R42" s="182">
        <v>0.31</v>
      </c>
      <c r="S42" s="179"/>
      <c r="T42" s="179"/>
      <c r="U42" s="179"/>
      <c r="V42" s="179"/>
      <c r="W42" s="179"/>
      <c r="X42" s="179"/>
      <c r="Y42" s="179"/>
      <c r="Z42" s="179"/>
      <c r="AA42" s="179"/>
      <c r="AB42" s="68"/>
      <c r="AC42" s="1"/>
      <c r="AD42" s="139">
        <f>ROUNDUP($A42/500,0)*500</f>
        <v>0</v>
      </c>
      <c r="AE42" s="139">
        <f>ROUNDUP($A42,0)</f>
        <v>0</v>
      </c>
    </row>
    <row r="43" spans="1:117" ht="32.1" customHeight="1">
      <c r="A43" s="93"/>
      <c r="B43" s="76" t="str">
        <f>VLOOKUP(878,Sprachindex!$A:$Z,Info!$O$7,FALSE)</f>
        <v>Stk.</v>
      </c>
      <c r="C43" s="75"/>
      <c r="D43" s="105">
        <v>535007</v>
      </c>
      <c r="E43" s="618" t="str">
        <f>VLOOKUP(1947,Sprachindex!$A:$Z,Info!$O$7,FALSE)</f>
        <v>Niro-Winkellangschiebehaft für Befestigung mit Schrauben</v>
      </c>
      <c r="F43" s="619"/>
      <c r="G43" s="619"/>
      <c r="H43" s="619"/>
      <c r="I43" s="619"/>
      <c r="J43" s="619"/>
      <c r="K43" s="620"/>
      <c r="L43" s="76" t="str">
        <f t="shared" si="5"/>
        <v/>
      </c>
      <c r="M43" s="399" t="str">
        <f t="shared" si="2"/>
        <v>Stk.</v>
      </c>
      <c r="N43" s="77"/>
      <c r="O43" s="184" t="str">
        <f t="shared" si="4"/>
        <v/>
      </c>
      <c r="R43" s="182">
        <v>0.8</v>
      </c>
      <c r="S43" s="179"/>
      <c r="T43" s="179"/>
      <c r="U43" s="179"/>
      <c r="V43" s="179"/>
      <c r="W43" s="179"/>
      <c r="X43" s="564" t="s">
        <v>39190</v>
      </c>
      <c r="Y43" s="565" t="s">
        <v>39189</v>
      </c>
      <c r="Z43" s="179"/>
      <c r="AA43" s="179"/>
      <c r="AB43" s="68"/>
      <c r="AC43" s="1"/>
      <c r="AD43" s="139">
        <f>ROUNDUP($A43/500,0)*500</f>
        <v>0</v>
      </c>
      <c r="AE43" s="139">
        <f>ROUNDUP($A43,0)</f>
        <v>0</v>
      </c>
    </row>
    <row r="44" spans="1:117" ht="32.1" customHeight="1" thickBot="1">
      <c r="A44" s="93"/>
      <c r="B44" s="76" t="str">
        <f>VLOOKUP(878,Sprachindex!$A:$Z,Info!$O$7,FALSE)</f>
        <v>Stk.</v>
      </c>
      <c r="C44" s="75"/>
      <c r="D44" s="105" t="str" cm="1">
        <f t="array" ref="D44">_xlfn.IFS(I44=Formeln!$A$296,X44,I44=Formeln!$A$297,Y44,I44=Formeln!$A$295,"")</f>
        <v/>
      </c>
      <c r="E44" s="618" t="str">
        <f>VLOOKUP(1957,Sprachindex!$A:$Z,Info!$O$7,FALSE)</f>
        <v>Senkkopfschrauben</v>
      </c>
      <c r="F44" s="619"/>
      <c r="G44" s="619"/>
      <c r="H44" s="619"/>
      <c r="I44" s="677"/>
      <c r="J44" s="677"/>
      <c r="K44" s="678"/>
      <c r="L44" s="76" t="str">
        <f t="shared" si="5"/>
        <v/>
      </c>
      <c r="M44" s="399" t="str">
        <f t="shared" si="2"/>
        <v>Stk.</v>
      </c>
      <c r="N44" s="77"/>
      <c r="O44" s="184" t="str">
        <f t="shared" si="4"/>
        <v/>
      </c>
      <c r="R44" s="182">
        <v>0.05</v>
      </c>
      <c r="S44" s="179"/>
      <c r="T44" s="179"/>
      <c r="U44" s="179"/>
      <c r="V44" s="179"/>
      <c r="W44" s="179"/>
      <c r="X44" s="568">
        <v>340391</v>
      </c>
      <c r="Y44" s="569">
        <v>340399</v>
      </c>
      <c r="Z44" s="179"/>
      <c r="AA44" s="179"/>
      <c r="AC44" s="129"/>
      <c r="AD44" s="139">
        <f>ROUNDUP($A44/500,0)*500</f>
        <v>0</v>
      </c>
      <c r="AE44" s="139">
        <f>ROUNDUP($A44/500,0)*500</f>
        <v>0</v>
      </c>
      <c r="AF44" s="140">
        <f>IF($H44=Formeln!$A$7,2400,3200)</f>
        <v>3200</v>
      </c>
      <c r="AH44" s="462" t="s">
        <v>94</v>
      </c>
      <c r="AI44" s="462" t="s">
        <v>95</v>
      </c>
      <c r="AJ44" s="462" t="s">
        <v>96</v>
      </c>
      <c r="AK44" s="462" t="s">
        <v>97</v>
      </c>
      <c r="AL44" s="462" t="s">
        <v>98</v>
      </c>
      <c r="AM44" s="462" t="s">
        <v>99</v>
      </c>
      <c r="AN44" s="462" t="s">
        <v>100</v>
      </c>
      <c r="AO44" s="462" t="s">
        <v>101</v>
      </c>
      <c r="AP44" s="462" t="s">
        <v>102</v>
      </c>
      <c r="AQ44" s="462" t="s">
        <v>103</v>
      </c>
      <c r="AR44" s="462" t="s">
        <v>104</v>
      </c>
      <c r="AS44" s="462" t="s">
        <v>84</v>
      </c>
      <c r="AT44" s="462" t="s">
        <v>105</v>
      </c>
      <c r="AU44" s="462" t="s">
        <v>106</v>
      </c>
      <c r="AV44" s="462" t="s">
        <v>107</v>
      </c>
      <c r="AW44" s="462" t="s">
        <v>108</v>
      </c>
      <c r="AX44" s="462" t="s">
        <v>109</v>
      </c>
      <c r="AY44" s="462" t="s">
        <v>110</v>
      </c>
      <c r="AZ44" s="462" t="s">
        <v>111</v>
      </c>
      <c r="BA44" s="120" t="s">
        <v>39157</v>
      </c>
    </row>
    <row r="45" spans="1:117" ht="32.1" customHeight="1">
      <c r="A45" s="93"/>
      <c r="B45" s="76" t="str">
        <f>VLOOKUP(878,Sprachindex!$A:$Z,Info!$O$7,FALSE)</f>
        <v>Stk.</v>
      </c>
      <c r="C45" s="75"/>
      <c r="D45" s="105" t="str">
        <f>IF(ISNUMBER(A45),BB45,"")</f>
        <v/>
      </c>
      <c r="E45" s="618" t="str">
        <f>VLOOKUP(409,Sprachindex!$A:$Z,Info!$O$7,FALSE)</f>
        <v>Froschmaullukenhaube</v>
      </c>
      <c r="F45" s="619"/>
      <c r="G45" s="619"/>
      <c r="H45" s="619"/>
      <c r="I45" s="619"/>
      <c r="J45" s="619"/>
      <c r="K45" s="620"/>
      <c r="L45" s="76" t="str">
        <f t="shared" si="5"/>
        <v/>
      </c>
      <c r="M45" s="399" t="str">
        <f t="shared" si="2"/>
        <v>Stk.</v>
      </c>
      <c r="N45" s="77"/>
      <c r="O45" s="184" t="str">
        <f t="shared" si="4"/>
        <v/>
      </c>
      <c r="R45" s="182">
        <v>25.39</v>
      </c>
      <c r="S45" s="179"/>
      <c r="T45" s="179"/>
      <c r="U45" s="179"/>
      <c r="V45" s="179"/>
      <c r="W45" s="179"/>
      <c r="X45" s="179"/>
      <c r="Y45" s="179"/>
      <c r="Z45" s="179"/>
      <c r="AA45" s="179"/>
      <c r="AB45" s="68"/>
      <c r="AC45" s="1"/>
      <c r="AD45" s="139">
        <f>ROUNDUP($A45/20,0)*20</f>
        <v>0</v>
      </c>
      <c r="AE45" s="139">
        <f>ROUNDUP($A45,0)</f>
        <v>0</v>
      </c>
      <c r="AH45" s="42">
        <v>110103</v>
      </c>
      <c r="AI45" s="42">
        <v>110100</v>
      </c>
      <c r="AJ45" s="42">
        <v>110108</v>
      </c>
      <c r="AK45" s="42">
        <v>110105</v>
      </c>
      <c r="AL45" s="42">
        <v>110101</v>
      </c>
      <c r="AM45" s="42">
        <v>110102</v>
      </c>
      <c r="AN45" s="42">
        <v>110104</v>
      </c>
      <c r="AO45" s="42">
        <v>110106</v>
      </c>
      <c r="AP45" s="42">
        <v>110107</v>
      </c>
      <c r="AQ45" s="42">
        <v>121000</v>
      </c>
      <c r="AR45" s="42">
        <v>121001</v>
      </c>
      <c r="AS45" s="42">
        <v>512014</v>
      </c>
      <c r="AT45" s="42">
        <v>512054</v>
      </c>
      <c r="AU45" s="573" t="s">
        <v>2349</v>
      </c>
      <c r="AV45" s="42"/>
      <c r="AW45" s="42" t="s">
        <v>330</v>
      </c>
      <c r="AX45" s="42" t="s">
        <v>331</v>
      </c>
      <c r="AY45" s="42" t="s">
        <v>332</v>
      </c>
      <c r="AZ45" s="42">
        <v>121005</v>
      </c>
      <c r="BA45" s="42">
        <v>15611028</v>
      </c>
      <c r="BB45" s="54" t="e" vm="2">
        <f t="shared" ref="BB45:BB46" si="6">VLOOKUP(AH45,AH45:BA45,$O$21,FALSE)</f>
        <v>#VALUE!</v>
      </c>
    </row>
    <row r="46" spans="1:117" ht="32.1" customHeight="1">
      <c r="A46" s="93"/>
      <c r="B46" s="76" t="str">
        <f>VLOOKUP(1512,Sprachindex!$A:$Z,Info!$O$7,FALSE)</f>
        <v>lfm</v>
      </c>
      <c r="C46" s="79"/>
      <c r="D46" s="105" t="str">
        <f>IF(ISNUMBER(A46),BB46,"")</f>
        <v/>
      </c>
      <c r="E46" s="618" t="str">
        <f>VLOOKUP(336,Sprachindex!$A:$Z,Info!$O$7,FALSE)</f>
        <v>Einlaufblech (glatt; 230 × 2.000 × 0,7 mm)</v>
      </c>
      <c r="F46" s="619"/>
      <c r="G46" s="619"/>
      <c r="H46" s="619"/>
      <c r="I46" s="619"/>
      <c r="J46" s="619"/>
      <c r="K46" s="620"/>
      <c r="L46" s="76" t="str">
        <f t="shared" si="5"/>
        <v/>
      </c>
      <c r="M46" s="399" t="str">
        <f t="shared" si="2"/>
        <v>lfm</v>
      </c>
      <c r="N46" s="77"/>
      <c r="O46" s="184" t="str">
        <f t="shared" si="4"/>
        <v/>
      </c>
      <c r="R46" s="182">
        <v>8.91</v>
      </c>
      <c r="S46" s="179"/>
      <c r="T46" s="179"/>
      <c r="U46" s="179"/>
      <c r="V46" s="179"/>
      <c r="W46" s="179"/>
      <c r="X46" s="179"/>
      <c r="Y46" s="179"/>
      <c r="Z46" s="179"/>
      <c r="AA46" s="179"/>
      <c r="AB46" s="68"/>
      <c r="AC46" s="1"/>
      <c r="AD46" s="137">
        <f>ROUNDUP($A46/2,0)*2</f>
        <v>0</v>
      </c>
      <c r="AE46" s="137">
        <f>ROUNDUP($A46/2,0)*2</f>
        <v>0</v>
      </c>
      <c r="AH46" s="42">
        <v>212101</v>
      </c>
      <c r="AI46" s="42">
        <v>212100</v>
      </c>
      <c r="AJ46" s="42">
        <v>212104</v>
      </c>
      <c r="AK46" s="42" t="s">
        <v>2349</v>
      </c>
      <c r="AL46" s="42" t="s">
        <v>2349</v>
      </c>
      <c r="AM46" s="42">
        <v>212102</v>
      </c>
      <c r="AN46" s="42" t="s">
        <v>2349</v>
      </c>
      <c r="AO46" s="42">
        <v>212106</v>
      </c>
      <c r="AP46" s="42" t="s">
        <v>2349</v>
      </c>
      <c r="AQ46" s="42" t="s">
        <v>2349</v>
      </c>
      <c r="AR46" s="42" t="s">
        <v>2349</v>
      </c>
      <c r="AS46" s="42" t="s">
        <v>2349</v>
      </c>
      <c r="AT46" s="42" t="s">
        <v>2349</v>
      </c>
      <c r="AU46" s="42" t="s">
        <v>2349</v>
      </c>
      <c r="AV46" s="42" t="s">
        <v>2349</v>
      </c>
      <c r="AW46" s="42" t="s">
        <v>2349</v>
      </c>
      <c r="AX46" s="42" t="s">
        <v>2349</v>
      </c>
      <c r="AY46" s="42" t="s">
        <v>2349</v>
      </c>
      <c r="AZ46" s="42">
        <v>212103</v>
      </c>
      <c r="BA46" s="42">
        <v>15041028</v>
      </c>
      <c r="BB46" s="54" t="e" vm="2">
        <f t="shared" si="6"/>
        <v>#VALUE!</v>
      </c>
    </row>
    <row r="47" spans="1:117" ht="32.1" customHeight="1" thickBot="1">
      <c r="A47" s="93"/>
      <c r="B47" s="76" t="str">
        <f>VLOOKUP(1512,Sprachindex!$A:$Z,Info!$O$7,FALSE)</f>
        <v>lfm</v>
      </c>
      <c r="C47" s="75"/>
      <c r="D47" s="105">
        <v>507300</v>
      </c>
      <c r="E47" s="618" t="str">
        <f>VLOOKUP(985,Sprachindex!$A:$Z,Info!$O$7,FALSE)</f>
        <v>Vogelschutzgitter (125 × 2.000 × 0,7 mm)</v>
      </c>
      <c r="F47" s="619"/>
      <c r="G47" s="619"/>
      <c r="H47" s="619"/>
      <c r="I47" s="619"/>
      <c r="J47" s="619"/>
      <c r="K47" s="620"/>
      <c r="L47" s="76" t="str">
        <f t="shared" si="5"/>
        <v/>
      </c>
      <c r="M47" s="399" t="str">
        <f t="shared" si="2"/>
        <v>lfm</v>
      </c>
      <c r="N47" s="77"/>
      <c r="O47" s="184" t="str">
        <f t="shared" si="4"/>
        <v/>
      </c>
      <c r="R47" s="182">
        <v>4.13</v>
      </c>
      <c r="S47" s="179"/>
      <c r="T47" s="179"/>
      <c r="U47" s="179"/>
      <c r="V47" s="179"/>
      <c r="W47" s="179"/>
      <c r="X47" s="179"/>
      <c r="Y47" s="179"/>
      <c r="Z47" s="179"/>
      <c r="AA47" s="179"/>
      <c r="AB47" s="68"/>
      <c r="AC47" s="1"/>
      <c r="AD47" s="139">
        <f>ROUNDUP($A47/2,0)*2</f>
        <v>0</v>
      </c>
      <c r="AE47" s="139">
        <f>ROUNDUP($A47/2,0)*2</f>
        <v>0</v>
      </c>
      <c r="AH47" s="574"/>
      <c r="AI47" s="574"/>
      <c r="AJ47" s="574"/>
      <c r="AK47" s="574"/>
      <c r="AL47" s="574"/>
      <c r="AM47" s="574"/>
      <c r="AN47" s="574"/>
      <c r="AO47" s="574"/>
      <c r="AP47" s="574"/>
      <c r="AQ47" s="574"/>
      <c r="AR47" s="574"/>
      <c r="AS47" s="574"/>
      <c r="AT47" s="574"/>
      <c r="AU47" s="574"/>
      <c r="AV47" s="574"/>
      <c r="AW47" s="574"/>
      <c r="AX47" s="574"/>
      <c r="AY47" s="574"/>
      <c r="AZ47" s="574"/>
      <c r="BA47" s="574"/>
    </row>
    <row r="48" spans="1:117" ht="32.1" customHeight="1" thickBot="1">
      <c r="A48" s="93"/>
      <c r="B48" s="76" t="str">
        <f>VLOOKUP(1512,Sprachindex!$A:$Z,Info!$O$7,FALSE)</f>
        <v>lfm</v>
      </c>
      <c r="C48" s="75"/>
      <c r="D48" s="105" t="str">
        <f>IF(H48=Formeln!A10,507403,IF(H48=Formeln!A11,507404,IF(H48=Formeln!A12,507402,IF(H48=Formeln!A13,507405,IF(H48=Formeln!A14,507412,IF(H48=Formeln!A15,507413,""))))))</f>
        <v/>
      </c>
      <c r="E48" s="618" t="str">
        <f>VLOOKUP(586,Sprachindex!$A:$Z,Info!$O$7,FALSE)</f>
        <v>Lüftungsband</v>
      </c>
      <c r="F48" s="619"/>
      <c r="G48" s="619"/>
      <c r="H48" s="624"/>
      <c r="I48" s="625"/>
      <c r="J48" s="625"/>
      <c r="K48" s="626"/>
      <c r="L48" s="76" t="str">
        <f>IF($H48=Formeln!$A$9," ",IF(A48=0,"",IF($O$11=1,AD48,AE48)))</f>
        <v xml:space="preserve"> </v>
      </c>
      <c r="M48" s="399" t="str">
        <f t="shared" si="2"/>
        <v>lfm</v>
      </c>
      <c r="N48" s="77"/>
      <c r="O48" s="184" t="str">
        <f>IF(ISNUMBER(A48), IF(OR(H48=Formeln!$A$10,H48=Formeln!$A$11), $L48*R48, $L48*S48), "")</f>
        <v/>
      </c>
      <c r="R48" s="182">
        <v>13.63</v>
      </c>
      <c r="S48" s="182">
        <v>21.91</v>
      </c>
      <c r="T48" s="179"/>
      <c r="U48" s="179"/>
      <c r="V48" s="179"/>
      <c r="W48" s="179"/>
      <c r="X48" s="179"/>
      <c r="Y48" s="179"/>
      <c r="Z48" s="179"/>
      <c r="AA48" s="179"/>
      <c r="AB48" s="68"/>
      <c r="AC48" s="1"/>
      <c r="AD48" s="139">
        <f>ROUNDUP($A48/40,0)*40</f>
        <v>0</v>
      </c>
      <c r="AE48" s="139">
        <f>$A48</f>
        <v>0</v>
      </c>
      <c r="AH48" s="462" t="s">
        <v>94</v>
      </c>
      <c r="AI48" s="462" t="s">
        <v>95</v>
      </c>
      <c r="AJ48" s="462" t="s">
        <v>96</v>
      </c>
      <c r="AK48" s="462" t="s">
        <v>97</v>
      </c>
      <c r="AL48" s="462" t="s">
        <v>98</v>
      </c>
      <c r="AM48" s="462" t="s">
        <v>99</v>
      </c>
      <c r="AN48" s="462" t="s">
        <v>100</v>
      </c>
      <c r="AO48" s="462" t="s">
        <v>101</v>
      </c>
      <c r="AP48" s="462" t="s">
        <v>102</v>
      </c>
      <c r="AQ48" s="462" t="s">
        <v>103</v>
      </c>
      <c r="AR48" s="462" t="s">
        <v>104</v>
      </c>
      <c r="AS48" s="462" t="s">
        <v>84</v>
      </c>
      <c r="AT48" s="462" t="s">
        <v>105</v>
      </c>
      <c r="AU48" s="462" t="s">
        <v>106</v>
      </c>
      <c r="AV48" s="462" t="s">
        <v>107</v>
      </c>
      <c r="AW48" s="462" t="s">
        <v>108</v>
      </c>
      <c r="AX48" s="462" t="s">
        <v>109</v>
      </c>
      <c r="AY48" s="462" t="s">
        <v>110</v>
      </c>
      <c r="AZ48" s="462" t="s">
        <v>111</v>
      </c>
      <c r="BA48" s="120" t="s">
        <v>39157</v>
      </c>
      <c r="BC48" s="444" t="s">
        <v>94</v>
      </c>
      <c r="BD48" s="445" t="s">
        <v>95</v>
      </c>
      <c r="BE48" s="445" t="s">
        <v>96</v>
      </c>
      <c r="BF48" s="445" t="s">
        <v>97</v>
      </c>
      <c r="BG48" s="445" t="s">
        <v>98</v>
      </c>
      <c r="BH48" s="445" t="s">
        <v>99</v>
      </c>
      <c r="BI48" s="445" t="s">
        <v>100</v>
      </c>
      <c r="BJ48" s="445" t="s">
        <v>101</v>
      </c>
      <c r="BK48" s="445" t="s">
        <v>102</v>
      </c>
      <c r="BL48" s="445" t="s">
        <v>103</v>
      </c>
      <c r="BM48" s="445" t="s">
        <v>104</v>
      </c>
      <c r="BN48" s="445" t="s">
        <v>84</v>
      </c>
      <c r="BO48" s="445" t="s">
        <v>105</v>
      </c>
      <c r="BP48" s="445" t="s">
        <v>106</v>
      </c>
      <c r="BQ48" s="445" t="s">
        <v>107</v>
      </c>
      <c r="BR48" s="445" t="s">
        <v>108</v>
      </c>
      <c r="BS48" s="446" t="s">
        <v>109</v>
      </c>
      <c r="BT48" s="442"/>
      <c r="BU48" s="442"/>
      <c r="BV48" s="442"/>
      <c r="BX48" s="444" t="s">
        <v>94</v>
      </c>
      <c r="BY48" s="445" t="s">
        <v>95</v>
      </c>
      <c r="BZ48" s="445" t="s">
        <v>96</v>
      </c>
      <c r="CA48" s="445" t="s">
        <v>97</v>
      </c>
      <c r="CB48" s="445" t="s">
        <v>98</v>
      </c>
      <c r="CC48" s="445" t="s">
        <v>99</v>
      </c>
      <c r="CD48" s="445" t="s">
        <v>100</v>
      </c>
      <c r="CE48" s="445" t="s">
        <v>101</v>
      </c>
      <c r="CF48" s="445" t="s">
        <v>102</v>
      </c>
      <c r="CG48" s="445" t="s">
        <v>103</v>
      </c>
      <c r="CH48" s="445" t="s">
        <v>104</v>
      </c>
      <c r="CI48" s="445" t="s">
        <v>84</v>
      </c>
      <c r="CJ48" s="445" t="s">
        <v>105</v>
      </c>
      <c r="CK48" s="445" t="s">
        <v>106</v>
      </c>
      <c r="CL48" s="445" t="s">
        <v>107</v>
      </c>
      <c r="CM48" s="445" t="s">
        <v>108</v>
      </c>
      <c r="CN48" s="446" t="s">
        <v>109</v>
      </c>
    </row>
    <row r="49" spans="1:93" ht="32.1" customHeight="1">
      <c r="A49" s="93"/>
      <c r="B49" s="76" t="str">
        <f>VLOOKUP(878,Sprachindex!$A:$Z,Info!$O$7,FALSE)</f>
        <v>Stk.</v>
      </c>
      <c r="C49" s="75"/>
      <c r="D49" s="105" t="str">
        <f>IF(ISNUMBER(A49),BB49,"")</f>
        <v/>
      </c>
      <c r="E49" s="618" t="str">
        <f>VLOOKUP(366,Sprachindex!$A:$Z,Info!$O$7,FALSE)</f>
        <v>Entlüftungsrohr (⌀ 100; passend für HT-Rohr [NW 110])</v>
      </c>
      <c r="F49" s="619"/>
      <c r="G49" s="619"/>
      <c r="H49" s="619"/>
      <c r="I49" s="619"/>
      <c r="J49" s="619"/>
      <c r="K49" s="620"/>
      <c r="L49" s="76" t="str">
        <f>IF(A49=0,"",IF($O$11=1,AD49,AE49))</f>
        <v/>
      </c>
      <c r="M49" s="399" t="str">
        <f t="shared" si="2"/>
        <v>Stk.</v>
      </c>
      <c r="N49" s="77"/>
      <c r="O49" s="184" t="str">
        <f>IF(ISNUMBER(A49),$L49*R49, "")</f>
        <v/>
      </c>
      <c r="R49" s="182">
        <v>79.069999999999993</v>
      </c>
      <c r="S49" s="179"/>
      <c r="T49" s="179"/>
      <c r="U49" s="179"/>
      <c r="V49" s="179"/>
      <c r="W49" s="179"/>
      <c r="X49" s="179"/>
      <c r="Y49" s="179"/>
      <c r="Z49" s="179"/>
      <c r="AA49" s="179"/>
      <c r="AB49" s="68"/>
      <c r="AC49" s="1"/>
      <c r="AD49" s="139">
        <f t="shared" ref="AD49:AE54" si="7">ROUNDUP($A49,0)</f>
        <v>0</v>
      </c>
      <c r="AE49" s="139">
        <f t="shared" si="7"/>
        <v>0</v>
      </c>
      <c r="AH49">
        <v>110203</v>
      </c>
      <c r="AI49">
        <v>110200</v>
      </c>
      <c r="AJ49">
        <v>110208</v>
      </c>
      <c r="AK49">
        <v>110205</v>
      </c>
      <c r="AL49">
        <v>110201</v>
      </c>
      <c r="AM49">
        <v>110202</v>
      </c>
      <c r="AN49">
        <v>110204</v>
      </c>
      <c r="AO49">
        <v>110206</v>
      </c>
      <c r="AP49">
        <v>110207</v>
      </c>
      <c r="AQ49" t="s">
        <v>333</v>
      </c>
      <c r="AR49" t="s">
        <v>334</v>
      </c>
      <c r="AS49" t="s">
        <v>335</v>
      </c>
      <c r="AT49" t="s">
        <v>336</v>
      </c>
      <c r="AU49" t="s">
        <v>2349</v>
      </c>
      <c r="AV49"/>
      <c r="AW49" t="s">
        <v>337</v>
      </c>
      <c r="AX49" t="s">
        <v>338</v>
      </c>
      <c r="AY49" t="s">
        <v>339</v>
      </c>
      <c r="AZ49" t="s">
        <v>340</v>
      </c>
      <c r="BA49">
        <v>15081028</v>
      </c>
      <c r="BB49" s="54" t="e" vm="2">
        <f>VLOOKUP(AH49,AH49:BA49,$O$21,FALSE)</f>
        <v>#VALUE!</v>
      </c>
    </row>
    <row r="50" spans="1:93" ht="32.1" customHeight="1">
      <c r="A50" s="93"/>
      <c r="B50" s="76" t="str">
        <f>VLOOKUP(878,Sprachindex!$A:$Z,Info!$O$7,FALSE)</f>
        <v>Stk.</v>
      </c>
      <c r="C50" s="75"/>
      <c r="D50" s="105" t="str">
        <f>IF(ISNUMBER(A50),BB50,"")</f>
        <v/>
      </c>
      <c r="E50" s="618" t="str">
        <f>VLOOKUP(368,Sprachindex!$A:$Z,Info!$O$7,FALSE)</f>
        <v>Entlüftungsrohr (⌀ 120; passend für HT-Rohr [NW 125])</v>
      </c>
      <c r="F50" s="619"/>
      <c r="G50" s="619"/>
      <c r="H50" s="619"/>
      <c r="I50" s="619"/>
      <c r="J50" s="619"/>
      <c r="K50" s="620"/>
      <c r="L50" s="76" t="str">
        <f>IF(A50=0,"",IF($O$11=1,AD50,AE50))</f>
        <v/>
      </c>
      <c r="M50" s="399" t="str">
        <f t="shared" si="2"/>
        <v>Stk.</v>
      </c>
      <c r="N50" s="77"/>
      <c r="O50" s="184" t="str">
        <f>IF(ISNUMBER(A50),$L50*R50, "")</f>
        <v/>
      </c>
      <c r="R50" s="182">
        <v>83.85</v>
      </c>
      <c r="S50" s="179"/>
      <c r="T50" s="179"/>
      <c r="U50" s="179"/>
      <c r="V50" s="179"/>
      <c r="W50" s="179"/>
      <c r="X50" s="179"/>
      <c r="Y50" s="179"/>
      <c r="Z50" s="179"/>
      <c r="AA50" s="179"/>
      <c r="AB50" s="68"/>
      <c r="AC50" s="1"/>
      <c r="AD50" s="139">
        <f t="shared" si="7"/>
        <v>0</v>
      </c>
      <c r="AE50" s="139">
        <f t="shared" si="7"/>
        <v>0</v>
      </c>
      <c r="AH50">
        <v>110213</v>
      </c>
      <c r="AI50">
        <v>110210</v>
      </c>
      <c r="AJ50">
        <v>110218</v>
      </c>
      <c r="AK50">
        <v>110215</v>
      </c>
      <c r="AL50">
        <v>110211</v>
      </c>
      <c r="AM50">
        <v>110212</v>
      </c>
      <c r="AN50">
        <v>110214</v>
      </c>
      <c r="AO50">
        <v>110216</v>
      </c>
      <c r="AP50" t="s">
        <v>341</v>
      </c>
      <c r="AQ50" t="s">
        <v>342</v>
      </c>
      <c r="AR50" t="s">
        <v>343</v>
      </c>
      <c r="AS50" t="s">
        <v>344</v>
      </c>
      <c r="AT50"/>
      <c r="AU50" t="s">
        <v>2349</v>
      </c>
      <c r="AV50"/>
      <c r="AW50" t="s">
        <v>345</v>
      </c>
      <c r="AX50" s="62" t="s">
        <v>346</v>
      </c>
      <c r="AY50" t="s">
        <v>347</v>
      </c>
      <c r="AZ50" t="s">
        <v>348</v>
      </c>
      <c r="BA50">
        <v>15091028</v>
      </c>
      <c r="BB50" s="54" t="e" vm="2">
        <f>VLOOKUP(AH50,AH50:BA50,$O$21,FALSE)</f>
        <v>#VALUE!</v>
      </c>
      <c r="BS50" s="452" t="s">
        <v>349</v>
      </c>
      <c r="BT50" s="452"/>
      <c r="BU50" s="452"/>
      <c r="BV50" s="452"/>
      <c r="BW50" s="36" t="s">
        <v>27</v>
      </c>
      <c r="CO50" s="452" t="s">
        <v>350</v>
      </c>
    </row>
    <row r="51" spans="1:93" ht="32.1" customHeight="1">
      <c r="A51" s="93"/>
      <c r="B51" s="76" t="str">
        <f>VLOOKUP(878,Sprachindex!$A:$Z,Info!$O$7,FALSE)</f>
        <v>Stk.</v>
      </c>
      <c r="C51" s="78"/>
      <c r="D51" s="580">
        <v>340943</v>
      </c>
      <c r="E51" s="618" t="str">
        <f>VLOOKUP(379,Sprachindex!$A:$Z,Info!$O$7,FALSE)</f>
        <v>Faltmanschette (Ø 100–130)</v>
      </c>
      <c r="F51" s="619"/>
      <c r="G51" s="619"/>
      <c r="H51" s="619"/>
      <c r="I51" s="619"/>
      <c r="J51" s="619"/>
      <c r="K51" s="620"/>
      <c r="L51" s="76" t="str">
        <f>IF(A51=0,"",IF($O$11=1,AD51,AE51))</f>
        <v/>
      </c>
      <c r="M51" s="399" t="str">
        <f t="shared" si="2"/>
        <v>Stk.</v>
      </c>
      <c r="N51" s="77"/>
      <c r="O51" s="184" t="str">
        <f>IF(ISNUMBER(A51),$L51*R51, "")</f>
        <v/>
      </c>
      <c r="R51" s="182">
        <v>38.86</v>
      </c>
      <c r="S51" s="179"/>
      <c r="T51" s="179"/>
      <c r="U51" s="179"/>
      <c r="V51" s="179"/>
      <c r="W51" s="179"/>
      <c r="X51" s="179"/>
      <c r="Y51" s="179"/>
      <c r="Z51" s="179"/>
      <c r="AA51" s="179"/>
      <c r="AC51" s="129"/>
      <c r="AD51" s="139">
        <f t="shared" si="7"/>
        <v>0</v>
      </c>
      <c r="AE51" s="139">
        <f t="shared" si="7"/>
        <v>0</v>
      </c>
      <c r="AF51" s="135"/>
      <c r="AH51" s="462" t="s">
        <v>94</v>
      </c>
      <c r="AI51" s="462" t="s">
        <v>95</v>
      </c>
      <c r="AJ51" s="462" t="s">
        <v>96</v>
      </c>
      <c r="AK51" s="462" t="s">
        <v>97</v>
      </c>
      <c r="AL51" s="462" t="s">
        <v>98</v>
      </c>
      <c r="AM51" s="462" t="s">
        <v>99</v>
      </c>
      <c r="AN51" s="462" t="s">
        <v>100</v>
      </c>
      <c r="AO51" s="462" t="s">
        <v>101</v>
      </c>
      <c r="AP51" s="462" t="s">
        <v>102</v>
      </c>
      <c r="AQ51" s="462" t="s">
        <v>103</v>
      </c>
      <c r="AR51" s="462" t="s">
        <v>104</v>
      </c>
      <c r="AS51" s="462" t="s">
        <v>84</v>
      </c>
      <c r="AT51" s="462" t="s">
        <v>105</v>
      </c>
      <c r="AU51" s="462" t="s">
        <v>106</v>
      </c>
      <c r="AV51" s="462" t="s">
        <v>107</v>
      </c>
      <c r="AW51" s="462" t="s">
        <v>108</v>
      </c>
      <c r="AX51" s="462" t="s">
        <v>109</v>
      </c>
      <c r="AY51" s="462" t="s">
        <v>110</v>
      </c>
      <c r="AZ51" s="462" t="s">
        <v>111</v>
      </c>
      <c r="BA51" s="120" t="s">
        <v>39157</v>
      </c>
      <c r="BB51" s="47"/>
    </row>
    <row r="52" spans="1:93" ht="32.1" customHeight="1">
      <c r="A52" s="93"/>
      <c r="B52" s="76" t="str">
        <f>VLOOKUP(878,Sprachindex!$A:$Z,Info!$O$7,FALSE)</f>
        <v>Stk.</v>
      </c>
      <c r="C52" s="75"/>
      <c r="D52" s="105" t="str">
        <f>IF(ISNUMBER(A52),BB52,"")</f>
        <v/>
      </c>
      <c r="E52" s="618" t="str">
        <f>VLOOKUP(3045,Sprachindex!$A:$Z,Info!$O$7,FALSE)</f>
        <v>Dachlukendeckel (Nennmaß: 600mm x 600mm)</v>
      </c>
      <c r="F52" s="619"/>
      <c r="G52" s="619"/>
      <c r="H52" s="619"/>
      <c r="I52" s="619"/>
      <c r="J52" s="619"/>
      <c r="K52" s="620"/>
      <c r="L52" s="76" t="str">
        <f>IF(A52=0,"",IF($O$11=1,AD52,AE52))</f>
        <v/>
      </c>
      <c r="M52" s="399" t="str">
        <f t="shared" si="2"/>
        <v>Stk.</v>
      </c>
      <c r="N52" s="77"/>
      <c r="O52" s="184" t="str">
        <f>IF(ISNUMBER(A52),$L52*R52, "")</f>
        <v/>
      </c>
      <c r="R52" s="182">
        <v>137.30000000000001</v>
      </c>
      <c r="S52" s="179"/>
      <c r="T52" s="179"/>
      <c r="U52" s="179"/>
      <c r="V52" s="179"/>
      <c r="W52" s="179"/>
      <c r="X52" s="179"/>
      <c r="Z52" s="179"/>
      <c r="AA52" s="179"/>
      <c r="AB52" s="68"/>
      <c r="AC52" s="1"/>
      <c r="AD52" s="139">
        <f t="shared" si="7"/>
        <v>0</v>
      </c>
      <c r="AE52" s="139">
        <f t="shared" si="7"/>
        <v>0</v>
      </c>
      <c r="AH52" t="s">
        <v>351</v>
      </c>
      <c r="AI52" t="s">
        <v>352</v>
      </c>
      <c r="AJ52" t="s">
        <v>353</v>
      </c>
      <c r="AK52" t="s">
        <v>354</v>
      </c>
      <c r="AL52" t="s">
        <v>355</v>
      </c>
      <c r="AM52" t="s">
        <v>356</v>
      </c>
      <c r="AN52" t="s">
        <v>357</v>
      </c>
      <c r="AO52" t="s">
        <v>358</v>
      </c>
      <c r="AP52" t="s">
        <v>359</v>
      </c>
      <c r="AQ52" t="s">
        <v>360</v>
      </c>
      <c r="AR52" t="s">
        <v>361</v>
      </c>
      <c r="AS52" t="s">
        <v>362</v>
      </c>
      <c r="AT52" t="s">
        <v>2349</v>
      </c>
      <c r="AU52" t="s">
        <v>2349</v>
      </c>
      <c r="AV52" t="s">
        <v>2349</v>
      </c>
      <c r="AW52" t="s">
        <v>363</v>
      </c>
      <c r="AX52" t="s">
        <v>364</v>
      </c>
      <c r="AY52" t="s">
        <v>365</v>
      </c>
      <c r="AZ52" t="s">
        <v>366</v>
      </c>
      <c r="BA52">
        <v>50021028</v>
      </c>
      <c r="BB52" s="54" t="e" vm="2">
        <f>VLOOKUP(AH52,AH52:BA52,$O$21,FALSE)</f>
        <v>#VALUE!</v>
      </c>
      <c r="BC52" s="123"/>
      <c r="BD52" s="123"/>
      <c r="BE52" s="123"/>
      <c r="BF52" s="123"/>
      <c r="BG52" s="123"/>
      <c r="BH52" s="123"/>
      <c r="BI52" s="123"/>
      <c r="BJ52" s="123"/>
      <c r="BK52" s="123"/>
      <c r="BN52" s="123"/>
      <c r="BW52" s="450"/>
      <c r="BX52" s="123"/>
      <c r="BY52" s="123"/>
      <c r="BZ52" s="123"/>
      <c r="CA52" s="123"/>
      <c r="CB52" s="123"/>
      <c r="CC52" s="123"/>
      <c r="CD52" s="123"/>
      <c r="CE52" s="123"/>
      <c r="CF52" s="123"/>
      <c r="CG52" s="123"/>
      <c r="CH52" s="123"/>
      <c r="CI52" s="123"/>
      <c r="CO52" s="450"/>
    </row>
    <row r="53" spans="1:93" ht="32.1" customHeight="1">
      <c r="A53" s="93"/>
      <c r="B53" s="76" t="str">
        <f>VLOOKUP(878,Sprachindex!$A:$Z,Info!$O$7,FALSE)</f>
        <v>Stk.</v>
      </c>
      <c r="C53" s="75"/>
      <c r="D53" s="105">
        <v>426003</v>
      </c>
      <c r="E53" s="618" t="str">
        <f>VLOOKUP(2224,Sprachindex!$A:$Z,Info!$O$7,FALSE)</f>
        <v>Holzrahmen (Innenmaß: 595x595 mm)</v>
      </c>
      <c r="F53" s="619"/>
      <c r="G53" s="619"/>
      <c r="H53" s="619"/>
      <c r="I53" s="619"/>
      <c r="J53" s="619"/>
      <c r="K53" s="620"/>
      <c r="L53" s="76" t="str">
        <f>IF(A53=0,"",IF($O$11=1,AD53,AE53))</f>
        <v/>
      </c>
      <c r="M53" s="399" t="str">
        <f t="shared" si="2"/>
        <v>Stk.</v>
      </c>
      <c r="N53" s="77"/>
      <c r="O53" s="184" t="str">
        <f>IF(ISNUMBER(A53),$L53*R53, "")</f>
        <v/>
      </c>
      <c r="R53" s="182">
        <v>26.39</v>
      </c>
      <c r="S53" s="179"/>
      <c r="T53" s="179"/>
      <c r="U53" s="179"/>
      <c r="V53" s="179"/>
      <c r="W53" s="179"/>
      <c r="X53" s="179"/>
      <c r="Y53" s="179"/>
      <c r="Z53" s="179"/>
      <c r="AA53" s="179"/>
      <c r="AB53" s="68"/>
      <c r="AC53" s="1"/>
      <c r="AD53" s="139">
        <f t="shared" si="7"/>
        <v>0</v>
      </c>
      <c r="AE53" s="139">
        <f t="shared" si="7"/>
        <v>0</v>
      </c>
      <c r="AH53"/>
      <c r="AI53"/>
      <c r="AJ53"/>
      <c r="AK53"/>
      <c r="AL53"/>
      <c r="AM53"/>
      <c r="AN53"/>
      <c r="AO53"/>
      <c r="AP53"/>
      <c r="AQ53"/>
      <c r="AR53"/>
      <c r="AS53"/>
      <c r="AT53"/>
      <c r="AU53"/>
      <c r="AV53"/>
      <c r="AW53"/>
      <c r="AX53"/>
      <c r="AY53"/>
      <c r="AZ53"/>
      <c r="BA53"/>
      <c r="BB53" s="54"/>
      <c r="BC53" s="123"/>
      <c r="BD53" s="123"/>
      <c r="BE53" s="123"/>
      <c r="BF53" s="123"/>
      <c r="BG53" s="123"/>
      <c r="BH53" s="123"/>
      <c r="BI53" s="123"/>
      <c r="BJ53" s="123"/>
      <c r="BK53" s="123"/>
      <c r="BN53" s="123"/>
      <c r="BW53" s="450"/>
      <c r="BX53" s="123"/>
      <c r="BY53" s="123"/>
      <c r="BZ53" s="123"/>
      <c r="CA53" s="123"/>
      <c r="CB53" s="123"/>
      <c r="CC53" s="123"/>
      <c r="CD53" s="123"/>
      <c r="CE53" s="123"/>
      <c r="CF53" s="123"/>
      <c r="CG53" s="123"/>
      <c r="CH53" s="123"/>
      <c r="CI53" s="123"/>
      <c r="CO53" s="450"/>
    </row>
    <row r="54" spans="1:93" ht="32.1" customHeight="1" thickBot="1">
      <c r="A54" s="93"/>
      <c r="B54" s="76" t="str">
        <f>VLOOKUP(878,Sprachindex!$A:$Z,Info!$O$7,FALSE)</f>
        <v>Stk.</v>
      </c>
      <c r="C54" s="75"/>
      <c r="D54" s="105" t="str">
        <f>IF(J54=Formeln!C34,Formeln!B34,IF(J54=Formeln!C35,Formeln!B35,IF(J54=Formeln!C36,Formeln!B36,IF(J54=Formeln!C37,Formeln!B37,IF(J54=Formeln!C38,Formeln!B38,IF(J54=Formeln!C39,Formeln!B39,IF(J54=Formeln!C40,Formeln!B40,IF(J54=Formeln!C41,Formeln!B41,IF(J54=Formeln!C42,Formeln!B42,IF(J54=Formeln!C43,Formeln!B43,""))))))))))</f>
        <v/>
      </c>
      <c r="E54" s="618" t="str">
        <f>VLOOKUP(252,Sprachindex!$A:$Z,Info!$O$7,FALSE)</f>
        <v>Dachflächenfenstereinfassung für PREFALZ</v>
      </c>
      <c r="F54" s="619"/>
      <c r="G54" s="619"/>
      <c r="H54" s="619"/>
      <c r="I54" s="619"/>
      <c r="J54" s="631"/>
      <c r="K54" s="632"/>
      <c r="L54" s="76" t="str">
        <f>IF(A54=0,"",IF(J54=Formeln!$C$33,"",IF($O$11=1,AD54,AE54)))</f>
        <v/>
      </c>
      <c r="M54" s="399" t="str">
        <f t="shared" si="2"/>
        <v>Stk.</v>
      </c>
      <c r="N54" s="77"/>
      <c r="O54" s="184" t="str">
        <f>IF(ISNUMBER(A54),IF(J54=Formeln!C34,R54*L54,IF(J54=Formeln!C35,S54*L54,IF(J54=Formeln!C36,T54*L54,IF(J54=Formeln!C37,U54*L54,IF(J54=Formeln!C38,V54*L54,IF(J54=Formeln!C39,W54*L54,IF(J54=Formeln!C40,X54*L54,IF(J54=Formeln!C41,Y54*L54,IF(J54=Formeln!C42,Z54*L54,IF(J54=Formeln!C43,AA54*L54," "))))))))))," ")</f>
        <v xml:space="preserve"> </v>
      </c>
      <c r="R54" s="182">
        <v>358.09</v>
      </c>
      <c r="S54" s="182">
        <v>393.21</v>
      </c>
      <c r="T54" s="182">
        <v>399.65</v>
      </c>
      <c r="U54" s="182">
        <v>418.99</v>
      </c>
      <c r="V54" s="182">
        <v>409.33</v>
      </c>
      <c r="W54" s="182">
        <v>428.29</v>
      </c>
      <c r="X54" s="182">
        <v>428.29</v>
      </c>
      <c r="Y54" s="182">
        <v>444.77</v>
      </c>
      <c r="Z54" s="182">
        <v>444.77</v>
      </c>
      <c r="AA54" s="182">
        <v>44.12</v>
      </c>
      <c r="AB54" s="68"/>
      <c r="AC54" s="1"/>
      <c r="AD54" s="139">
        <f t="shared" si="7"/>
        <v>0</v>
      </c>
      <c r="AE54" s="139">
        <f t="shared" si="7"/>
        <v>0</v>
      </c>
      <c r="AH54"/>
      <c r="AI54"/>
      <c r="AJ54"/>
      <c r="AK54"/>
      <c r="AL54"/>
      <c r="AM54"/>
      <c r="AN54"/>
      <c r="AO54"/>
      <c r="AP54"/>
      <c r="AQ54"/>
      <c r="AR54"/>
      <c r="AS54"/>
      <c r="AT54"/>
      <c r="AU54"/>
      <c r="AV54"/>
      <c r="AW54"/>
      <c r="AX54"/>
      <c r="AY54"/>
      <c r="AZ54"/>
      <c r="BA54"/>
      <c r="BB54" s="122"/>
      <c r="BC54" s="123"/>
      <c r="BD54" s="123"/>
      <c r="BE54" s="123"/>
      <c r="BF54" s="123"/>
      <c r="BG54" s="123"/>
      <c r="BH54" s="123"/>
      <c r="BI54" s="123"/>
      <c r="BJ54" s="123"/>
      <c r="BK54" s="123"/>
      <c r="BN54" s="123"/>
      <c r="BW54" s="454"/>
      <c r="BX54" s="123"/>
      <c r="BY54" s="123"/>
      <c r="BZ54" s="123"/>
      <c r="CA54" s="123"/>
      <c r="CB54" s="123"/>
      <c r="CC54" s="123"/>
      <c r="CD54" s="123"/>
      <c r="CE54" s="123"/>
      <c r="CF54" s="123"/>
      <c r="CG54" s="123"/>
      <c r="CH54" s="123"/>
      <c r="CI54" s="123"/>
      <c r="CO54" s="454"/>
    </row>
    <row r="55" spans="1:93" ht="32.1" customHeight="1" thickBot="1">
      <c r="A55" s="93"/>
      <c r="B55" s="76" t="str">
        <f>VLOOKUP(878,Sprachindex!$A:$Z,Info!$O$7,FALSE)</f>
        <v>Stk.</v>
      </c>
      <c r="C55" s="75"/>
      <c r="D55" s="105">
        <v>420510</v>
      </c>
      <c r="E55" s="618" t="str">
        <f>VLOOKUP(381,Sprachindex!$A:$Z,Info!$O$7,FALSE)</f>
        <v>Falzgel in Kartusche</v>
      </c>
      <c r="F55" s="619"/>
      <c r="G55" s="619"/>
      <c r="H55" s="619"/>
      <c r="I55" s="619"/>
      <c r="J55" s="619"/>
      <c r="K55" s="620"/>
      <c r="L55" s="76" t="str">
        <f t="shared" ref="L55:L79" si="8">IF(A55=0,"",IF($O$11=1,AD55,AE55))</f>
        <v/>
      </c>
      <c r="M55" s="399" t="str">
        <f t="shared" si="2"/>
        <v>Stk.</v>
      </c>
      <c r="N55" s="77"/>
      <c r="O55" s="184" t="str">
        <f>IF(ISNUMBER(A55),$L55*R55, "")</f>
        <v/>
      </c>
      <c r="R55" s="182">
        <v>19.62</v>
      </c>
      <c r="S55" s="179"/>
      <c r="T55" s="179"/>
      <c r="U55" s="179"/>
      <c r="V55" s="179"/>
      <c r="W55" s="179"/>
      <c r="X55" s="179"/>
      <c r="Y55" s="179"/>
      <c r="Z55" s="179"/>
      <c r="AA55" s="179"/>
      <c r="AB55" s="68"/>
      <c r="AC55" s="1"/>
      <c r="AD55" s="139">
        <f>ROUNDUP($A55/12,0)*12</f>
        <v>0</v>
      </c>
      <c r="AE55" s="139">
        <f>ROUNDUP($A55,0)</f>
        <v>0</v>
      </c>
      <c r="AF55" s="6"/>
      <c r="AH55" s="570" t="s">
        <v>94</v>
      </c>
      <c r="AI55" s="571" t="s">
        <v>95</v>
      </c>
      <c r="AJ55" s="571" t="s">
        <v>96</v>
      </c>
      <c r="AK55" s="571" t="s">
        <v>97</v>
      </c>
      <c r="AL55" s="571" t="s">
        <v>98</v>
      </c>
      <c r="AM55" s="571" t="s">
        <v>99</v>
      </c>
      <c r="AN55" s="571" t="s">
        <v>100</v>
      </c>
      <c r="AO55" s="571" t="s">
        <v>101</v>
      </c>
      <c r="AP55" s="571" t="s">
        <v>102</v>
      </c>
      <c r="AQ55" s="571" t="s">
        <v>103</v>
      </c>
      <c r="AR55" s="571" t="s">
        <v>104</v>
      </c>
      <c r="AS55" s="571" t="s">
        <v>84</v>
      </c>
      <c r="AT55" s="571" t="s">
        <v>105</v>
      </c>
      <c r="AU55" s="571" t="s">
        <v>106</v>
      </c>
      <c r="AV55" s="571" t="s">
        <v>107</v>
      </c>
      <c r="AW55" s="571" t="s">
        <v>108</v>
      </c>
      <c r="AX55" s="572" t="s">
        <v>109</v>
      </c>
      <c r="AY55" s="572" t="s">
        <v>110</v>
      </c>
      <c r="AZ55" s="572" t="s">
        <v>111</v>
      </c>
      <c r="BA55" s="120" t="s">
        <v>39157</v>
      </c>
      <c r="BC55" s="444" t="s">
        <v>94</v>
      </c>
      <c r="BD55" s="445" t="s">
        <v>95</v>
      </c>
      <c r="BE55" s="445" t="s">
        <v>96</v>
      </c>
      <c r="BF55" s="445" t="s">
        <v>97</v>
      </c>
      <c r="BG55" s="445" t="s">
        <v>98</v>
      </c>
      <c r="BH55" s="445" t="s">
        <v>99</v>
      </c>
      <c r="BI55" s="445" t="s">
        <v>100</v>
      </c>
      <c r="BJ55" s="445" t="s">
        <v>101</v>
      </c>
      <c r="BK55" s="445" t="s">
        <v>102</v>
      </c>
      <c r="BL55" s="445" t="s">
        <v>103</v>
      </c>
      <c r="BM55" s="445" t="s">
        <v>104</v>
      </c>
      <c r="BN55" s="445" t="s">
        <v>84</v>
      </c>
      <c r="BO55" s="445" t="s">
        <v>105</v>
      </c>
      <c r="BP55" s="445" t="s">
        <v>106</v>
      </c>
      <c r="BQ55" s="445" t="s">
        <v>107</v>
      </c>
      <c r="BR55" s="445" t="s">
        <v>108</v>
      </c>
      <c r="BS55" s="446" t="s">
        <v>109</v>
      </c>
      <c r="BT55" s="442"/>
      <c r="BU55" s="442"/>
      <c r="BV55" s="442"/>
    </row>
    <row r="56" spans="1:93" ht="32.1" customHeight="1">
      <c r="A56" s="93"/>
      <c r="B56" s="76" t="str">
        <f>VLOOKUP(878,Sprachindex!$A:$Z,Info!$O$7,FALSE)</f>
        <v>Stk.</v>
      </c>
      <c r="C56" s="75"/>
      <c r="D56" s="105" t="str">
        <f>IF(ISNUMBER(A56),BB56,"")</f>
        <v/>
      </c>
      <c r="E56" s="618" t="str">
        <f>VLOOKUP(756,Sprachindex!$A:$Z,Info!$O$7,FALSE)</f>
        <v>Sailerklemme (einfach)</v>
      </c>
      <c r="F56" s="619"/>
      <c r="G56" s="619"/>
      <c r="H56" s="619"/>
      <c r="I56" s="619"/>
      <c r="J56" s="619"/>
      <c r="K56" s="620"/>
      <c r="L56" s="76" t="str">
        <f t="shared" si="8"/>
        <v/>
      </c>
      <c r="M56" s="399" t="str">
        <f t="shared" si="2"/>
        <v>Stk.</v>
      </c>
      <c r="N56" s="77"/>
      <c r="O56" s="184" t="str">
        <f t="shared" ref="O56:O61" si="9">IF(ISNUMBER(L56),IF(O21=12,L56*S56,L56*R56)," ")</f>
        <v xml:space="preserve"> </v>
      </c>
      <c r="R56" s="192">
        <v>9.26</v>
      </c>
      <c r="S56" s="195">
        <v>7.19</v>
      </c>
      <c r="T56" s="193"/>
      <c r="U56" s="179"/>
      <c r="V56" s="179"/>
      <c r="W56" s="179"/>
      <c r="X56" s="179"/>
      <c r="Y56" s="179"/>
      <c r="Z56" s="179"/>
      <c r="AA56" s="179"/>
      <c r="AB56" s="68"/>
      <c r="AC56" s="1"/>
      <c r="AD56" s="139">
        <f>ROUNDUP($A56/20,0)*20</f>
        <v>0</v>
      </c>
      <c r="AE56" s="139">
        <f>ROUNDUP($A56,0)</f>
        <v>0</v>
      </c>
      <c r="AH56" s="111">
        <v>120203</v>
      </c>
      <c r="AI56" s="111">
        <v>120200</v>
      </c>
      <c r="AJ56" s="111">
        <v>120208</v>
      </c>
      <c r="AK56" s="111">
        <v>120205</v>
      </c>
      <c r="AL56" s="111">
        <v>120201</v>
      </c>
      <c r="AM56" s="111">
        <v>120202</v>
      </c>
      <c r="AN56" s="111">
        <v>120204</v>
      </c>
      <c r="AO56" s="111">
        <v>120206</v>
      </c>
      <c r="AP56" s="111">
        <v>120207</v>
      </c>
      <c r="AQ56" s="111">
        <v>121100</v>
      </c>
      <c r="AR56" s="111">
        <v>121101</v>
      </c>
      <c r="AS56" s="111">
        <v>649522</v>
      </c>
      <c r="AT56" s="111">
        <v>649548</v>
      </c>
      <c r="AU56" s="111" t="s">
        <v>2349</v>
      </c>
      <c r="AV56" s="111"/>
      <c r="AW56" s="111" t="s">
        <v>368</v>
      </c>
      <c r="AX56" s="111" t="s">
        <v>369</v>
      </c>
      <c r="AY56" s="111" t="s">
        <v>370</v>
      </c>
      <c r="AZ56" s="111" t="s">
        <v>371</v>
      </c>
      <c r="BA56" s="111">
        <v>50511028</v>
      </c>
      <c r="BB56" s="54" t="e" vm="2">
        <f>VLOOKUP(AH56,AH56:BA56,$O$21,FALSE)</f>
        <v>#VALUE!</v>
      </c>
      <c r="BC56" s="123"/>
      <c r="BD56" s="123"/>
      <c r="BE56" s="123"/>
      <c r="BF56" s="123"/>
      <c r="BG56" s="123"/>
      <c r="BH56" s="123"/>
      <c r="BI56" s="123"/>
      <c r="BJ56" s="123"/>
      <c r="BK56" s="123"/>
      <c r="BL56" s="123"/>
      <c r="BM56" s="123"/>
      <c r="BN56" s="123"/>
      <c r="BO56" s="123"/>
    </row>
    <row r="57" spans="1:93" ht="32.1" customHeight="1">
      <c r="A57" s="93"/>
      <c r="B57" s="76" t="str">
        <f>VLOOKUP(878,Sprachindex!$A:$Z,Info!$O$7,FALSE)</f>
        <v>Stk.</v>
      </c>
      <c r="C57" s="75"/>
      <c r="D57" s="105" t="str">
        <f>IF(ISNUMBER(A57),BB57,"")</f>
        <v/>
      </c>
      <c r="E57" s="618" t="str">
        <f>VLOOKUP(758,Sprachindex!$A:$Z,Info!$O$7,FALSE)</f>
        <v>Sailerklemme (für Schrägfalze)</v>
      </c>
      <c r="F57" s="619"/>
      <c r="G57" s="619"/>
      <c r="H57" s="619"/>
      <c r="I57" s="619"/>
      <c r="J57" s="619"/>
      <c r="K57" s="620"/>
      <c r="L57" s="76" t="str">
        <f t="shared" si="8"/>
        <v/>
      </c>
      <c r="M57" s="399" t="str">
        <f t="shared" si="2"/>
        <v>Stk.</v>
      </c>
      <c r="N57" s="77"/>
      <c r="O57" s="184" t="str">
        <f t="shared" si="9"/>
        <v xml:space="preserve"> </v>
      </c>
      <c r="R57" s="192">
        <v>10.64</v>
      </c>
      <c r="S57" s="196">
        <v>8.2799999999999994</v>
      </c>
      <c r="T57" s="194"/>
      <c r="V57" s="179"/>
      <c r="W57" s="179"/>
      <c r="X57" s="179"/>
      <c r="Y57" s="179"/>
      <c r="Z57" s="179"/>
      <c r="AA57" s="179"/>
      <c r="AB57" s="68"/>
      <c r="AC57" s="1"/>
      <c r="AD57" s="139">
        <f>ROUNDUP($A57/20,0)*20</f>
        <v>0</v>
      </c>
      <c r="AE57" s="139">
        <f>ROUNDUP($A57,0)</f>
        <v>0</v>
      </c>
      <c r="AH57" s="111">
        <v>120223</v>
      </c>
      <c r="AI57" s="111">
        <v>120220</v>
      </c>
      <c r="AJ57" s="111">
        <v>120228</v>
      </c>
      <c r="AK57" s="111">
        <v>120225</v>
      </c>
      <c r="AL57" s="111">
        <v>120221</v>
      </c>
      <c r="AM57" s="111">
        <v>120222</v>
      </c>
      <c r="AN57" s="111">
        <v>120224</v>
      </c>
      <c r="AO57" s="111">
        <v>120226</v>
      </c>
      <c r="AP57" s="111">
        <v>120227</v>
      </c>
      <c r="AQ57" s="111">
        <v>121120</v>
      </c>
      <c r="AR57" s="111">
        <v>121121</v>
      </c>
      <c r="AS57" s="111">
        <v>649700</v>
      </c>
      <c r="AT57" s="111">
        <v>649713</v>
      </c>
      <c r="AU57" s="111" t="s">
        <v>2349</v>
      </c>
      <c r="AV57" s="111"/>
      <c r="AW57" s="111">
        <v>121124</v>
      </c>
      <c r="AX57" s="111" t="s">
        <v>372</v>
      </c>
      <c r="AY57" s="111">
        <v>121126</v>
      </c>
      <c r="AZ57" s="111">
        <v>121125</v>
      </c>
      <c r="BA57" s="111">
        <v>50521028</v>
      </c>
      <c r="BB57" s="54" t="e" vm="2">
        <f t="shared" ref="BB57:BB65" si="10">VLOOKUP(AH57,AH57:BA57,$O$21,FALSE)</f>
        <v>#VALUE!</v>
      </c>
    </row>
    <row r="58" spans="1:93" ht="32.1" customHeight="1">
      <c r="A58" s="93"/>
      <c r="B58" s="76" t="str">
        <f>VLOOKUP(878,Sprachindex!$A:$Z,Info!$O$7,FALSE)</f>
        <v>Stk.</v>
      </c>
      <c r="C58" s="75"/>
      <c r="D58" s="105" t="str">
        <f>IF(ISNUMBER(A58),BB58,"")</f>
        <v/>
      </c>
      <c r="E58" s="618" t="str">
        <f>VLOOKUP(754,Sprachindex!$A:$Z,Info!$O$7,FALSE)</f>
        <v>Sailerklemme (doppelt)</v>
      </c>
      <c r="F58" s="619"/>
      <c r="G58" s="619"/>
      <c r="H58" s="619"/>
      <c r="I58" s="619"/>
      <c r="J58" s="619"/>
      <c r="K58" s="620"/>
      <c r="L58" s="76" t="str">
        <f t="shared" si="8"/>
        <v/>
      </c>
      <c r="M58" s="399" t="str">
        <f t="shared" si="2"/>
        <v>Stk.</v>
      </c>
      <c r="N58" s="77"/>
      <c r="O58" s="184" t="str">
        <f t="shared" si="9"/>
        <v xml:space="preserve"> </v>
      </c>
      <c r="R58" s="192">
        <v>14.84</v>
      </c>
      <c r="S58" s="196">
        <v>11.98</v>
      </c>
      <c r="T58" s="193"/>
      <c r="U58" s="179"/>
      <c r="V58" s="179"/>
      <c r="W58" s="179"/>
      <c r="X58" s="179"/>
      <c r="Y58" s="179"/>
      <c r="Z58" s="179"/>
      <c r="AA58" s="179"/>
      <c r="AB58" s="68"/>
      <c r="AC58" s="1"/>
      <c r="AD58" s="139">
        <f>ROUNDUP($A58/40,0)*40</f>
        <v>0</v>
      </c>
      <c r="AE58" s="139">
        <f>ROUNDUP($A58,0)</f>
        <v>0</v>
      </c>
      <c r="AH58" s="111">
        <v>120213</v>
      </c>
      <c r="AI58" s="111">
        <v>120210</v>
      </c>
      <c r="AJ58" s="111">
        <v>120218</v>
      </c>
      <c r="AK58" s="111">
        <v>120215</v>
      </c>
      <c r="AL58" s="111">
        <v>120211</v>
      </c>
      <c r="AM58" s="111">
        <v>120212</v>
      </c>
      <c r="AN58" s="111">
        <v>120214</v>
      </c>
      <c r="AO58" s="111">
        <v>120216</v>
      </c>
      <c r="AP58" s="111">
        <v>120217</v>
      </c>
      <c r="AQ58" s="111">
        <v>121110</v>
      </c>
      <c r="AR58" s="111">
        <v>121111</v>
      </c>
      <c r="AS58" s="111">
        <v>649521</v>
      </c>
      <c r="AT58" s="111">
        <v>649549</v>
      </c>
      <c r="AU58" s="111" t="s">
        <v>2349</v>
      </c>
      <c r="AV58" s="111"/>
      <c r="AW58" s="111">
        <v>121114</v>
      </c>
      <c r="AX58" s="111">
        <v>121112</v>
      </c>
      <c r="AY58" s="111" t="s">
        <v>373</v>
      </c>
      <c r="AZ58" s="111" t="s">
        <v>374</v>
      </c>
      <c r="BA58" s="111">
        <v>50501028</v>
      </c>
      <c r="BB58" s="54" t="e" vm="2">
        <f t="shared" si="10"/>
        <v>#VALUE!</v>
      </c>
      <c r="BD58" s="123"/>
    </row>
    <row r="59" spans="1:93" ht="32.1" customHeight="1">
      <c r="A59" s="93"/>
      <c r="B59" s="76" t="str">
        <f>VLOOKUP(1512,Sprachindex!$A:$Z,Info!$O$7,FALSE)</f>
        <v>lfm</v>
      </c>
      <c r="C59" s="75"/>
      <c r="D59" s="105" t="str">
        <f>IF(ISNUMBER(A59),BB59,"")</f>
        <v/>
      </c>
      <c r="E59" s="618" t="str">
        <f>VLOOKUP(725,Sprachindex!$A:$Z,Info!$O$7,FALSE)</f>
        <v>Rohr (28 × 2 × 3.000 mm; inkl. Muffe)</v>
      </c>
      <c r="F59" s="619"/>
      <c r="G59" s="619"/>
      <c r="H59" s="619"/>
      <c r="I59" s="619"/>
      <c r="J59" s="619"/>
      <c r="K59" s="620"/>
      <c r="L59" s="76" t="str">
        <f t="shared" si="8"/>
        <v/>
      </c>
      <c r="M59" s="399" t="str">
        <f t="shared" si="2"/>
        <v>lfm</v>
      </c>
      <c r="N59" s="77"/>
      <c r="O59" s="184" t="str">
        <f t="shared" si="9"/>
        <v xml:space="preserve"> </v>
      </c>
      <c r="R59" s="192">
        <v>8.64</v>
      </c>
      <c r="S59" s="197">
        <v>5.72</v>
      </c>
      <c r="T59" s="193"/>
      <c r="U59" s="179"/>
      <c r="V59" s="179"/>
      <c r="W59" s="179"/>
      <c r="X59" s="179"/>
      <c r="Y59" s="179"/>
      <c r="Z59" s="179"/>
      <c r="AA59" s="179"/>
      <c r="AB59" s="68"/>
      <c r="AC59" s="1"/>
      <c r="AD59" s="139">
        <f>ROUNDUP($A59/3,0)*3</f>
        <v>0</v>
      </c>
      <c r="AE59" s="139">
        <f>ROUNDUP($A59/3,0)*3</f>
        <v>0</v>
      </c>
      <c r="AH59" s="111">
        <v>120323</v>
      </c>
      <c r="AI59" s="111">
        <v>120320</v>
      </c>
      <c r="AJ59" s="111">
        <v>120328</v>
      </c>
      <c r="AK59" s="111">
        <v>120325</v>
      </c>
      <c r="AL59" s="111">
        <v>120321</v>
      </c>
      <c r="AM59" s="111">
        <v>120322</v>
      </c>
      <c r="AN59" s="111">
        <v>120324</v>
      </c>
      <c r="AO59" s="111">
        <v>120326</v>
      </c>
      <c r="AP59" s="111">
        <v>120327</v>
      </c>
      <c r="AQ59" s="111">
        <v>121130</v>
      </c>
      <c r="AR59" s="111">
        <v>121131</v>
      </c>
      <c r="AS59" s="111">
        <v>669503</v>
      </c>
      <c r="AT59" s="111">
        <v>669516</v>
      </c>
      <c r="AU59" s="111" t="s">
        <v>2349</v>
      </c>
      <c r="AV59" s="111"/>
      <c r="AW59" s="111" t="s">
        <v>375</v>
      </c>
      <c r="AX59" s="111" t="s">
        <v>376</v>
      </c>
      <c r="AY59" s="111" t="s">
        <v>377</v>
      </c>
      <c r="AZ59" s="111" t="s">
        <v>378</v>
      </c>
      <c r="BA59" s="111">
        <v>50411028</v>
      </c>
      <c r="BB59" s="54" t="e" vm="2">
        <f t="shared" si="10"/>
        <v>#VALUE!</v>
      </c>
    </row>
    <row r="60" spans="1:93" ht="32.1" customHeight="1">
      <c r="A60" s="93"/>
      <c r="B60" s="76" t="str">
        <f>VLOOKUP(878,Sprachindex!$A:$Z,Info!$O$7,FALSE)</f>
        <v>Stk.</v>
      </c>
      <c r="C60" s="75"/>
      <c r="D60" s="105" t="str">
        <f>IF(ISNUMBER(A60),BB60,"")</f>
        <v/>
      </c>
      <c r="E60" s="618" t="str">
        <f>VLOOKUP(312,Sprachindex!$A:$Z,Info!$O$7,FALSE)</f>
        <v>Eckverbinder für Rohr</v>
      </c>
      <c r="F60" s="619"/>
      <c r="G60" s="619"/>
      <c r="H60" s="619"/>
      <c r="I60" s="619"/>
      <c r="J60" s="619"/>
      <c r="K60" s="620"/>
      <c r="L60" s="76" t="str">
        <f t="shared" si="8"/>
        <v/>
      </c>
      <c r="M60" s="399" t="str">
        <f t="shared" si="2"/>
        <v>Stk.</v>
      </c>
      <c r="N60" s="77"/>
      <c r="O60" s="184" t="str">
        <f t="shared" si="9"/>
        <v xml:space="preserve"> </v>
      </c>
      <c r="R60" s="192">
        <v>16.12</v>
      </c>
      <c r="S60" s="198">
        <v>14.88</v>
      </c>
      <c r="T60" s="193"/>
      <c r="U60" s="179"/>
      <c r="V60" s="179"/>
      <c r="W60" s="179"/>
      <c r="X60" s="179"/>
      <c r="Y60" s="179"/>
      <c r="Z60" s="179"/>
      <c r="AA60" s="179"/>
      <c r="AB60" s="68"/>
      <c r="AC60" s="1"/>
      <c r="AD60" s="139">
        <f>ROUNDUP($A60/20,0)*20</f>
        <v>0</v>
      </c>
      <c r="AE60" s="139">
        <f t="shared" ref="AE60:AE83" si="11">ROUNDUP($A60,0)</f>
        <v>0</v>
      </c>
      <c r="AH60" s="111">
        <v>120373</v>
      </c>
      <c r="AI60" s="111">
        <v>120370</v>
      </c>
      <c r="AJ60" s="111">
        <v>120378</v>
      </c>
      <c r="AK60" s="111">
        <v>120375</v>
      </c>
      <c r="AL60" s="111">
        <v>120371</v>
      </c>
      <c r="AM60" s="111">
        <v>120372</v>
      </c>
      <c r="AN60" s="111">
        <v>120374</v>
      </c>
      <c r="AO60" s="111">
        <v>120376</v>
      </c>
      <c r="AP60" s="111">
        <v>120377</v>
      </c>
      <c r="AQ60" s="111">
        <v>121150</v>
      </c>
      <c r="AR60" s="111">
        <v>121151</v>
      </c>
      <c r="AS60" s="111">
        <v>537150</v>
      </c>
      <c r="AT60" s="111">
        <v>537157</v>
      </c>
      <c r="AU60" s="111" t="s">
        <v>2349</v>
      </c>
      <c r="AV60" s="111"/>
      <c r="AW60" s="111" t="s">
        <v>379</v>
      </c>
      <c r="AX60" s="111" t="s">
        <v>380</v>
      </c>
      <c r="AY60" s="111" t="s">
        <v>381</v>
      </c>
      <c r="AZ60" s="111" t="s">
        <v>382</v>
      </c>
      <c r="BA60" s="111">
        <v>50611028</v>
      </c>
      <c r="BB60" s="54" t="e" vm="2">
        <f t="shared" si="10"/>
        <v>#VALUE!</v>
      </c>
    </row>
    <row r="61" spans="1:93" ht="32.1" customHeight="1">
      <c r="A61" s="93"/>
      <c r="B61" s="76" t="str">
        <f>VLOOKUP(878,Sprachindex!$A:$Z,Info!$O$7,FALSE)</f>
        <v>Stk.</v>
      </c>
      <c r="C61" s="75"/>
      <c r="D61" s="105" t="str">
        <f t="shared" ref="D61:D65" si="12">IF(ISNUMBER(A61),BB61,"")</f>
        <v/>
      </c>
      <c r="E61" s="618" t="str">
        <f>VLOOKUP(346,Sprachindex!$A:$Z,Info!$O$7,FALSE)</f>
        <v>Eisfänger</v>
      </c>
      <c r="F61" s="619"/>
      <c r="G61" s="619"/>
      <c r="H61" s="619"/>
      <c r="I61" s="619"/>
      <c r="J61" s="619"/>
      <c r="K61" s="620"/>
      <c r="L61" s="76" t="str">
        <f t="shared" si="8"/>
        <v/>
      </c>
      <c r="M61" s="399" t="str">
        <f t="shared" si="2"/>
        <v>Stk.</v>
      </c>
      <c r="N61" s="77"/>
      <c r="O61" s="184" t="str">
        <f t="shared" si="9"/>
        <v xml:space="preserve"> </v>
      </c>
      <c r="R61" s="192">
        <v>3.22</v>
      </c>
      <c r="S61" s="197">
        <v>2.87</v>
      </c>
      <c r="T61" s="199"/>
      <c r="U61" s="179"/>
      <c r="V61" s="179"/>
      <c r="W61" s="179"/>
      <c r="X61" s="179"/>
      <c r="Y61" s="179"/>
      <c r="Z61" s="179"/>
      <c r="AA61" s="179"/>
      <c r="AB61" s="68"/>
      <c r="AC61" s="1"/>
      <c r="AD61" s="139">
        <f>ROUNDUP($A61/100,0)*100</f>
        <v>0</v>
      </c>
      <c r="AE61" s="139">
        <f t="shared" si="11"/>
        <v>0</v>
      </c>
      <c r="AH61" s="111">
        <v>120343</v>
      </c>
      <c r="AI61" s="111">
        <v>120340</v>
      </c>
      <c r="AJ61" s="111">
        <v>120348</v>
      </c>
      <c r="AK61" s="111">
        <v>120345</v>
      </c>
      <c r="AL61" s="111">
        <v>120341</v>
      </c>
      <c r="AM61" s="111">
        <v>120342</v>
      </c>
      <c r="AN61" s="111">
        <v>120344</v>
      </c>
      <c r="AO61" s="111">
        <v>120346</v>
      </c>
      <c r="AP61" s="111">
        <v>120347</v>
      </c>
      <c r="AQ61" s="111">
        <v>121160</v>
      </c>
      <c r="AR61" s="111">
        <v>121161</v>
      </c>
      <c r="AS61" s="111">
        <v>649600</v>
      </c>
      <c r="AT61" s="111">
        <v>649614</v>
      </c>
      <c r="AU61" s="111" t="s">
        <v>2349</v>
      </c>
      <c r="AV61" s="111"/>
      <c r="AW61" s="111" t="s">
        <v>383</v>
      </c>
      <c r="AX61" s="111" t="s">
        <v>384</v>
      </c>
      <c r="AY61" s="111" t="s">
        <v>385</v>
      </c>
      <c r="AZ61" s="111" t="s">
        <v>386</v>
      </c>
      <c r="BA61" s="111">
        <v>50631028</v>
      </c>
      <c r="BB61" s="54" t="e" vm="2">
        <f t="shared" si="10"/>
        <v>#VALUE!</v>
      </c>
    </row>
    <row r="62" spans="1:93" ht="32.1" customHeight="1">
      <c r="A62" s="93"/>
      <c r="B62" s="76" t="str">
        <f>VLOOKUP(878,Sprachindex!$A:$Z,Info!$O$7,FALSE)</f>
        <v>Stk.</v>
      </c>
      <c r="C62" s="75"/>
      <c r="D62" s="105" t="str">
        <f t="shared" si="12"/>
        <v/>
      </c>
      <c r="E62" s="618" t="str">
        <f>VLOOKUP(2226,Sprachindex!$A:$Z,Info!$O$7,FALSE)</f>
        <v>Laufstegstütze für Falzdächer</v>
      </c>
      <c r="F62" s="619"/>
      <c r="G62" s="619"/>
      <c r="H62" s="619"/>
      <c r="I62" s="619"/>
      <c r="J62" s="619"/>
      <c r="K62" s="620"/>
      <c r="L62" s="76" t="str">
        <f t="shared" si="8"/>
        <v/>
      </c>
      <c r="M62" s="399" t="str">
        <f t="shared" si="2"/>
        <v>Stk.</v>
      </c>
      <c r="N62" s="77"/>
      <c r="O62" s="184" t="str">
        <f t="shared" ref="O62:O67" si="13">IF(ISNUMBER(A62),$L62*R62, "")</f>
        <v/>
      </c>
      <c r="R62" s="182">
        <v>54.41</v>
      </c>
      <c r="S62" s="190"/>
      <c r="T62" s="199"/>
      <c r="U62" s="179"/>
      <c r="V62" s="179"/>
      <c r="W62" s="179"/>
      <c r="X62" s="179"/>
      <c r="Y62" s="179"/>
      <c r="Z62" s="179"/>
      <c r="AA62" s="179"/>
      <c r="AB62" s="68"/>
      <c r="AC62" s="1"/>
      <c r="AD62" s="139">
        <f>ROUNDUP($A62/4,0)*4</f>
        <v>0</v>
      </c>
      <c r="AE62" s="139">
        <f t="shared" si="11"/>
        <v>0</v>
      </c>
      <c r="AH62" s="111">
        <v>120053</v>
      </c>
      <c r="AI62" s="111">
        <v>120050</v>
      </c>
      <c r="AJ62" s="111">
        <v>120058</v>
      </c>
      <c r="AK62" s="111">
        <v>120055</v>
      </c>
      <c r="AL62" s="111">
        <v>120051</v>
      </c>
      <c r="AM62" s="111">
        <v>120052</v>
      </c>
      <c r="AN62" s="111">
        <v>120054</v>
      </c>
      <c r="AO62" s="111">
        <v>120056</v>
      </c>
      <c r="AP62" s="111">
        <v>120057</v>
      </c>
      <c r="AQ62" s="111">
        <v>121090</v>
      </c>
      <c r="AR62" s="111">
        <v>121091</v>
      </c>
      <c r="AS62" s="111">
        <v>649280</v>
      </c>
      <c r="AT62" s="111">
        <v>649294</v>
      </c>
      <c r="AU62" s="111" t="s">
        <v>2349</v>
      </c>
      <c r="AV62" s="111"/>
      <c r="AW62" s="111" t="s">
        <v>387</v>
      </c>
      <c r="AX62" s="111" t="s">
        <v>388</v>
      </c>
      <c r="AY62" s="111" t="s">
        <v>389</v>
      </c>
      <c r="AZ62" s="111" t="s">
        <v>390</v>
      </c>
      <c r="BA62" s="111">
        <v>50301028</v>
      </c>
      <c r="BB62" s="54" t="e" vm="2">
        <f t="shared" si="10"/>
        <v>#VALUE!</v>
      </c>
    </row>
    <row r="63" spans="1:93" ht="32.1" customHeight="1">
      <c r="A63" s="93"/>
      <c r="B63" s="76" t="str">
        <f>VLOOKUP(878,Sprachindex!$A:$Z,Info!$O$7,FALSE)</f>
        <v>Stk.</v>
      </c>
      <c r="C63" s="75"/>
      <c r="D63" s="105" t="str">
        <f t="shared" si="12"/>
        <v/>
      </c>
      <c r="E63" s="618" t="str">
        <f>VLOOKUP(560,Sprachindex!$A:$Z,Info!$O$7,FALSE)</f>
        <v>Laufsteg (250 × 1.200 mm)</v>
      </c>
      <c r="F63" s="619"/>
      <c r="G63" s="619"/>
      <c r="H63" s="619"/>
      <c r="I63" s="619"/>
      <c r="J63" s="619"/>
      <c r="K63" s="620"/>
      <c r="L63" s="76" t="str">
        <f t="shared" si="8"/>
        <v/>
      </c>
      <c r="M63" s="399" t="str">
        <f t="shared" si="2"/>
        <v>Stk.</v>
      </c>
      <c r="N63" s="77"/>
      <c r="O63" s="184" t="str">
        <f t="shared" si="13"/>
        <v/>
      </c>
      <c r="R63" s="182">
        <v>76.66</v>
      </c>
      <c r="S63" s="190"/>
      <c r="T63" s="199"/>
      <c r="U63" s="179"/>
      <c r="V63" s="179"/>
      <c r="W63" s="179"/>
      <c r="X63" s="179"/>
      <c r="Y63" s="179"/>
      <c r="Z63" s="179"/>
      <c r="AA63" s="179"/>
      <c r="AB63" s="68"/>
      <c r="AC63" s="1"/>
      <c r="AD63" s="139">
        <f t="shared" ref="AD63:AD72" si="14">ROUNDUP($A63,0)</f>
        <v>0</v>
      </c>
      <c r="AE63" s="139">
        <f t="shared" si="11"/>
        <v>0</v>
      </c>
      <c r="AH63" s="111">
        <v>120033</v>
      </c>
      <c r="AI63" s="111">
        <v>120030</v>
      </c>
      <c r="AJ63" s="111">
        <v>120038</v>
      </c>
      <c r="AK63" s="111">
        <v>120035</v>
      </c>
      <c r="AL63" s="111">
        <v>120031</v>
      </c>
      <c r="AM63" s="111">
        <v>120032</v>
      </c>
      <c r="AN63" s="111">
        <v>120034</v>
      </c>
      <c r="AO63" s="111">
        <v>120036</v>
      </c>
      <c r="AP63" s="111">
        <v>120037</v>
      </c>
      <c r="AQ63" s="111">
        <v>121080</v>
      </c>
      <c r="AR63" s="111">
        <v>121081</v>
      </c>
      <c r="AS63" s="111">
        <v>649221</v>
      </c>
      <c r="AT63" s="111">
        <v>649253</v>
      </c>
      <c r="AU63" s="111"/>
      <c r="AV63" s="111"/>
      <c r="AW63" s="111"/>
      <c r="AX63" s="111" t="s">
        <v>391</v>
      </c>
      <c r="AY63" s="111"/>
      <c r="AZ63" s="111">
        <v>120039</v>
      </c>
      <c r="BA63" s="111">
        <v>15351028</v>
      </c>
      <c r="BB63" s="54" t="e" vm="2">
        <f t="shared" si="10"/>
        <v>#VALUE!</v>
      </c>
    </row>
    <row r="64" spans="1:93" ht="32.1" customHeight="1">
      <c r="A64" s="93"/>
      <c r="B64" s="76" t="str">
        <f>VLOOKUP(878,Sprachindex!$A:$Z,Info!$O$7,FALSE)</f>
        <v>Stk.</v>
      </c>
      <c r="C64" s="75"/>
      <c r="D64" s="105" t="str">
        <f t="shared" si="12"/>
        <v/>
      </c>
      <c r="E64" s="618" t="str">
        <f>VLOOKUP(563,Sprachindex!$A:$Z,Info!$O$7,FALSE)</f>
        <v>Laufsteg (250 × 800 mm)</v>
      </c>
      <c r="F64" s="619"/>
      <c r="G64" s="619"/>
      <c r="H64" s="619"/>
      <c r="I64" s="619"/>
      <c r="J64" s="619"/>
      <c r="K64" s="620"/>
      <c r="L64" s="76" t="str">
        <f t="shared" si="8"/>
        <v/>
      </c>
      <c r="M64" s="399" t="str">
        <f t="shared" si="2"/>
        <v>Stk.</v>
      </c>
      <c r="N64" s="77"/>
      <c r="O64" s="184" t="str">
        <f t="shared" si="13"/>
        <v/>
      </c>
      <c r="R64" s="182">
        <v>56.6</v>
      </c>
      <c r="S64" s="190"/>
      <c r="T64" s="199"/>
      <c r="U64" s="179"/>
      <c r="V64" s="179"/>
      <c r="W64" s="179"/>
      <c r="X64" s="179"/>
      <c r="Y64" s="179"/>
      <c r="Z64" s="179"/>
      <c r="AA64" s="179"/>
      <c r="AB64" s="68"/>
      <c r="AC64" s="1"/>
      <c r="AD64" s="139">
        <f t="shared" si="14"/>
        <v>0</v>
      </c>
      <c r="AE64" s="139">
        <f t="shared" si="11"/>
        <v>0</v>
      </c>
      <c r="AH64" s="111">
        <v>120023</v>
      </c>
      <c r="AI64" s="111">
        <v>120020</v>
      </c>
      <c r="AJ64" s="111">
        <v>120028</v>
      </c>
      <c r="AK64" s="111">
        <v>120025</v>
      </c>
      <c r="AL64" s="111">
        <v>120021</v>
      </c>
      <c r="AM64" s="111">
        <v>120022</v>
      </c>
      <c r="AN64" s="111">
        <v>120024</v>
      </c>
      <c r="AO64" s="111">
        <v>120026</v>
      </c>
      <c r="AP64" s="111">
        <v>120027</v>
      </c>
      <c r="AQ64" s="111">
        <v>121070</v>
      </c>
      <c r="AR64" s="111">
        <v>121071</v>
      </c>
      <c r="AS64" s="111">
        <v>649050</v>
      </c>
      <c r="AT64" s="111">
        <v>649064</v>
      </c>
      <c r="AU64" s="111" t="s">
        <v>2349</v>
      </c>
      <c r="AV64" s="111"/>
      <c r="AW64" s="111" t="s">
        <v>392</v>
      </c>
      <c r="AX64" s="111" t="s">
        <v>393</v>
      </c>
      <c r="AY64" s="111" t="s">
        <v>394</v>
      </c>
      <c r="AZ64" s="111" t="s">
        <v>395</v>
      </c>
      <c r="BA64" s="111">
        <v>50311028</v>
      </c>
      <c r="BB64" s="54" t="e" vm="2">
        <f t="shared" si="10"/>
        <v>#VALUE!</v>
      </c>
    </row>
    <row r="65" spans="1:64" ht="32.1" customHeight="1">
      <c r="A65" s="93"/>
      <c r="B65" s="76" t="str">
        <f>VLOOKUP(878,Sprachindex!$A:$Z,Info!$O$7,FALSE)</f>
        <v>Stk.</v>
      </c>
      <c r="C65" s="75"/>
      <c r="D65" s="105" t="str">
        <f t="shared" si="12"/>
        <v/>
      </c>
      <c r="E65" s="618" t="str">
        <f>VLOOKUP(562,Sprachindex!$A:$Z,Info!$O$7,FALSE)</f>
        <v>Laufsteg (250 × 600 mm)</v>
      </c>
      <c r="F65" s="619"/>
      <c r="G65" s="619"/>
      <c r="H65" s="619"/>
      <c r="I65" s="619"/>
      <c r="J65" s="619"/>
      <c r="K65" s="620"/>
      <c r="L65" s="76" t="str">
        <f t="shared" si="8"/>
        <v/>
      </c>
      <c r="M65" s="399" t="str">
        <f t="shared" si="2"/>
        <v>Stk.</v>
      </c>
      <c r="N65" s="77"/>
      <c r="O65" s="184" t="str">
        <f t="shared" si="13"/>
        <v/>
      </c>
      <c r="R65" s="182">
        <v>54.1</v>
      </c>
      <c r="S65" s="190"/>
      <c r="T65" s="199"/>
      <c r="U65" s="179"/>
      <c r="V65" s="179"/>
      <c r="W65" s="179"/>
      <c r="X65" s="179"/>
      <c r="Y65" s="179"/>
      <c r="Z65" s="179"/>
      <c r="AA65" s="179"/>
      <c r="AB65" s="68"/>
      <c r="AC65" s="1"/>
      <c r="AD65" s="139">
        <f t="shared" si="14"/>
        <v>0</v>
      </c>
      <c r="AE65" s="139">
        <f t="shared" si="11"/>
        <v>0</v>
      </c>
      <c r="AH65" s="111">
        <v>120063</v>
      </c>
      <c r="AI65" s="111">
        <v>120060</v>
      </c>
      <c r="AJ65" s="111">
        <v>120068</v>
      </c>
      <c r="AK65" s="111">
        <v>120065</v>
      </c>
      <c r="AL65" s="111">
        <v>120061</v>
      </c>
      <c r="AM65" s="111">
        <v>120062</v>
      </c>
      <c r="AN65" s="111">
        <v>120064</v>
      </c>
      <c r="AO65" s="111">
        <v>120066</v>
      </c>
      <c r="AP65" s="111">
        <v>120067</v>
      </c>
      <c r="AQ65" s="111">
        <v>121060</v>
      </c>
      <c r="AR65" s="111">
        <v>121061</v>
      </c>
      <c r="AS65" s="111">
        <v>649070</v>
      </c>
      <c r="AT65" s="111">
        <v>649077</v>
      </c>
      <c r="AU65" s="111"/>
      <c r="AV65" s="111"/>
      <c r="AW65" s="111"/>
      <c r="AX65" s="111" t="s">
        <v>396</v>
      </c>
      <c r="AY65" s="111"/>
      <c r="AZ65" s="111">
        <v>120069</v>
      </c>
      <c r="BA65" s="111">
        <v>15361028</v>
      </c>
      <c r="BB65" s="54" t="e" vm="2">
        <f t="shared" si="10"/>
        <v>#VALUE!</v>
      </c>
    </row>
    <row r="66" spans="1:64" ht="32.1" customHeight="1" thickBot="1">
      <c r="A66" s="93"/>
      <c r="B66" s="76" t="str">
        <f>VLOOKUP(878,Sprachindex!$A:$Z,Info!$O$7,FALSE)</f>
        <v>Stk.</v>
      </c>
      <c r="C66" s="75"/>
      <c r="D66" s="580">
        <v>649001</v>
      </c>
      <c r="E66" s="618" t="str">
        <f>VLOOKUP(955,Sprachindex!$A:$Z,Info!$O$7,FALSE)</f>
        <v>Verbinder (verzinkt; für Laufsteg; Breite: 250 mm)</v>
      </c>
      <c r="F66" s="619"/>
      <c r="G66" s="619"/>
      <c r="H66" s="619"/>
      <c r="I66" s="619"/>
      <c r="J66" s="619"/>
      <c r="K66" s="620"/>
      <c r="L66" s="76" t="str">
        <f t="shared" si="8"/>
        <v/>
      </c>
      <c r="M66" s="399" t="str">
        <f t="shared" si="2"/>
        <v>Stk.</v>
      </c>
      <c r="N66" s="77"/>
      <c r="O66" s="184" t="str">
        <f t="shared" si="13"/>
        <v/>
      </c>
      <c r="R66" s="182">
        <v>24.74</v>
      </c>
      <c r="S66" s="190"/>
      <c r="T66" s="199"/>
      <c r="U66" s="179"/>
      <c r="V66" s="179"/>
      <c r="W66" s="179"/>
      <c r="X66" s="179"/>
      <c r="Y66" s="179"/>
      <c r="Z66" s="179"/>
      <c r="AA66" s="179"/>
      <c r="AB66" s="68"/>
      <c r="AC66" s="1"/>
      <c r="AD66" s="139">
        <f t="shared" si="14"/>
        <v>0</v>
      </c>
      <c r="AE66" s="139">
        <f t="shared" si="11"/>
        <v>0</v>
      </c>
    </row>
    <row r="67" spans="1:64" ht="32.1" customHeight="1" thickBot="1">
      <c r="A67" s="93"/>
      <c r="B67" s="76" t="str">
        <f>VLOOKUP(878,Sprachindex!$A:$Z,Info!$O$7,FALSE)</f>
        <v>Stk.</v>
      </c>
      <c r="C67" s="75"/>
      <c r="D67" s="580">
        <v>635670</v>
      </c>
      <c r="E67" s="618" t="str">
        <f>VLOOKUP(1349,Sprachindex!$A:$Z,Info!$O$7,FALSE)</f>
        <v>Sicherheitsdachhaken SDH Industry 31</v>
      </c>
      <c r="F67" s="619"/>
      <c r="G67" s="619"/>
      <c r="H67" s="619"/>
      <c r="I67" s="619"/>
      <c r="J67" s="619"/>
      <c r="K67" s="620"/>
      <c r="L67" s="76" t="str">
        <f t="shared" si="8"/>
        <v/>
      </c>
      <c r="M67" s="399" t="str">
        <f t="shared" si="2"/>
        <v>Stk.</v>
      </c>
      <c r="N67" s="77"/>
      <c r="O67" s="184" t="str">
        <f t="shared" si="13"/>
        <v/>
      </c>
      <c r="R67" s="182">
        <v>265.02</v>
      </c>
      <c r="S67" s="190"/>
      <c r="T67" s="199"/>
      <c r="U67" s="179"/>
      <c r="V67" s="179"/>
      <c r="W67" s="179"/>
      <c r="X67" s="179"/>
      <c r="Y67" s="179"/>
      <c r="Z67" s="179"/>
      <c r="AA67" s="179"/>
      <c r="AB67" s="68"/>
      <c r="AC67" s="1"/>
      <c r="AD67" s="139">
        <f t="shared" si="14"/>
        <v>0</v>
      </c>
      <c r="AE67" s="139">
        <f t="shared" si="11"/>
        <v>0</v>
      </c>
      <c r="AH67" s="457" t="s">
        <v>94</v>
      </c>
      <c r="AI67" s="458" t="s">
        <v>95</v>
      </c>
      <c r="AJ67" s="458" t="s">
        <v>96</v>
      </c>
      <c r="AK67" s="458" t="s">
        <v>97</v>
      </c>
      <c r="AL67" s="458" t="s">
        <v>98</v>
      </c>
      <c r="AM67" s="458" t="s">
        <v>99</v>
      </c>
      <c r="AN67" s="458" t="s">
        <v>100</v>
      </c>
      <c r="AO67" s="458" t="s">
        <v>101</v>
      </c>
      <c r="AP67" s="458" t="s">
        <v>102</v>
      </c>
      <c r="AQ67" s="458" t="s">
        <v>103</v>
      </c>
      <c r="AR67" s="458" t="s">
        <v>104</v>
      </c>
      <c r="AS67" s="458" t="s">
        <v>84</v>
      </c>
      <c r="AT67" s="458" t="s">
        <v>105</v>
      </c>
      <c r="AU67" s="458" t="s">
        <v>106</v>
      </c>
      <c r="AV67" s="458" t="s">
        <v>107</v>
      </c>
      <c r="AW67" s="458" t="s">
        <v>108</v>
      </c>
      <c r="AX67" s="459" t="s">
        <v>109</v>
      </c>
      <c r="AY67" s="459" t="s">
        <v>110</v>
      </c>
      <c r="AZ67" s="459" t="s">
        <v>111</v>
      </c>
      <c r="BA67" s="459" t="s">
        <v>39157</v>
      </c>
      <c r="BD67" s="453" t="s">
        <v>33</v>
      </c>
      <c r="BE67" s="453" t="s">
        <v>34</v>
      </c>
      <c r="BF67" s="453" t="s">
        <v>35</v>
      </c>
      <c r="BG67" s="453" t="s">
        <v>36</v>
      </c>
      <c r="BH67" s="453" t="s">
        <v>37</v>
      </c>
      <c r="BI67" s="453" t="s">
        <v>38</v>
      </c>
      <c r="BJ67" s="453" t="s">
        <v>39</v>
      </c>
      <c r="BK67" s="453" t="s">
        <v>40</v>
      </c>
      <c r="BL67" s="453" t="s">
        <v>84</v>
      </c>
    </row>
    <row r="68" spans="1:64" ht="32.1" customHeight="1">
      <c r="A68" s="93"/>
      <c r="B68" s="76" t="str">
        <f>VLOOKUP(878,Sprachindex!$A:$Z,Info!$O$7,FALSE)</f>
        <v>Stk.</v>
      </c>
      <c r="C68" s="75"/>
      <c r="D68" s="105" t="str">
        <f t="shared" ref="D68:D77" si="15">IF(ISNUMBER(A68),BB68,"")</f>
        <v/>
      </c>
      <c r="E68" s="618" t="str">
        <f>VLOOKUP(510,Sprachindex!$A:$Z,Info!$O$7,FALSE)</f>
        <v>Kaminhut (700 × 700 mm)</v>
      </c>
      <c r="F68" s="619"/>
      <c r="G68" s="619"/>
      <c r="H68" s="619"/>
      <c r="I68" s="619"/>
      <c r="J68" s="619"/>
      <c r="K68" s="620"/>
      <c r="L68" s="76" t="str">
        <f t="shared" si="8"/>
        <v/>
      </c>
      <c r="M68" s="399" t="str">
        <f t="shared" si="2"/>
        <v>Stk.</v>
      </c>
      <c r="N68" s="77"/>
      <c r="O68" s="184" t="str">
        <f t="shared" ref="O68:O73" si="16">IF(ISNUMBER(A68),IF(O21=12,L68*S68,L68*R68)," ")</f>
        <v xml:space="preserve"> </v>
      </c>
      <c r="R68" s="182">
        <v>157.28</v>
      </c>
      <c r="S68" s="190"/>
      <c r="T68" s="199"/>
      <c r="U68" s="179"/>
      <c r="V68" s="179"/>
      <c r="W68" s="179"/>
      <c r="X68" s="179"/>
      <c r="Y68" s="179"/>
      <c r="Z68" s="179"/>
      <c r="AA68" s="179"/>
      <c r="AB68" s="68"/>
      <c r="AC68" s="1"/>
      <c r="AD68" s="139">
        <f t="shared" si="14"/>
        <v>0</v>
      </c>
      <c r="AE68" s="139">
        <f t="shared" si="11"/>
        <v>0</v>
      </c>
      <c r="AH68" s="111">
        <v>110423</v>
      </c>
      <c r="AI68" s="111">
        <v>110420</v>
      </c>
      <c r="AJ68" s="111">
        <v>110428</v>
      </c>
      <c r="AK68" s="111">
        <v>110425</v>
      </c>
      <c r="AL68" s="111">
        <v>110421</v>
      </c>
      <c r="AM68" s="111">
        <v>110422</v>
      </c>
      <c r="AN68" s="111">
        <v>110424</v>
      </c>
      <c r="AO68" s="111">
        <v>110426</v>
      </c>
      <c r="AP68" s="111">
        <v>110427</v>
      </c>
      <c r="AQ68" s="111" t="s">
        <v>2349</v>
      </c>
      <c r="AR68" s="111" t="s">
        <v>2349</v>
      </c>
      <c r="AS68" s="111">
        <v>545001</v>
      </c>
      <c r="AT68" s="111" t="s">
        <v>2349</v>
      </c>
      <c r="AU68" s="111" t="s">
        <v>2349</v>
      </c>
      <c r="AV68" s="111" t="s">
        <v>2349</v>
      </c>
      <c r="AW68" s="111" t="s">
        <v>2349</v>
      </c>
      <c r="AX68" s="111" t="s">
        <v>2349</v>
      </c>
      <c r="AY68" s="111" t="s">
        <v>2349</v>
      </c>
      <c r="AZ68" s="111">
        <v>110429</v>
      </c>
      <c r="BA68" s="111">
        <v>15261028</v>
      </c>
      <c r="BB68" s="54" t="e" vm="2">
        <f t="shared" ref="BB68:BB73" si="17">VLOOKUP(AH68,AH68:BA68,$O$21,FALSE)</f>
        <v>#VALUE!</v>
      </c>
    </row>
    <row r="69" spans="1:64" ht="32.1" customHeight="1">
      <c r="A69" s="93"/>
      <c r="B69" s="76" t="str">
        <f>VLOOKUP(878,Sprachindex!$A:$Z,Info!$O$7,FALSE)</f>
        <v>Stk.</v>
      </c>
      <c r="C69" s="75"/>
      <c r="D69" s="105" t="str">
        <f t="shared" si="15"/>
        <v/>
      </c>
      <c r="E69" s="618" t="str">
        <f>VLOOKUP(511,Sprachindex!$A:$Z,Info!$O$7,FALSE)</f>
        <v>Kaminhut (800 × 800 mm)</v>
      </c>
      <c r="F69" s="619"/>
      <c r="G69" s="619"/>
      <c r="H69" s="619"/>
      <c r="I69" s="619"/>
      <c r="J69" s="619"/>
      <c r="K69" s="620"/>
      <c r="L69" s="76" t="str">
        <f t="shared" si="8"/>
        <v/>
      </c>
      <c r="M69" s="399" t="str">
        <f t="shared" si="2"/>
        <v>Stk.</v>
      </c>
      <c r="N69" s="77"/>
      <c r="O69" s="184" t="str">
        <f t="shared" si="16"/>
        <v xml:space="preserve"> </v>
      </c>
      <c r="R69" s="182">
        <v>169.95</v>
      </c>
      <c r="S69" s="190"/>
      <c r="T69" s="199"/>
      <c r="U69" s="179"/>
      <c r="V69" s="179"/>
      <c r="W69" s="179"/>
      <c r="X69" s="179"/>
      <c r="Y69" s="179"/>
      <c r="Z69" s="179"/>
      <c r="AA69" s="179"/>
      <c r="AB69" s="68"/>
      <c r="AC69" s="1"/>
      <c r="AD69" s="139">
        <f t="shared" si="14"/>
        <v>0</v>
      </c>
      <c r="AE69" s="139">
        <f t="shared" si="11"/>
        <v>0</v>
      </c>
      <c r="AH69" s="111">
        <v>110433</v>
      </c>
      <c r="AI69" s="111">
        <v>110430</v>
      </c>
      <c r="AJ69" s="111">
        <v>110438</v>
      </c>
      <c r="AK69" s="111">
        <v>110435</v>
      </c>
      <c r="AL69" s="111">
        <v>110431</v>
      </c>
      <c r="AM69" s="111">
        <v>110432</v>
      </c>
      <c r="AN69" s="111">
        <v>110434</v>
      </c>
      <c r="AO69" s="111">
        <v>110436</v>
      </c>
      <c r="AP69" s="111">
        <v>110437</v>
      </c>
      <c r="AQ69" s="111" t="s">
        <v>2349</v>
      </c>
      <c r="AR69" s="111" t="s">
        <v>2349</v>
      </c>
      <c r="AS69" s="111">
        <v>545012</v>
      </c>
      <c r="AT69" s="111" t="s">
        <v>2349</v>
      </c>
      <c r="AU69" s="111" t="s">
        <v>2349</v>
      </c>
      <c r="AV69" s="111" t="s">
        <v>2349</v>
      </c>
      <c r="AW69" s="111" t="s">
        <v>2349</v>
      </c>
      <c r="AX69" s="111" t="s">
        <v>2349</v>
      </c>
      <c r="AY69" s="111" t="s">
        <v>2349</v>
      </c>
      <c r="AZ69" s="111">
        <v>110493</v>
      </c>
      <c r="BA69" s="111">
        <v>15271028</v>
      </c>
      <c r="BB69" s="54" t="e" vm="2">
        <f t="shared" si="17"/>
        <v>#VALUE!</v>
      </c>
    </row>
    <row r="70" spans="1:64" ht="32.1" customHeight="1">
      <c r="A70" s="93"/>
      <c r="B70" s="76" t="str">
        <f>VLOOKUP(878,Sprachindex!$A:$Z,Info!$O$7,FALSE)</f>
        <v>Stk.</v>
      </c>
      <c r="C70" s="75"/>
      <c r="D70" s="105" t="str">
        <f t="shared" si="15"/>
        <v/>
      </c>
      <c r="E70" s="618" t="str">
        <f>VLOOKUP(507,Sprachindex!$A:$Z,Info!$O$7,FALSE)</f>
        <v>Kaminhut (1.000 × 700 mm)</v>
      </c>
      <c r="F70" s="619"/>
      <c r="G70" s="619"/>
      <c r="H70" s="619"/>
      <c r="I70" s="619"/>
      <c r="J70" s="619"/>
      <c r="K70" s="620"/>
      <c r="L70" s="76" t="str">
        <f t="shared" si="8"/>
        <v/>
      </c>
      <c r="M70" s="399" t="str">
        <f t="shared" si="2"/>
        <v>Stk.</v>
      </c>
      <c r="N70" s="77"/>
      <c r="O70" s="184" t="str">
        <f t="shared" si="16"/>
        <v xml:space="preserve"> </v>
      </c>
      <c r="R70" s="182">
        <v>170.57</v>
      </c>
      <c r="S70" s="190"/>
      <c r="T70" s="199"/>
      <c r="U70" s="179"/>
      <c r="V70" s="179"/>
      <c r="W70" s="179"/>
      <c r="X70" s="179"/>
      <c r="Y70" s="179"/>
      <c r="Z70" s="179"/>
      <c r="AA70" s="179"/>
      <c r="AB70" s="68"/>
      <c r="AC70" s="1"/>
      <c r="AD70" s="139">
        <f t="shared" si="14"/>
        <v>0</v>
      </c>
      <c r="AE70" s="139">
        <f t="shared" si="11"/>
        <v>0</v>
      </c>
      <c r="AH70" s="111">
        <v>110443</v>
      </c>
      <c r="AI70" s="111">
        <v>110440</v>
      </c>
      <c r="AJ70" s="111">
        <v>110448</v>
      </c>
      <c r="AK70" s="111">
        <v>110445</v>
      </c>
      <c r="AL70" s="111">
        <v>110441</v>
      </c>
      <c r="AM70" s="111">
        <v>110442</v>
      </c>
      <c r="AN70" s="111">
        <v>110444</v>
      </c>
      <c r="AO70" s="111">
        <v>110446</v>
      </c>
      <c r="AP70" s="111">
        <v>110447</v>
      </c>
      <c r="AQ70" s="111" t="s">
        <v>2349</v>
      </c>
      <c r="AR70" s="111" t="s">
        <v>2349</v>
      </c>
      <c r="AS70" s="111">
        <v>545003</v>
      </c>
      <c r="AT70" s="111" t="s">
        <v>2349</v>
      </c>
      <c r="AU70" s="111" t="s">
        <v>2349</v>
      </c>
      <c r="AV70" s="111" t="s">
        <v>2349</v>
      </c>
      <c r="AW70" s="111" t="s">
        <v>2349</v>
      </c>
      <c r="AX70" s="111" t="s">
        <v>2349</v>
      </c>
      <c r="AY70" s="111" t="s">
        <v>2349</v>
      </c>
      <c r="AZ70" s="111">
        <v>110449</v>
      </c>
      <c r="BA70" s="111">
        <v>15281028</v>
      </c>
      <c r="BB70" s="54" t="e" vm="2">
        <f t="shared" si="17"/>
        <v>#VALUE!</v>
      </c>
    </row>
    <row r="71" spans="1:64" ht="32.1" customHeight="1">
      <c r="A71" s="93"/>
      <c r="B71" s="76" t="str">
        <f>VLOOKUP(878,Sprachindex!$A:$Z,Info!$O$7,FALSE)</f>
        <v>Stk.</v>
      </c>
      <c r="C71" s="75"/>
      <c r="D71" s="105" t="str">
        <f t="shared" si="15"/>
        <v/>
      </c>
      <c r="E71" s="618" t="str">
        <f>VLOOKUP(508,Sprachindex!$A:$Z,Info!$O$7,FALSE)</f>
        <v>Kaminhut (1.100 × 800 mm)</v>
      </c>
      <c r="F71" s="619"/>
      <c r="G71" s="619"/>
      <c r="H71" s="619"/>
      <c r="I71" s="619"/>
      <c r="J71" s="619"/>
      <c r="K71" s="620"/>
      <c r="L71" s="76" t="str">
        <f t="shared" si="8"/>
        <v/>
      </c>
      <c r="M71" s="399" t="str">
        <f t="shared" si="2"/>
        <v>Stk.</v>
      </c>
      <c r="N71" s="77"/>
      <c r="O71" s="184" t="str">
        <f t="shared" si="16"/>
        <v xml:space="preserve"> </v>
      </c>
      <c r="R71" s="182">
        <v>204.46</v>
      </c>
      <c r="S71" s="190"/>
      <c r="T71" s="199"/>
      <c r="U71" s="179"/>
      <c r="V71" s="179"/>
      <c r="W71" s="179"/>
      <c r="X71" s="179"/>
      <c r="Y71" s="179"/>
      <c r="Z71" s="179"/>
      <c r="AA71" s="179"/>
      <c r="AB71" s="68"/>
      <c r="AC71" s="1"/>
      <c r="AD71" s="139">
        <f t="shared" si="14"/>
        <v>0</v>
      </c>
      <c r="AE71" s="139">
        <f t="shared" si="11"/>
        <v>0</v>
      </c>
      <c r="AH71" s="111">
        <v>110453</v>
      </c>
      <c r="AI71" s="111">
        <v>110450</v>
      </c>
      <c r="AJ71" s="111">
        <v>110458</v>
      </c>
      <c r="AK71" s="111">
        <v>110455</v>
      </c>
      <c r="AL71" s="111">
        <v>110451</v>
      </c>
      <c r="AM71" s="111">
        <v>110452</v>
      </c>
      <c r="AN71" s="111">
        <v>110454</v>
      </c>
      <c r="AO71" s="111">
        <v>110456</v>
      </c>
      <c r="AP71" s="111">
        <v>110457</v>
      </c>
      <c r="AQ71" s="111" t="s">
        <v>2349</v>
      </c>
      <c r="AR71" s="111" t="s">
        <v>2349</v>
      </c>
      <c r="AS71" s="111">
        <v>545016</v>
      </c>
      <c r="AT71" s="111" t="s">
        <v>2349</v>
      </c>
      <c r="AU71" s="111" t="s">
        <v>2349</v>
      </c>
      <c r="AV71" s="111" t="s">
        <v>2349</v>
      </c>
      <c r="AW71" s="111" t="s">
        <v>2349</v>
      </c>
      <c r="AX71" s="111" t="s">
        <v>2349</v>
      </c>
      <c r="AY71" s="111" t="s">
        <v>2349</v>
      </c>
      <c r="AZ71" s="111">
        <v>110459</v>
      </c>
      <c r="BA71" s="111">
        <v>15291028</v>
      </c>
      <c r="BB71" s="54" t="e" vm="2">
        <f t="shared" si="17"/>
        <v>#VALUE!</v>
      </c>
    </row>
    <row r="72" spans="1:64" ht="32.1" customHeight="1">
      <c r="A72" s="93"/>
      <c r="B72" s="76" t="str">
        <f>VLOOKUP(878,Sprachindex!$A:$Z,Info!$O$7,FALSE)</f>
        <v>Stk.</v>
      </c>
      <c r="C72" s="75"/>
      <c r="D72" s="105" t="str">
        <f t="shared" si="15"/>
        <v/>
      </c>
      <c r="E72" s="618" t="str">
        <f>VLOOKUP(509,Sprachindex!$A:$Z,Info!$O$7,FALSE)</f>
        <v>Kaminhut (1.500 × 800 mm)</v>
      </c>
      <c r="F72" s="619"/>
      <c r="G72" s="619"/>
      <c r="H72" s="619"/>
      <c r="I72" s="619"/>
      <c r="J72" s="619"/>
      <c r="K72" s="620"/>
      <c r="L72" s="76" t="str">
        <f t="shared" si="8"/>
        <v/>
      </c>
      <c r="M72" s="399" t="str">
        <f t="shared" si="2"/>
        <v>Stk.</v>
      </c>
      <c r="N72" s="77"/>
      <c r="O72" s="184" t="str">
        <f t="shared" si="16"/>
        <v xml:space="preserve"> </v>
      </c>
      <c r="R72" s="182">
        <v>279.54000000000002</v>
      </c>
      <c r="S72" s="190"/>
      <c r="T72" s="199"/>
      <c r="U72" s="179"/>
      <c r="V72" s="179"/>
      <c r="W72" s="179"/>
      <c r="X72" s="179"/>
      <c r="Y72" s="179"/>
      <c r="Z72" s="179"/>
      <c r="AA72" s="179"/>
      <c r="AB72" s="68"/>
      <c r="AC72" s="1"/>
      <c r="AD72" s="139">
        <f t="shared" si="14"/>
        <v>0</v>
      </c>
      <c r="AE72" s="139">
        <f t="shared" si="11"/>
        <v>0</v>
      </c>
      <c r="AH72" s="111">
        <v>110463</v>
      </c>
      <c r="AI72" s="111">
        <v>110460</v>
      </c>
      <c r="AJ72" s="111">
        <v>110468</v>
      </c>
      <c r="AK72" s="111">
        <v>110465</v>
      </c>
      <c r="AL72" s="111">
        <v>110461</v>
      </c>
      <c r="AM72" s="111">
        <v>110462</v>
      </c>
      <c r="AN72" s="111">
        <v>110464</v>
      </c>
      <c r="AO72" s="111">
        <v>110466</v>
      </c>
      <c r="AP72" s="111">
        <v>110467</v>
      </c>
      <c r="AQ72" s="111" t="s">
        <v>2349</v>
      </c>
      <c r="AR72" s="111" t="s">
        <v>2349</v>
      </c>
      <c r="AS72" s="111">
        <v>545005</v>
      </c>
      <c r="AT72" s="111" t="s">
        <v>2349</v>
      </c>
      <c r="AU72" s="111" t="s">
        <v>2349</v>
      </c>
      <c r="AV72" s="111" t="s">
        <v>2349</v>
      </c>
      <c r="AW72" s="111" t="s">
        <v>2349</v>
      </c>
      <c r="AX72" s="111" t="s">
        <v>2349</v>
      </c>
      <c r="AY72" s="111" t="s">
        <v>2349</v>
      </c>
      <c r="AZ72" s="111">
        <v>110469</v>
      </c>
      <c r="BA72" s="111">
        <v>15301028</v>
      </c>
      <c r="BB72" s="54" t="e" vm="2">
        <f t="shared" si="17"/>
        <v>#VALUE!</v>
      </c>
    </row>
    <row r="73" spans="1:64" ht="32.1" customHeight="1" thickBot="1">
      <c r="A73" s="93"/>
      <c r="B73" s="76" t="str">
        <f>VLOOKUP(878,Sprachindex!$A:$Z,Info!$O$7,FALSE)</f>
        <v>Stk.</v>
      </c>
      <c r="C73" s="78"/>
      <c r="D73" s="105" t="str">
        <f t="shared" si="15"/>
        <v/>
      </c>
      <c r="E73" s="618" t="str">
        <f>VLOOKUP(512,Sprachindex!$A:$Z,Info!$O$7,FALSE)</f>
        <v>Kaminstrebe gebogen</v>
      </c>
      <c r="F73" s="619"/>
      <c r="G73" s="619"/>
      <c r="H73" s="619"/>
      <c r="I73" s="619"/>
      <c r="J73" s="619"/>
      <c r="K73" s="620"/>
      <c r="L73" s="76" t="str">
        <f t="shared" si="8"/>
        <v/>
      </c>
      <c r="M73" s="399" t="str">
        <f t="shared" si="2"/>
        <v>Stk.</v>
      </c>
      <c r="N73" s="77"/>
      <c r="O73" s="184" t="str">
        <f t="shared" si="16"/>
        <v xml:space="preserve"> </v>
      </c>
      <c r="R73" s="182">
        <v>17.27</v>
      </c>
      <c r="S73" s="200"/>
      <c r="T73" s="201"/>
      <c r="U73" s="179"/>
      <c r="V73" s="179"/>
      <c r="W73" s="179"/>
      <c r="X73" s="179"/>
      <c r="Y73" s="179"/>
      <c r="Z73" s="179"/>
      <c r="AA73" s="179"/>
      <c r="AB73" s="68"/>
      <c r="AC73" s="1"/>
      <c r="AD73" s="139">
        <f>ROUNDUP($A73/10,0)*10</f>
        <v>0</v>
      </c>
      <c r="AE73" s="139">
        <f t="shared" si="11"/>
        <v>0</v>
      </c>
      <c r="AH73" s="111">
        <v>110413</v>
      </c>
      <c r="AI73" s="111">
        <v>110410</v>
      </c>
      <c r="AJ73" s="111">
        <v>110418</v>
      </c>
      <c r="AK73" s="111">
        <v>110415</v>
      </c>
      <c r="AL73" s="111">
        <v>110411</v>
      </c>
      <c r="AM73" s="111">
        <v>110412</v>
      </c>
      <c r="AN73" s="111">
        <v>110414</v>
      </c>
      <c r="AO73" s="111">
        <v>110416</v>
      </c>
      <c r="AP73" s="111">
        <v>110417</v>
      </c>
      <c r="AQ73" s="111" t="s">
        <v>2349</v>
      </c>
      <c r="AR73" s="111" t="s">
        <v>2349</v>
      </c>
      <c r="AS73" s="111">
        <v>537029</v>
      </c>
      <c r="AT73" s="111" t="s">
        <v>2349</v>
      </c>
      <c r="AU73" s="111" t="s">
        <v>2349</v>
      </c>
      <c r="AV73" s="111" t="s">
        <v>2349</v>
      </c>
      <c r="AW73" s="111" t="s">
        <v>2349</v>
      </c>
      <c r="AX73" s="111" t="s">
        <v>2349</v>
      </c>
      <c r="AY73" s="111" t="s">
        <v>2349</v>
      </c>
      <c r="AZ73" s="111">
        <v>110419</v>
      </c>
      <c r="BA73" s="111">
        <v>15331028</v>
      </c>
      <c r="BB73" s="54" t="e" vm="2">
        <f t="shared" si="17"/>
        <v>#VALUE!</v>
      </c>
    </row>
    <row r="74" spans="1:64" ht="32.1" customHeight="1">
      <c r="A74" s="93"/>
      <c r="B74" s="76" t="str">
        <f>VLOOKUP(878,Sprachindex!$A:$Z,Info!$O$7,FALSE)</f>
        <v>Stk.</v>
      </c>
      <c r="C74" s="75"/>
      <c r="D74" s="105" t="str">
        <f t="shared" si="15"/>
        <v/>
      </c>
      <c r="E74" s="618" t="str">
        <f>VLOOKUP(535,Sprachindex!$A:$Z,Info!$O$7,FALSE)</f>
        <v>Klebeeinfassung für Falzdächer (⌀ 50–80 mm)</v>
      </c>
      <c r="F74" s="619"/>
      <c r="G74" s="619"/>
      <c r="H74" s="619"/>
      <c r="I74" s="619"/>
      <c r="J74" s="619"/>
      <c r="K74" s="620"/>
      <c r="L74" s="76" t="str">
        <f t="shared" si="8"/>
        <v/>
      </c>
      <c r="M74" s="399" t="str">
        <f t="shared" si="2"/>
        <v>Stk.</v>
      </c>
      <c r="N74" s="77"/>
      <c r="O74" s="184" t="str">
        <f t="shared" ref="O74:O85" si="18">IF(ISNUMBER(A74),$L74*R74, "")</f>
        <v/>
      </c>
      <c r="R74" s="182">
        <v>101.12</v>
      </c>
      <c r="S74" s="179"/>
      <c r="T74" s="179"/>
      <c r="U74" s="179"/>
      <c r="V74" s="179"/>
      <c r="W74" s="179"/>
      <c r="X74" s="179"/>
      <c r="Y74" s="179"/>
      <c r="Z74" s="179"/>
      <c r="AA74" s="179"/>
      <c r="AB74" s="68"/>
      <c r="AC74" s="1"/>
      <c r="AD74" s="139">
        <f>ROUNDUP($A74/2,0)*2</f>
        <v>0</v>
      </c>
      <c r="AE74" s="139">
        <f t="shared" si="11"/>
        <v>0</v>
      </c>
      <c r="AH74" s="111">
        <v>110273</v>
      </c>
      <c r="AI74" s="111">
        <v>110270</v>
      </c>
      <c r="AJ74" s="111">
        <v>110278</v>
      </c>
      <c r="AK74" s="111">
        <v>110275</v>
      </c>
      <c r="AL74" s="111">
        <v>110271</v>
      </c>
      <c r="AM74" s="111">
        <v>110272</v>
      </c>
      <c r="AN74" s="111">
        <v>110274</v>
      </c>
      <c r="AO74" s="111">
        <v>110276</v>
      </c>
      <c r="AP74" s="111">
        <v>110277</v>
      </c>
      <c r="AQ74" s="111">
        <v>121040</v>
      </c>
      <c r="AR74" s="111">
        <v>121041</v>
      </c>
      <c r="AS74" s="111">
        <v>513151</v>
      </c>
      <c r="AT74" s="111">
        <v>513188</v>
      </c>
      <c r="AU74" s="111">
        <v>121043</v>
      </c>
      <c r="AV74" s="111" t="s">
        <v>2349</v>
      </c>
      <c r="AW74" s="111">
        <v>121044</v>
      </c>
      <c r="AX74" s="111">
        <v>121042</v>
      </c>
      <c r="AY74" s="111">
        <v>121046</v>
      </c>
      <c r="AZ74" s="111">
        <v>121045</v>
      </c>
      <c r="BA74" s="111">
        <v>50201028</v>
      </c>
      <c r="BB74" s="54" t="e" vm="2">
        <f>VLOOKUP(AH74,AH74:BA74,$O$21,FALSE)</f>
        <v>#VALUE!</v>
      </c>
    </row>
    <row r="75" spans="1:64" ht="32.1" customHeight="1">
      <c r="A75" s="93"/>
      <c r="B75" s="76" t="str">
        <f>VLOOKUP(878,Sprachindex!$A:$Z,Info!$O$7,FALSE)</f>
        <v>Stk.</v>
      </c>
      <c r="C75" s="75"/>
      <c r="D75" s="105" t="str">
        <f>IF(ISNUMBER(A75),BB75,"")</f>
        <v/>
      </c>
      <c r="E75" s="618" t="str">
        <f>VLOOKUP(536,Sprachindex!$A:$Z,Info!$O$7,FALSE)</f>
        <v>Klebeeinfassung für Falzdächer (⌀ 80–120 mm)</v>
      </c>
      <c r="F75" s="619"/>
      <c r="G75" s="619"/>
      <c r="H75" s="619"/>
      <c r="I75" s="619"/>
      <c r="J75" s="619"/>
      <c r="K75" s="620"/>
      <c r="L75" s="76" t="str">
        <f t="shared" si="8"/>
        <v/>
      </c>
      <c r="M75" s="399" t="str">
        <f t="shared" si="2"/>
        <v>Stk.</v>
      </c>
      <c r="N75" s="77"/>
      <c r="O75" s="184" t="str">
        <f t="shared" si="18"/>
        <v/>
      </c>
      <c r="R75" s="182">
        <v>104.85</v>
      </c>
      <c r="S75" s="179"/>
      <c r="T75" s="179"/>
      <c r="U75" s="179"/>
      <c r="V75" s="179"/>
      <c r="W75" s="179"/>
      <c r="X75" s="179"/>
      <c r="Y75" s="179"/>
      <c r="Z75" s="179"/>
      <c r="AA75" s="179"/>
      <c r="AB75" s="68"/>
      <c r="AC75" s="1"/>
      <c r="AD75" s="139">
        <f>ROUNDUP($A75/5,0)*5</f>
        <v>0</v>
      </c>
      <c r="AE75" s="139">
        <f t="shared" si="11"/>
        <v>0</v>
      </c>
      <c r="AH75" s="111">
        <v>110263</v>
      </c>
      <c r="AI75" s="111">
        <v>110260</v>
      </c>
      <c r="AJ75" s="111">
        <v>110268</v>
      </c>
      <c r="AK75" s="111">
        <v>110265</v>
      </c>
      <c r="AL75" s="111">
        <v>110261</v>
      </c>
      <c r="AM75" s="111">
        <v>110262</v>
      </c>
      <c r="AN75" s="111">
        <v>110264</v>
      </c>
      <c r="AO75" s="111">
        <v>110266</v>
      </c>
      <c r="AP75" s="111">
        <v>110267</v>
      </c>
      <c r="AQ75" s="111">
        <v>121030</v>
      </c>
      <c r="AR75" s="111">
        <v>121031</v>
      </c>
      <c r="AS75" s="111">
        <v>513150</v>
      </c>
      <c r="AT75" s="111">
        <v>513168</v>
      </c>
      <c r="AU75" s="111">
        <v>121033</v>
      </c>
      <c r="AV75" s="111" t="s">
        <v>2349</v>
      </c>
      <c r="AW75" s="111">
        <v>121034</v>
      </c>
      <c r="AX75" s="111">
        <v>121032</v>
      </c>
      <c r="AY75" s="111">
        <v>121036</v>
      </c>
      <c r="AZ75" s="111">
        <v>121035</v>
      </c>
      <c r="BA75" s="111">
        <v>50211028</v>
      </c>
      <c r="BB75" s="54" t="e" vm="2">
        <f>VLOOKUP(AH75,AH75:BA75,$O$21,FALSE)</f>
        <v>#VALUE!</v>
      </c>
    </row>
    <row r="76" spans="1:64" ht="32.1" customHeight="1">
      <c r="A76" s="93"/>
      <c r="B76" s="76" t="str">
        <f>VLOOKUP(878,Sprachindex!$A:$Z,Info!$O$7,FALSE)</f>
        <v>Stk.</v>
      </c>
      <c r="C76" s="75"/>
      <c r="D76" s="105" t="str">
        <f t="shared" si="15"/>
        <v/>
      </c>
      <c r="E76" s="618" t="str">
        <f>VLOOKUP(533,Sprachindex!$A:$Z,Info!$O$7,FALSE)</f>
        <v>Klebeeinfassung für Falzdächer (⌀ 120–170 mm)</v>
      </c>
      <c r="F76" s="619"/>
      <c r="G76" s="619"/>
      <c r="H76" s="619"/>
      <c r="I76" s="619"/>
      <c r="J76" s="619"/>
      <c r="K76" s="620"/>
      <c r="L76" s="76" t="str">
        <f t="shared" si="8"/>
        <v/>
      </c>
      <c r="M76" s="399" t="str">
        <f t="shared" si="2"/>
        <v>Stk.</v>
      </c>
      <c r="N76" s="77"/>
      <c r="O76" s="184" t="str">
        <f t="shared" si="18"/>
        <v/>
      </c>
      <c r="R76" s="182">
        <v>139.77000000000001</v>
      </c>
      <c r="S76" s="179"/>
      <c r="T76" s="179"/>
      <c r="U76" s="179"/>
      <c r="V76" s="179"/>
      <c r="W76" s="179"/>
      <c r="X76" s="179"/>
      <c r="Y76" s="179"/>
      <c r="Z76" s="179"/>
      <c r="AA76" s="179"/>
      <c r="AB76" s="68"/>
      <c r="AC76" s="1"/>
      <c r="AD76" s="139">
        <f>ROUNDUP($A76,0)</f>
        <v>0</v>
      </c>
      <c r="AE76" s="139">
        <f t="shared" si="11"/>
        <v>0</v>
      </c>
      <c r="AH76" s="111" t="s">
        <v>2349</v>
      </c>
      <c r="AI76" s="111">
        <v>112500</v>
      </c>
      <c r="AJ76" s="111" t="s">
        <v>2349</v>
      </c>
      <c r="AK76" s="111" t="s">
        <v>2349</v>
      </c>
      <c r="AL76" s="111" t="s">
        <v>2349</v>
      </c>
      <c r="AM76" s="111">
        <v>112502</v>
      </c>
      <c r="AN76" s="111" t="s">
        <v>2349</v>
      </c>
      <c r="AO76" s="111" t="s">
        <v>2349</v>
      </c>
      <c r="AP76" s="111" t="s">
        <v>2349</v>
      </c>
      <c r="AQ76" s="111" t="s">
        <v>2349</v>
      </c>
      <c r="AR76" s="111" t="s">
        <v>2349</v>
      </c>
      <c r="AS76" s="111">
        <v>513153</v>
      </c>
      <c r="AT76" s="111" t="s">
        <v>2349</v>
      </c>
      <c r="AU76" s="111" t="s">
        <v>2349</v>
      </c>
      <c r="AV76" s="111" t="s">
        <v>2349</v>
      </c>
      <c r="AW76" s="111" t="s">
        <v>2349</v>
      </c>
      <c r="AX76" s="111" t="s">
        <v>2349</v>
      </c>
      <c r="AY76" s="111" t="s">
        <v>2349</v>
      </c>
      <c r="AZ76" s="111" t="s">
        <v>2349</v>
      </c>
      <c r="BA76" s="111">
        <v>50221028</v>
      </c>
      <c r="BB76" s="54" t="e" vm="2">
        <f>VLOOKUP(AH76,AH76:BA76,$O$21,FALSE)</f>
        <v>#VALUE!</v>
      </c>
    </row>
    <row r="77" spans="1:64" ht="32.1" customHeight="1">
      <c r="A77" s="93"/>
      <c r="B77" s="76" t="str">
        <f>VLOOKUP(878,Sprachindex!$A:$Z,Info!$O$7,FALSE)</f>
        <v>Stk.</v>
      </c>
      <c r="C77" s="75"/>
      <c r="D77" s="105" t="str">
        <f t="shared" si="15"/>
        <v/>
      </c>
      <c r="E77" s="618" t="str">
        <f>VLOOKUP(534,Sprachindex!$A:$Z,Info!$O$7,FALSE)</f>
        <v>Klebeeinfassung für Falzdächer (⌀ 170–210 mm)</v>
      </c>
      <c r="F77" s="619"/>
      <c r="G77" s="619"/>
      <c r="H77" s="619"/>
      <c r="I77" s="619"/>
      <c r="J77" s="619"/>
      <c r="K77" s="620"/>
      <c r="L77" s="76" t="str">
        <f t="shared" si="8"/>
        <v/>
      </c>
      <c r="M77" s="399" t="str">
        <f t="shared" si="2"/>
        <v>Stk.</v>
      </c>
      <c r="N77" s="77"/>
      <c r="O77" s="184" t="str">
        <f t="shared" si="18"/>
        <v/>
      </c>
      <c r="R77" s="182">
        <v>170.67</v>
      </c>
      <c r="S77" s="179"/>
      <c r="T77" s="179"/>
      <c r="U77" s="179"/>
      <c r="V77" s="179"/>
      <c r="W77" s="179"/>
      <c r="X77" s="179"/>
      <c r="Y77" s="179"/>
      <c r="Z77" s="179"/>
      <c r="AA77" s="179"/>
      <c r="AB77" s="68"/>
      <c r="AC77" s="1"/>
      <c r="AD77" s="139">
        <f>ROUNDUP($A77,0)</f>
        <v>0</v>
      </c>
      <c r="AE77" s="139">
        <f t="shared" si="11"/>
        <v>0</v>
      </c>
      <c r="AH77" s="111" t="s">
        <v>2349</v>
      </c>
      <c r="AI77" s="111">
        <v>112510</v>
      </c>
      <c r="AJ77" s="111" t="s">
        <v>2349</v>
      </c>
      <c r="AK77" s="111" t="s">
        <v>2349</v>
      </c>
      <c r="AL77" s="111" t="s">
        <v>2349</v>
      </c>
      <c r="AM77" s="111">
        <v>112512</v>
      </c>
      <c r="AN77" s="111" t="s">
        <v>2349</v>
      </c>
      <c r="AO77" s="111" t="s">
        <v>2349</v>
      </c>
      <c r="AP77" s="111" t="s">
        <v>2349</v>
      </c>
      <c r="AQ77" s="111" t="s">
        <v>2349</v>
      </c>
      <c r="AR77" s="111" t="s">
        <v>2349</v>
      </c>
      <c r="AS77" s="111">
        <v>513154</v>
      </c>
      <c r="AT77" s="111" t="s">
        <v>2349</v>
      </c>
      <c r="AU77" s="111" t="s">
        <v>2349</v>
      </c>
      <c r="AV77" s="111" t="s">
        <v>2349</v>
      </c>
      <c r="AW77" s="111" t="s">
        <v>2349</v>
      </c>
      <c r="AX77" s="111" t="s">
        <v>2349</v>
      </c>
      <c r="AY77" s="111" t="s">
        <v>2349</v>
      </c>
      <c r="AZ77" s="111" t="s">
        <v>2349</v>
      </c>
      <c r="BA77" s="111">
        <v>50241028</v>
      </c>
      <c r="BB77" s="54" t="e" vm="2">
        <f>VLOOKUP(AH77,AH77:BA77,$O$21,FALSE)</f>
        <v>#VALUE!</v>
      </c>
    </row>
    <row r="78" spans="1:64" ht="32.1" customHeight="1">
      <c r="A78" s="93"/>
      <c r="B78" s="76" t="str">
        <f>VLOOKUP(878,Sprachindex!$A:$Z,Info!$O$7,FALSE)</f>
        <v>Stk.</v>
      </c>
      <c r="C78" s="75"/>
      <c r="D78" s="105">
        <v>420501</v>
      </c>
      <c r="E78" s="654" t="str">
        <f>VLOOKUP(851,Sprachindex!$A:$Z,Info!$O$7,FALSE)</f>
        <v>Spezialkleber</v>
      </c>
      <c r="F78" s="655"/>
      <c r="G78" s="655"/>
      <c r="H78" s="655"/>
      <c r="I78" s="655"/>
      <c r="J78" s="655"/>
      <c r="K78" s="656"/>
      <c r="L78" s="76" t="str">
        <f>IF(A78=0,"",IF($O$11=1,AD78,AE78))</f>
        <v/>
      </c>
      <c r="M78" s="399" t="str">
        <f t="shared" si="2"/>
        <v>Stk.</v>
      </c>
      <c r="N78" s="77"/>
      <c r="O78" s="184" t="str">
        <f t="shared" si="18"/>
        <v/>
      </c>
      <c r="R78" s="182">
        <v>40.299999999999997</v>
      </c>
      <c r="S78" s="179"/>
      <c r="T78" s="179"/>
      <c r="U78" s="179"/>
      <c r="V78" s="179"/>
      <c r="W78" s="179"/>
      <c r="X78" s="179"/>
      <c r="Y78" s="179"/>
      <c r="Z78" s="179"/>
      <c r="AA78" s="179"/>
      <c r="AB78" s="68"/>
      <c r="AC78" s="1"/>
      <c r="AD78" s="139">
        <f>ROUNDUP($A84/24,0)*24</f>
        <v>0</v>
      </c>
      <c r="AE78" s="139">
        <f t="shared" si="11"/>
        <v>0</v>
      </c>
      <c r="AF78" s="6"/>
    </row>
    <row r="79" spans="1:64" ht="32.1" customHeight="1" thickBot="1">
      <c r="A79" s="93"/>
      <c r="B79" s="76" t="str">
        <f>VLOOKUP(821,Sprachindex!$A:$Z,Info!$O$7,FALSE)</f>
        <v>Set</v>
      </c>
      <c r="C79" s="78"/>
      <c r="D79" s="105">
        <v>420500</v>
      </c>
      <c r="E79" s="618" t="str">
        <f>VLOOKUP(852,Sprachindex!$A:$Z,Info!$O$7,FALSE)</f>
        <v>Spezialkleberset</v>
      </c>
      <c r="F79" s="619"/>
      <c r="G79" s="619"/>
      <c r="H79" s="619"/>
      <c r="I79" s="619"/>
      <c r="J79" s="619"/>
      <c r="K79" s="620"/>
      <c r="L79" s="76" t="str">
        <f t="shared" si="8"/>
        <v/>
      </c>
      <c r="M79" s="399" t="str">
        <f t="shared" si="2"/>
        <v>Set</v>
      </c>
      <c r="N79" s="77"/>
      <c r="O79" s="184" t="str">
        <f t="shared" si="18"/>
        <v/>
      </c>
      <c r="R79" s="182">
        <v>55.18</v>
      </c>
      <c r="S79" s="179"/>
      <c r="T79" s="179"/>
      <c r="U79" s="179"/>
      <c r="V79" s="179"/>
      <c r="W79" s="179"/>
      <c r="X79" s="179"/>
      <c r="Y79" s="179"/>
      <c r="Z79" s="179"/>
      <c r="AA79" s="179"/>
      <c r="AB79" s="68"/>
      <c r="AC79" s="1"/>
      <c r="AD79" s="139">
        <f>ROUNDUP($A79,0)</f>
        <v>0</v>
      </c>
      <c r="AE79" s="139">
        <f t="shared" si="11"/>
        <v>0</v>
      </c>
    </row>
    <row r="80" spans="1:64" ht="32.1" customHeight="1">
      <c r="A80" s="93"/>
      <c r="B80" s="76" t="str">
        <f>VLOOKUP(878,Sprachindex!$A:$Z,Info!$O$7,FALSE)</f>
        <v>Stk.</v>
      </c>
      <c r="C80" s="78"/>
      <c r="D80" s="105" t="str" cm="1">
        <f t="array" ref="D80">_xlfn.IFS(I80=Formeln!$A$296,AH80,I80=Formeln!$A$297,AI80,I80=Formeln!$A$295,"")</f>
        <v/>
      </c>
      <c r="E80" s="618" t="str">
        <f>VLOOKUP(3038,Sprachindex!$A:$Z,Info!$O$7,FALSE)</f>
        <v>Magazinschrauber für Hafte geschraubt; inkl. Akkus und Ladegerät</v>
      </c>
      <c r="F80" s="619"/>
      <c r="G80" s="619"/>
      <c r="H80" s="619"/>
      <c r="I80" s="677"/>
      <c r="J80" s="677"/>
      <c r="K80" s="678"/>
      <c r="L80" s="76" t="str">
        <f t="shared" ref="L80:L82" si="19">IF($A80=0,"",IF($O$11=1,AD80,AE80))</f>
        <v/>
      </c>
      <c r="M80" s="161" t="str">
        <f>VLOOKUP(878,Sprachindex!$A:$Z,Info!$O$7,FALSE)</f>
        <v>Stk.</v>
      </c>
      <c r="N80" s="77"/>
      <c r="O80" s="184" t="str">
        <f t="shared" si="18"/>
        <v/>
      </c>
      <c r="R80" s="182">
        <v>1648</v>
      </c>
      <c r="S80" s="179">
        <v>1442</v>
      </c>
      <c r="T80" s="179"/>
      <c r="U80" s="179"/>
      <c r="V80" s="179"/>
      <c r="W80" s="179"/>
      <c r="X80" s="179"/>
      <c r="Y80" s="179"/>
      <c r="Z80" s="179"/>
      <c r="AA80" s="179"/>
      <c r="AB80" s="179"/>
      <c r="AC80" s="129"/>
      <c r="AD80" s="139">
        <f t="shared" ref="AD80:AD81" si="20">ROUNDUP($A80,0)</f>
        <v>0</v>
      </c>
      <c r="AE80" s="139">
        <f t="shared" si="11"/>
        <v>0</v>
      </c>
      <c r="AF80" s="135"/>
      <c r="AH80" s="564">
        <v>420092</v>
      </c>
      <c r="AI80" s="565">
        <v>420090</v>
      </c>
    </row>
    <row r="81" spans="1:118" ht="32.1" customHeight="1">
      <c r="A81" s="93"/>
      <c r="B81" s="76" t="str">
        <f>VLOOKUP(878,Sprachindex!$A:$Z,Info!$O$7,FALSE)</f>
        <v>Stk.</v>
      </c>
      <c r="C81" s="78"/>
      <c r="D81" s="105">
        <v>420091</v>
      </c>
      <c r="E81" s="618" t="str">
        <f>VLOOKUP(3039,Sprachindex!$A:$Z,Info!$O$7,FALSE)</f>
        <v>Magazinschrauber für Hafte geschraubt; exkl. Akkus und Ladegerät</v>
      </c>
      <c r="F81" s="619"/>
      <c r="G81" s="619"/>
      <c r="H81" s="619"/>
      <c r="I81" s="619"/>
      <c r="J81" s="619"/>
      <c r="K81" s="620"/>
      <c r="L81" s="76" t="str">
        <f t="shared" si="19"/>
        <v/>
      </c>
      <c r="M81" s="161" t="str">
        <f>VLOOKUP(878,Sprachindex!$A:$Z,Info!$O$7,FALSE)</f>
        <v>Stk.</v>
      </c>
      <c r="N81" s="77"/>
      <c r="O81" s="184" t="str">
        <f t="shared" si="18"/>
        <v/>
      </c>
      <c r="R81" s="182">
        <v>1236</v>
      </c>
      <c r="S81" s="179"/>
      <c r="T81" s="179"/>
      <c r="U81" s="179"/>
      <c r="V81" s="179"/>
      <c r="W81" s="179"/>
      <c r="X81" s="179"/>
      <c r="Y81" s="179"/>
      <c r="Z81" s="179"/>
      <c r="AA81" s="179"/>
      <c r="AB81" s="179"/>
      <c r="AC81" s="129"/>
      <c r="AD81" s="139">
        <f t="shared" si="20"/>
        <v>0</v>
      </c>
      <c r="AE81" s="139">
        <f t="shared" si="11"/>
        <v>0</v>
      </c>
      <c r="AF81" s="135"/>
      <c r="AH81" s="566" t="s">
        <v>39190</v>
      </c>
      <c r="AI81" s="567" t="s">
        <v>39189</v>
      </c>
    </row>
    <row r="82" spans="1:118" ht="32.1" customHeight="1" thickBot="1">
      <c r="A82" s="93"/>
      <c r="B82" s="76" t="str">
        <f>VLOOKUP(878,Sprachindex!$A:$Z,Info!$O$7,FALSE)</f>
        <v>Stk.</v>
      </c>
      <c r="C82" s="78"/>
      <c r="D82" s="105" t="str" cm="1">
        <f t="array" ref="D82">_xlfn.IFS(I82=Formeln!$A$296,AH82,I82=Formeln!$A$297,AI82,I82=Formeln!$A$295,"")</f>
        <v/>
      </c>
      <c r="E82" s="618" t="str">
        <f>VLOOKUP(2240,Sprachindex!$A:$Z,Info!$O$7,FALSE)</f>
        <v>Magazinschrauben für Hafte</v>
      </c>
      <c r="F82" s="619"/>
      <c r="G82" s="619"/>
      <c r="H82" s="619"/>
      <c r="I82" s="677"/>
      <c r="J82" s="677"/>
      <c r="K82" s="678"/>
      <c r="L82" s="76" t="str">
        <f t="shared" si="19"/>
        <v/>
      </c>
      <c r="M82" s="161" t="str">
        <f>VLOOKUP(878,Sprachindex!$A:$Z,Info!$O$7,FALSE)</f>
        <v>Stk.</v>
      </c>
      <c r="N82" s="77"/>
      <c r="O82" s="184" t="str">
        <f t="shared" si="18"/>
        <v/>
      </c>
      <c r="R82" s="182">
        <v>73.599999999999994</v>
      </c>
      <c r="S82" s="179"/>
      <c r="T82" s="179"/>
      <c r="U82" s="179"/>
      <c r="V82" s="179"/>
      <c r="W82" s="179"/>
      <c r="X82" s="179"/>
      <c r="Y82" s="179"/>
      <c r="Z82" s="179"/>
      <c r="AA82" s="179"/>
      <c r="AB82" s="179"/>
      <c r="AC82" s="129"/>
      <c r="AD82" s="139">
        <f>ROUNDUP($A82/1000,0)*1000</f>
        <v>0</v>
      </c>
      <c r="AE82" s="139">
        <f t="shared" si="11"/>
        <v>0</v>
      </c>
      <c r="AF82" s="135"/>
      <c r="AH82" s="568">
        <v>340403</v>
      </c>
      <c r="AI82" s="569">
        <v>340400</v>
      </c>
    </row>
    <row r="83" spans="1:118" ht="32.1" customHeight="1">
      <c r="A83" s="93"/>
      <c r="B83" s="76" t="str">
        <f>VLOOKUP(878,Sprachindex!$A:$Z,Info!$O$7,FALSE)</f>
        <v>Stk.</v>
      </c>
      <c r="C83" s="78"/>
      <c r="D83" s="105">
        <v>340490</v>
      </c>
      <c r="E83" s="618" t="str">
        <f>VLOOKUP(2241,Sprachindex!$A:$Z,Info!$O$7,FALSE)</f>
        <v>Spezialbits</v>
      </c>
      <c r="F83" s="619"/>
      <c r="G83" s="619"/>
      <c r="H83" s="619"/>
      <c r="I83" s="619" t="s">
        <v>39191</v>
      </c>
      <c r="J83" s="619"/>
      <c r="K83" s="620"/>
      <c r="L83" s="76" t="str">
        <f>IF($A83=0,"",IF($O$11=1,AD83,AE83))</f>
        <v/>
      </c>
      <c r="M83" s="161" t="str">
        <f>VLOOKUP(878,Sprachindex!$A:$Z,Info!$O$7,FALSE)</f>
        <v>Stk.</v>
      </c>
      <c r="N83" s="77"/>
      <c r="O83" s="184" t="str">
        <f t="shared" si="18"/>
        <v/>
      </c>
      <c r="R83" s="182">
        <v>12.93</v>
      </c>
      <c r="S83" s="179"/>
      <c r="T83" s="179"/>
      <c r="U83" s="179"/>
      <c r="V83" s="179"/>
      <c r="W83" s="179"/>
      <c r="X83" s="179"/>
      <c r="Y83" s="179"/>
      <c r="Z83" s="179"/>
      <c r="AA83" s="179"/>
      <c r="AB83" s="179"/>
      <c r="AC83" s="129"/>
      <c r="AD83" s="139">
        <f>ROUNDUP($A83/5,0)*5</f>
        <v>0</v>
      </c>
      <c r="AE83" s="139">
        <f t="shared" si="11"/>
        <v>0</v>
      </c>
      <c r="AF83" s="135"/>
    </row>
    <row r="84" spans="1:118" ht="32.1" customHeight="1" thickBot="1">
      <c r="A84" s="93"/>
      <c r="B84" s="76" t="str">
        <f>VLOOKUP(531,Sprachindex!$A:$Z,Info!$O$7,FALSE)</f>
        <v>kg</v>
      </c>
      <c r="C84" s="78" t="e" vm="74">
        <v>#VALUE!</v>
      </c>
      <c r="D84" s="105" t="str" cm="1">
        <f t="array" ref="D84">_xlfn.IFS(I84=Formeln!$A$107,AI84,I84=Formeln!$A$108,AH84,I84=Formeln!$A$109,AK84,I84=Formeln!$A$110,AJ84,TRUE,"")</f>
        <v/>
      </c>
      <c r="E84" s="618" t="str">
        <f>VLOOKUP(583,Sprachindex!$A:$Z,Info!$O$7,FALSE)</f>
        <v>Lochblech (⌀ 5 mm) ca. 24 kg/Rolle (0,7 × 1.000 mm)</v>
      </c>
      <c r="F84" s="619"/>
      <c r="G84" s="619"/>
      <c r="H84" s="647"/>
      <c r="I84" s="624"/>
      <c r="J84" s="625"/>
      <c r="K84" s="626"/>
      <c r="L84" s="76" t="str">
        <f>IF($A84=0,"",IF($I84=Formeln!$A$106," ",IF($P$11=1,AC84,AD84)))</f>
        <v/>
      </c>
      <c r="M84" s="161" t="str">
        <f>VLOOKUP(531,Sprachindex!$A:$Z,Info!$O$7,FALSE)</f>
        <v>kg</v>
      </c>
      <c r="N84" s="77"/>
      <c r="O84" s="204" t="str">
        <f t="shared" si="18"/>
        <v/>
      </c>
      <c r="P84" s="267"/>
      <c r="R84" s="182">
        <v>0</v>
      </c>
      <c r="S84" s="179"/>
      <c r="T84" s="179"/>
      <c r="U84" s="179"/>
      <c r="V84" s="179"/>
      <c r="W84" s="179"/>
      <c r="X84" s="179"/>
      <c r="Y84" s="179"/>
      <c r="Z84" s="179"/>
      <c r="AA84" s="179"/>
      <c r="AB84" s="179"/>
      <c r="AC84" s="139">
        <f>ROUNDUP($A84/24,0)*24</f>
        <v>0</v>
      </c>
      <c r="AD84" s="139">
        <f t="shared" ref="AD84" si="21">ROUNDUP($A84,0)</f>
        <v>0</v>
      </c>
      <c r="AF84" s="141" t="str">
        <f>IF(A84&gt;24, Formeln!$A$119, Formeln!$A$118)</f>
        <v>Rolle</v>
      </c>
      <c r="AH84" s="44">
        <v>507202</v>
      </c>
      <c r="AI84" s="44">
        <v>507206</v>
      </c>
      <c r="AJ84" s="44">
        <v>507205</v>
      </c>
      <c r="AK84" s="163">
        <v>507203</v>
      </c>
      <c r="AL84" s="559"/>
      <c r="AS84" s="510"/>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row>
    <row r="85" spans="1:118" ht="32.1" customHeight="1" thickBot="1">
      <c r="A85" s="93"/>
      <c r="B85" s="98"/>
      <c r="C85" s="98"/>
      <c r="D85" s="98"/>
      <c r="E85" s="648"/>
      <c r="F85" s="649"/>
      <c r="G85" s="649"/>
      <c r="H85" s="649"/>
      <c r="I85" s="649"/>
      <c r="J85" s="649"/>
      <c r="K85" s="650"/>
      <c r="L85" s="98"/>
      <c r="M85" s="399"/>
      <c r="N85" s="412"/>
      <c r="O85" s="184" t="str">
        <f t="shared" si="18"/>
        <v/>
      </c>
      <c r="S85" s="179"/>
      <c r="T85" s="179"/>
      <c r="U85" s="179"/>
      <c r="V85" s="179"/>
      <c r="W85" s="179"/>
      <c r="X85" s="179"/>
      <c r="Y85" s="179"/>
      <c r="Z85" s="179"/>
      <c r="AA85" s="179"/>
      <c r="AB85" s="68"/>
      <c r="AC85" s="1"/>
      <c r="AD85" s="8"/>
      <c r="AE85" s="8"/>
      <c r="AH85" s="457" t="s">
        <v>94</v>
      </c>
      <c r="AI85" s="458" t="s">
        <v>95</v>
      </c>
      <c r="AJ85" s="458" t="s">
        <v>96</v>
      </c>
      <c r="AK85" s="458" t="s">
        <v>97</v>
      </c>
      <c r="AL85" s="458" t="s">
        <v>98</v>
      </c>
      <c r="AM85" s="458" t="s">
        <v>99</v>
      </c>
      <c r="AN85" s="458" t="s">
        <v>100</v>
      </c>
      <c r="AO85" s="458" t="s">
        <v>101</v>
      </c>
      <c r="AP85" s="458" t="s">
        <v>102</v>
      </c>
      <c r="AQ85" s="458" t="s">
        <v>103</v>
      </c>
      <c r="AR85" s="458" t="s">
        <v>104</v>
      </c>
      <c r="AS85" s="458" t="s">
        <v>84</v>
      </c>
      <c r="AT85" s="458" t="s">
        <v>105</v>
      </c>
      <c r="AU85" s="458" t="s">
        <v>106</v>
      </c>
      <c r="AV85" s="458" t="s">
        <v>107</v>
      </c>
      <c r="AW85" s="458" t="s">
        <v>108</v>
      </c>
      <c r="AX85" s="459" t="s">
        <v>109</v>
      </c>
      <c r="AY85" s="459" t="s">
        <v>110</v>
      </c>
      <c r="AZ85" s="459" t="s">
        <v>111</v>
      </c>
      <c r="BA85" s="120" t="s">
        <v>39157</v>
      </c>
    </row>
    <row r="86" spans="1:118" ht="32.1" customHeight="1">
      <c r="A86" s="93"/>
      <c r="B86" s="98"/>
      <c r="C86" s="98"/>
      <c r="D86" s="98"/>
      <c r="E86" s="648"/>
      <c r="F86" s="649"/>
      <c r="G86" s="649"/>
      <c r="H86" s="649"/>
      <c r="I86" s="649"/>
      <c r="J86" s="649"/>
      <c r="K86" s="650"/>
      <c r="L86" s="98"/>
      <c r="M86" s="399"/>
      <c r="N86" s="412"/>
      <c r="O86" s="184" t="str">
        <f>IF(ISNUMBER(L107),$L107*#REF!, "")</f>
        <v/>
      </c>
      <c r="S86" s="179"/>
      <c r="T86" s="179"/>
      <c r="U86" s="179"/>
      <c r="V86" s="179"/>
      <c r="W86" s="179"/>
      <c r="X86" s="179"/>
      <c r="Y86" s="179"/>
      <c r="Z86" s="179"/>
      <c r="AA86" s="179"/>
      <c r="AB86" s="68"/>
      <c r="AC86" s="1"/>
      <c r="AD86" s="8"/>
      <c r="AE86" s="8"/>
    </row>
    <row r="87" spans="1:118" ht="32.1" customHeight="1" thickBot="1">
      <c r="A87" s="143"/>
      <c r="B87" s="144"/>
      <c r="C87" s="144"/>
      <c r="D87" s="144"/>
      <c r="E87" s="651"/>
      <c r="F87" s="652"/>
      <c r="G87" s="652"/>
      <c r="H87" s="652"/>
      <c r="I87" s="652"/>
      <c r="J87" s="652"/>
      <c r="K87" s="653"/>
      <c r="L87" s="144"/>
      <c r="M87" s="400"/>
      <c r="N87" s="413"/>
      <c r="O87" s="185"/>
      <c r="S87" s="179"/>
      <c r="T87" s="179"/>
      <c r="U87" s="179"/>
      <c r="V87" s="179"/>
      <c r="W87" s="179"/>
      <c r="X87" s="179"/>
      <c r="Y87" s="179"/>
      <c r="Z87" s="179"/>
      <c r="AA87" s="179"/>
      <c r="AB87" s="68"/>
      <c r="AC87" s="1"/>
      <c r="AD87" s="8"/>
      <c r="AE87" s="8"/>
    </row>
    <row r="88" spans="1:118" ht="15" customHeight="1">
      <c r="A88" s="67"/>
      <c r="B88" s="67"/>
      <c r="C88" s="67"/>
      <c r="D88" s="641"/>
      <c r="E88" s="641"/>
      <c r="F88" s="641"/>
      <c r="G88" s="641"/>
      <c r="H88" s="641"/>
      <c r="I88" s="641"/>
      <c r="J88" s="641"/>
      <c r="K88" s="641"/>
      <c r="L88" s="641"/>
      <c r="M88" s="641"/>
      <c r="N88" s="641"/>
      <c r="S88" s="179"/>
      <c r="T88" s="179"/>
      <c r="U88" s="179"/>
      <c r="V88" s="179"/>
      <c r="W88" s="179"/>
      <c r="X88" s="179"/>
      <c r="Y88" s="179"/>
      <c r="Z88" s="179"/>
      <c r="AA88" s="179"/>
      <c r="AB88" s="68"/>
    </row>
    <row r="89" spans="1:118" ht="17.399999999999999">
      <c r="A89" s="67"/>
      <c r="B89" s="67"/>
      <c r="C89" s="84" t="str">
        <f>VLOOKUP(1035,Sprachindex!$A:$Z,Info!$O$7,FALSE)</f>
        <v>Zusatzvermerk:</v>
      </c>
      <c r="D89" s="642"/>
      <c r="E89" s="642"/>
      <c r="F89" s="642"/>
      <c r="G89" s="642"/>
      <c r="H89" s="642"/>
      <c r="I89" s="642"/>
      <c r="J89" s="642"/>
      <c r="K89" s="642"/>
      <c r="L89" s="642"/>
      <c r="M89" s="642"/>
      <c r="N89" s="642"/>
      <c r="O89" s="180">
        <f>SUM(O31:O87)</f>
        <v>0</v>
      </c>
      <c r="S89" s="179"/>
      <c r="T89" s="179"/>
      <c r="U89" s="179"/>
      <c r="V89" s="179"/>
      <c r="W89" s="179"/>
      <c r="X89" s="179"/>
      <c r="Y89" s="179"/>
      <c r="Z89" s="179"/>
      <c r="AA89" s="179"/>
      <c r="AB89" s="68"/>
    </row>
    <row r="90" spans="1:118" ht="17.399999999999999">
      <c r="A90" s="67"/>
      <c r="B90" s="67"/>
      <c r="C90" s="67"/>
      <c r="D90" s="643"/>
      <c r="E90" s="643"/>
      <c r="F90" s="643"/>
      <c r="G90" s="643"/>
      <c r="H90" s="643"/>
      <c r="I90" s="643"/>
      <c r="J90" s="643"/>
      <c r="K90" s="643"/>
      <c r="L90" s="643"/>
      <c r="M90" s="643"/>
      <c r="N90" s="643"/>
      <c r="S90" s="179"/>
      <c r="T90" s="179"/>
      <c r="U90" s="179"/>
      <c r="V90" s="179"/>
      <c r="W90" s="179"/>
      <c r="X90" s="179"/>
      <c r="Y90" s="179"/>
      <c r="Z90" s="179"/>
      <c r="AA90" s="179"/>
      <c r="AB90" s="68"/>
    </row>
    <row r="91" spans="1:118" ht="17.399999999999999">
      <c r="A91" s="67"/>
      <c r="B91" s="67"/>
      <c r="C91" s="67"/>
      <c r="D91" s="642"/>
      <c r="E91" s="642"/>
      <c r="F91" s="642"/>
      <c r="G91" s="642"/>
      <c r="H91" s="642"/>
      <c r="I91" s="642"/>
      <c r="J91" s="642"/>
      <c r="K91" s="642"/>
      <c r="L91" s="642"/>
      <c r="M91" s="642"/>
      <c r="N91" s="642"/>
      <c r="S91" s="179"/>
      <c r="T91" s="179"/>
      <c r="U91" s="179"/>
      <c r="V91" s="179"/>
      <c r="W91" s="179"/>
      <c r="X91" s="179"/>
      <c r="Y91" s="179"/>
      <c r="Z91" s="179"/>
      <c r="AA91" s="179"/>
      <c r="AB91" s="68"/>
    </row>
    <row r="92" spans="1:118" ht="17.399999999999999">
      <c r="A92" s="67"/>
      <c r="B92" s="67"/>
      <c r="C92" s="67"/>
      <c r="D92" s="643"/>
      <c r="E92" s="643"/>
      <c r="F92" s="643"/>
      <c r="G92" s="643"/>
      <c r="H92" s="643"/>
      <c r="I92" s="643"/>
      <c r="J92" s="643"/>
      <c r="K92" s="643"/>
      <c r="L92" s="643"/>
      <c r="M92" s="643"/>
      <c r="N92" s="643"/>
      <c r="S92" s="179"/>
      <c r="T92" s="179"/>
      <c r="U92" s="179"/>
      <c r="V92" s="179"/>
      <c r="W92" s="179"/>
      <c r="X92" s="179"/>
      <c r="Y92" s="179"/>
      <c r="Z92" s="179"/>
      <c r="AA92" s="179"/>
      <c r="AB92" s="68"/>
    </row>
    <row r="93" spans="1:118" ht="17.399999999999999">
      <c r="A93" s="67"/>
      <c r="B93" s="67"/>
      <c r="C93" s="67"/>
      <c r="D93" s="642"/>
      <c r="E93" s="642"/>
      <c r="F93" s="642"/>
      <c r="G93" s="642"/>
      <c r="H93" s="642"/>
      <c r="I93" s="642"/>
      <c r="J93" s="642"/>
      <c r="K93" s="642"/>
      <c r="L93" s="642"/>
      <c r="M93" s="642"/>
      <c r="N93" s="642"/>
      <c r="S93" s="179"/>
      <c r="T93" s="179"/>
      <c r="U93" s="179"/>
      <c r="V93" s="179"/>
      <c r="W93" s="179"/>
      <c r="X93" s="179"/>
      <c r="Y93" s="179"/>
      <c r="Z93" s="179"/>
      <c r="AA93" s="179"/>
      <c r="AB93" s="68"/>
    </row>
    <row r="94" spans="1:118" ht="17.399999999999999">
      <c r="A94" s="67"/>
      <c r="B94" s="67"/>
      <c r="C94" s="67"/>
      <c r="D94" s="67"/>
      <c r="E94" s="67"/>
      <c r="F94" s="67"/>
      <c r="G94" s="67"/>
      <c r="H94" s="67"/>
      <c r="I94" s="67"/>
      <c r="J94" s="67"/>
      <c r="K94" s="67"/>
      <c r="L94" s="67"/>
      <c r="M94" s="67"/>
      <c r="N94" s="67"/>
      <c r="S94" s="179"/>
      <c r="T94" s="179"/>
      <c r="U94" s="179"/>
      <c r="V94" s="179"/>
      <c r="W94" s="179"/>
      <c r="X94" s="179"/>
      <c r="Y94" s="179"/>
      <c r="Z94" s="179"/>
      <c r="AA94" s="179"/>
      <c r="AB94" s="68"/>
    </row>
    <row r="95" spans="1:118" ht="17.399999999999999">
      <c r="A95" s="67"/>
      <c r="B95" s="67"/>
      <c r="C95" s="67"/>
      <c r="D95" s="67"/>
      <c r="E95" s="67"/>
      <c r="F95" s="67"/>
      <c r="G95" s="67"/>
      <c r="H95" s="67"/>
      <c r="I95" s="67"/>
      <c r="J95" s="67"/>
      <c r="K95" s="67"/>
      <c r="L95" s="67"/>
      <c r="M95" s="67"/>
      <c r="N95" s="67"/>
      <c r="S95" s="179"/>
      <c r="T95" s="179"/>
      <c r="U95" s="179"/>
      <c r="V95" s="179"/>
      <c r="W95" s="179"/>
      <c r="X95" s="179"/>
      <c r="Y95" s="179"/>
      <c r="Z95" s="179"/>
      <c r="AA95" s="179"/>
      <c r="AB95" s="68"/>
    </row>
    <row r="96" spans="1:118" ht="17.399999999999999">
      <c r="A96" s="85" t="str">
        <f>VLOOKUP(2097,Sprachindex!$A:$Z,Info!$O$7,FALSE)</f>
        <v>Produkttechnik</v>
      </c>
      <c r="B96" s="86"/>
      <c r="C96" s="86"/>
      <c r="D96" s="646"/>
      <c r="E96" s="646"/>
      <c r="F96" s="646"/>
      <c r="G96" s="646"/>
      <c r="H96" s="646"/>
      <c r="I96" s="646"/>
      <c r="J96" s="646"/>
      <c r="K96" s="87" t="str">
        <f>VLOOKUP(856,Sprachindex!$A:$Z,Info!$O$7,FALSE)</f>
        <v>Stand:</v>
      </c>
      <c r="L96" s="644">
        <f>Info!M59</f>
        <v>45728</v>
      </c>
      <c r="M96" s="644"/>
      <c r="N96" s="645"/>
      <c r="S96" s="179"/>
      <c r="T96" s="179"/>
      <c r="U96" s="179"/>
      <c r="V96" s="179"/>
      <c r="W96" s="179"/>
      <c r="X96" s="179"/>
      <c r="Y96" s="179"/>
      <c r="Z96" s="179"/>
      <c r="AA96" s="179"/>
      <c r="AB96" s="68"/>
    </row>
    <row r="97" spans="19:30" ht="17.399999999999999">
      <c r="S97" s="179"/>
      <c r="T97" s="179"/>
      <c r="U97" s="179"/>
      <c r="V97" s="179"/>
      <c r="W97" s="179"/>
      <c r="X97" s="179"/>
      <c r="Y97" s="179"/>
      <c r="Z97" s="179"/>
      <c r="AA97" s="179"/>
      <c r="AC97" s="1"/>
      <c r="AD97" s="1"/>
    </row>
    <row r="98" spans="19:30" ht="17.399999999999999" hidden="1">
      <c r="S98" s="179"/>
      <c r="T98" s="179"/>
      <c r="U98" s="179"/>
      <c r="V98" s="179"/>
      <c r="W98" s="179"/>
      <c r="X98" s="179"/>
      <c r="Y98" s="179"/>
      <c r="Z98" s="179"/>
      <c r="AA98" s="179"/>
      <c r="AC98" s="1"/>
      <c r="AD98" s="1"/>
    </row>
    <row r="99" spans="19:30" ht="17.399999999999999" hidden="1">
      <c r="S99" s="179"/>
      <c r="T99" s="179"/>
      <c r="U99" s="179"/>
      <c r="V99" s="179"/>
      <c r="W99" s="179"/>
      <c r="X99" s="179"/>
      <c r="Y99" s="179"/>
      <c r="Z99" s="179"/>
      <c r="AA99" s="179"/>
      <c r="AC99" s="1"/>
      <c r="AD99" s="1"/>
    </row>
    <row r="100" spans="19:30" ht="17.399999999999999" hidden="1">
      <c r="S100" s="179"/>
      <c r="T100" s="179"/>
      <c r="U100" s="179"/>
      <c r="V100" s="179"/>
      <c r="W100" s="179"/>
      <c r="X100" s="179"/>
      <c r="Y100" s="179"/>
      <c r="Z100" s="179"/>
      <c r="AA100" s="179"/>
      <c r="AC100" s="1"/>
      <c r="AD100" s="1"/>
    </row>
    <row r="101" spans="19:30" ht="17.399999999999999" hidden="1">
      <c r="S101" s="179"/>
      <c r="T101" s="179"/>
      <c r="U101" s="179"/>
      <c r="V101" s="179"/>
      <c r="W101" s="179"/>
      <c r="X101" s="179"/>
      <c r="Y101" s="179"/>
      <c r="Z101" s="179"/>
      <c r="AA101" s="179"/>
      <c r="AC101" s="1"/>
      <c r="AD101" s="1"/>
    </row>
    <row r="102" spans="19:30" ht="17.399999999999999" hidden="1">
      <c r="S102" s="179"/>
      <c r="T102" s="179"/>
      <c r="U102" s="179"/>
      <c r="V102" s="179"/>
      <c r="W102" s="179"/>
      <c r="X102" s="179"/>
      <c r="Y102" s="179"/>
      <c r="Z102" s="179"/>
      <c r="AA102" s="179"/>
      <c r="AC102" s="1"/>
      <c r="AD102" s="1"/>
    </row>
    <row r="103" spans="19:30" ht="17.399999999999999" hidden="1">
      <c r="S103" s="179"/>
      <c r="T103" s="179"/>
      <c r="U103" s="179"/>
      <c r="V103" s="179"/>
      <c r="W103" s="179"/>
      <c r="X103" s="179"/>
      <c r="Y103" s="179"/>
      <c r="Z103" s="179"/>
      <c r="AA103" s="179"/>
      <c r="AC103" s="1"/>
      <c r="AD103" s="1"/>
    </row>
    <row r="104" spans="19:30" ht="17.399999999999999" hidden="1">
      <c r="S104" s="179"/>
      <c r="T104" s="179"/>
      <c r="U104" s="179"/>
      <c r="V104" s="179"/>
      <c r="W104" s="179"/>
      <c r="X104" s="179"/>
      <c r="Y104" s="179"/>
      <c r="Z104" s="179"/>
      <c r="AA104" s="179"/>
      <c r="AC104" s="1"/>
      <c r="AD104" s="1"/>
    </row>
    <row r="105" spans="19:30" ht="17.399999999999999" hidden="1">
      <c r="S105" s="179"/>
      <c r="T105" s="179"/>
      <c r="U105" s="179"/>
      <c r="V105" s="179"/>
      <c r="W105" s="179"/>
      <c r="X105" s="179"/>
      <c r="Y105" s="179"/>
      <c r="Z105" s="179"/>
      <c r="AA105" s="179"/>
      <c r="AC105" s="1"/>
      <c r="AD105" s="1"/>
    </row>
    <row r="106" spans="19:30" ht="17.399999999999999" hidden="1">
      <c r="S106" s="179"/>
      <c r="T106" s="179"/>
      <c r="U106" s="179"/>
      <c r="V106" s="179"/>
      <c r="W106" s="179"/>
      <c r="X106" s="179"/>
      <c r="Y106" s="179"/>
      <c r="Z106" s="179"/>
      <c r="AA106" s="179"/>
      <c r="AC106" s="1"/>
      <c r="AD106" s="1"/>
    </row>
    <row r="107" spans="19:30" ht="17.399999999999999" hidden="1">
      <c r="S107" s="179"/>
      <c r="T107" s="179"/>
      <c r="U107" s="179"/>
      <c r="V107" s="179"/>
      <c r="W107" s="179"/>
      <c r="X107" s="179"/>
      <c r="Y107" s="179"/>
      <c r="Z107" s="179"/>
      <c r="AA107" s="179"/>
      <c r="AC107" s="1"/>
      <c r="AD107" s="1"/>
    </row>
    <row r="108" spans="19:30" ht="17.399999999999999" hidden="1">
      <c r="S108" s="179"/>
      <c r="T108" s="179"/>
      <c r="U108" s="179"/>
      <c r="V108" s="179"/>
      <c r="W108" s="179"/>
      <c r="X108" s="179"/>
      <c r="Y108" s="179"/>
      <c r="Z108" s="179"/>
      <c r="AA108" s="179"/>
      <c r="AC108" s="1"/>
      <c r="AD108" s="1"/>
    </row>
    <row r="109" spans="19:30" ht="17.399999999999999" hidden="1">
      <c r="S109" s="179"/>
      <c r="T109" s="179"/>
      <c r="U109" s="179"/>
      <c r="V109" s="179"/>
      <c r="W109" s="179"/>
      <c r="X109" s="179"/>
      <c r="Y109" s="179"/>
      <c r="Z109" s="179"/>
      <c r="AA109" s="179"/>
      <c r="AC109" s="1"/>
      <c r="AD109" s="1"/>
    </row>
    <row r="110" spans="19:30" ht="17.399999999999999" hidden="1">
      <c r="S110" s="179"/>
      <c r="T110" s="179"/>
      <c r="U110" s="179"/>
      <c r="V110" s="179"/>
      <c r="W110" s="179"/>
      <c r="X110" s="179"/>
      <c r="Y110" s="179"/>
      <c r="Z110" s="179"/>
      <c r="AA110" s="179"/>
      <c r="AC110" s="1"/>
      <c r="AD110" s="1"/>
    </row>
    <row r="111" spans="19:30" ht="17.399999999999999" hidden="1">
      <c r="S111" s="179"/>
      <c r="T111" s="179"/>
      <c r="U111" s="179"/>
      <c r="V111" s="179"/>
      <c r="W111" s="179"/>
      <c r="X111" s="179"/>
      <c r="Y111" s="179"/>
      <c r="Z111" s="179"/>
      <c r="AA111" s="179"/>
      <c r="AC111" s="1"/>
      <c r="AD111" s="1"/>
    </row>
    <row r="112" spans="19:30" ht="17.399999999999999" hidden="1">
      <c r="S112" s="179"/>
      <c r="T112" s="179"/>
      <c r="U112" s="179"/>
      <c r="V112" s="179"/>
      <c r="W112" s="179"/>
      <c r="X112" s="179"/>
      <c r="Y112" s="179"/>
      <c r="Z112" s="179"/>
      <c r="AA112" s="179"/>
      <c r="AC112" s="1"/>
      <c r="AD112" s="1"/>
    </row>
    <row r="113" spans="19:30" ht="17.399999999999999" hidden="1">
      <c r="S113" s="179"/>
      <c r="T113" s="179"/>
      <c r="U113" s="179"/>
      <c r="V113" s="179"/>
      <c r="W113" s="179"/>
      <c r="X113" s="179"/>
      <c r="Y113" s="179"/>
      <c r="Z113" s="179"/>
      <c r="AA113" s="179"/>
      <c r="AC113" s="1"/>
      <c r="AD113" s="1"/>
    </row>
    <row r="114" spans="19:30" ht="13.8" hidden="1">
      <c r="AC114" s="1"/>
      <c r="AD114" s="1"/>
    </row>
    <row r="115" spans="19:30" ht="13.8" hidden="1">
      <c r="AC115" s="1"/>
      <c r="AD115" s="1"/>
    </row>
    <row r="116" spans="19:30" ht="13.8" hidden="1">
      <c r="AC116" s="1"/>
      <c r="AD116" s="1"/>
    </row>
    <row r="117" spans="19:30" ht="13.8" hidden="1">
      <c r="AC117" s="1"/>
      <c r="AD117" s="1"/>
    </row>
    <row r="118" spans="19:30" ht="13.8" hidden="1">
      <c r="AC118" s="1"/>
      <c r="AD118" s="1"/>
    </row>
    <row r="119" spans="19:30" ht="13.8" hidden="1">
      <c r="AC119" s="1"/>
      <c r="AD119" s="1"/>
    </row>
    <row r="120" spans="19:30" ht="13.8" hidden="1">
      <c r="AC120" s="1"/>
      <c r="AD120" s="1"/>
    </row>
    <row r="121" spans="19:30" ht="13.8" hidden="1">
      <c r="AC121" s="1"/>
      <c r="AD121" s="1"/>
    </row>
    <row r="122" spans="19:30" ht="13.8" hidden="1">
      <c r="AC122" s="1"/>
      <c r="AD122" s="1"/>
    </row>
    <row r="123" spans="19:30" ht="13.8" hidden="1">
      <c r="AC123" s="1"/>
      <c r="AD123" s="1"/>
    </row>
    <row r="124" spans="19:30" ht="13.8" hidden="1">
      <c r="AC124" s="1"/>
      <c r="AD124" s="1"/>
    </row>
    <row r="125" spans="19:30" ht="13.8" hidden="1">
      <c r="AC125" s="1"/>
      <c r="AD125" s="1"/>
    </row>
    <row r="126" spans="19:30" ht="13.8" hidden="1">
      <c r="AC126" s="1"/>
      <c r="AD126" s="1"/>
    </row>
    <row r="127" spans="19:30" ht="13.8" hidden="1">
      <c r="AC127" s="1"/>
      <c r="AD127" s="1"/>
    </row>
    <row r="128" spans="19:30" ht="13.8" hidden="1">
      <c r="AC128" s="1"/>
      <c r="AD128" s="1"/>
    </row>
    <row r="129" spans="29:30" ht="13.8" hidden="1">
      <c r="AC129" s="1"/>
      <c r="AD129" s="1"/>
    </row>
    <row r="130" spans="29:30" ht="13.8" hidden="1">
      <c r="AC130" s="1"/>
      <c r="AD130" s="1"/>
    </row>
    <row r="131" spans="29:30" ht="13.8" hidden="1">
      <c r="AC131" s="1"/>
      <c r="AD131" s="1"/>
    </row>
    <row r="132" spans="29:30" ht="14.25" hidden="1" customHeight="1">
      <c r="AC132" s="1"/>
      <c r="AD132" s="1"/>
    </row>
    <row r="133" spans="29:30" ht="14.25" hidden="1" customHeight="1">
      <c r="AC133" s="1"/>
      <c r="AD133" s="1"/>
    </row>
    <row r="2951" spans="2:16" ht="0" hidden="1" customHeight="1">
      <c r="B2951" s="1" t="str">
        <f>VLOOKUP(2950,Sprachindex!$A:$Z,Info!$O$7,FALSE)</f>
        <v>Modulabrutschsicherung PREFALZ</v>
      </c>
      <c r="P2951" s="5" t="str">
        <f>VLOOKUP(2950,Sprachindex!$A:$Z,Info!$O$7,FALSE)</f>
        <v>Modulabrutschsicherung PREFALZ</v>
      </c>
    </row>
  </sheetData>
  <sheetProtection algorithmName="SHA-512" hashValue="WXxhiQZMoc959P1sV7wB+k1w51+Dp9Tj19ltmZ3MsTMziHXOirke6ldJQ5H21W2bpnKFj63vSTrwiGF4/MwS7Q==" saltValue="Dt/flWNsXg20mkdDgf57OQ==" spinCount="100000" sheet="1" objects="1" scenarios="1" selectLockedCells="1" autoFilter="0"/>
  <protectedRanges>
    <protectedRange password="DEBF" sqref="AD85:AE87" name="darf vom Benutzer nicht verändert werden_1_5"/>
    <protectedRange password="DEBF" sqref="AF31:AF33" name="darf vom Benutzer nicht verändert werden_1_12"/>
    <protectedRange password="DEBF" sqref="AD34:AE36 AD41:AE44" name="darf vom Benutzer nicht verändert werden_1_2_1"/>
    <protectedRange password="DEBF" sqref="AD37:AE38" name="darf vom Benutzer nicht verändert werden_1_2_4"/>
    <protectedRange password="DEBF" sqref="AE39" name="darf vom Benutzer nicht verändert werden_1_1_1"/>
    <protectedRange password="DEBF" sqref="AD39" name="darf vom Benutzer nicht verändert werden_1_4_1"/>
    <protectedRange password="DEBF" sqref="AD45:AE45" name="darf vom Benutzer nicht verändert werden_1_5_2"/>
    <protectedRange password="DEBF" sqref="AD46" name="darf vom Benutzer nicht verändert werden_1_5_2_7"/>
    <protectedRange password="DEBF" sqref="AE46" name="darf vom Benutzer nicht verändert werden_1_3"/>
    <protectedRange password="DEBF" sqref="AD47:AE47" name="darf vom Benutzer nicht verändert werden_1_5_4"/>
    <protectedRange password="DEBF" sqref="AE48" name="darf vom Benutzer nicht verändert werden_1_2_6"/>
    <protectedRange password="DEBF" sqref="AD48" name="darf vom Benutzer nicht verändert werden_1_5_5"/>
    <protectedRange password="DEBF" sqref="AD49:AE50" name="darf vom Benutzer nicht verändert werden_1_5_6"/>
    <protectedRange password="DEBF" sqref="AD52:AE54 AD63:AE67" name="darf vom Benutzer nicht verändert werden_1_5_7"/>
    <protectedRange password="DEBF" sqref="AD55:AE55" name="darf vom Benutzer nicht verändert werden_1_5_8"/>
    <protectedRange password="DEBF" sqref="AD56:AE58 AD60:AE62" name="darf vom Benutzer nicht verändert werden_1_5_9"/>
    <protectedRange password="DEBF" sqref="AD59:AE59" name="darf vom Benutzer nicht verändert werden_1_5_10"/>
    <protectedRange password="DEBF" sqref="AD68:AE72" name="darf vom Benutzer nicht verändert werden_1_5_11"/>
    <protectedRange password="DEBF" sqref="AD73:AE73" name="darf vom Benutzer nicht verändert werden_1_5_12"/>
    <protectedRange password="DEBF" sqref="AD74:AE74" name="darf vom Benutzer nicht verändert werden_1_5_13"/>
    <protectedRange password="DEBF" sqref="AD75:AE75" name="darf vom Benutzer nicht verändert werden_1_5_14"/>
    <protectedRange password="DEBF" sqref="AD76:AE78" name="darf vom Benutzer nicht verändert werden_1_5_15"/>
    <protectedRange password="DEBF" sqref="AE31:AE33" name="darf vom Benutzer nicht verändert werden_1_5_3_1"/>
    <protectedRange password="DEBF" sqref="AD79:AE79" name="darf vom Benutzer nicht verändert werden_1_5_1"/>
    <protectedRange password="DEBF" sqref="AD51:AE51" name="darf vom Benutzer nicht verändert werden_1_5_3"/>
    <protectedRange password="DEBF" sqref="AE40" name="darf vom Benutzer nicht verändert werden_1_2"/>
    <protectedRange password="DEBF" sqref="AD40" name="darf vom Benutzer nicht verändert werden_1_5_2_5"/>
    <protectedRange password="DEBF" sqref="AD80:AE83" name="darf vom Benutzer nicht verändert werden_1_5_16"/>
    <protectedRange password="DEBF" sqref="AC84:AD84" name="darf vom Benutzer nicht verändert werden_1_5_7_1"/>
    <protectedRange password="DEBF" sqref="AF84" name="darf vom Benutzer nicht verändert werden_1_12_1"/>
  </protectedRanges>
  <autoFilter ref="A29:A87" xr:uid="{00000000-0009-0000-0000-000008000000}"/>
  <mergeCells count="92">
    <mergeCell ref="I44:K44"/>
    <mergeCell ref="E44:H44"/>
    <mergeCell ref="E49:K49"/>
    <mergeCell ref="E50:K50"/>
    <mergeCell ref="E52:K52"/>
    <mergeCell ref="E45:K45"/>
    <mergeCell ref="E81:K81"/>
    <mergeCell ref="I82:K82"/>
    <mergeCell ref="E82:H82"/>
    <mergeCell ref="E83:H83"/>
    <mergeCell ref="I83:K83"/>
    <mergeCell ref="E58:K58"/>
    <mergeCell ref="E57:K57"/>
    <mergeCell ref="E56:K56"/>
    <mergeCell ref="E74:K74"/>
    <mergeCell ref="E75:K75"/>
    <mergeCell ref="E64:K64"/>
    <mergeCell ref="E62:K62"/>
    <mergeCell ref="E61:K61"/>
    <mergeCell ref="E60:K60"/>
    <mergeCell ref="E80:H80"/>
    <mergeCell ref="I80:K80"/>
    <mergeCell ref="E43:K43"/>
    <mergeCell ref="E51:K51"/>
    <mergeCell ref="E47:K47"/>
    <mergeCell ref="E46:K46"/>
    <mergeCell ref="E71:K71"/>
    <mergeCell ref="E48:G48"/>
    <mergeCell ref="H48:K48"/>
    <mergeCell ref="E55:K55"/>
    <mergeCell ref="E53:K53"/>
    <mergeCell ref="E54:I54"/>
    <mergeCell ref="J54:K54"/>
    <mergeCell ref="E66:K66"/>
    <mergeCell ref="E67:K67"/>
    <mergeCell ref="E59:K59"/>
    <mergeCell ref="B25:B28"/>
    <mergeCell ref="C28:E28"/>
    <mergeCell ref="C27:E27"/>
    <mergeCell ref="J31:K31"/>
    <mergeCell ref="E31:I31"/>
    <mergeCell ref="B29:E29"/>
    <mergeCell ref="E30:K30"/>
    <mergeCell ref="E42:K42"/>
    <mergeCell ref="E34:K34"/>
    <mergeCell ref="E35:K35"/>
    <mergeCell ref="E36:K36"/>
    <mergeCell ref="E37:K37"/>
    <mergeCell ref="E38:K38"/>
    <mergeCell ref="E39:G39"/>
    <mergeCell ref="H39:K39"/>
    <mergeCell ref="E40:G40"/>
    <mergeCell ref="H40:K40"/>
    <mergeCell ref="E41:K41"/>
    <mergeCell ref="C11:E11"/>
    <mergeCell ref="C9:E9"/>
    <mergeCell ref="C10:E10"/>
    <mergeCell ref="E33:I33"/>
    <mergeCell ref="J32:K32"/>
    <mergeCell ref="J33:K33"/>
    <mergeCell ref="E32:I32"/>
    <mergeCell ref="C20:E20"/>
    <mergeCell ref="C21:E21"/>
    <mergeCell ref="C25:E25"/>
    <mergeCell ref="C26:E26"/>
    <mergeCell ref="C13:E13"/>
    <mergeCell ref="C14:E14"/>
    <mergeCell ref="C15:E15"/>
    <mergeCell ref="C18:E18"/>
    <mergeCell ref="C19:E19"/>
    <mergeCell ref="E87:K87"/>
    <mergeCell ref="D96:J96"/>
    <mergeCell ref="L96:N96"/>
    <mergeCell ref="D88:N89"/>
    <mergeCell ref="D90:N91"/>
    <mergeCell ref="D92:N93"/>
    <mergeCell ref="AD29:AE29"/>
    <mergeCell ref="E86:K86"/>
    <mergeCell ref="E72:K72"/>
    <mergeCell ref="E73:K73"/>
    <mergeCell ref="E76:K76"/>
    <mergeCell ref="E77:K77"/>
    <mergeCell ref="E78:K78"/>
    <mergeCell ref="E79:K79"/>
    <mergeCell ref="E84:H84"/>
    <mergeCell ref="I84:K84"/>
    <mergeCell ref="E63:K63"/>
    <mergeCell ref="E65:K65"/>
    <mergeCell ref="E85:K85"/>
    <mergeCell ref="E68:K68"/>
    <mergeCell ref="E69:K69"/>
    <mergeCell ref="E70:K70"/>
  </mergeCells>
  <conditionalFormatting sqref="A31:A84">
    <cfRule type="cellIs" dxfId="517" priority="9" operator="equal">
      <formula>""</formula>
    </cfRule>
  </conditionalFormatting>
  <conditionalFormatting sqref="A85:E87">
    <cfRule type="cellIs" dxfId="516" priority="17" operator="equal">
      <formula>""</formula>
    </cfRule>
  </conditionalFormatting>
  <conditionalFormatting sqref="C9:E11">
    <cfRule type="cellIs" dxfId="515" priority="218" operator="equal">
      <formula>""</formula>
    </cfRule>
  </conditionalFormatting>
  <conditionalFormatting sqref="C13:E15">
    <cfRule type="cellIs" dxfId="514" priority="215" operator="equal">
      <formula>""</formula>
    </cfRule>
  </conditionalFormatting>
  <conditionalFormatting sqref="C18:E21">
    <cfRule type="cellIs" dxfId="513" priority="211" operator="equal">
      <formula>""</formula>
    </cfRule>
  </conditionalFormatting>
  <conditionalFormatting sqref="C25:E28">
    <cfRule type="cellIs" dxfId="512" priority="40" operator="equal">
      <formula>""</formula>
    </cfRule>
  </conditionalFormatting>
  <conditionalFormatting sqref="D51">
    <cfRule type="duplicateValues" dxfId="511" priority="26"/>
  </conditionalFormatting>
  <conditionalFormatting sqref="D66">
    <cfRule type="duplicateValues" dxfId="510" priority="105"/>
  </conditionalFormatting>
  <conditionalFormatting sqref="D67">
    <cfRule type="duplicateValues" dxfId="509" priority="104"/>
  </conditionalFormatting>
  <conditionalFormatting sqref="H40:K40">
    <cfRule type="cellIs" dxfId="507" priority="18" operator="equal">
      <formula>""</formula>
    </cfRule>
  </conditionalFormatting>
  <conditionalFormatting sqref="I13">
    <cfRule type="expression" dxfId="505" priority="50">
      <formula>$O$13=2</formula>
    </cfRule>
    <cfRule type="expression" dxfId="504" priority="53">
      <formula>$O$13=1</formula>
    </cfRule>
  </conditionalFormatting>
  <conditionalFormatting sqref="I25:I27">
    <cfRule type="cellIs" dxfId="503" priority="15" operator="equal">
      <formula>""</formula>
    </cfRule>
  </conditionalFormatting>
  <conditionalFormatting sqref="L13">
    <cfRule type="expression" dxfId="496" priority="52">
      <formula>$O$13=2</formula>
    </cfRule>
    <cfRule type="expression" dxfId="495" priority="51">
      <formula>$O$13=1</formula>
    </cfRule>
  </conditionalFormatting>
  <conditionalFormatting sqref="L85:M87">
    <cfRule type="cellIs" dxfId="494" priority="144" operator="equal">
      <formula>""</formula>
    </cfRule>
  </conditionalFormatting>
  <conditionalFormatting sqref="X43:Y43">
    <cfRule type="duplicateValues" dxfId="491" priority="4"/>
  </conditionalFormatting>
  <conditionalFormatting sqref="X44:Y44">
    <cfRule type="duplicateValues" dxfId="490" priority="3"/>
  </conditionalFormatting>
  <conditionalFormatting sqref="AH45">
    <cfRule type="duplicateValues" dxfId="489" priority="83"/>
  </conditionalFormatting>
  <conditionalFormatting sqref="AH49 AJ49:AP49">
    <cfRule type="duplicateValues" dxfId="488" priority="73"/>
  </conditionalFormatting>
  <conditionalFormatting sqref="AH80:AI82">
    <cfRule type="duplicateValues" dxfId="487" priority="10"/>
  </conditionalFormatting>
  <conditionalFormatting sqref="AH84:AL84">
    <cfRule type="duplicateValues" dxfId="486" priority="7"/>
  </conditionalFormatting>
  <conditionalFormatting sqref="AH50:AP50">
    <cfRule type="duplicateValues" dxfId="485" priority="71"/>
  </conditionalFormatting>
  <conditionalFormatting sqref="AH64:AP64">
    <cfRule type="duplicateValues" dxfId="484" priority="67"/>
  </conditionalFormatting>
  <conditionalFormatting sqref="AH65:AP65">
    <cfRule type="duplicateValues" dxfId="483" priority="65"/>
  </conditionalFormatting>
  <conditionalFormatting sqref="AH63:AQ63">
    <cfRule type="duplicateValues" dxfId="482" priority="68"/>
  </conditionalFormatting>
  <conditionalFormatting sqref="AH68:BA77">
    <cfRule type="duplicateValues" dxfId="481" priority="2"/>
  </conditionalFormatting>
  <conditionalFormatting sqref="AI45">
    <cfRule type="duplicateValues" dxfId="480" priority="82"/>
  </conditionalFormatting>
  <conditionalFormatting sqref="AJ45">
    <cfRule type="duplicateValues" dxfId="479" priority="81"/>
  </conditionalFormatting>
  <conditionalFormatting sqref="AK45">
    <cfRule type="duplicateValues" dxfId="478" priority="80"/>
  </conditionalFormatting>
  <conditionalFormatting sqref="AL45">
    <cfRule type="duplicateValues" dxfId="477" priority="79"/>
  </conditionalFormatting>
  <conditionalFormatting sqref="AM45">
    <cfRule type="duplicateValues" dxfId="476" priority="78"/>
  </conditionalFormatting>
  <conditionalFormatting sqref="AN45">
    <cfRule type="duplicateValues" dxfId="475" priority="77"/>
  </conditionalFormatting>
  <conditionalFormatting sqref="AO45">
    <cfRule type="duplicateValues" dxfId="474" priority="76"/>
  </conditionalFormatting>
  <conditionalFormatting sqref="AP45">
    <cfRule type="duplicateValues" dxfId="473" priority="75"/>
  </conditionalFormatting>
  <conditionalFormatting sqref="AQ45">
    <cfRule type="duplicateValues" dxfId="472" priority="74"/>
  </conditionalFormatting>
  <conditionalFormatting sqref="AQ49">
    <cfRule type="duplicateValues" dxfId="471" priority="72"/>
  </conditionalFormatting>
  <conditionalFormatting sqref="AQ50">
    <cfRule type="duplicateValues" dxfId="470" priority="70"/>
  </conditionalFormatting>
  <conditionalFormatting sqref="AQ64">
    <cfRule type="duplicateValues" dxfId="469" priority="66"/>
  </conditionalFormatting>
  <conditionalFormatting sqref="AQ65">
    <cfRule type="duplicateValues" dxfId="468" priority="64"/>
  </conditionalFormatting>
  <pageMargins left="0.39370078740157483" right="0.19685039370078741" top="0.31496062992125984" bottom="0.31496062992125984" header="0.31496062992125984" footer="0.31496062992125984"/>
  <pageSetup paperSize="9" scale="56" fitToHeight="0" orientation="portrait" r:id="rId1"/>
  <headerFooter differentFirst="1">
    <firstHeader>&amp;L&amp;G</firstHeader>
  </headerFooter>
  <rowBreaks count="1" manualBreakCount="1">
    <brk id="52"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7345" r:id="rId5"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57358" r:id="rId6" name="Option Button 1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7359" r:id="rId7"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7361" r:id="rId8" name="Option Button 17">
              <controlPr defaultSize="0" autoFill="0" autoLine="0" autoPict="0" altText="">
                <anchor moveWithCells="1">
                  <from>
                    <xdr:col>5</xdr:col>
                    <xdr:colOff>563880</xdr:colOff>
                    <xdr:row>15</xdr:row>
                    <xdr:rowOff>7620</xdr:rowOff>
                  </from>
                  <to>
                    <xdr:col>7</xdr:col>
                    <xdr:colOff>594360</xdr:colOff>
                    <xdr:row>16</xdr:row>
                    <xdr:rowOff>0</xdr:rowOff>
                  </to>
                </anchor>
              </controlPr>
            </control>
          </mc:Choice>
        </mc:AlternateContent>
        <mc:AlternateContent xmlns:mc="http://schemas.openxmlformats.org/markup-compatibility/2006">
          <mc:Choice Requires="x14">
            <control shapeId="57362" r:id="rId9" name="Option Button 18">
              <controlPr defaultSize="0" autoFill="0" autoLine="0" autoPict="0" altText="">
                <anchor moveWithCells="1">
                  <from>
                    <xdr:col>5</xdr:col>
                    <xdr:colOff>571500</xdr:colOff>
                    <xdr:row>16</xdr:row>
                    <xdr:rowOff>7620</xdr:rowOff>
                  </from>
                  <to>
                    <xdr:col>7</xdr:col>
                    <xdr:colOff>594360</xdr:colOff>
                    <xdr:row>17</xdr:row>
                    <xdr:rowOff>0</xdr:rowOff>
                  </to>
                </anchor>
              </controlPr>
            </control>
          </mc:Choice>
        </mc:AlternateContent>
        <mc:AlternateContent xmlns:mc="http://schemas.openxmlformats.org/markup-compatibility/2006">
          <mc:Choice Requires="x14">
            <control shapeId="57363" r:id="rId10" name="Option Button 19">
              <controlPr defaultSize="0" autoFill="0" autoLine="0" autoPict="0" altText="">
                <anchor moveWithCells="1">
                  <from>
                    <xdr:col>5</xdr:col>
                    <xdr:colOff>571500</xdr:colOff>
                    <xdr:row>17</xdr:row>
                    <xdr:rowOff>7620</xdr:rowOff>
                  </from>
                  <to>
                    <xdr:col>7</xdr:col>
                    <xdr:colOff>594360</xdr:colOff>
                    <xdr:row>18</xdr:row>
                    <xdr:rowOff>0</xdr:rowOff>
                  </to>
                </anchor>
              </controlPr>
            </control>
          </mc:Choice>
        </mc:AlternateContent>
        <mc:AlternateContent xmlns:mc="http://schemas.openxmlformats.org/markup-compatibility/2006">
          <mc:Choice Requires="x14">
            <control shapeId="57364" r:id="rId11" name="Option Button 20">
              <controlPr defaultSize="0" autoFill="0" autoLine="0" autoPict="0" altText="">
                <anchor moveWithCells="1">
                  <from>
                    <xdr:col>5</xdr:col>
                    <xdr:colOff>571500</xdr:colOff>
                    <xdr:row>18</xdr:row>
                    <xdr:rowOff>7620</xdr:rowOff>
                  </from>
                  <to>
                    <xdr:col>7</xdr:col>
                    <xdr:colOff>594360</xdr:colOff>
                    <xdr:row>19</xdr:row>
                    <xdr:rowOff>0</xdr:rowOff>
                  </to>
                </anchor>
              </controlPr>
            </control>
          </mc:Choice>
        </mc:AlternateContent>
        <mc:AlternateContent xmlns:mc="http://schemas.openxmlformats.org/markup-compatibility/2006">
          <mc:Choice Requires="x14">
            <control shapeId="57365" r:id="rId12" name="Option Button 21">
              <controlPr defaultSize="0" autoFill="0" autoLine="0" autoPict="0" altText="">
                <anchor moveWithCells="1">
                  <from>
                    <xdr:col>5</xdr:col>
                    <xdr:colOff>571500</xdr:colOff>
                    <xdr:row>19</xdr:row>
                    <xdr:rowOff>7620</xdr:rowOff>
                  </from>
                  <to>
                    <xdr:col>7</xdr:col>
                    <xdr:colOff>594360</xdr:colOff>
                    <xdr:row>20</xdr:row>
                    <xdr:rowOff>0</xdr:rowOff>
                  </to>
                </anchor>
              </controlPr>
            </control>
          </mc:Choice>
        </mc:AlternateContent>
        <mc:AlternateContent xmlns:mc="http://schemas.openxmlformats.org/markup-compatibility/2006">
          <mc:Choice Requires="x14">
            <control shapeId="57366" r:id="rId13" name="Option Button 22">
              <controlPr defaultSize="0" autoFill="0" autoLine="0" autoPict="0" altText="">
                <anchor moveWithCells="1">
                  <from>
                    <xdr:col>5</xdr:col>
                    <xdr:colOff>571500</xdr:colOff>
                    <xdr:row>20</xdr:row>
                    <xdr:rowOff>7620</xdr:rowOff>
                  </from>
                  <to>
                    <xdr:col>7</xdr:col>
                    <xdr:colOff>594360</xdr:colOff>
                    <xdr:row>21</xdr:row>
                    <xdr:rowOff>0</xdr:rowOff>
                  </to>
                </anchor>
              </controlPr>
            </control>
          </mc:Choice>
        </mc:AlternateContent>
        <mc:AlternateContent xmlns:mc="http://schemas.openxmlformats.org/markup-compatibility/2006">
          <mc:Choice Requires="x14">
            <control shapeId="57367" r:id="rId14" name="Option Button 23">
              <controlPr defaultSize="0" autoFill="0" autoLine="0" autoPict="0" altText="">
                <anchor moveWithCells="1">
                  <from>
                    <xdr:col>5</xdr:col>
                    <xdr:colOff>563880</xdr:colOff>
                    <xdr:row>21</xdr:row>
                    <xdr:rowOff>7620</xdr:rowOff>
                  </from>
                  <to>
                    <xdr:col>7</xdr:col>
                    <xdr:colOff>594360</xdr:colOff>
                    <xdr:row>22</xdr:row>
                    <xdr:rowOff>0</xdr:rowOff>
                  </to>
                </anchor>
              </controlPr>
            </control>
          </mc:Choice>
        </mc:AlternateContent>
        <mc:AlternateContent xmlns:mc="http://schemas.openxmlformats.org/markup-compatibility/2006">
          <mc:Choice Requires="x14">
            <control shapeId="57368" r:id="rId15" name="Option Button 24">
              <controlPr defaultSize="0" autoFill="0" autoLine="0" autoPict="0" altText="">
                <anchor moveWithCells="1">
                  <from>
                    <xdr:col>7</xdr:col>
                    <xdr:colOff>685800</xdr:colOff>
                    <xdr:row>15</xdr:row>
                    <xdr:rowOff>30480</xdr:rowOff>
                  </from>
                  <to>
                    <xdr:col>9</xdr:col>
                    <xdr:colOff>457200</xdr:colOff>
                    <xdr:row>16</xdr:row>
                    <xdr:rowOff>0</xdr:rowOff>
                  </to>
                </anchor>
              </controlPr>
            </control>
          </mc:Choice>
        </mc:AlternateContent>
        <mc:AlternateContent xmlns:mc="http://schemas.openxmlformats.org/markup-compatibility/2006">
          <mc:Choice Requires="x14">
            <control shapeId="57369" r:id="rId16" name="Option Button 25">
              <controlPr defaultSize="0" autoFill="0" autoLine="0" autoPict="0" altText="">
                <anchor moveWithCells="1">
                  <from>
                    <xdr:col>7</xdr:col>
                    <xdr:colOff>685800</xdr:colOff>
                    <xdr:row>16</xdr:row>
                    <xdr:rowOff>30480</xdr:rowOff>
                  </from>
                  <to>
                    <xdr:col>9</xdr:col>
                    <xdr:colOff>457200</xdr:colOff>
                    <xdr:row>17</xdr:row>
                    <xdr:rowOff>0</xdr:rowOff>
                  </to>
                </anchor>
              </controlPr>
            </control>
          </mc:Choice>
        </mc:AlternateContent>
        <mc:AlternateContent xmlns:mc="http://schemas.openxmlformats.org/markup-compatibility/2006">
          <mc:Choice Requires="x14">
            <control shapeId="57370" r:id="rId17" name="Option Button 26">
              <controlPr defaultSize="0" autoFill="0" autoLine="0" autoPict="0" altText="">
                <anchor moveWithCells="1">
                  <from>
                    <xdr:col>7</xdr:col>
                    <xdr:colOff>685800</xdr:colOff>
                    <xdr:row>17</xdr:row>
                    <xdr:rowOff>30480</xdr:rowOff>
                  </from>
                  <to>
                    <xdr:col>9</xdr:col>
                    <xdr:colOff>457200</xdr:colOff>
                    <xdr:row>18</xdr:row>
                    <xdr:rowOff>0</xdr:rowOff>
                  </to>
                </anchor>
              </controlPr>
            </control>
          </mc:Choice>
        </mc:AlternateContent>
        <mc:AlternateContent xmlns:mc="http://schemas.openxmlformats.org/markup-compatibility/2006">
          <mc:Choice Requires="x14">
            <control shapeId="57371" r:id="rId18" name="Option Button 27">
              <controlPr defaultSize="0" autoFill="0" autoLine="0" autoPict="0" altText="">
                <anchor moveWithCells="1">
                  <from>
                    <xdr:col>7</xdr:col>
                    <xdr:colOff>685800</xdr:colOff>
                    <xdr:row>18</xdr:row>
                    <xdr:rowOff>30480</xdr:rowOff>
                  </from>
                  <to>
                    <xdr:col>9</xdr:col>
                    <xdr:colOff>457200</xdr:colOff>
                    <xdr:row>19</xdr:row>
                    <xdr:rowOff>0</xdr:rowOff>
                  </to>
                </anchor>
              </controlPr>
            </control>
          </mc:Choice>
        </mc:AlternateContent>
        <mc:AlternateContent xmlns:mc="http://schemas.openxmlformats.org/markup-compatibility/2006">
          <mc:Choice Requires="x14">
            <control shapeId="57372" r:id="rId19" name="Option Button 28">
              <controlPr defaultSize="0" autoFill="0" autoLine="0" autoPict="0" altText="">
                <anchor moveWithCells="1">
                  <from>
                    <xdr:col>7</xdr:col>
                    <xdr:colOff>685800</xdr:colOff>
                    <xdr:row>19</xdr:row>
                    <xdr:rowOff>30480</xdr:rowOff>
                  </from>
                  <to>
                    <xdr:col>9</xdr:col>
                    <xdr:colOff>457200</xdr:colOff>
                    <xdr:row>20</xdr:row>
                    <xdr:rowOff>0</xdr:rowOff>
                  </to>
                </anchor>
              </controlPr>
            </control>
          </mc:Choice>
        </mc:AlternateContent>
        <mc:AlternateContent xmlns:mc="http://schemas.openxmlformats.org/markup-compatibility/2006">
          <mc:Choice Requires="x14">
            <control shapeId="57373" r:id="rId20" name="Option Button 29">
              <controlPr defaultSize="0" autoFill="0" autoLine="0" autoPict="0" altText="">
                <anchor moveWithCells="1">
                  <from>
                    <xdr:col>7</xdr:col>
                    <xdr:colOff>685800</xdr:colOff>
                    <xdr:row>20</xdr:row>
                    <xdr:rowOff>30480</xdr:rowOff>
                  </from>
                  <to>
                    <xdr:col>9</xdr:col>
                    <xdr:colOff>457200</xdr:colOff>
                    <xdr:row>21</xdr:row>
                    <xdr:rowOff>0</xdr:rowOff>
                  </to>
                </anchor>
              </controlPr>
            </control>
          </mc:Choice>
        </mc:AlternateContent>
        <mc:AlternateContent xmlns:mc="http://schemas.openxmlformats.org/markup-compatibility/2006">
          <mc:Choice Requires="x14">
            <control shapeId="57374" r:id="rId21" name="Option Button 30">
              <controlPr defaultSize="0" autoFill="0" autoLine="0" autoPict="0" altText="">
                <anchor moveWithCells="1">
                  <from>
                    <xdr:col>7</xdr:col>
                    <xdr:colOff>685800</xdr:colOff>
                    <xdr:row>21</xdr:row>
                    <xdr:rowOff>30480</xdr:rowOff>
                  </from>
                  <to>
                    <xdr:col>9</xdr:col>
                    <xdr:colOff>457200</xdr:colOff>
                    <xdr:row>22</xdr:row>
                    <xdr:rowOff>0</xdr:rowOff>
                  </to>
                </anchor>
              </controlPr>
            </control>
          </mc:Choice>
        </mc:AlternateContent>
        <mc:AlternateContent xmlns:mc="http://schemas.openxmlformats.org/markup-compatibility/2006">
          <mc:Choice Requires="x14">
            <control shapeId="57375" r:id="rId22" name="Option Button 31">
              <controlPr defaultSize="0" autoFill="0" autoLine="0" autoPict="0" altText="">
                <anchor moveWithCells="1">
                  <from>
                    <xdr:col>9</xdr:col>
                    <xdr:colOff>495300</xdr:colOff>
                    <xdr:row>15</xdr:row>
                    <xdr:rowOff>30480</xdr:rowOff>
                  </from>
                  <to>
                    <xdr:col>11</xdr:col>
                    <xdr:colOff>762000</xdr:colOff>
                    <xdr:row>16</xdr:row>
                    <xdr:rowOff>0</xdr:rowOff>
                  </to>
                </anchor>
              </controlPr>
            </control>
          </mc:Choice>
        </mc:AlternateContent>
        <mc:AlternateContent xmlns:mc="http://schemas.openxmlformats.org/markup-compatibility/2006">
          <mc:Choice Requires="x14">
            <control shapeId="57376" r:id="rId23" name="Option Button 32">
              <controlPr defaultSize="0" autoFill="0" autoLine="0" autoPict="0" altText="">
                <anchor moveWithCells="1">
                  <from>
                    <xdr:col>9</xdr:col>
                    <xdr:colOff>495300</xdr:colOff>
                    <xdr:row>15</xdr:row>
                    <xdr:rowOff>190500</xdr:rowOff>
                  </from>
                  <to>
                    <xdr:col>11</xdr:col>
                    <xdr:colOff>762000</xdr:colOff>
                    <xdr:row>17</xdr:row>
                    <xdr:rowOff>0</xdr:rowOff>
                  </to>
                </anchor>
              </controlPr>
            </control>
          </mc:Choice>
        </mc:AlternateContent>
        <mc:AlternateContent xmlns:mc="http://schemas.openxmlformats.org/markup-compatibility/2006">
          <mc:Choice Requires="x14">
            <control shapeId="57378" r:id="rId24" name="Option Button 34">
              <controlPr defaultSize="0" autoFill="0" autoLine="0" autoPict="0" altText="">
                <anchor moveWithCells="1">
                  <from>
                    <xdr:col>9</xdr:col>
                    <xdr:colOff>495300</xdr:colOff>
                    <xdr:row>16</xdr:row>
                    <xdr:rowOff>190500</xdr:rowOff>
                  </from>
                  <to>
                    <xdr:col>11</xdr:col>
                    <xdr:colOff>762000</xdr:colOff>
                    <xdr:row>18</xdr:row>
                    <xdr:rowOff>0</xdr:rowOff>
                  </to>
                </anchor>
              </controlPr>
            </control>
          </mc:Choice>
        </mc:AlternateContent>
        <mc:AlternateContent xmlns:mc="http://schemas.openxmlformats.org/markup-compatibility/2006">
          <mc:Choice Requires="x14">
            <control shapeId="57381" r:id="rId25" name="Option Button 37">
              <controlPr defaultSize="0" autoFill="0" autoLine="0" autoPict="0" altText="">
                <anchor moveWithCells="1">
                  <from>
                    <xdr:col>9</xdr:col>
                    <xdr:colOff>495300</xdr:colOff>
                    <xdr:row>17</xdr:row>
                    <xdr:rowOff>190500</xdr:rowOff>
                  </from>
                  <to>
                    <xdr:col>11</xdr:col>
                    <xdr:colOff>762000</xdr:colOff>
                    <xdr:row>19</xdr:row>
                    <xdr:rowOff>0</xdr:rowOff>
                  </to>
                </anchor>
              </controlPr>
            </control>
          </mc:Choice>
        </mc:AlternateContent>
        <mc:AlternateContent xmlns:mc="http://schemas.openxmlformats.org/markup-compatibility/2006">
          <mc:Choice Requires="x14">
            <control shapeId="57382" r:id="rId26" name="Option Button 38">
              <controlPr defaultSize="0" autoFill="0" autoLine="0" autoPict="0" altText="">
                <anchor moveWithCells="1">
                  <from>
                    <xdr:col>9</xdr:col>
                    <xdr:colOff>495300</xdr:colOff>
                    <xdr:row>18</xdr:row>
                    <xdr:rowOff>190500</xdr:rowOff>
                  </from>
                  <to>
                    <xdr:col>11</xdr:col>
                    <xdr:colOff>762000</xdr:colOff>
                    <xdr:row>20</xdr:row>
                    <xdr:rowOff>0</xdr:rowOff>
                  </to>
                </anchor>
              </controlPr>
            </control>
          </mc:Choice>
        </mc:AlternateContent>
        <mc:AlternateContent xmlns:mc="http://schemas.openxmlformats.org/markup-compatibility/2006">
          <mc:Choice Requires="x14">
            <control shapeId="57347" r:id="rId27" name="Group Box 3">
              <controlPr defaultSize="0" print="0" autoFill="0" autoPict="0" macro="[0]!Gruppenfeld3_Klicken" altText="">
                <anchor moveWithCells="1">
                  <from>
                    <xdr:col>5</xdr:col>
                    <xdr:colOff>563880</xdr:colOff>
                    <xdr:row>14</xdr:row>
                    <xdr:rowOff>0</xdr:rowOff>
                  </from>
                  <to>
                    <xdr:col>12</xdr:col>
                    <xdr:colOff>365760</xdr:colOff>
                    <xdr:row>22</xdr:row>
                    <xdr:rowOff>0</xdr:rowOff>
                  </to>
                </anchor>
              </controlPr>
            </control>
          </mc:Choice>
        </mc:AlternateContent>
        <mc:AlternateContent xmlns:mc="http://schemas.openxmlformats.org/markup-compatibility/2006">
          <mc:Choice Requires="x14">
            <control shapeId="57353" r:id="rId28" name="Group Box 9">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7379" r:id="rId29" name="Option Button 35">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7380" r:id="rId30" name="Option Button 36">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7420" r:id="rId31" name="Group Box 76">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7421" r:id="rId32" name="Option Button 77">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7422" r:id="rId33" name="Option Button 78">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7423" r:id="rId34" name="Option Button 79">
              <controlPr defaultSize="0" autoFill="0" autoLine="0" autoPict="0" altText="">
                <anchor moveWithCells="1">
                  <from>
                    <xdr:col>9</xdr:col>
                    <xdr:colOff>495300</xdr:colOff>
                    <xdr:row>19</xdr:row>
                    <xdr:rowOff>190500</xdr:rowOff>
                  </from>
                  <to>
                    <xdr:col>11</xdr:col>
                    <xdr:colOff>762000</xdr:colOff>
                    <xdr:row>21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3" id="{B875836C-4FDA-4F79-A0B3-490C8568A1A9}">
            <xm:f>$H$39=Formeln!$A$1</xm:f>
            <x14:dxf>
              <fill>
                <patternFill>
                  <bgColor theme="0" tint="-0.14996795556505021"/>
                </patternFill>
              </fill>
            </x14:dxf>
          </x14:cfRule>
          <xm:sqref>H39:K39</xm:sqref>
        </x14:conditionalFormatting>
        <x14:conditionalFormatting xmlns:xm="http://schemas.microsoft.com/office/excel/2006/main">
          <x14:cfRule type="expression" priority="132" id="{A45D577D-F668-40A4-816D-3CFEF19521A0}">
            <xm:f>$H$48=Formeln!$A$1</xm:f>
            <x14:dxf>
              <fill>
                <patternFill>
                  <bgColor theme="0" tint="-0.14996795556505021"/>
                </patternFill>
              </fill>
            </x14:dxf>
          </x14:cfRule>
          <xm:sqref>H48:K48</xm:sqref>
        </x14:conditionalFormatting>
        <x14:conditionalFormatting xmlns:xm="http://schemas.microsoft.com/office/excel/2006/main">
          <x14:cfRule type="expression" priority="5" id="{08AF444B-D86A-434F-8F7C-DD5DCD2CC2C8}">
            <xm:f>$I$44=Formeln!$A$295</xm:f>
            <x14:dxf>
              <fill>
                <patternFill>
                  <bgColor theme="0" tint="-0.14996795556505021"/>
                </patternFill>
              </fill>
            </x14:dxf>
          </x14:cfRule>
          <xm:sqref>I44:K44</xm:sqref>
        </x14:conditionalFormatting>
        <x14:conditionalFormatting xmlns:xm="http://schemas.microsoft.com/office/excel/2006/main">
          <x14:cfRule type="expression" priority="12" id="{E048A82E-3E34-4724-A697-31287EF91BE5}">
            <xm:f>$I$80=Formeln!$A$295</xm:f>
            <x14:dxf>
              <fill>
                <patternFill>
                  <bgColor theme="0" tint="-0.14996795556505021"/>
                </patternFill>
              </fill>
            </x14:dxf>
          </x14:cfRule>
          <xm:sqref>I80:K80</xm:sqref>
        </x14:conditionalFormatting>
        <x14:conditionalFormatting xmlns:xm="http://schemas.microsoft.com/office/excel/2006/main">
          <x14:cfRule type="expression" priority="11" id="{E7CBC647-CDBB-4154-BA56-519F68E07964}">
            <xm:f>$I$82=Formeln!$A$295</xm:f>
            <x14:dxf>
              <fill>
                <patternFill>
                  <bgColor theme="0" tint="-0.14996795556505021"/>
                </patternFill>
              </fill>
            </x14:dxf>
          </x14:cfRule>
          <xm:sqref>I82:K82</xm:sqref>
        </x14:conditionalFormatting>
        <x14:conditionalFormatting xmlns:xm="http://schemas.microsoft.com/office/excel/2006/main">
          <x14:cfRule type="expression" priority="8" id="{4B0AA787-625C-4B91-9131-BE33DA852CAA}">
            <xm:f>$I$105=Formeln!$A$1</xm:f>
            <x14:dxf>
              <fill>
                <patternFill>
                  <bgColor theme="0" tint="-0.14996795556505021"/>
                </patternFill>
              </fill>
            </x14:dxf>
          </x14:cfRule>
          <xm:sqref>I84:K84</xm:sqref>
        </x14:conditionalFormatting>
        <x14:conditionalFormatting xmlns:xm="http://schemas.microsoft.com/office/excel/2006/main">
          <x14:cfRule type="expression" priority="32" id="{66DF7221-D6F1-47BC-B434-B71C58C05099}">
            <xm:f>$J31=Formeln!$A$287</xm:f>
            <x14:dxf>
              <fill>
                <patternFill>
                  <bgColor theme="0" tint="-0.14996795556505021"/>
                </patternFill>
              </fill>
            </x14:dxf>
          </x14:cfRule>
          <xm:sqref>J31:K33</xm:sqref>
        </x14:conditionalFormatting>
        <x14:conditionalFormatting xmlns:xm="http://schemas.microsoft.com/office/excel/2006/main">
          <x14:cfRule type="expression" priority="47" id="{376B2A5A-2667-4AA3-9358-1805F8D2F263}">
            <xm:f>$J$54=Formeln!$A$1</xm:f>
            <x14:dxf>
              <fill>
                <patternFill>
                  <bgColor theme="0" tint="-0.14996795556505021"/>
                </patternFill>
              </fill>
            </x14:dxf>
          </x14:cfRule>
          <xm:sqref>J54:K54</xm:sqref>
        </x14:conditionalFormatting>
        <x14:conditionalFormatting xmlns:xm="http://schemas.microsoft.com/office/excel/2006/main">
          <x14:cfRule type="expression" priority="1" id="{383A6920-C704-4263-AB1E-170562AE1FC7}">
            <xm:f>Info!$V$7=8</xm:f>
            <x14:dxf>
              <font>
                <color theme="1"/>
              </font>
              <border>
                <left style="thin">
                  <color auto="1"/>
                </left>
                <right style="thin">
                  <color auto="1"/>
                </right>
                <top style="thin">
                  <color auto="1"/>
                </top>
                <bottom style="thin">
                  <color auto="1"/>
                </bottom>
                <vertical/>
                <horizontal/>
              </border>
            </x14:dxf>
          </x14:cfRule>
          <xm:sqref>O30:O87</xm:sqref>
        </x14:conditionalFormatting>
        <x14:conditionalFormatting xmlns:xm="http://schemas.microsoft.com/office/excel/2006/main">
          <x14:cfRule type="expression" priority="19" id="{708164CA-64D5-4229-AAA4-5BAF39BC6FA3}">
            <xm:f>Info!$V$7=8</xm:f>
            <x14:dxf>
              <font>
                <color theme="1"/>
              </font>
              <border>
                <bottom style="thin">
                  <color auto="1"/>
                </bottom>
              </border>
            </x14:dxf>
          </x14:cfRule>
          <xm:sqref>O89</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1000000}">
          <x14:formula1>
            <xm:f>Formeln!$A$9:$A$15</xm:f>
          </x14:formula1>
          <xm:sqref>H48:K48</xm:sqref>
        </x14:dataValidation>
        <x14:dataValidation type="list" allowBlank="1" showInputMessage="1" showErrorMessage="1" xr:uid="{00000000-0002-0000-0800-000002000000}">
          <x14:formula1>
            <xm:f>Formeln!$A$1:$A$3</xm:f>
          </x14:formula1>
          <xm:sqref>H39:K39</xm:sqref>
        </x14:dataValidation>
        <x14:dataValidation type="list" allowBlank="1" showInputMessage="1" showErrorMessage="1" xr:uid="{00000000-0002-0000-0800-000003000000}">
          <x14:formula1>
            <xm:f>Formeln!$C$33:$C$43</xm:f>
          </x14:formula1>
          <xm:sqref>J54:K54</xm:sqref>
        </x14:dataValidation>
        <x14:dataValidation type="list" allowBlank="1" showInputMessage="1" showErrorMessage="1" xr:uid="{00000000-0002-0000-0800-000004000000}">
          <x14:formula1>
            <xm:f>Formeln!$A$287:$A$289</xm:f>
          </x14:formula1>
          <xm:sqref>J31:K33</xm:sqref>
        </x14:dataValidation>
        <x14:dataValidation type="list" allowBlank="1" showInputMessage="1" showErrorMessage="1" xr:uid="{AFF28824-F5A9-4641-9D5C-CB8D020EA510}">
          <x14:formula1>
            <xm:f>Formeln!$A$5:$A$8</xm:f>
          </x14:formula1>
          <xm:sqref>H40:K40</xm:sqref>
        </x14:dataValidation>
        <x14:dataValidation type="list" allowBlank="1" showInputMessage="1" showErrorMessage="1" xr:uid="{67CB9EF3-6F90-4666-B9D9-89BA0E1529C9}">
          <x14:formula1>
            <xm:f>Formeln!$A$106:$A$110</xm:f>
          </x14:formula1>
          <xm:sqref>I84:K84</xm:sqref>
        </x14:dataValidation>
        <x14:dataValidation type="list" allowBlank="1" showInputMessage="1" showErrorMessage="1" xr:uid="{F01A57C9-6148-4736-8E68-AD954A80E85E}">
          <x14:formula1>
            <xm:f>Formeln!$A$295:$A$297</xm:f>
          </x14:formula1>
          <xm:sqref>I80:K80 I82:K82 I44:K44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9AEC425FBD237479030FD48D9D96ED0" ma:contentTypeVersion="17" ma:contentTypeDescription="Ein neues Dokument erstellen." ma:contentTypeScope="" ma:versionID="39a07758f1c9dbcab037e97ac6f8e3f1">
  <xsd:schema xmlns:xsd="http://www.w3.org/2001/XMLSchema" xmlns:xs="http://www.w3.org/2001/XMLSchema" xmlns:p="http://schemas.microsoft.com/office/2006/metadata/properties" xmlns:ns2="18d922df-9b3f-4357-9199-d5d05581910c" xmlns:ns3="43e6e013-0698-44a1-9d48-8ff31a1df0c3" xmlns:ns4="bf01325f-6d04-4905-92c1-287a220edac3" targetNamespace="http://schemas.microsoft.com/office/2006/metadata/properties" ma:root="true" ma:fieldsID="9058c73eb9b1f45b2bf2ddfb4cef7308" ns2:_="" ns3:_="" ns4:_="">
    <xsd:import namespace="18d922df-9b3f-4357-9199-d5d05581910c"/>
    <xsd:import namespace="43e6e013-0698-44a1-9d48-8ff31a1df0c3"/>
    <xsd:import namespace="bf01325f-6d04-4905-92c1-287a220eda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922df-9b3f-4357-9199-d5d0558191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ac38430b-4b0d-4c0d-b3d9-a6776c55b4b0"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13"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01325f-6d04-4905-92c1-287a220edac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8028e3-4bdd-4533-b7fd-340baf10d21c}" ma:internalName="TaxCatchAll" ma:showField="CatchAllData" ma:web="bf01325f-6d04-4905-92c1-287a220eda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f01325f-6d04-4905-92c1-287a220edac3" xsi:nil="true"/>
    <lcf76f155ced4ddcb4097134ff3c332f xmlns="18d922df-9b3f-4357-9199-d5d05581910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8776E8-22FD-4941-9FA1-CDFD17A0F306}"/>
</file>

<file path=customXml/itemProps2.xml><?xml version="1.0" encoding="utf-8"?>
<ds:datastoreItem xmlns:ds="http://schemas.openxmlformats.org/officeDocument/2006/customXml" ds:itemID="{0DD17D4A-2810-454C-8366-DE8A767AFA23}">
  <ds:schemaRefs>
    <ds:schemaRef ds:uri="http://schemas.microsoft.com/office/2006/metadata/properties"/>
    <ds:schemaRef ds:uri="http://schemas.microsoft.com/office/infopath/2007/PartnerControls"/>
    <ds:schemaRef ds:uri="bf01325f-6d04-4905-92c1-287a220edac3"/>
    <ds:schemaRef ds:uri="15a9e933-d27c-474c-a129-a35d5000c0af"/>
  </ds:schemaRefs>
</ds:datastoreItem>
</file>

<file path=customXml/itemProps3.xml><?xml version="1.0" encoding="utf-8"?>
<ds:datastoreItem xmlns:ds="http://schemas.openxmlformats.org/officeDocument/2006/customXml" ds:itemID="{152BD32F-FE48-4D90-A6B7-E374B31134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Info</vt:lpstr>
      <vt:lpstr>DP</vt:lpstr>
      <vt:lpstr>DS</vt:lpstr>
      <vt:lpstr>DS.19</vt:lpstr>
      <vt:lpstr>R.16</vt:lpstr>
      <vt:lpstr>DR44</vt:lpstr>
      <vt:lpstr>DR29</vt:lpstr>
      <vt:lpstr>FX.12</vt:lpstr>
      <vt:lpstr>PR</vt:lpstr>
      <vt:lpstr>RI_P.10</vt:lpstr>
      <vt:lpstr>Formeln_RI_P.10</vt:lpstr>
      <vt:lpstr>QR_P.10</vt:lpstr>
      <vt:lpstr>RI</vt:lpstr>
      <vt:lpstr>QR</vt:lpstr>
      <vt:lpstr>Versionsverlauf</vt:lpstr>
      <vt:lpstr>Velux DE Artikelnummern</vt:lpstr>
      <vt:lpstr>Sprachindex</vt:lpstr>
      <vt:lpstr>Formeln</vt:lpstr>
      <vt:lpstr>DP!Druckbereich</vt:lpstr>
      <vt:lpstr>'DR29'!Druckbereich</vt:lpstr>
      <vt:lpstr>'DR44'!Druckbereich</vt:lpstr>
      <vt:lpstr>DS!Druckbereich</vt:lpstr>
      <vt:lpstr>DS.19!Druckbereich</vt:lpstr>
      <vt:lpstr>FX.12!Druckbereich</vt:lpstr>
      <vt:lpstr>Info!Druckbereich</vt:lpstr>
      <vt:lpstr>PR!Druckbereich</vt:lpstr>
      <vt:lpstr>QR!Druckbereich</vt:lpstr>
      <vt:lpstr>QR_P.10!Druckbereich</vt:lpstr>
      <vt:lpstr>R.16!Druckbereich</vt:lpstr>
      <vt:lpstr>RI!Druckbereich</vt:lpstr>
      <vt:lpstr>RI_P.10!Druckbereich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2025-04-23T07:30:40Z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0x010100B9AEC425FBD237479030FD48D9D96ED0</vt:lpwstr>
  </property>
  <property fmtid="{D5CDD505-2E9C-101B-9397-08002B2CF9AE}" pid="3" name="MediaServiceImageTags">
    <vt:lpwstr/>
  </property>
</Properties>
</file>